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onnel26\Downloads\"/>
    </mc:Choice>
  </mc:AlternateContent>
  <xr:revisionPtr revIDLastSave="0" documentId="13_ncr:1_{1C06A394-674A-41B6-9CB4-7065B3A15E99}" xr6:coauthVersionLast="47" xr6:coauthVersionMax="47" xr10:uidLastSave="{00000000-0000-0000-0000-000000000000}"/>
  <bookViews>
    <workbookView xWindow="28680" yWindow="-120" windowWidth="29040" windowHeight="15720" activeTab="5" xr2:uid="{61B41BEC-A4E3-45DF-A8B2-636DF7572DB2}"/>
  </bookViews>
  <sheets>
    <sheet name="Problem 1" sheetId="1" r:id="rId1"/>
    <sheet name="Problem 1 Breakeven" sheetId="2" r:id="rId2"/>
    <sheet name="delete" sheetId="4" r:id="rId3"/>
    <sheet name="Problem 2" sheetId="6" r:id="rId4"/>
    <sheet name="Problem 3" sheetId="5" r:id="rId5"/>
    <sheet name="3 b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8" l="1"/>
  <c r="D41" i="8"/>
  <c r="D40" i="8"/>
  <c r="G35" i="8"/>
  <c r="H35" i="8"/>
  <c r="I35" i="8"/>
  <c r="J35" i="8"/>
  <c r="K35" i="8"/>
  <c r="L35" i="8"/>
  <c r="M35" i="8"/>
  <c r="N35" i="8"/>
  <c r="O35" i="8"/>
  <c r="P35" i="8"/>
  <c r="Q35" i="8"/>
  <c r="B42" i="8"/>
  <c r="B41" i="8"/>
  <c r="B40" i="8"/>
  <c r="F13" i="6"/>
  <c r="F23" i="5"/>
  <c r="F23" i="8"/>
  <c r="Q28" i="8"/>
  <c r="P28" i="8"/>
  <c r="O28" i="8"/>
  <c r="N28" i="8"/>
  <c r="M28" i="8"/>
  <c r="L28" i="8"/>
  <c r="K28" i="8"/>
  <c r="J28" i="8"/>
  <c r="I28" i="8"/>
  <c r="H28" i="8"/>
  <c r="G28" i="8"/>
  <c r="F28" i="8"/>
  <c r="Q27" i="8"/>
  <c r="P27" i="8"/>
  <c r="O27" i="8"/>
  <c r="N27" i="8"/>
  <c r="M27" i="8"/>
  <c r="L27" i="8"/>
  <c r="K27" i="8"/>
  <c r="J27" i="8"/>
  <c r="I27" i="8"/>
  <c r="H27" i="8"/>
  <c r="G27" i="8"/>
  <c r="F27" i="8"/>
  <c r="F26" i="8"/>
  <c r="G26" i="8" s="1"/>
  <c r="H26" i="8" s="1"/>
  <c r="I26" i="8" s="1"/>
  <c r="J26" i="8" s="1"/>
  <c r="K26" i="8" s="1"/>
  <c r="L26" i="8" s="1"/>
  <c r="M26" i="8" s="1"/>
  <c r="N26" i="8" s="1"/>
  <c r="O26" i="8" s="1"/>
  <c r="P26" i="8" s="1"/>
  <c r="Q26" i="8" s="1"/>
  <c r="Q25" i="8"/>
  <c r="P25" i="8"/>
  <c r="O25" i="8"/>
  <c r="N25" i="8"/>
  <c r="M25" i="8"/>
  <c r="L25" i="8"/>
  <c r="K25" i="8"/>
  <c r="J25" i="8"/>
  <c r="I25" i="8"/>
  <c r="H25" i="8"/>
  <c r="G25" i="8"/>
  <c r="F25" i="8"/>
  <c r="Q24" i="8"/>
  <c r="P24" i="8"/>
  <c r="O24" i="8"/>
  <c r="N24" i="8"/>
  <c r="M24" i="8"/>
  <c r="L24" i="8"/>
  <c r="K24" i="8"/>
  <c r="J24" i="8"/>
  <c r="I24" i="8"/>
  <c r="H24" i="8"/>
  <c r="G24" i="8"/>
  <c r="F24" i="8"/>
  <c r="Q23" i="8"/>
  <c r="P23" i="8"/>
  <c r="O23" i="8"/>
  <c r="N23" i="8"/>
  <c r="M23" i="8"/>
  <c r="L23" i="8"/>
  <c r="K23" i="8"/>
  <c r="J23" i="8"/>
  <c r="I23" i="8"/>
  <c r="H23" i="8"/>
  <c r="G23" i="8"/>
  <c r="F11" i="8"/>
  <c r="E11" i="8"/>
  <c r="D11" i="8"/>
  <c r="F10" i="8"/>
  <c r="E10" i="8"/>
  <c r="D10" i="8"/>
  <c r="F9" i="8"/>
  <c r="E9" i="8"/>
  <c r="D9" i="8"/>
  <c r="F8" i="8"/>
  <c r="E8" i="8"/>
  <c r="D8" i="8"/>
  <c r="F4" i="8"/>
  <c r="E4" i="8"/>
  <c r="D4" i="8"/>
  <c r="T42" i="5"/>
  <c r="T38" i="5"/>
  <c r="T39" i="5"/>
  <c r="T40" i="5"/>
  <c r="T41" i="5"/>
  <c r="T37" i="5"/>
  <c r="F35" i="5"/>
  <c r="G29" i="5"/>
  <c r="G28" i="5"/>
  <c r="F34" i="5"/>
  <c r="F28" i="5"/>
  <c r="I37" i="5"/>
  <c r="I42" i="5"/>
  <c r="H26" i="5"/>
  <c r="I26" i="5" s="1"/>
  <c r="J26" i="5" s="1"/>
  <c r="K26" i="5" s="1"/>
  <c r="L26" i="5" s="1"/>
  <c r="M26" i="5" s="1"/>
  <c r="N26" i="5" s="1"/>
  <c r="O26" i="5" s="1"/>
  <c r="P26" i="5" s="1"/>
  <c r="Q26" i="5" s="1"/>
  <c r="G26" i="5"/>
  <c r="I32" i="5"/>
  <c r="H25" i="5"/>
  <c r="H24" i="5"/>
  <c r="R41" i="5"/>
  <c r="D42" i="5"/>
  <c r="O41" i="5"/>
  <c r="P41" i="5"/>
  <c r="D41" i="5"/>
  <c r="C40" i="5"/>
  <c r="E39" i="5"/>
  <c r="Q38" i="5"/>
  <c r="H23" i="5"/>
  <c r="H42" i="5" s="1"/>
  <c r="E37" i="5"/>
  <c r="D37" i="5"/>
  <c r="C37" i="5"/>
  <c r="F32" i="5"/>
  <c r="F7" i="5"/>
  <c r="E38" i="5" s="1"/>
  <c r="F26" i="5"/>
  <c r="G24" i="5"/>
  <c r="I24" i="5"/>
  <c r="J24" i="5"/>
  <c r="K24" i="5"/>
  <c r="L24" i="5"/>
  <c r="M24" i="5"/>
  <c r="N24" i="5"/>
  <c r="O24" i="5"/>
  <c r="O42" i="5" s="1"/>
  <c r="P24" i="5"/>
  <c r="P42" i="5" s="1"/>
  <c r="Q24" i="5"/>
  <c r="F24" i="5"/>
  <c r="F25" i="5"/>
  <c r="Q23" i="5"/>
  <c r="P23" i="5"/>
  <c r="O23" i="5"/>
  <c r="N23" i="5"/>
  <c r="M23" i="5"/>
  <c r="L23" i="5"/>
  <c r="L42" i="5" s="1"/>
  <c r="K23" i="5"/>
  <c r="K42" i="5" s="1"/>
  <c r="J23" i="5"/>
  <c r="J42" i="5" s="1"/>
  <c r="I23" i="5"/>
  <c r="G23" i="5"/>
  <c r="G42" i="5" s="1"/>
  <c r="G35" i="5"/>
  <c r="H35" i="5"/>
  <c r="I35" i="5"/>
  <c r="J35" i="5"/>
  <c r="J41" i="5" s="1"/>
  <c r="K35" i="5"/>
  <c r="K41" i="5" s="1"/>
  <c r="L35" i="5"/>
  <c r="M35" i="5"/>
  <c r="M41" i="5" s="1"/>
  <c r="N35" i="5"/>
  <c r="O35" i="5"/>
  <c r="P35" i="5"/>
  <c r="Q35" i="5"/>
  <c r="Q41" i="5" s="1"/>
  <c r="H29" i="5"/>
  <c r="I29" i="5"/>
  <c r="J29" i="5"/>
  <c r="K29" i="5"/>
  <c r="L29" i="5"/>
  <c r="M29" i="5"/>
  <c r="N29" i="5"/>
  <c r="O29" i="5"/>
  <c r="P29" i="5"/>
  <c r="Q29" i="5"/>
  <c r="F29" i="5"/>
  <c r="Q25" i="5"/>
  <c r="H28" i="5"/>
  <c r="I28" i="5"/>
  <c r="J28" i="5"/>
  <c r="K28" i="5"/>
  <c r="L28" i="5"/>
  <c r="M28" i="5"/>
  <c r="N28" i="5"/>
  <c r="O28" i="5"/>
  <c r="P28" i="5"/>
  <c r="Q28" i="5"/>
  <c r="G34" i="5"/>
  <c r="G40" i="5" s="1"/>
  <c r="H34" i="5"/>
  <c r="H40" i="5" s="1"/>
  <c r="I34" i="5"/>
  <c r="I40" i="5" s="1"/>
  <c r="J34" i="5"/>
  <c r="J40" i="5" s="1"/>
  <c r="K34" i="5"/>
  <c r="K40" i="5" s="1"/>
  <c r="L34" i="5"/>
  <c r="L40" i="5" s="1"/>
  <c r="M34" i="5"/>
  <c r="M40" i="5" s="1"/>
  <c r="N34" i="5"/>
  <c r="N40" i="5" s="1"/>
  <c r="O34" i="5"/>
  <c r="O40" i="5" s="1"/>
  <c r="P34" i="5"/>
  <c r="P40" i="5" s="1"/>
  <c r="Q34" i="5"/>
  <c r="Q40" i="5" s="1"/>
  <c r="F40" i="5"/>
  <c r="G27" i="5"/>
  <c r="H27" i="5"/>
  <c r="I27" i="5"/>
  <c r="J27" i="5"/>
  <c r="K27" i="5"/>
  <c r="L27" i="5"/>
  <c r="M27" i="5"/>
  <c r="N27" i="5"/>
  <c r="O27" i="5"/>
  <c r="P27" i="5"/>
  <c r="Q27" i="5"/>
  <c r="F27" i="5"/>
  <c r="G25" i="5"/>
  <c r="I25" i="5"/>
  <c r="J25" i="5"/>
  <c r="K25" i="5"/>
  <c r="L25" i="5"/>
  <c r="M25" i="5"/>
  <c r="N25" i="5"/>
  <c r="O25" i="5"/>
  <c r="P25" i="5"/>
  <c r="G33" i="5"/>
  <c r="G38" i="5" s="1"/>
  <c r="H33" i="5"/>
  <c r="H38" i="5" s="1"/>
  <c r="I33" i="5"/>
  <c r="J33" i="5"/>
  <c r="K33" i="5"/>
  <c r="L33" i="5"/>
  <c r="M33" i="5"/>
  <c r="M38" i="5" s="1"/>
  <c r="N33" i="5"/>
  <c r="N38" i="5" s="1"/>
  <c r="O33" i="5"/>
  <c r="O38" i="5" s="1"/>
  <c r="P33" i="5"/>
  <c r="P38" i="5" s="1"/>
  <c r="Q33" i="5"/>
  <c r="F33" i="5"/>
  <c r="F38" i="5" s="1"/>
  <c r="D4" i="5"/>
  <c r="F4" i="5"/>
  <c r="E4" i="5"/>
  <c r="F8" i="5"/>
  <c r="F9" i="5"/>
  <c r="E40" i="5" s="1"/>
  <c r="F10" i="5"/>
  <c r="E41" i="5" s="1"/>
  <c r="F11" i="5"/>
  <c r="E42" i="5" s="1"/>
  <c r="E8" i="5"/>
  <c r="D39" i="5" s="1"/>
  <c r="E9" i="5"/>
  <c r="D40" i="5" s="1"/>
  <c r="E10" i="5"/>
  <c r="E11" i="5"/>
  <c r="E7" i="5"/>
  <c r="D38" i="5" s="1"/>
  <c r="D8" i="5"/>
  <c r="C39" i="5" s="1"/>
  <c r="D9" i="5"/>
  <c r="D10" i="5"/>
  <c r="C41" i="5" s="1"/>
  <c r="D11" i="5"/>
  <c r="C42" i="5" s="1"/>
  <c r="D7" i="5"/>
  <c r="C38" i="5" s="1"/>
  <c r="J38" i="5" l="1"/>
  <c r="R38" i="5" s="1"/>
  <c r="I41" i="5"/>
  <c r="M42" i="5"/>
  <c r="I38" i="5"/>
  <c r="H41" i="5"/>
  <c r="N42" i="5"/>
  <c r="G41" i="5"/>
  <c r="L41" i="5"/>
  <c r="K38" i="5"/>
  <c r="F41" i="5"/>
  <c r="F42" i="5"/>
  <c r="R42" i="5" s="1"/>
  <c r="L38" i="5"/>
  <c r="N41" i="5"/>
  <c r="Q42" i="5"/>
  <c r="F39" i="5"/>
  <c r="R40" i="5"/>
  <c r="G32" i="5"/>
  <c r="F37" i="5"/>
  <c r="H32" i="5" l="1"/>
  <c r="G39" i="5"/>
  <c r="G37" i="5"/>
  <c r="H39" i="5" l="1"/>
  <c r="H37" i="5"/>
  <c r="J32" i="5"/>
  <c r="I39" i="5"/>
  <c r="K32" i="5" l="1"/>
  <c r="J39" i="5"/>
  <c r="J37" i="5"/>
  <c r="L32" i="5" l="1"/>
  <c r="K39" i="5"/>
  <c r="K37" i="5"/>
  <c r="M32" i="5" l="1"/>
  <c r="L39" i="5"/>
  <c r="L37" i="5"/>
  <c r="P24" i="6"/>
  <c r="P23" i="6"/>
  <c r="P16" i="6"/>
  <c r="P14" i="6"/>
  <c r="P15" i="6"/>
  <c r="P17" i="6"/>
  <c r="P18" i="6"/>
  <c r="P19" i="6"/>
  <c r="P20" i="6"/>
  <c r="P21" i="6"/>
  <c r="P22" i="6"/>
  <c r="P13" i="6"/>
  <c r="P11" i="6"/>
  <c r="P12" i="6"/>
  <c r="P10" i="6"/>
  <c r="L16" i="6"/>
  <c r="M17" i="6"/>
  <c r="N17" i="6"/>
  <c r="O13" i="6"/>
  <c r="O14" i="6"/>
  <c r="O12" i="6"/>
  <c r="O11" i="6"/>
  <c r="O10" i="6"/>
  <c r="O15" i="6"/>
  <c r="O17" i="6"/>
  <c r="O18" i="6"/>
  <c r="O19" i="6"/>
  <c r="O20" i="6"/>
  <c r="O21" i="6"/>
  <c r="O22" i="6"/>
  <c r="L13" i="6"/>
  <c r="G13" i="6"/>
  <c r="F10" i="6"/>
  <c r="E10" i="6"/>
  <c r="N15" i="6"/>
  <c r="M22" i="6"/>
  <c r="M14" i="6"/>
  <c r="M13" i="6"/>
  <c r="I13" i="6"/>
  <c r="N32" i="5" l="1"/>
  <c r="M39" i="5"/>
  <c r="M37" i="5"/>
  <c r="O32" i="5" l="1"/>
  <c r="N39" i="5"/>
  <c r="N37" i="5"/>
  <c r="P32" i="5" l="1"/>
  <c r="O39" i="5"/>
  <c r="O37" i="5"/>
  <c r="Q32" i="5" l="1"/>
  <c r="P37" i="5"/>
  <c r="P39" i="5"/>
  <c r="Q39" i="5" l="1"/>
  <c r="R39" i="5" s="1"/>
  <c r="Q37" i="5"/>
  <c r="R37" i="5" s="1"/>
  <c r="C10" i="6"/>
  <c r="D10" i="6"/>
  <c r="B2" i="6" l="1"/>
  <c r="B3" i="6"/>
  <c r="I11" i="6"/>
  <c r="I12" i="6"/>
  <c r="I20" i="6"/>
  <c r="I21" i="6"/>
  <c r="I22" i="6"/>
  <c r="I10" i="6"/>
  <c r="F22" i="4"/>
  <c r="F20" i="4"/>
  <c r="F24" i="4" s="1"/>
  <c r="F19" i="4"/>
  <c r="F21" i="4"/>
  <c r="D19" i="4"/>
  <c r="C19" i="4"/>
  <c r="M11" i="6"/>
  <c r="N11" i="6" s="1"/>
  <c r="M12" i="6"/>
  <c r="N12" i="6" s="1"/>
  <c r="M10" i="6"/>
  <c r="N10" i="6" s="1"/>
  <c r="L14" i="6"/>
  <c r="L15" i="6"/>
  <c r="L17" i="6"/>
  <c r="J15" i="6"/>
  <c r="J16" i="6"/>
  <c r="J17" i="6"/>
  <c r="J18" i="6"/>
  <c r="M18" i="6" s="1"/>
  <c r="N18" i="6" s="1"/>
  <c r="J19" i="6"/>
  <c r="M19" i="6" s="1"/>
  <c r="N19" i="6" s="1"/>
  <c r="J20" i="6"/>
  <c r="M20" i="6" s="1"/>
  <c r="N20" i="6" s="1"/>
  <c r="J21" i="6"/>
  <c r="M21" i="6" s="1"/>
  <c r="N21" i="6" s="1"/>
  <c r="J22" i="6"/>
  <c r="N22" i="6" s="1"/>
  <c r="J14" i="6"/>
  <c r="J13" i="6"/>
  <c r="E19" i="4"/>
  <c r="D11" i="6"/>
  <c r="D12" i="6"/>
  <c r="C11" i="6"/>
  <c r="C12" i="6"/>
  <c r="C17" i="4"/>
  <c r="M26" i="4"/>
  <c r="G26" i="4"/>
  <c r="H26" i="4"/>
  <c r="I26" i="4"/>
  <c r="J26" i="4"/>
  <c r="K26" i="4"/>
  <c r="L26" i="4"/>
  <c r="N26" i="4"/>
  <c r="O26" i="4"/>
  <c r="G24" i="4"/>
  <c r="H24" i="4"/>
  <c r="I24" i="4"/>
  <c r="J24" i="4"/>
  <c r="K24" i="4"/>
  <c r="L24" i="4"/>
  <c r="M24" i="4"/>
  <c r="N24" i="4"/>
  <c r="O24" i="4"/>
  <c r="E24" i="4"/>
  <c r="D24" i="4"/>
  <c r="C24" i="4"/>
  <c r="F16" i="4"/>
  <c r="B2" i="4"/>
  <c r="B3" i="4"/>
  <c r="E17" i="4"/>
  <c r="H17" i="4" s="1"/>
  <c r="D22" i="4"/>
  <c r="D26" i="4" s="1"/>
  <c r="E22" i="4"/>
  <c r="E26" i="4" s="1"/>
  <c r="C22" i="4"/>
  <c r="C26" i="4" s="1"/>
  <c r="E11" i="6" l="1"/>
  <c r="F11" i="6" s="1"/>
  <c r="M16" i="6"/>
  <c r="N16" i="6" s="1"/>
  <c r="O16" i="6" s="1"/>
  <c r="K23" i="6" s="1"/>
  <c r="N14" i="6"/>
  <c r="M15" i="6"/>
  <c r="N13" i="6"/>
  <c r="F17" i="4"/>
  <c r="G17" i="4"/>
  <c r="I21" i="4"/>
  <c r="G21" i="4"/>
  <c r="J20" i="4"/>
  <c r="H21" i="4"/>
  <c r="K20" i="4"/>
  <c r="L20" i="4"/>
  <c r="J21" i="4"/>
  <c r="G20" i="4"/>
  <c r="K21" i="4"/>
  <c r="H20" i="4"/>
  <c r="L21" i="4"/>
  <c r="I20" i="4"/>
  <c r="K24" i="6" l="1"/>
  <c r="E12" i="6"/>
  <c r="F12" i="6" s="1"/>
  <c r="B24" i="6"/>
  <c r="G19" i="4"/>
  <c r="H19" i="4" s="1"/>
  <c r="I19" i="4" s="1"/>
  <c r="J19" i="4" s="1"/>
  <c r="K19" i="4" s="1"/>
  <c r="L19" i="4" s="1"/>
  <c r="G22" i="4"/>
  <c r="I22" i="4"/>
  <c r="K22" i="4"/>
  <c r="F26" i="4"/>
  <c r="B28" i="4" s="1"/>
  <c r="J22" i="4"/>
  <c r="H22" i="4"/>
  <c r="L22" i="4"/>
  <c r="H13" i="6" l="1"/>
  <c r="G19" i="6"/>
  <c r="G16" i="6"/>
  <c r="G14" i="6"/>
  <c r="G17" i="6"/>
  <c r="G18" i="6"/>
  <c r="G15" i="6"/>
  <c r="G12" i="4"/>
  <c r="D17" i="4"/>
  <c r="G16" i="4"/>
  <c r="H16" i="4"/>
  <c r="I16" i="4"/>
  <c r="J16" i="4"/>
  <c r="K16" i="4"/>
  <c r="L16" i="4"/>
  <c r="M16" i="4"/>
  <c r="N16" i="4"/>
  <c r="O16" i="4"/>
  <c r="D30" i="1"/>
  <c r="D16" i="1"/>
  <c r="E2" i="1"/>
  <c r="I3" i="2"/>
  <c r="I6" i="2"/>
  <c r="O6" i="2"/>
  <c r="N6" i="2"/>
  <c r="M6" i="2"/>
  <c r="L6" i="2"/>
  <c r="K6" i="2"/>
  <c r="J6" i="2"/>
  <c r="I5" i="2"/>
  <c r="L5" i="2"/>
  <c r="K5" i="2"/>
  <c r="J5" i="2"/>
  <c r="M5" i="2"/>
  <c r="N5" i="2"/>
  <c r="O5" i="2"/>
  <c r="B11" i="2"/>
  <c r="B11" i="1"/>
  <c r="E9" i="2"/>
  <c r="E5" i="2"/>
  <c r="D16" i="2" s="1"/>
  <c r="E2" i="2"/>
  <c r="C19" i="2" s="1"/>
  <c r="C33" i="2" s="1"/>
  <c r="E5" i="1"/>
  <c r="I33" i="2"/>
  <c r="H33" i="2"/>
  <c r="G33" i="2"/>
  <c r="F33" i="2"/>
  <c r="E33" i="2"/>
  <c r="D33" i="2"/>
  <c r="B33" i="2"/>
  <c r="C30" i="2"/>
  <c r="B30" i="2"/>
  <c r="C29" i="2"/>
  <c r="B29" i="2"/>
  <c r="B31" i="2" s="1"/>
  <c r="C17" i="2"/>
  <c r="B17" i="2"/>
  <c r="B21" i="2" s="1"/>
  <c r="I15" i="2"/>
  <c r="I29" i="2" s="1"/>
  <c r="H15" i="2"/>
  <c r="H29" i="2" s="1"/>
  <c r="G15" i="2"/>
  <c r="G29" i="2" s="1"/>
  <c r="F15" i="2"/>
  <c r="F29" i="2" s="1"/>
  <c r="E15" i="2"/>
  <c r="E29" i="2" s="1"/>
  <c r="D15" i="2"/>
  <c r="D29" i="2" s="1"/>
  <c r="H12" i="4" l="1"/>
  <c r="C31" i="2"/>
  <c r="B35" i="2"/>
  <c r="C35" i="2"/>
  <c r="D30" i="2"/>
  <c r="D31" i="2" s="1"/>
  <c r="D35" i="2" s="1"/>
  <c r="E16" i="2"/>
  <c r="D17" i="2"/>
  <c r="D21" i="2" s="1"/>
  <c r="C21" i="2"/>
  <c r="F14" i="6" l="1"/>
  <c r="H14" i="6"/>
  <c r="I14" i="6" s="1"/>
  <c r="I12" i="4"/>
  <c r="J17" i="4"/>
  <c r="I17" i="4"/>
  <c r="F16" i="2"/>
  <c r="E17" i="2"/>
  <c r="E21" i="2" s="1"/>
  <c r="E30" i="2"/>
  <c r="E31" i="2" s="1"/>
  <c r="E35" i="2" s="1"/>
  <c r="F15" i="6" l="1"/>
  <c r="H15" i="6"/>
  <c r="I15" i="6" s="1"/>
  <c r="J12" i="4"/>
  <c r="G16" i="2"/>
  <c r="F17" i="2"/>
  <c r="F30" i="2"/>
  <c r="F31" i="2" s="1"/>
  <c r="F35" i="2" s="1"/>
  <c r="F16" i="6" l="1"/>
  <c r="H16" i="6"/>
  <c r="I16" i="6" s="1"/>
  <c r="K12" i="4"/>
  <c r="F21" i="2"/>
  <c r="H16" i="2"/>
  <c r="G17" i="2"/>
  <c r="G30" i="2"/>
  <c r="G31" i="2" s="1"/>
  <c r="G35" i="2" s="1"/>
  <c r="F17" i="6" l="1"/>
  <c r="H17" i="6"/>
  <c r="I17" i="6" s="1"/>
  <c r="L12" i="4"/>
  <c r="H17" i="2"/>
  <c r="H21" i="2" s="1"/>
  <c r="H30" i="2"/>
  <c r="H31" i="2" s="1"/>
  <c r="H35" i="2" s="1"/>
  <c r="I16" i="2"/>
  <c r="G21" i="2"/>
  <c r="D35" i="1"/>
  <c r="E35" i="1"/>
  <c r="F35" i="1"/>
  <c r="G35" i="1"/>
  <c r="H35" i="1"/>
  <c r="I35" i="1"/>
  <c r="B35" i="1"/>
  <c r="D31" i="1"/>
  <c r="D29" i="1"/>
  <c r="D17" i="1"/>
  <c r="D15" i="1"/>
  <c r="I16" i="1"/>
  <c r="E16" i="1"/>
  <c r="E15" i="1"/>
  <c r="F15" i="1"/>
  <c r="G15" i="1"/>
  <c r="H15" i="1"/>
  <c r="I15" i="1"/>
  <c r="E29" i="1"/>
  <c r="C17" i="1"/>
  <c r="D33" i="1"/>
  <c r="E33" i="1"/>
  <c r="F33" i="1"/>
  <c r="G33" i="1"/>
  <c r="H33" i="1"/>
  <c r="I33" i="1"/>
  <c r="B33" i="1"/>
  <c r="B29" i="1"/>
  <c r="B31" i="1"/>
  <c r="C19" i="1"/>
  <c r="B39" i="1" s="1"/>
  <c r="C30" i="1"/>
  <c r="B30" i="1"/>
  <c r="F29" i="1"/>
  <c r="B21" i="1"/>
  <c r="E9" i="1"/>
  <c r="B17" i="1"/>
  <c r="F18" i="6" l="1"/>
  <c r="H18" i="6"/>
  <c r="I18" i="6" s="1"/>
  <c r="M12" i="4"/>
  <c r="C33" i="1"/>
  <c r="C35" i="1" s="1"/>
  <c r="I30" i="2"/>
  <c r="I31" i="2" s="1"/>
  <c r="I35" i="2" s="1"/>
  <c r="I17" i="2"/>
  <c r="C29" i="1"/>
  <c r="C31" i="1" s="1"/>
  <c r="C21" i="1"/>
  <c r="B23" i="1" s="1"/>
  <c r="H29" i="1"/>
  <c r="I29" i="1"/>
  <c r="G29" i="1"/>
  <c r="E30" i="1"/>
  <c r="E31" i="1" s="1"/>
  <c r="F19" i="6" l="1"/>
  <c r="F20" i="6" s="1"/>
  <c r="F21" i="6" s="1"/>
  <c r="F22" i="6" s="1"/>
  <c r="H19" i="6"/>
  <c r="I19" i="6" s="1"/>
  <c r="N12" i="4"/>
  <c r="B38" i="1"/>
  <c r="B37" i="1"/>
  <c r="I21" i="2"/>
  <c r="B39" i="2"/>
  <c r="B25" i="2"/>
  <c r="B37" i="2"/>
  <c r="B38" i="2"/>
  <c r="F16" i="1"/>
  <c r="D21" i="1"/>
  <c r="E17" i="1"/>
  <c r="O12" i="4" l="1"/>
  <c r="B23" i="2"/>
  <c r="B24" i="2"/>
  <c r="G16" i="1"/>
  <c r="F30" i="1"/>
  <c r="F31" i="1" s="1"/>
  <c r="E21" i="1"/>
  <c r="F17" i="1"/>
  <c r="F21" i="1" s="1"/>
  <c r="G17" i="1"/>
  <c r="G21" i="1" s="1"/>
  <c r="B29" i="4" l="1"/>
  <c r="H16" i="1"/>
  <c r="H17" i="1" s="1"/>
  <c r="H21" i="1" s="1"/>
  <c r="G30" i="1"/>
  <c r="G31" i="1" s="1"/>
  <c r="H30" i="1" l="1"/>
  <c r="H31" i="1" s="1"/>
  <c r="I30" i="1" l="1"/>
  <c r="I31" i="1" s="1"/>
  <c r="I17" i="1"/>
  <c r="I21" i="1" l="1"/>
  <c r="B25" i="1"/>
  <c r="B24" i="1" l="1"/>
</calcChain>
</file>

<file path=xl/sharedStrings.xml><?xml version="1.0" encoding="utf-8"?>
<sst xmlns="http://schemas.openxmlformats.org/spreadsheetml/2006/main" count="309" uniqueCount="110">
  <si>
    <t>Parameters</t>
  </si>
  <si>
    <t>Fixed cost</t>
  </si>
  <si>
    <t>Benefits (annual)</t>
  </si>
  <si>
    <t>Avoided costs (annual)</t>
  </si>
  <si>
    <t>Benefits decline rate (deprec)</t>
  </si>
  <si>
    <t>Bens decline start year</t>
  </si>
  <si>
    <t>First use year</t>
  </si>
  <si>
    <t>Parameters (real terms)</t>
  </si>
  <si>
    <t>Useful life (years)</t>
  </si>
  <si>
    <t>Year</t>
  </si>
  <si>
    <t>Benefits_a</t>
  </si>
  <si>
    <t>Benefits_b</t>
  </si>
  <si>
    <t>Benefits_sum</t>
  </si>
  <si>
    <t>Costs</t>
  </si>
  <si>
    <t>Discount rate</t>
  </si>
  <si>
    <t>Inflation rate</t>
  </si>
  <si>
    <t>Discount rate (center)</t>
  </si>
  <si>
    <t>Parameters (nominal terms)</t>
  </si>
  <si>
    <t>Medical inflation rate (uncertain)</t>
  </si>
  <si>
    <t>Nominal</t>
  </si>
  <si>
    <t>NPV</t>
  </si>
  <si>
    <t>IRR</t>
  </si>
  <si>
    <t>BCR</t>
  </si>
  <si>
    <t>Cash flow</t>
  </si>
  <si>
    <t>Real</t>
  </si>
  <si>
    <t>* this is less than DR 12% ==&gt; no!</t>
  </si>
  <si>
    <t>* this is less than 1 ==&gt; no!</t>
  </si>
  <si>
    <t>* this is less than DR 10% ==&gt; no!</t>
  </si>
  <si>
    <t>BREAKEVEN</t>
  </si>
  <si>
    <t>NPV BENS</t>
  </si>
  <si>
    <t>Bens</t>
  </si>
  <si>
    <t>flows</t>
  </si>
  <si>
    <t>dvlpmt</t>
  </si>
  <si>
    <t>bens</t>
  </si>
  <si>
    <t>Investments</t>
  </si>
  <si>
    <t>Downpayment</t>
  </si>
  <si>
    <t>Financing</t>
  </si>
  <si>
    <t>Loan interest rate</t>
  </si>
  <si>
    <t>*interest capitalized</t>
  </si>
  <si>
    <t>repay</t>
  </si>
  <si>
    <t>deprec</t>
  </si>
  <si>
    <t>Operating</t>
  </si>
  <si>
    <t>ben growth</t>
  </si>
  <si>
    <t>Capitalized investments</t>
  </si>
  <si>
    <t xml:space="preserve">Tax Rate </t>
  </si>
  <si>
    <t>Principal Balance</t>
  </si>
  <si>
    <t>Total pd</t>
  </si>
  <si>
    <t>Interest pd</t>
  </si>
  <si>
    <t>Principal pd</t>
  </si>
  <si>
    <t>=</t>
  </si>
  <si>
    <t>Cash Flows</t>
  </si>
  <si>
    <t>Taxable profits</t>
  </si>
  <si>
    <t>Investment</t>
  </si>
  <si>
    <t>Equity</t>
  </si>
  <si>
    <t>Loan</t>
  </si>
  <si>
    <t>Loan interest</t>
  </si>
  <si>
    <t>Depreciation</t>
  </si>
  <si>
    <t>Tax</t>
  </si>
  <si>
    <t>Cash flows</t>
  </si>
  <si>
    <t>Operating costs</t>
  </si>
  <si>
    <t>*deprec doesn’t go into actual flow</t>
  </si>
  <si>
    <t>Balance</t>
  </si>
  <si>
    <t>Princ pd</t>
  </si>
  <si>
    <t>Water</t>
  </si>
  <si>
    <t>Discounted flows</t>
  </si>
  <si>
    <t>Years</t>
  </si>
  <si>
    <t>Social discount rate</t>
  </si>
  <si>
    <t>Cost allocation</t>
  </si>
  <si>
    <t>Flood</t>
  </si>
  <si>
    <t>Recreation</t>
  </si>
  <si>
    <t>Power</t>
  </si>
  <si>
    <t>Direct cost share</t>
  </si>
  <si>
    <t>DC_Year1</t>
  </si>
  <si>
    <t>DC_Year2</t>
  </si>
  <si>
    <t>DC_Year3</t>
  </si>
  <si>
    <t>Indirect costs</t>
  </si>
  <si>
    <t>IC_Year1</t>
  </si>
  <si>
    <t>IC_Year2</t>
  </si>
  <si>
    <t>IC_Year3</t>
  </si>
  <si>
    <t>Item</t>
  </si>
  <si>
    <t>Value</t>
  </si>
  <si>
    <t>Electricity generation/year (KWH)</t>
  </si>
  <si>
    <t>Electricity operating cost ($/KWH)</t>
  </si>
  <si>
    <t>Alternative cost of generating electricity ($/KWH)</t>
  </si>
  <si>
    <t>Recreation days (starting year 4)</t>
  </si>
  <si>
    <t>Growth in recreation days (after year 4; %)</t>
  </si>
  <si>
    <t>Recreation day value ($/day)</t>
  </si>
  <si>
    <t>Recreation fixed operating cost ($/year)</t>
  </si>
  <si>
    <t>Recreation variable operating cost ($/rec day)</t>
  </si>
  <si>
    <t>Flood control benefits ($/year)</t>
  </si>
  <si>
    <t>Flood control operating cost ($/year)</t>
  </si>
  <si>
    <t>Irrigation area (acres)</t>
  </si>
  <si>
    <t>Irrigation benefits ($/acre)</t>
  </si>
  <si>
    <t>Irrigation cost ($/acre)</t>
  </si>
  <si>
    <t>Water quantity produced (gallons)</t>
  </si>
  <si>
    <t>Water value ($/gallon)</t>
  </si>
  <si>
    <t>Water cost ($/gallon)</t>
  </si>
  <si>
    <t>x</t>
  </si>
  <si>
    <t>?</t>
  </si>
  <si>
    <t>Benefits</t>
  </si>
  <si>
    <t>Operating power</t>
  </si>
  <si>
    <t>Operating rec fixed</t>
  </si>
  <si>
    <t>Operating rec variable</t>
  </si>
  <si>
    <t>Operating flood</t>
  </si>
  <si>
    <t>Irrigation</t>
  </si>
  <si>
    <t>Net Benefits</t>
  </si>
  <si>
    <t>Alt energy</t>
  </si>
  <si>
    <t>separable cost remaining benefit</t>
  </si>
  <si>
    <t>Fees</t>
  </si>
  <si>
    <t>Total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</si>
</sst>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00000000000000%"/>
    <numFmt numFmtId="165" formatCode="0.0000%"/>
  </numFmts>
  <fonts count="1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i/>
      <sz val="11"/>
      <color theme="1"/>
      <name val="Aptos Narrow"/>
      <scheme val="minor"/>
    </font>
    <font>
      <sz val="13"/>
      <color theme="1"/>
      <name val="Arial"/>
      <family val="2"/>
    </font>
    <font>
      <sz val="11"/>
      <color theme="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3" fontId="0" fillId="0" borderId="0" xfId="0" applyNumberFormat="1"/>
    <xf numFmtId="9" fontId="0" fillId="0" borderId="0" xfId="0" applyNumberFormat="1"/>
    <xf numFmtId="0" fontId="2" fillId="0" borderId="0" xfId="0" applyFont="1"/>
    <xf numFmtId="164" fontId="0" fillId="0" borderId="0" xfId="0" applyNumberFormat="1"/>
    <xf numFmtId="0" fontId="3" fillId="0" borderId="0" xfId="0" applyFont="1"/>
    <xf numFmtId="165" fontId="1" fillId="0" borderId="0" xfId="0" applyNumberFormat="1" applyFont="1"/>
    <xf numFmtId="0" fontId="0" fillId="2" borderId="0" xfId="0" applyFill="1"/>
    <xf numFmtId="8" fontId="0" fillId="0" borderId="0" xfId="0" applyNumberForma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2" fillId="0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1" xfId="0" applyFont="1" applyBorder="1"/>
    <xf numFmtId="0" fontId="0" fillId="0" borderId="1" xfId="0" applyBorder="1"/>
    <xf numFmtId="8" fontId="0" fillId="2" borderId="1" xfId="0" applyNumberFormat="1" applyFill="1" applyBorder="1"/>
    <xf numFmtId="0" fontId="0" fillId="0" borderId="2" xfId="0" applyBorder="1"/>
    <xf numFmtId="0" fontId="6" fillId="0" borderId="2" xfId="0" applyFont="1" applyBorder="1"/>
    <xf numFmtId="0" fontId="0" fillId="0" borderId="0" xfId="0" applyBorder="1"/>
    <xf numFmtId="0" fontId="7" fillId="0" borderId="0" xfId="0" applyFont="1" applyBorder="1"/>
    <xf numFmtId="0" fontId="6" fillId="0" borderId="0" xfId="0" applyFont="1" applyBorder="1"/>
    <xf numFmtId="8" fontId="0" fillId="0" borderId="1" xfId="0" applyNumberFormat="1" applyFill="1" applyBorder="1"/>
    <xf numFmtId="0" fontId="0" fillId="0" borderId="0" xfId="0" applyNumberFormat="1" applyBorder="1"/>
    <xf numFmtId="0" fontId="9" fillId="2" borderId="0" xfId="0" applyFont="1" applyFill="1"/>
    <xf numFmtId="0" fontId="10" fillId="0" borderId="0" xfId="0" applyFont="1"/>
    <xf numFmtId="9" fontId="10" fillId="0" borderId="0" xfId="0" applyNumberFormat="1" applyFont="1"/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6ED9-79EF-4253-803B-84B71E9731F1}">
  <dimension ref="A1:I39"/>
  <sheetViews>
    <sheetView topLeftCell="A14" workbookViewId="0">
      <selection activeCell="D31" sqref="D31"/>
    </sheetView>
  </sheetViews>
  <sheetFormatPr defaultRowHeight="14.25"/>
  <cols>
    <col min="1" max="1" width="17.5" customWidth="1"/>
    <col min="2" max="2" width="20.125" bestFit="1" customWidth="1"/>
    <col min="4" max="4" width="23.875" customWidth="1"/>
    <col min="5" max="5" width="20.125" customWidth="1"/>
  </cols>
  <sheetData>
    <row r="1" spans="1:9" ht="15">
      <c r="A1" s="3" t="s">
        <v>7</v>
      </c>
      <c r="D1" s="3" t="s">
        <v>17</v>
      </c>
    </row>
    <row r="2" spans="1:9" ht="15">
      <c r="A2" s="3" t="s">
        <v>1</v>
      </c>
      <c r="B2" s="1">
        <v>600000</v>
      </c>
      <c r="D2" s="3" t="s">
        <v>1</v>
      </c>
      <c r="E2">
        <f>B2*(1+$B$10)^1</f>
        <v>612000</v>
      </c>
    </row>
    <row r="3" spans="1:9" ht="15">
      <c r="A3" s="3" t="s">
        <v>3</v>
      </c>
      <c r="B3" s="1">
        <v>85000</v>
      </c>
    </row>
    <row r="4" spans="1:9" ht="15">
      <c r="A4" s="3" t="s">
        <v>2</v>
      </c>
      <c r="B4" s="1">
        <v>60000</v>
      </c>
    </row>
    <row r="5" spans="1:9" ht="15">
      <c r="A5" s="3" t="s">
        <v>4</v>
      </c>
      <c r="B5" s="2">
        <v>0.06</v>
      </c>
      <c r="D5" s="3" t="s">
        <v>4</v>
      </c>
      <c r="E5" s="4">
        <f>(1+$B$5)*(1+$B$10)-1</f>
        <v>8.1200000000000161E-2</v>
      </c>
    </row>
    <row r="6" spans="1:9" ht="15">
      <c r="A6" s="3" t="s">
        <v>5</v>
      </c>
      <c r="B6" s="1">
        <v>2</v>
      </c>
    </row>
    <row r="7" spans="1:9" ht="15">
      <c r="A7" s="3" t="s">
        <v>6</v>
      </c>
      <c r="B7" s="1">
        <v>2</v>
      </c>
    </row>
    <row r="8" spans="1:9" ht="15">
      <c r="A8" s="3" t="s">
        <v>8</v>
      </c>
      <c r="B8" s="1">
        <v>6</v>
      </c>
    </row>
    <row r="9" spans="1:9" ht="15">
      <c r="A9" s="3" t="s">
        <v>16</v>
      </c>
      <c r="B9" s="2">
        <v>0.1</v>
      </c>
      <c r="D9" s="3" t="s">
        <v>16</v>
      </c>
      <c r="E9" s="2">
        <f>(1+$B$9)*(1+$B$10)-1</f>
        <v>0.12200000000000011</v>
      </c>
    </row>
    <row r="10" spans="1:9" ht="15">
      <c r="A10" s="3" t="s">
        <v>15</v>
      </c>
      <c r="B10" s="2">
        <v>0.02</v>
      </c>
      <c r="D10" s="5"/>
      <c r="E10" s="6"/>
    </row>
    <row r="11" spans="1:9" ht="15">
      <c r="A11" s="3" t="s">
        <v>18</v>
      </c>
      <c r="B11" s="4">
        <f>(1+E11)/(1+B10)-1</f>
        <v>5.8823529411764719E-2</v>
      </c>
      <c r="D11" s="3" t="s">
        <v>18</v>
      </c>
      <c r="E11" s="2">
        <v>0.08</v>
      </c>
    </row>
    <row r="13" spans="1:9" ht="15">
      <c r="A13" s="9" t="s">
        <v>19</v>
      </c>
    </row>
    <row r="14" spans="1:9" ht="15">
      <c r="A14" s="3" t="s">
        <v>9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</row>
    <row r="15" spans="1:9">
      <c r="A15" t="s">
        <v>10</v>
      </c>
      <c r="B15">
        <v>0</v>
      </c>
      <c r="C15" s="1">
        <v>0</v>
      </c>
      <c r="D15" s="1">
        <f>$B$3*(1+$B$10)^D14</f>
        <v>88434</v>
      </c>
      <c r="E15" s="1">
        <f t="shared" ref="E15:I15" si="0">$B$3*(1+$B$10)^E14</f>
        <v>90202.68</v>
      </c>
      <c r="F15" s="1">
        <f t="shared" si="0"/>
        <v>92006.733599999992</v>
      </c>
      <c r="G15" s="1">
        <f t="shared" si="0"/>
        <v>93846.868272000007</v>
      </c>
      <c r="H15" s="1">
        <f t="shared" si="0"/>
        <v>95723.805637440004</v>
      </c>
      <c r="I15" s="1">
        <f t="shared" si="0"/>
        <v>97638.281750188791</v>
      </c>
    </row>
    <row r="16" spans="1:9">
      <c r="A16" t="s">
        <v>11</v>
      </c>
      <c r="B16">
        <v>0</v>
      </c>
      <c r="C16" s="1">
        <v>0</v>
      </c>
      <c r="D16">
        <f>$B$4*(1-$E$5)</f>
        <v>55127.999999999993</v>
      </c>
      <c r="E16">
        <f>D16*(1-$E$5)</f>
        <v>50651.606399999982</v>
      </c>
      <c r="F16">
        <f t="shared" ref="F16:H16" si="1">E16*(1-$E$5)</f>
        <v>46538.695960319972</v>
      </c>
      <c r="G16">
        <f t="shared" si="1"/>
        <v>42759.753848341985</v>
      </c>
      <c r="H16">
        <f t="shared" si="1"/>
        <v>39287.661835856612</v>
      </c>
      <c r="I16">
        <f>H16*(1-$E$5)</f>
        <v>36097.503694785046</v>
      </c>
    </row>
    <row r="17" spans="1:9">
      <c r="A17" t="s">
        <v>12</v>
      </c>
      <c r="B17">
        <f>B16+B15</f>
        <v>0</v>
      </c>
      <c r="C17" s="1">
        <f>C16+C15</f>
        <v>0</v>
      </c>
      <c r="D17" s="1">
        <f>D16+D15</f>
        <v>143562</v>
      </c>
      <c r="E17">
        <f t="shared" ref="E17:I17" si="2">E16+E15</f>
        <v>140854.28639999998</v>
      </c>
      <c r="F17">
        <f t="shared" si="2"/>
        <v>138545.42956031996</v>
      </c>
      <c r="G17">
        <f t="shared" si="2"/>
        <v>136606.62212034198</v>
      </c>
      <c r="H17">
        <f t="shared" si="2"/>
        <v>135011.46747329662</v>
      </c>
      <c r="I17">
        <f t="shared" si="2"/>
        <v>133735.78544497385</v>
      </c>
    </row>
    <row r="19" spans="1:9">
      <c r="A19" t="s">
        <v>13</v>
      </c>
      <c r="B19">
        <v>0</v>
      </c>
      <c r="C19" s="1">
        <f>E2</f>
        <v>612000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C20" s="1"/>
    </row>
    <row r="21" spans="1:9">
      <c r="A21" t="s">
        <v>23</v>
      </c>
      <c r="B21">
        <f>B17-B19</f>
        <v>0</v>
      </c>
      <c r="C21">
        <f t="shared" ref="C21:I21" si="3">C17-C19</f>
        <v>-612000</v>
      </c>
      <c r="D21" s="1">
        <f>D17-D19</f>
        <v>143562</v>
      </c>
      <c r="E21">
        <f t="shared" si="3"/>
        <v>140854.28639999998</v>
      </c>
      <c r="F21">
        <f t="shared" si="3"/>
        <v>138545.42956031996</v>
      </c>
      <c r="G21">
        <f t="shared" si="3"/>
        <v>136606.62212034198</v>
      </c>
      <c r="H21">
        <f t="shared" si="3"/>
        <v>135011.46747329662</v>
      </c>
      <c r="I21">
        <f t="shared" si="3"/>
        <v>133735.78544497385</v>
      </c>
    </row>
    <row r="23" spans="1:9">
      <c r="A23" s="7" t="s">
        <v>20</v>
      </c>
      <c r="B23" s="8">
        <f>-NPV(E9,C21:I21)</f>
        <v>40028.290110419599</v>
      </c>
    </row>
    <row r="24" spans="1:9">
      <c r="A24" s="7" t="s">
        <v>21</v>
      </c>
      <c r="B24" s="2">
        <f>IRR(C21:I21)</f>
        <v>9.5263110246651017E-2</v>
      </c>
      <c r="D24" s="10" t="s">
        <v>25</v>
      </c>
    </row>
    <row r="25" spans="1:9">
      <c r="A25" s="7" t="s">
        <v>22</v>
      </c>
      <c r="B25">
        <f>NPV(E9,C17:I17)/(NPV(E9,C19:I19))</f>
        <v>0.9266148014642307</v>
      </c>
      <c r="D25" s="10" t="s">
        <v>26</v>
      </c>
    </row>
    <row r="27" spans="1:9" ht="15">
      <c r="A27" s="9" t="s">
        <v>24</v>
      </c>
    </row>
    <row r="28" spans="1:9" ht="15">
      <c r="A28" s="3" t="s">
        <v>9</v>
      </c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</row>
    <row r="29" spans="1:9">
      <c r="A29" t="s">
        <v>10</v>
      </c>
      <c r="B29">
        <f>B15/(1+$B$10)^B28</f>
        <v>0</v>
      </c>
      <c r="C29">
        <f t="shared" ref="C29:H29" si="4">C15/(1+$B$10)^C28</f>
        <v>0</v>
      </c>
      <c r="D29">
        <f>D15/(1+$B$10)^D28</f>
        <v>85000</v>
      </c>
      <c r="E29">
        <f t="shared" si="4"/>
        <v>85000</v>
      </c>
      <c r="F29">
        <f t="shared" si="4"/>
        <v>85000</v>
      </c>
      <c r="G29">
        <f t="shared" si="4"/>
        <v>85000</v>
      </c>
      <c r="H29">
        <f t="shared" si="4"/>
        <v>85000</v>
      </c>
      <c r="I29">
        <f>I15/(1+$B$10)^I28</f>
        <v>85000</v>
      </c>
    </row>
    <row r="30" spans="1:9">
      <c r="A30" t="s">
        <v>11</v>
      </c>
      <c r="B30">
        <f t="shared" ref="B30:I30" si="5">B16/(1+$B$10)^B28</f>
        <v>0</v>
      </c>
      <c r="C30">
        <f t="shared" si="5"/>
        <v>0</v>
      </c>
      <c r="D30">
        <f t="shared" si="5"/>
        <v>52987.312572087649</v>
      </c>
      <c r="E30">
        <f t="shared" si="5"/>
        <v>47730.139991406009</v>
      </c>
      <c r="F30">
        <f t="shared" si="5"/>
        <v>42994.561396180223</v>
      </c>
      <c r="G30">
        <f t="shared" si="5"/>
        <v>38728.826481186647</v>
      </c>
      <c r="H30">
        <f t="shared" si="5"/>
        <v>34886.319383249298</v>
      </c>
      <c r="I30">
        <f t="shared" si="5"/>
        <v>31425.049264048488</v>
      </c>
    </row>
    <row r="31" spans="1:9">
      <c r="A31" t="s">
        <v>12</v>
      </c>
      <c r="B31">
        <f>B29+B30</f>
        <v>0</v>
      </c>
      <c r="C31">
        <f t="shared" ref="C31:I31" si="6">C29+C30</f>
        <v>0</v>
      </c>
      <c r="D31">
        <f>D29+D30</f>
        <v>137987.31257208766</v>
      </c>
      <c r="E31">
        <f t="shared" si="6"/>
        <v>132730.139991406</v>
      </c>
      <c r="F31">
        <f t="shared" si="6"/>
        <v>127994.56139618022</v>
      </c>
      <c r="G31">
        <f t="shared" si="6"/>
        <v>123728.82648118664</v>
      </c>
      <c r="H31">
        <f t="shared" si="6"/>
        <v>119886.3193832493</v>
      </c>
      <c r="I31">
        <f t="shared" si="6"/>
        <v>116425.04926404849</v>
      </c>
    </row>
    <row r="33" spans="1:9">
      <c r="A33" t="s">
        <v>13</v>
      </c>
      <c r="B33">
        <f>B19/(1+$B$10)^B28</f>
        <v>0</v>
      </c>
      <c r="C33">
        <f>C19/(1+$B$10)^C28</f>
        <v>600000</v>
      </c>
      <c r="D33">
        <f t="shared" ref="D33:I33" si="7">D19/(1+$B$10)^D28</f>
        <v>0</v>
      </c>
      <c r="E33">
        <f t="shared" si="7"/>
        <v>0</v>
      </c>
      <c r="F33">
        <f t="shared" si="7"/>
        <v>0</v>
      </c>
      <c r="G33">
        <f t="shared" si="7"/>
        <v>0</v>
      </c>
      <c r="H33">
        <f t="shared" si="7"/>
        <v>0</v>
      </c>
      <c r="I33">
        <f t="shared" si="7"/>
        <v>0</v>
      </c>
    </row>
    <row r="35" spans="1:9">
      <c r="A35" t="s">
        <v>23</v>
      </c>
      <c r="B35">
        <f>B31+B33</f>
        <v>0</v>
      </c>
      <c r="C35">
        <f>C31-C33</f>
        <v>-600000</v>
      </c>
      <c r="D35">
        <f>D31-D33</f>
        <v>137987.31257208766</v>
      </c>
      <c r="E35">
        <f t="shared" ref="E35:I35" si="8">E31-E33</f>
        <v>132730.139991406</v>
      </c>
      <c r="F35">
        <f t="shared" si="8"/>
        <v>127994.56139618022</v>
      </c>
      <c r="G35">
        <f t="shared" si="8"/>
        <v>123728.82648118664</v>
      </c>
      <c r="H35">
        <f t="shared" si="8"/>
        <v>119886.3193832493</v>
      </c>
      <c r="I35">
        <f t="shared" si="8"/>
        <v>116425.04926404849</v>
      </c>
    </row>
    <row r="37" spans="1:9">
      <c r="A37" s="7" t="s">
        <v>20</v>
      </c>
      <c r="B37" s="8">
        <f>-NPV(B9,C35:I35)</f>
        <v>40028.290110419541</v>
      </c>
    </row>
    <row r="38" spans="1:9">
      <c r="A38" s="7" t="s">
        <v>21</v>
      </c>
      <c r="B38" s="2">
        <f>IRR(C35:I35)</f>
        <v>7.3787362986912575E-2</v>
      </c>
      <c r="D38" s="10" t="s">
        <v>27</v>
      </c>
    </row>
    <row r="39" spans="1:9">
      <c r="A39" s="7" t="s">
        <v>22</v>
      </c>
      <c r="B39">
        <f>NPV(B9,C17:I17)/NPV(B9,C19:I19)</f>
        <v>0.98633442236056368</v>
      </c>
      <c r="D39" s="1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172F-F164-4645-8D15-D504DB889B9C}">
  <dimension ref="A1:O39"/>
  <sheetViews>
    <sheetView workbookViewId="0">
      <selection activeCell="I3" sqref="I3"/>
    </sheetView>
  </sheetViews>
  <sheetFormatPr defaultRowHeight="14.25"/>
  <cols>
    <col min="1" max="1" width="17.5" customWidth="1"/>
    <col min="2" max="2" width="20.125" bestFit="1" customWidth="1"/>
    <col min="4" max="4" width="23.875" customWidth="1"/>
    <col min="5" max="5" width="20.125" bestFit="1" customWidth="1"/>
    <col min="8" max="8" width="12.75" customWidth="1"/>
    <col min="9" max="9" width="11.5" bestFit="1" customWidth="1"/>
    <col min="10" max="10" width="12.125" bestFit="1" customWidth="1"/>
    <col min="11" max="15" width="11.5" bestFit="1" customWidth="1"/>
  </cols>
  <sheetData>
    <row r="1" spans="1:15" ht="15">
      <c r="A1" s="3" t="s">
        <v>7</v>
      </c>
      <c r="D1" s="3" t="s">
        <v>17</v>
      </c>
    </row>
    <row r="2" spans="1:15" ht="15">
      <c r="A2" s="3" t="s">
        <v>1</v>
      </c>
      <c r="B2" s="1">
        <v>600000</v>
      </c>
      <c r="D2" s="3" t="s">
        <v>1</v>
      </c>
      <c r="E2">
        <f>B2*(1+$B$10)^1</f>
        <v>612000</v>
      </c>
    </row>
    <row r="3" spans="1:15" ht="15">
      <c r="A3" s="3" t="s">
        <v>3</v>
      </c>
      <c r="B3" s="1">
        <v>85000</v>
      </c>
      <c r="H3" s="9" t="s">
        <v>28</v>
      </c>
      <c r="I3">
        <f>SUM(I6:O6)</f>
        <v>-40028.29011041957</v>
      </c>
    </row>
    <row r="4" spans="1:15" ht="15">
      <c r="A4" s="3" t="s">
        <v>2</v>
      </c>
      <c r="B4" s="1">
        <v>60000</v>
      </c>
      <c r="H4" s="3" t="s">
        <v>9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>
        <v>7</v>
      </c>
    </row>
    <row r="5" spans="1:15" ht="15">
      <c r="A5" s="3" t="s">
        <v>4</v>
      </c>
      <c r="B5" s="2">
        <v>0.06</v>
      </c>
      <c r="D5" s="3" t="s">
        <v>4</v>
      </c>
      <c r="E5" s="4">
        <f>(1+$B$5)*(1+$B$10)-1</f>
        <v>8.1200000000000161E-2</v>
      </c>
      <c r="H5" t="s">
        <v>29</v>
      </c>
      <c r="I5" s="8">
        <f>NPV($E$9,B17)</f>
        <v>0</v>
      </c>
      <c r="J5" s="8">
        <f t="shared" ref="J5:O5" si="0">NPV($E$9,C17)</f>
        <v>0</v>
      </c>
      <c r="K5" s="8">
        <f>NPV($E$9,D17)</f>
        <v>127951.871657754</v>
      </c>
      <c r="L5" s="8">
        <f>NPV($E$9,E17)</f>
        <v>125538.57967914436</v>
      </c>
      <c r="M5" s="8">
        <f t="shared" si="0"/>
        <v>123480.77500919781</v>
      </c>
      <c r="N5" s="8">
        <f t="shared" si="0"/>
        <v>121752.78263845095</v>
      </c>
      <c r="O5" s="8">
        <f t="shared" si="0"/>
        <v>120331.07617940874</v>
      </c>
    </row>
    <row r="6" spans="1:15" ht="15">
      <c r="A6" s="3" t="s">
        <v>5</v>
      </c>
      <c r="B6" s="1">
        <v>2</v>
      </c>
      <c r="H6" t="s">
        <v>31</v>
      </c>
      <c r="I6">
        <f>(C17-C19)/(1+$E$9)^I4</f>
        <v>-545454.54545454541</v>
      </c>
      <c r="J6">
        <f t="shared" ref="J6:O6" si="1">D17/(1+$E$9)^J4</f>
        <v>114039.10129924597</v>
      </c>
      <c r="K6">
        <f t="shared" si="1"/>
        <v>99722.11870128171</v>
      </c>
      <c r="L6">
        <f t="shared" si="1"/>
        <v>87422.007647141683</v>
      </c>
      <c r="M6">
        <f t="shared" si="1"/>
        <v>76825.866639255008</v>
      </c>
      <c r="N6">
        <f t="shared" si="1"/>
        <v>67672.701861945039</v>
      </c>
      <c r="O6">
        <f t="shared" si="1"/>
        <v>59744.459195256401</v>
      </c>
    </row>
    <row r="7" spans="1:15" ht="15">
      <c r="A7" s="3" t="s">
        <v>6</v>
      </c>
      <c r="B7" s="1">
        <v>2</v>
      </c>
    </row>
    <row r="8" spans="1:15" ht="15">
      <c r="A8" s="3" t="s">
        <v>8</v>
      </c>
      <c r="B8" s="1">
        <v>6</v>
      </c>
    </row>
    <row r="9" spans="1:15" ht="15">
      <c r="A9" s="3" t="s">
        <v>16</v>
      </c>
      <c r="B9" s="2">
        <v>0.1</v>
      </c>
      <c r="D9" s="3" t="s">
        <v>16</v>
      </c>
      <c r="E9" s="2">
        <f>(1+$B$9)*(1+$B$10)-1</f>
        <v>0.12200000000000011</v>
      </c>
    </row>
    <row r="10" spans="1:15" ht="15">
      <c r="A10" s="3" t="s">
        <v>15</v>
      </c>
      <c r="B10" s="2">
        <v>0.02</v>
      </c>
      <c r="D10" s="5"/>
      <c r="E10" s="6"/>
    </row>
    <row r="11" spans="1:15" ht="15">
      <c r="A11" s="3" t="s">
        <v>18</v>
      </c>
      <c r="B11" s="4">
        <f>(1+E11)/(1+B10)-1</f>
        <v>5.8823529411764719E-2</v>
      </c>
      <c r="D11" s="3" t="s">
        <v>18</v>
      </c>
      <c r="E11" s="2">
        <v>0.08</v>
      </c>
    </row>
    <row r="13" spans="1:15" ht="15">
      <c r="A13" s="9" t="s">
        <v>19</v>
      </c>
    </row>
    <row r="14" spans="1:15" ht="15">
      <c r="A14" s="3" t="s">
        <v>9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</row>
    <row r="15" spans="1:15">
      <c r="A15" t="s">
        <v>10</v>
      </c>
      <c r="B15">
        <v>0</v>
      </c>
      <c r="C15" s="1">
        <v>0</v>
      </c>
      <c r="D15" s="1">
        <f>$B$3*(1+$B$10)^D14</f>
        <v>88434</v>
      </c>
      <c r="E15" s="1">
        <f t="shared" ref="E15:I15" si="2">$B$3*(1+$B$10)^E14</f>
        <v>90202.68</v>
      </c>
      <c r="F15" s="1">
        <f t="shared" si="2"/>
        <v>92006.733599999992</v>
      </c>
      <c r="G15" s="1">
        <f t="shared" si="2"/>
        <v>93846.868272000007</v>
      </c>
      <c r="H15" s="1">
        <f t="shared" si="2"/>
        <v>95723.805637440004</v>
      </c>
      <c r="I15" s="1">
        <f t="shared" si="2"/>
        <v>97638.281750188791</v>
      </c>
    </row>
    <row r="16" spans="1:15">
      <c r="A16" t="s">
        <v>11</v>
      </c>
      <c r="B16">
        <v>0</v>
      </c>
      <c r="C16" s="1">
        <v>0</v>
      </c>
      <c r="D16">
        <f>$B$4*(1-$E$5)</f>
        <v>55127.999999999993</v>
      </c>
      <c r="E16">
        <f>D16*(1-$E$5)</f>
        <v>50651.606399999982</v>
      </c>
      <c r="F16">
        <f t="shared" ref="F16:H16" si="3">E16*(1-$E$5)</f>
        <v>46538.695960319972</v>
      </c>
      <c r="G16">
        <f t="shared" si="3"/>
        <v>42759.753848341985</v>
      </c>
      <c r="H16">
        <f t="shared" si="3"/>
        <v>39287.661835856612</v>
      </c>
      <c r="I16">
        <f>H16*(1-$E$5)</f>
        <v>36097.503694785046</v>
      </c>
    </row>
    <row r="17" spans="1:9">
      <c r="A17" t="s">
        <v>12</v>
      </c>
      <c r="B17">
        <f>B16+B15</f>
        <v>0</v>
      </c>
      <c r="C17" s="1">
        <f>C16+C15</f>
        <v>0</v>
      </c>
      <c r="D17" s="1">
        <f>D16+D15</f>
        <v>143562</v>
      </c>
      <c r="E17">
        <f t="shared" ref="E17:I17" si="4">E16+E15</f>
        <v>140854.28639999998</v>
      </c>
      <c r="F17">
        <f t="shared" si="4"/>
        <v>138545.42956031996</v>
      </c>
      <c r="G17">
        <f t="shared" si="4"/>
        <v>136606.62212034198</v>
      </c>
      <c r="H17">
        <f t="shared" si="4"/>
        <v>135011.46747329662</v>
      </c>
      <c r="I17">
        <f t="shared" si="4"/>
        <v>133735.78544497385</v>
      </c>
    </row>
    <row r="19" spans="1:9">
      <c r="A19" t="s">
        <v>13</v>
      </c>
      <c r="B19">
        <v>0</v>
      </c>
      <c r="C19" s="1">
        <f>E2</f>
        <v>612000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C20" s="1"/>
    </row>
    <row r="21" spans="1:9">
      <c r="A21" t="s">
        <v>23</v>
      </c>
      <c r="B21">
        <f>B17-B19</f>
        <v>0</v>
      </c>
      <c r="C21">
        <f t="shared" ref="C21:I21" si="5">C17-C19</f>
        <v>-612000</v>
      </c>
      <c r="D21" s="1">
        <f>D17-D19</f>
        <v>143562</v>
      </c>
      <c r="E21">
        <f t="shared" si="5"/>
        <v>140854.28639999998</v>
      </c>
      <c r="F21">
        <f t="shared" si="5"/>
        <v>138545.42956031996</v>
      </c>
      <c r="G21">
        <f t="shared" si="5"/>
        <v>136606.62212034198</v>
      </c>
      <c r="H21">
        <f t="shared" si="5"/>
        <v>135011.46747329662</v>
      </c>
      <c r="I21">
        <f t="shared" si="5"/>
        <v>133735.78544497385</v>
      </c>
    </row>
    <row r="23" spans="1:9">
      <c r="A23" s="7" t="s">
        <v>20</v>
      </c>
      <c r="B23" s="8">
        <f>-NPV(E9,C21:I21)</f>
        <v>40028.290110419599</v>
      </c>
    </row>
    <row r="24" spans="1:9">
      <c r="A24" s="7" t="s">
        <v>21</v>
      </c>
      <c r="B24" s="2">
        <f>IRR(C21:I21)</f>
        <v>9.5263110246651017E-2</v>
      </c>
      <c r="D24" t="s">
        <v>25</v>
      </c>
    </row>
    <row r="25" spans="1:9">
      <c r="A25" s="7" t="s">
        <v>22</v>
      </c>
      <c r="B25">
        <f>NPV(E9,C17:I17)/(NPV(E9,C19:I19))</f>
        <v>0.9266148014642307</v>
      </c>
      <c r="D25" t="s">
        <v>26</v>
      </c>
    </row>
    <row r="27" spans="1:9" ht="15">
      <c r="A27" s="9" t="s">
        <v>24</v>
      </c>
    </row>
    <row r="28" spans="1:9" ht="15">
      <c r="A28" s="3" t="s">
        <v>9</v>
      </c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</row>
    <row r="29" spans="1:9">
      <c r="A29" t="s">
        <v>10</v>
      </c>
      <c r="B29">
        <f>B15/(1+$B$10)^B28</f>
        <v>0</v>
      </c>
      <c r="C29">
        <f t="shared" ref="C29:H29" si="6">C15/(1+$B$10)^C28</f>
        <v>0</v>
      </c>
      <c r="D29">
        <f>D15/(1+$B$10)^D28</f>
        <v>85000</v>
      </c>
      <c r="E29">
        <f t="shared" si="6"/>
        <v>85000</v>
      </c>
      <c r="F29">
        <f t="shared" si="6"/>
        <v>85000</v>
      </c>
      <c r="G29">
        <f t="shared" si="6"/>
        <v>85000</v>
      </c>
      <c r="H29">
        <f t="shared" si="6"/>
        <v>85000</v>
      </c>
      <c r="I29">
        <f>I15/(1+$B$10)^I28</f>
        <v>85000</v>
      </c>
    </row>
    <row r="30" spans="1:9">
      <c r="A30" t="s">
        <v>11</v>
      </c>
      <c r="B30">
        <f t="shared" ref="B30:I30" si="7">B16/(1+$B$10)^B28</f>
        <v>0</v>
      </c>
      <c r="C30">
        <f t="shared" si="7"/>
        <v>0</v>
      </c>
      <c r="D30">
        <f t="shared" si="7"/>
        <v>52987.312572087649</v>
      </c>
      <c r="E30">
        <f t="shared" si="7"/>
        <v>47730.139991406009</v>
      </c>
      <c r="F30">
        <f t="shared" si="7"/>
        <v>42994.561396180223</v>
      </c>
      <c r="G30">
        <f t="shared" si="7"/>
        <v>38728.826481186647</v>
      </c>
      <c r="H30">
        <f t="shared" si="7"/>
        <v>34886.319383249298</v>
      </c>
      <c r="I30">
        <f t="shared" si="7"/>
        <v>31425.049264048488</v>
      </c>
    </row>
    <row r="31" spans="1:9">
      <c r="A31" t="s">
        <v>12</v>
      </c>
      <c r="B31">
        <f>B29+B30</f>
        <v>0</v>
      </c>
      <c r="C31">
        <f t="shared" ref="C31:I31" si="8">C29+C30</f>
        <v>0</v>
      </c>
      <c r="D31">
        <f>D29+D30</f>
        <v>137987.31257208766</v>
      </c>
      <c r="E31">
        <f t="shared" si="8"/>
        <v>132730.139991406</v>
      </c>
      <c r="F31">
        <f t="shared" si="8"/>
        <v>127994.56139618022</v>
      </c>
      <c r="G31">
        <f t="shared" si="8"/>
        <v>123728.82648118664</v>
      </c>
      <c r="H31">
        <f t="shared" si="8"/>
        <v>119886.3193832493</v>
      </c>
      <c r="I31">
        <f t="shared" si="8"/>
        <v>116425.04926404849</v>
      </c>
    </row>
    <row r="33" spans="1:9">
      <c r="A33" t="s">
        <v>13</v>
      </c>
      <c r="B33">
        <f>B19/(1+$B$10)^B28</f>
        <v>0</v>
      </c>
      <c r="C33">
        <f>C19/(1+$B$10)^C28</f>
        <v>600000</v>
      </c>
      <c r="D33">
        <f t="shared" ref="D33:I33" si="9">D19/(1+$B$10)^D28</f>
        <v>0</v>
      </c>
      <c r="E33">
        <f t="shared" si="9"/>
        <v>0</v>
      </c>
      <c r="F33">
        <f t="shared" si="9"/>
        <v>0</v>
      </c>
      <c r="G33">
        <f t="shared" si="9"/>
        <v>0</v>
      </c>
      <c r="H33">
        <f t="shared" si="9"/>
        <v>0</v>
      </c>
      <c r="I33">
        <f t="shared" si="9"/>
        <v>0</v>
      </c>
    </row>
    <row r="35" spans="1:9">
      <c r="A35" t="s">
        <v>23</v>
      </c>
      <c r="B35">
        <f>B31+B33</f>
        <v>0</v>
      </c>
      <c r="C35">
        <f>C31-C33</f>
        <v>-600000</v>
      </c>
      <c r="D35">
        <f>D31-D33</f>
        <v>137987.31257208766</v>
      </c>
      <c r="E35">
        <f t="shared" ref="E35:I35" si="10">E31-E33</f>
        <v>132730.139991406</v>
      </c>
      <c r="F35">
        <f t="shared" si="10"/>
        <v>127994.56139618022</v>
      </c>
      <c r="G35">
        <f t="shared" si="10"/>
        <v>123728.82648118664</v>
      </c>
      <c r="H35">
        <f t="shared" si="10"/>
        <v>119886.3193832493</v>
      </c>
      <c r="I35">
        <f t="shared" si="10"/>
        <v>116425.04926404849</v>
      </c>
    </row>
    <row r="37" spans="1:9">
      <c r="A37" s="7" t="s">
        <v>20</v>
      </c>
      <c r="B37" s="8">
        <f>-NPV(B9,C35:I35)</f>
        <v>40028.290110419541</v>
      </c>
    </row>
    <row r="38" spans="1:9">
      <c r="A38" s="7" t="s">
        <v>21</v>
      </c>
      <c r="B38" s="2">
        <f>IRR(C35:I35)</f>
        <v>7.3787362986912575E-2</v>
      </c>
      <c r="D38" t="s">
        <v>27</v>
      </c>
    </row>
    <row r="39" spans="1:9">
      <c r="A39" s="7" t="s">
        <v>22</v>
      </c>
      <c r="B39">
        <f>NPV(B9,C17:I17)/NPV(B9,C19:I19)</f>
        <v>0.98633442236056368</v>
      </c>
      <c r="D39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1DBE6-6DEA-4759-AD92-24CB05A3749B}">
  <dimension ref="A1:O40"/>
  <sheetViews>
    <sheetView zoomScale="80" zoomScaleNormal="80" workbookViewId="0">
      <selection activeCell="D37" sqref="D37"/>
    </sheetView>
  </sheetViews>
  <sheetFormatPr defaultRowHeight="14.25"/>
  <cols>
    <col min="1" max="1" width="14.125" customWidth="1"/>
    <col min="2" max="3" width="10.5" bestFit="1" customWidth="1"/>
    <col min="5" max="5" width="10.875" customWidth="1"/>
    <col min="6" max="6" width="15.875" customWidth="1"/>
    <col min="7" max="7" width="14.5" customWidth="1"/>
    <col min="8" max="8" width="10.875" customWidth="1"/>
    <col min="9" max="9" width="12.5" customWidth="1"/>
    <col min="10" max="10" width="12.125" customWidth="1"/>
    <col min="11" max="11" width="10" customWidth="1"/>
    <col min="12" max="12" width="15.375" customWidth="1"/>
    <col min="13" max="13" width="12.375" customWidth="1"/>
    <col min="14" max="14" width="10.125" customWidth="1"/>
    <col min="15" max="15" width="11.25" customWidth="1"/>
  </cols>
  <sheetData>
    <row r="1" spans="1:15" ht="15">
      <c r="A1" s="3" t="s">
        <v>0</v>
      </c>
    </row>
    <row r="2" spans="1:15" ht="15">
      <c r="A2" s="3" t="s">
        <v>35</v>
      </c>
      <c r="B2">
        <f>SUM(C15:E15)*0.2</f>
        <v>2500</v>
      </c>
      <c r="D2" s="3" t="s">
        <v>14</v>
      </c>
      <c r="E2" s="2">
        <v>0.12</v>
      </c>
    </row>
    <row r="3" spans="1:15" ht="15">
      <c r="A3" s="3" t="s">
        <v>36</v>
      </c>
      <c r="B3">
        <f>SUM(C15:E15)*0.8</f>
        <v>10000</v>
      </c>
      <c r="C3" s="2"/>
      <c r="D3" s="3"/>
      <c r="E3" s="2"/>
    </row>
    <row r="4" spans="1:15" ht="15">
      <c r="A4" s="3" t="s">
        <v>37</v>
      </c>
      <c r="B4" s="2">
        <v>0.08</v>
      </c>
      <c r="D4" s="3" t="s">
        <v>44</v>
      </c>
      <c r="E4" s="2">
        <v>0.2</v>
      </c>
    </row>
    <row r="5" spans="1:15" ht="15">
      <c r="A5" s="3" t="s">
        <v>42</v>
      </c>
      <c r="B5" s="2">
        <v>0.02</v>
      </c>
    </row>
    <row r="6" spans="1:15" ht="15">
      <c r="A6" s="3"/>
      <c r="B6" s="2"/>
    </row>
    <row r="7" spans="1:15" ht="15">
      <c r="A7" s="3" t="s">
        <v>19</v>
      </c>
    </row>
    <row r="8" spans="1:15">
      <c r="F8" t="s">
        <v>40</v>
      </c>
      <c r="G8" t="s">
        <v>40</v>
      </c>
      <c r="H8" t="s">
        <v>40</v>
      </c>
      <c r="I8" t="s">
        <v>40</v>
      </c>
      <c r="J8" t="s">
        <v>40</v>
      </c>
    </row>
    <row r="9" spans="1:15">
      <c r="E9" s="10" t="s">
        <v>38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39</v>
      </c>
      <c r="L9" t="s">
        <v>39</v>
      </c>
    </row>
    <row r="10" spans="1:15">
      <c r="C10" t="s">
        <v>32</v>
      </c>
      <c r="D10" t="s">
        <v>32</v>
      </c>
      <c r="E10" t="s">
        <v>32</v>
      </c>
      <c r="F10" t="s">
        <v>33</v>
      </c>
      <c r="G10" t="s">
        <v>33</v>
      </c>
      <c r="H10" t="s">
        <v>33</v>
      </c>
      <c r="I10" t="s">
        <v>33</v>
      </c>
      <c r="J10" t="s">
        <v>33</v>
      </c>
      <c r="K10" t="s">
        <v>33</v>
      </c>
      <c r="L10" t="s">
        <v>33</v>
      </c>
      <c r="M10" t="s">
        <v>33</v>
      </c>
      <c r="N10" t="s">
        <v>33</v>
      </c>
      <c r="O10" t="s">
        <v>33</v>
      </c>
    </row>
    <row r="11" spans="1:15" ht="15">
      <c r="A11" s="3" t="s">
        <v>9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</row>
    <row r="12" spans="1:15">
      <c r="A12" s="11" t="s">
        <v>30</v>
      </c>
      <c r="B12">
        <v>0</v>
      </c>
      <c r="C12">
        <v>0</v>
      </c>
      <c r="D12">
        <v>0</v>
      </c>
      <c r="E12">
        <v>0</v>
      </c>
      <c r="F12">
        <v>2800</v>
      </c>
      <c r="G12">
        <f>F12*(1+$B$5)</f>
        <v>2856</v>
      </c>
      <c r="H12">
        <f>G12*(1+$B$5)</f>
        <v>2913.12</v>
      </c>
      <c r="I12">
        <f>H12*(1+$B$5)</f>
        <v>2971.3824</v>
      </c>
      <c r="J12">
        <f>I12*(1+$B$5)</f>
        <v>3030.8100479999998</v>
      </c>
      <c r="K12">
        <f t="shared" ref="K12:N12" si="0">J12*(1+$B$5)</f>
        <v>3091.4262489600001</v>
      </c>
      <c r="L12">
        <f>K12*(1+$B$5)</f>
        <v>3153.2547739392003</v>
      </c>
      <c r="M12">
        <f t="shared" si="0"/>
        <v>3216.3198694179841</v>
      </c>
      <c r="N12">
        <f t="shared" si="0"/>
        <v>3280.6462668063441</v>
      </c>
      <c r="O12">
        <f>N12*(1+$B$5)</f>
        <v>3346.259192142471</v>
      </c>
    </row>
    <row r="14" spans="1:15">
      <c r="A14" s="11" t="s">
        <v>13</v>
      </c>
    </row>
    <row r="15" spans="1:15">
      <c r="A15" t="s">
        <v>34</v>
      </c>
      <c r="B15">
        <v>0</v>
      </c>
      <c r="C15">
        <v>3500</v>
      </c>
      <c r="D15">
        <v>5000</v>
      </c>
      <c r="E15">
        <v>4000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>
      <c r="A16" t="s">
        <v>41</v>
      </c>
      <c r="B16">
        <v>0</v>
      </c>
      <c r="C16">
        <v>0</v>
      </c>
      <c r="D16">
        <v>0</v>
      </c>
      <c r="E16">
        <v>0</v>
      </c>
      <c r="F16">
        <f>350</f>
        <v>350</v>
      </c>
      <c r="G16">
        <f>350</f>
        <v>350</v>
      </c>
      <c r="H16">
        <f>350</f>
        <v>350</v>
      </c>
      <c r="I16">
        <f>350</f>
        <v>350</v>
      </c>
      <c r="J16">
        <f>350</f>
        <v>350</v>
      </c>
      <c r="K16">
        <f>350</f>
        <v>350</v>
      </c>
      <c r="L16">
        <f>350</f>
        <v>350</v>
      </c>
      <c r="M16">
        <f>350</f>
        <v>350</v>
      </c>
      <c r="N16">
        <f>350</f>
        <v>350</v>
      </c>
      <c r="O16">
        <f>350</f>
        <v>350</v>
      </c>
    </row>
    <row r="17" spans="1:15">
      <c r="A17" t="s">
        <v>43</v>
      </c>
      <c r="B17">
        <v>0</v>
      </c>
      <c r="C17">
        <f>C15</f>
        <v>3500</v>
      </c>
      <c r="D17">
        <f>C15+D15</f>
        <v>8500</v>
      </c>
      <c r="E17">
        <f>SUM(C15:E15)</f>
        <v>12500</v>
      </c>
      <c r="F17">
        <f>$E$17/5</f>
        <v>2500</v>
      </c>
      <c r="G17">
        <f>$E$17/5</f>
        <v>2500</v>
      </c>
      <c r="H17">
        <f>$E$17/5</f>
        <v>2500</v>
      </c>
      <c r="I17">
        <f>$E$17/5</f>
        <v>2500</v>
      </c>
      <c r="J17">
        <f>$E$17/5</f>
        <v>2500</v>
      </c>
      <c r="K17">
        <v>0</v>
      </c>
      <c r="L17">
        <v>0</v>
      </c>
      <c r="M17">
        <v>0</v>
      </c>
      <c r="N17">
        <v>0</v>
      </c>
      <c r="O17">
        <v>0</v>
      </c>
    </row>
    <row r="19" spans="1:15" ht="15">
      <c r="A19" s="3" t="s">
        <v>45</v>
      </c>
      <c r="B19">
        <v>0</v>
      </c>
      <c r="C19">
        <f>C15*(1+B4)^C11-1</f>
        <v>3779.0000000000005</v>
      </c>
      <c r="D19">
        <f>(C19+D15*(1+B4)^D11-1)</f>
        <v>9610.0000000000018</v>
      </c>
      <c r="E19">
        <f>(D19+E15*(1+B4)^(E11-1))</f>
        <v>14275.600000000002</v>
      </c>
      <c r="F19" s="8">
        <f>E19-F21</f>
        <v>12675.699226168585</v>
      </c>
      <c r="G19" s="8">
        <f t="shared" ref="G19:L19" si="1">F19-G21</f>
        <v>10947.806390430653</v>
      </c>
      <c r="H19" s="8">
        <f t="shared" si="1"/>
        <v>9081.6821278336865</v>
      </c>
      <c r="I19" s="8">
        <f t="shared" si="1"/>
        <v>7066.2679242289632</v>
      </c>
      <c r="J19" s="8">
        <f t="shared" si="1"/>
        <v>4889.6205843358621</v>
      </c>
      <c r="K19" s="8">
        <f>J19-K21</f>
        <v>2538.8414572513129</v>
      </c>
      <c r="L19" s="8">
        <f t="shared" si="1"/>
        <v>0</v>
      </c>
      <c r="M19">
        <v>0</v>
      </c>
      <c r="N19">
        <v>0</v>
      </c>
      <c r="O19">
        <v>0</v>
      </c>
    </row>
    <row r="20" spans="1:15" ht="15">
      <c r="A20" s="3" t="s">
        <v>47</v>
      </c>
      <c r="B20">
        <v>0</v>
      </c>
      <c r="C20">
        <v>0</v>
      </c>
      <c r="D20">
        <v>0</v>
      </c>
      <c r="E20">
        <v>0</v>
      </c>
      <c r="F20" s="8">
        <f t="shared" ref="F20:L20" si="2">-IPMT($B$4,C11,7,$E$19)</f>
        <v>1142.0480000000002</v>
      </c>
      <c r="G20" s="8">
        <f t="shared" si="2"/>
        <v>1014.0559380934868</v>
      </c>
      <c r="H20" s="8">
        <f t="shared" si="2"/>
        <v>875.82451123445242</v>
      </c>
      <c r="I20" s="8">
        <f t="shared" si="2"/>
        <v>726.53457022669488</v>
      </c>
      <c r="J20" s="8">
        <f t="shared" si="2"/>
        <v>565.30143393831713</v>
      </c>
      <c r="K20" s="8">
        <f t="shared" si="2"/>
        <v>391.16964674686903</v>
      </c>
      <c r="L20" s="8">
        <f t="shared" si="2"/>
        <v>203.10731658010508</v>
      </c>
      <c r="M20">
        <v>0</v>
      </c>
      <c r="N20">
        <v>0</v>
      </c>
      <c r="O20">
        <v>0</v>
      </c>
    </row>
    <row r="21" spans="1:15" ht="15">
      <c r="A21" s="3" t="s">
        <v>48</v>
      </c>
      <c r="B21">
        <v>0</v>
      </c>
      <c r="C21">
        <v>0</v>
      </c>
      <c r="D21">
        <v>0</v>
      </c>
      <c r="E21">
        <v>0</v>
      </c>
      <c r="F21" s="8">
        <f t="shared" ref="F21:L21" si="3">-PPMT($B$4,C11,7,$E$19)</f>
        <v>1599.9007738314183</v>
      </c>
      <c r="G21" s="8">
        <f t="shared" si="3"/>
        <v>1727.8928357379318</v>
      </c>
      <c r="H21" s="8">
        <f t="shared" si="3"/>
        <v>1866.124262596966</v>
      </c>
      <c r="I21" s="8">
        <f t="shared" si="3"/>
        <v>2015.4142036047235</v>
      </c>
      <c r="J21" s="8">
        <f t="shared" si="3"/>
        <v>2176.6473398931012</v>
      </c>
      <c r="K21" s="8">
        <f t="shared" si="3"/>
        <v>2350.7791270845491</v>
      </c>
      <c r="L21" s="8">
        <f t="shared" si="3"/>
        <v>2538.8414572513134</v>
      </c>
      <c r="M21">
        <v>0</v>
      </c>
      <c r="N21">
        <v>0</v>
      </c>
      <c r="O21">
        <v>0</v>
      </c>
    </row>
    <row r="22" spans="1:15" ht="15">
      <c r="A22" s="3" t="s">
        <v>46</v>
      </c>
      <c r="B22">
        <v>0</v>
      </c>
      <c r="C22">
        <f>SUM(C20:C21)</f>
        <v>0</v>
      </c>
      <c r="D22">
        <f t="shared" ref="D22:I22" si="4">SUM(D20:D21)</f>
        <v>0</v>
      </c>
      <c r="E22">
        <f t="shared" si="4"/>
        <v>0</v>
      </c>
      <c r="F22" s="8">
        <f>SUM(F20:F21)</f>
        <v>2741.9487738314183</v>
      </c>
      <c r="G22">
        <f t="shared" si="4"/>
        <v>2741.9487738314187</v>
      </c>
      <c r="H22">
        <f t="shared" si="4"/>
        <v>2741.9487738314183</v>
      </c>
      <c r="I22">
        <f t="shared" si="4"/>
        <v>2741.9487738314183</v>
      </c>
      <c r="J22">
        <f>SUM(J20:J21)</f>
        <v>2741.9487738314183</v>
      </c>
      <c r="K22">
        <f t="shared" ref="K22" si="5">SUM(K20:K21)</f>
        <v>2741.9487738314183</v>
      </c>
      <c r="L22">
        <f t="shared" ref="L22" si="6">SUM(L20:L21)</f>
        <v>2741.9487738314183</v>
      </c>
      <c r="M22">
        <v>0</v>
      </c>
      <c r="N22">
        <v>0</v>
      </c>
      <c r="O22">
        <v>0</v>
      </c>
    </row>
    <row r="23" spans="1:15" ht="15">
      <c r="A23" s="3"/>
      <c r="F23" s="8"/>
    </row>
    <row r="24" spans="1:15" ht="15">
      <c r="A24" s="3" t="s">
        <v>51</v>
      </c>
      <c r="B24">
        <v>0</v>
      </c>
      <c r="C24">
        <f>(C12-C16-C20)</f>
        <v>0</v>
      </c>
      <c r="D24">
        <f t="shared" ref="D24" si="7">(D12-D16-D20)</f>
        <v>0</v>
      </c>
      <c r="E24">
        <f>(E12-E16-E20)</f>
        <v>0</v>
      </c>
      <c r="F24" s="8">
        <f>(F12-F16-F20-F17)</f>
        <v>-1192.0480000000002</v>
      </c>
      <c r="G24" s="8">
        <f t="shared" ref="G24:O24" si="8">(G12-G16-G20-G17)</f>
        <v>-1008.0559380934869</v>
      </c>
      <c r="H24" s="8">
        <f t="shared" si="8"/>
        <v>-812.70451123445264</v>
      </c>
      <c r="I24" s="8">
        <f t="shared" si="8"/>
        <v>-605.15217022669503</v>
      </c>
      <c r="J24" s="8">
        <f t="shared" si="8"/>
        <v>-384.49138593831731</v>
      </c>
      <c r="K24" s="8">
        <f t="shared" si="8"/>
        <v>2350.2566022131309</v>
      </c>
      <c r="L24" s="8">
        <f t="shared" si="8"/>
        <v>2600.1474573590954</v>
      </c>
      <c r="M24" s="8">
        <f t="shared" si="8"/>
        <v>2866.3198694179841</v>
      </c>
      <c r="N24" s="8">
        <f t="shared" si="8"/>
        <v>2930.6462668063441</v>
      </c>
      <c r="O24" s="8">
        <f t="shared" si="8"/>
        <v>2996.259192142471</v>
      </c>
    </row>
    <row r="25" spans="1:15" ht="15">
      <c r="A25" s="3"/>
      <c r="F25" s="8"/>
    </row>
    <row r="26" spans="1:15" ht="15">
      <c r="A26" s="3" t="s">
        <v>50</v>
      </c>
      <c r="B26">
        <v>0</v>
      </c>
      <c r="C26">
        <f>C12-C16-C22</f>
        <v>0</v>
      </c>
      <c r="D26">
        <f>D12-D16-D22</f>
        <v>0</v>
      </c>
      <c r="E26">
        <f>E12-E16-E22</f>
        <v>0</v>
      </c>
      <c r="F26" s="8">
        <f>F12-F24-F16-F22</f>
        <v>900.09922616858194</v>
      </c>
      <c r="G26" s="8">
        <f t="shared" ref="G26:O26" si="9">G12-G24-G16-G22</f>
        <v>772.10716426206818</v>
      </c>
      <c r="H26" s="8">
        <f t="shared" si="9"/>
        <v>633.87573740303424</v>
      </c>
      <c r="I26" s="8">
        <f t="shared" si="9"/>
        <v>484.5857963952767</v>
      </c>
      <c r="J26" s="8">
        <f t="shared" si="9"/>
        <v>323.35266010689884</v>
      </c>
      <c r="K26" s="8">
        <f t="shared" si="9"/>
        <v>-2350.7791270845491</v>
      </c>
      <c r="L26" s="8">
        <f t="shared" si="9"/>
        <v>-2538.8414572513134</v>
      </c>
      <c r="M26" s="8">
        <f>M12-M24-M16-M22</f>
        <v>0</v>
      </c>
      <c r="N26" s="8">
        <f t="shared" si="9"/>
        <v>0</v>
      </c>
      <c r="O26" s="8">
        <f t="shared" si="9"/>
        <v>0</v>
      </c>
    </row>
    <row r="27" spans="1:15" ht="15">
      <c r="A27" s="3"/>
    </row>
    <row r="28" spans="1:15">
      <c r="A28" s="7" t="s">
        <v>20</v>
      </c>
      <c r="B28" s="8">
        <f>NPV(B4,C26:O26)</f>
        <v>-307.96892075411989</v>
      </c>
    </row>
    <row r="29" spans="1:15">
      <c r="A29" s="7" t="s">
        <v>21</v>
      </c>
      <c r="B29" s="2">
        <f>IRR(C26:O26)</f>
        <v>0.1174300889365425</v>
      </c>
      <c r="E29" s="10"/>
    </row>
    <row r="30" spans="1:15" ht="15">
      <c r="A30" s="3"/>
    </row>
    <row r="31" spans="1:15" ht="15">
      <c r="A31" s="3"/>
    </row>
    <row r="35" spans="1:1" ht="15">
      <c r="A35" s="3"/>
    </row>
    <row r="36" spans="1:1">
      <c r="A36" s="11"/>
    </row>
    <row r="40" spans="1:1">
      <c r="A4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0BEF-0D06-4B98-92B3-2E5EA4901116}">
  <dimension ref="A1:R25"/>
  <sheetViews>
    <sheetView zoomScale="90" zoomScaleNormal="90" workbookViewId="0">
      <selection activeCell="F14" sqref="F14"/>
    </sheetView>
  </sheetViews>
  <sheetFormatPr defaultRowHeight="14.25"/>
  <cols>
    <col min="6" max="6" width="18.625" customWidth="1"/>
    <col min="7" max="7" width="13.75" customWidth="1"/>
    <col min="8" max="8" width="11.5" bestFit="1" customWidth="1"/>
    <col min="9" max="9" width="9.5" bestFit="1" customWidth="1"/>
    <col min="11" max="11" width="10.5" customWidth="1"/>
    <col min="15" max="15" width="9" customWidth="1"/>
  </cols>
  <sheetData>
    <row r="1" spans="1:18" ht="15">
      <c r="A1" s="3" t="s">
        <v>0</v>
      </c>
    </row>
    <row r="2" spans="1:18" ht="15">
      <c r="A2" s="3" t="s">
        <v>35</v>
      </c>
      <c r="B2">
        <f>SUM(B10:B12)*0.2</f>
        <v>2500</v>
      </c>
      <c r="D2" s="3" t="s">
        <v>14</v>
      </c>
      <c r="E2" s="2">
        <v>0.12</v>
      </c>
    </row>
    <row r="3" spans="1:18" ht="15">
      <c r="A3" s="3" t="s">
        <v>36</v>
      </c>
      <c r="B3">
        <f>SUM(B10:B12)*0.8</f>
        <v>10000</v>
      </c>
      <c r="C3" s="2"/>
      <c r="D3" s="3"/>
      <c r="E3" s="2"/>
    </row>
    <row r="4" spans="1:18" ht="15">
      <c r="A4" s="3" t="s">
        <v>37</v>
      </c>
      <c r="B4" s="2">
        <v>0.08</v>
      </c>
      <c r="D4" s="3" t="s">
        <v>44</v>
      </c>
      <c r="E4" s="2">
        <v>0.2</v>
      </c>
    </row>
    <row r="5" spans="1:18" ht="15">
      <c r="A5" s="3" t="s">
        <v>42</v>
      </c>
      <c r="B5" s="2">
        <v>0.02</v>
      </c>
    </row>
    <row r="6" spans="1:18" ht="15">
      <c r="A6" s="3"/>
      <c r="B6" s="2"/>
    </row>
    <row r="9" spans="1:18" s="3" customFormat="1" ht="15">
      <c r="A9" s="3" t="s">
        <v>9</v>
      </c>
      <c r="B9" s="12" t="s">
        <v>52</v>
      </c>
      <c r="C9" s="12" t="s">
        <v>53</v>
      </c>
      <c r="D9" s="12" t="s">
        <v>54</v>
      </c>
      <c r="E9" s="12" t="s">
        <v>55</v>
      </c>
      <c r="F9" s="12" t="s">
        <v>61</v>
      </c>
      <c r="G9" s="12" t="s">
        <v>62</v>
      </c>
      <c r="H9" s="12" t="s">
        <v>47</v>
      </c>
      <c r="I9" s="12" t="s">
        <v>46</v>
      </c>
      <c r="J9" s="3" t="s">
        <v>30</v>
      </c>
      <c r="K9" s="3" t="s">
        <v>59</v>
      </c>
      <c r="L9" s="3" t="s">
        <v>56</v>
      </c>
      <c r="M9" s="3" t="s">
        <v>51</v>
      </c>
      <c r="N9" s="3" t="s">
        <v>57</v>
      </c>
      <c r="O9" s="3" t="s">
        <v>58</v>
      </c>
      <c r="P9" s="3" t="s">
        <v>64</v>
      </c>
    </row>
    <row r="10" spans="1:18">
      <c r="A10">
        <v>1</v>
      </c>
      <c r="B10">
        <v>3500</v>
      </c>
      <c r="C10">
        <f>B10*0.2</f>
        <v>700</v>
      </c>
      <c r="D10">
        <f>B10*0.8</f>
        <v>2800</v>
      </c>
      <c r="E10">
        <f>D10*$B$4</f>
        <v>224</v>
      </c>
      <c r="F10">
        <f>B10+E10</f>
        <v>3724</v>
      </c>
      <c r="G10">
        <v>0</v>
      </c>
      <c r="H10">
        <v>0</v>
      </c>
      <c r="I10">
        <f>SUM(G10:H10)</f>
        <v>0</v>
      </c>
      <c r="J10">
        <v>0</v>
      </c>
      <c r="K10">
        <v>0</v>
      </c>
      <c r="L10">
        <v>0</v>
      </c>
      <c r="M10">
        <f>J10-K10-L10</f>
        <v>0</v>
      </c>
      <c r="N10">
        <f>M10*$E$4</f>
        <v>0</v>
      </c>
      <c r="O10">
        <f>J10-K10-I10-N10</f>
        <v>0</v>
      </c>
      <c r="P10">
        <f>O10*(1/1+$E$2)</f>
        <v>0</v>
      </c>
    </row>
    <row r="11" spans="1:18">
      <c r="A11">
        <v>2</v>
      </c>
      <c r="B11">
        <v>5000</v>
      </c>
      <c r="C11">
        <f>B11*0.2</f>
        <v>1000</v>
      </c>
      <c r="D11">
        <f t="shared" ref="D11:D12" si="0">B11*0.8</f>
        <v>4000</v>
      </c>
      <c r="E11">
        <f>E10+D11*$B$4</f>
        <v>544</v>
      </c>
      <c r="F11">
        <f>B11+E11+F10</f>
        <v>9268</v>
      </c>
      <c r="G11">
        <v>0</v>
      </c>
      <c r="H11">
        <v>0</v>
      </c>
      <c r="I11">
        <f t="shared" ref="I11:I22" si="1">SUM(G11:H11)</f>
        <v>0</v>
      </c>
      <c r="J11">
        <v>0</v>
      </c>
      <c r="K11">
        <v>0</v>
      </c>
      <c r="L11">
        <v>0</v>
      </c>
      <c r="M11">
        <f t="shared" ref="M11:M22" si="2">J11-K11-L11</f>
        <v>0</v>
      </c>
      <c r="N11">
        <f t="shared" ref="N11:N22" si="3">M11*$E$4</f>
        <v>0</v>
      </c>
      <c r="O11">
        <f>J11-K11-I11-N11</f>
        <v>0</v>
      </c>
      <c r="P11">
        <f t="shared" ref="P11:P12" si="4">O11*(1/1+$E$2)</f>
        <v>0</v>
      </c>
    </row>
    <row r="12" spans="1:18">
      <c r="A12">
        <v>3</v>
      </c>
      <c r="B12">
        <v>4000</v>
      </c>
      <c r="C12">
        <f t="shared" ref="C12" si="5">B12*0.2</f>
        <v>800</v>
      </c>
      <c r="D12">
        <f t="shared" si="0"/>
        <v>3200</v>
      </c>
      <c r="E12">
        <f>E11+D12*$B$4</f>
        <v>800</v>
      </c>
      <c r="F12">
        <f>B12+E12+F11</f>
        <v>14068</v>
      </c>
      <c r="G12">
        <v>0</v>
      </c>
      <c r="H12">
        <v>0</v>
      </c>
      <c r="I12">
        <f t="shared" si="1"/>
        <v>0</v>
      </c>
      <c r="J12">
        <v>0</v>
      </c>
      <c r="K12">
        <v>0</v>
      </c>
      <c r="L12">
        <v>0</v>
      </c>
      <c r="M12">
        <f t="shared" si="2"/>
        <v>0</v>
      </c>
      <c r="N12">
        <f t="shared" si="3"/>
        <v>0</v>
      </c>
      <c r="O12">
        <f>J12-K12-I12-N12</f>
        <v>0</v>
      </c>
      <c r="P12">
        <f t="shared" si="4"/>
        <v>0</v>
      </c>
    </row>
    <row r="13" spans="1:18">
      <c r="A13">
        <v>4</v>
      </c>
      <c r="B13">
        <v>0</v>
      </c>
      <c r="C13">
        <v>0</v>
      </c>
      <c r="D13">
        <v>0</v>
      </c>
      <c r="E13">
        <v>0</v>
      </c>
      <c r="F13" s="8">
        <f>F12-G13</f>
        <v>12491.36545670512</v>
      </c>
      <c r="G13" s="8">
        <f>-PPMT($B$4,A10,7,$F$12)</f>
        <v>1576.6345432948799</v>
      </c>
      <c r="H13" s="8">
        <f>-IPMT($B$4,A10,7,F12)</f>
        <v>1125.44</v>
      </c>
      <c r="I13" s="8">
        <f>SUM(G13:H13)</f>
        <v>2702.0745432948797</v>
      </c>
      <c r="J13">
        <f>2800</f>
        <v>2800</v>
      </c>
      <c r="K13">
        <v>350</v>
      </c>
      <c r="L13">
        <f>SUM($B$10:$B$12)/5</f>
        <v>2500</v>
      </c>
      <c r="M13">
        <f>J13-K13-L13</f>
        <v>-50</v>
      </c>
      <c r="N13">
        <f>M13*$E$4</f>
        <v>-10</v>
      </c>
      <c r="O13">
        <f t="shared" ref="O11:O22" si="6">J13-K13-I13-N13</f>
        <v>-242.07454329487973</v>
      </c>
      <c r="P13">
        <f>O13*(1/(1+$E$4))^A10</f>
        <v>-201.72878607906645</v>
      </c>
      <c r="R13" t="s">
        <v>60</v>
      </c>
    </row>
    <row r="14" spans="1:18">
      <c r="A14">
        <v>5</v>
      </c>
      <c r="B14">
        <v>0</v>
      </c>
      <c r="C14">
        <v>0</v>
      </c>
      <c r="D14">
        <v>0</v>
      </c>
      <c r="E14">
        <v>0</v>
      </c>
      <c r="F14" s="8">
        <f t="shared" ref="F14:F22" si="7">F13-G14</f>
        <v>10788.600149946649</v>
      </c>
      <c r="G14" s="8">
        <f t="shared" ref="G14:G19" si="8">-PPMT($B$4,A11,7,$F$12)</f>
        <v>1702.7653067584704</v>
      </c>
      <c r="H14" s="8">
        <f t="shared" ref="H14:H19" si="9">-IPMT($B$4,A11,7,F13)</f>
        <v>887.31425062818266</v>
      </c>
      <c r="I14">
        <f t="shared" si="1"/>
        <v>2590.0795573866531</v>
      </c>
      <c r="J14">
        <f t="shared" ref="J14:J22" si="10">2800*(1+$B$5)^A10</f>
        <v>2856</v>
      </c>
      <c r="K14">
        <v>350</v>
      </c>
      <c r="L14">
        <f t="shared" ref="L14:L17" si="11">SUM($B$10:$B$12)/5</f>
        <v>2500</v>
      </c>
      <c r="M14">
        <f>J14-K14-L14</f>
        <v>6</v>
      </c>
      <c r="N14">
        <f t="shared" si="3"/>
        <v>1.2000000000000002</v>
      </c>
      <c r="O14">
        <f t="shared" si="6"/>
        <v>-85.279557386653053</v>
      </c>
      <c r="P14">
        <f t="shared" ref="P14:P22" si="12">O14*(1/(1+$E$4))^A11</f>
        <v>-59.221914851842406</v>
      </c>
    </row>
    <row r="15" spans="1:18">
      <c r="A15">
        <v>6</v>
      </c>
      <c r="B15">
        <v>0</v>
      </c>
      <c r="C15">
        <v>0</v>
      </c>
      <c r="D15">
        <v>0</v>
      </c>
      <c r="E15">
        <v>0</v>
      </c>
      <c r="F15" s="8">
        <f t="shared" si="7"/>
        <v>8949.6136186475014</v>
      </c>
      <c r="G15" s="8">
        <f t="shared" si="8"/>
        <v>1838.9865312991478</v>
      </c>
      <c r="H15" s="8">
        <f t="shared" si="9"/>
        <v>661.89305200698834</v>
      </c>
      <c r="I15" s="8">
        <f>SUM(G15:H15)</f>
        <v>2500.8795833061363</v>
      </c>
      <c r="J15">
        <f t="shared" si="10"/>
        <v>2913.12</v>
      </c>
      <c r="K15">
        <v>350</v>
      </c>
      <c r="L15">
        <f t="shared" si="11"/>
        <v>2500</v>
      </c>
      <c r="M15">
        <f t="shared" si="2"/>
        <v>63.119999999999891</v>
      </c>
      <c r="N15">
        <f>M15*$E$4</f>
        <v>12.623999999999979</v>
      </c>
      <c r="O15">
        <f t="shared" si="6"/>
        <v>49.616416693863627</v>
      </c>
      <c r="P15">
        <f t="shared" si="12"/>
        <v>28.713204105245161</v>
      </c>
    </row>
    <row r="16" spans="1:18">
      <c r="A16">
        <v>7</v>
      </c>
      <c r="B16">
        <v>0</v>
      </c>
      <c r="C16">
        <v>0</v>
      </c>
      <c r="D16">
        <v>0</v>
      </c>
      <c r="E16">
        <v>0</v>
      </c>
      <c r="F16" s="8">
        <f t="shared" si="7"/>
        <v>6963.508164844422</v>
      </c>
      <c r="G16" s="8">
        <f t="shared" si="8"/>
        <v>1986.1054538030794</v>
      </c>
      <c r="H16" s="8">
        <f t="shared" si="9"/>
        <v>455.47673541700783</v>
      </c>
      <c r="I16">
        <f t="shared" si="1"/>
        <v>2441.5821892200875</v>
      </c>
      <c r="J16">
        <f t="shared" si="10"/>
        <v>2971.3824</v>
      </c>
      <c r="K16">
        <v>350</v>
      </c>
      <c r="L16">
        <f>SUM($B$10:$B$12)/5</f>
        <v>2500</v>
      </c>
      <c r="M16">
        <f t="shared" si="2"/>
        <v>121.38239999999996</v>
      </c>
      <c r="N16">
        <f t="shared" si="3"/>
        <v>24.276479999999992</v>
      </c>
      <c r="O16">
        <f t="shared" si="6"/>
        <v>155.52373077991251</v>
      </c>
      <c r="P16">
        <f>O16*(1/(1+$E$4))^A13</f>
        <v>75.001799180127577</v>
      </c>
    </row>
    <row r="17" spans="1:16">
      <c r="A17">
        <v>8</v>
      </c>
      <c r="B17">
        <v>0</v>
      </c>
      <c r="C17">
        <v>0</v>
      </c>
      <c r="D17">
        <v>0</v>
      </c>
      <c r="E17">
        <v>0</v>
      </c>
      <c r="F17" s="8">
        <f t="shared" si="7"/>
        <v>4818.5142747370955</v>
      </c>
      <c r="G17" s="8">
        <f t="shared" si="8"/>
        <v>2144.993890107326</v>
      </c>
      <c r="H17" s="8">
        <f t="shared" si="9"/>
        <v>275.74891078677814</v>
      </c>
      <c r="I17">
        <f t="shared" si="1"/>
        <v>2420.7428008941042</v>
      </c>
      <c r="J17">
        <f t="shared" si="10"/>
        <v>3030.8100479999998</v>
      </c>
      <c r="K17">
        <v>350</v>
      </c>
      <c r="L17">
        <f t="shared" si="11"/>
        <v>2500</v>
      </c>
      <c r="M17">
        <f>J17-K17-L17</f>
        <v>180.81004799999982</v>
      </c>
      <c r="N17">
        <f>M17*$E$4</f>
        <v>36.162009599999969</v>
      </c>
      <c r="O17">
        <f t="shared" si="6"/>
        <v>223.90523750589563</v>
      </c>
      <c r="P17">
        <f t="shared" si="12"/>
        <v>89.982493210638381</v>
      </c>
    </row>
    <row r="18" spans="1:16">
      <c r="A18">
        <v>9</v>
      </c>
      <c r="B18">
        <v>0</v>
      </c>
      <c r="C18">
        <v>0</v>
      </c>
      <c r="D18">
        <v>0</v>
      </c>
      <c r="E18">
        <v>0</v>
      </c>
      <c r="F18" s="8">
        <f t="shared" si="7"/>
        <v>2501.9208734211834</v>
      </c>
      <c r="G18" s="8">
        <f t="shared" si="8"/>
        <v>2316.5934013159122</v>
      </c>
      <c r="H18" s="8">
        <f t="shared" si="9"/>
        <v>132.03343654162734</v>
      </c>
      <c r="I18">
        <f t="shared" si="1"/>
        <v>2448.6268378575396</v>
      </c>
      <c r="J18">
        <f t="shared" si="10"/>
        <v>3091.4262489600001</v>
      </c>
      <c r="K18">
        <v>350</v>
      </c>
      <c r="L18">
        <v>0</v>
      </c>
      <c r="M18">
        <f t="shared" si="2"/>
        <v>2741.4262489600001</v>
      </c>
      <c r="N18">
        <f t="shared" si="3"/>
        <v>548.28524979200006</v>
      </c>
      <c r="O18">
        <f t="shared" si="6"/>
        <v>-255.48583868953961</v>
      </c>
      <c r="P18">
        <f t="shared" si="12"/>
        <v>-85.561690447617849</v>
      </c>
    </row>
    <row r="19" spans="1:16">
      <c r="A19">
        <v>10</v>
      </c>
      <c r="B19">
        <v>0</v>
      </c>
      <c r="C19">
        <v>0</v>
      </c>
      <c r="D19">
        <v>0</v>
      </c>
      <c r="E19">
        <v>0</v>
      </c>
      <c r="F19" s="8">
        <f t="shared" si="7"/>
        <v>0</v>
      </c>
      <c r="G19" s="8">
        <f t="shared" si="8"/>
        <v>2501.9208734211852</v>
      </c>
      <c r="H19" s="8">
        <f t="shared" si="9"/>
        <v>35.596292617916525</v>
      </c>
      <c r="I19">
        <f t="shared" si="1"/>
        <v>2537.5171660391015</v>
      </c>
      <c r="J19">
        <f t="shared" si="10"/>
        <v>3153.2547739392003</v>
      </c>
      <c r="K19">
        <v>350</v>
      </c>
      <c r="L19">
        <v>0</v>
      </c>
      <c r="M19">
        <f t="shared" si="2"/>
        <v>2803.2547739392003</v>
      </c>
      <c r="N19">
        <f t="shared" si="3"/>
        <v>560.65095478784008</v>
      </c>
      <c r="O19">
        <f t="shared" si="6"/>
        <v>-294.91334688774134</v>
      </c>
      <c r="P19">
        <f t="shared" si="12"/>
        <v>-82.304902640620725</v>
      </c>
    </row>
    <row r="20" spans="1:16">
      <c r="A20">
        <v>11</v>
      </c>
      <c r="B20">
        <v>0</v>
      </c>
      <c r="C20">
        <v>0</v>
      </c>
      <c r="D20">
        <v>0</v>
      </c>
      <c r="E20">
        <v>0</v>
      </c>
      <c r="F20" s="8">
        <f t="shared" si="7"/>
        <v>0</v>
      </c>
      <c r="G20" s="8">
        <v>0</v>
      </c>
      <c r="H20" s="8">
        <v>0</v>
      </c>
      <c r="I20">
        <f t="shared" si="1"/>
        <v>0</v>
      </c>
      <c r="J20">
        <f t="shared" si="10"/>
        <v>3216.3198694179837</v>
      </c>
      <c r="K20">
        <v>350</v>
      </c>
      <c r="L20">
        <v>0</v>
      </c>
      <c r="M20">
        <f t="shared" si="2"/>
        <v>2866.3198694179837</v>
      </c>
      <c r="N20">
        <f t="shared" si="3"/>
        <v>573.2639738835968</v>
      </c>
      <c r="O20">
        <f t="shared" si="6"/>
        <v>2293.0558955343868</v>
      </c>
      <c r="P20">
        <f t="shared" si="12"/>
        <v>533.29151377048106</v>
      </c>
    </row>
    <row r="21" spans="1:16">
      <c r="A21">
        <v>12</v>
      </c>
      <c r="B21">
        <v>0</v>
      </c>
      <c r="C21">
        <v>0</v>
      </c>
      <c r="D21">
        <v>0</v>
      </c>
      <c r="E21">
        <v>0</v>
      </c>
      <c r="F21" s="8">
        <f t="shared" si="7"/>
        <v>0</v>
      </c>
      <c r="G21">
        <v>0</v>
      </c>
      <c r="H21" s="8">
        <v>0</v>
      </c>
      <c r="I21">
        <f t="shared" si="1"/>
        <v>0</v>
      </c>
      <c r="J21">
        <f t="shared" si="10"/>
        <v>3280.6462668063436</v>
      </c>
      <c r="K21">
        <v>350</v>
      </c>
      <c r="L21">
        <v>0</v>
      </c>
      <c r="M21">
        <f t="shared" si="2"/>
        <v>2930.6462668063436</v>
      </c>
      <c r="N21">
        <f t="shared" si="3"/>
        <v>586.12925336126875</v>
      </c>
      <c r="O21">
        <f t="shared" si="6"/>
        <v>2344.517013445075</v>
      </c>
      <c r="P21">
        <f t="shared" si="12"/>
        <v>454.38310422192887</v>
      </c>
    </row>
    <row r="22" spans="1:16">
      <c r="A22">
        <v>13</v>
      </c>
      <c r="B22">
        <v>0</v>
      </c>
      <c r="C22">
        <v>0</v>
      </c>
      <c r="D22">
        <v>0</v>
      </c>
      <c r="E22">
        <v>0</v>
      </c>
      <c r="F22" s="8">
        <f t="shared" si="7"/>
        <v>0</v>
      </c>
      <c r="G22">
        <v>0</v>
      </c>
      <c r="H22" s="8">
        <v>0</v>
      </c>
      <c r="I22">
        <f t="shared" si="1"/>
        <v>0</v>
      </c>
      <c r="J22">
        <f t="shared" si="10"/>
        <v>3346.2591921424705</v>
      </c>
      <c r="K22">
        <v>350</v>
      </c>
      <c r="L22">
        <v>0</v>
      </c>
      <c r="M22">
        <f>J22-K22-L22</f>
        <v>2996.2591921424705</v>
      </c>
      <c r="N22">
        <f t="shared" si="3"/>
        <v>599.25183842849412</v>
      </c>
      <c r="O22">
        <f t="shared" si="6"/>
        <v>2397.0073537139765</v>
      </c>
      <c r="P22">
        <f t="shared" si="12"/>
        <v>387.13006985282266</v>
      </c>
    </row>
    <row r="23" spans="1:16">
      <c r="A23" t="s">
        <v>20</v>
      </c>
      <c r="F23" s="8"/>
      <c r="H23" s="8"/>
      <c r="K23" s="8">
        <f>NPV(E2,O10:O22)</f>
        <v>1606.9123260041101</v>
      </c>
      <c r="P23" s="8">
        <f>NPV(E2,P10:P22)</f>
        <v>224.31326544388071</v>
      </c>
    </row>
    <row r="24" spans="1:16">
      <c r="A24" t="s">
        <v>21</v>
      </c>
      <c r="B24" s="2">
        <f>IRR(O10:O22)</f>
        <v>0.531039264561602</v>
      </c>
      <c r="F24" s="8"/>
      <c r="H24" s="8"/>
      <c r="K24" s="2">
        <f>IRR(O10:O22)</f>
        <v>0.531039264561602</v>
      </c>
      <c r="P24">
        <f>SUM(P10:P22)</f>
        <v>1139.6848903220962</v>
      </c>
    </row>
    <row r="25" spans="1:16">
      <c r="F25" s="8"/>
      <c r="G25" t="s">
        <v>49</v>
      </c>
      <c r="H2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34C8-692F-40E2-BD07-D6CFE19D3643}">
  <dimension ref="A1:BD42"/>
  <sheetViews>
    <sheetView topLeftCell="A16" workbookViewId="0">
      <selection activeCell="B48" sqref="B48"/>
    </sheetView>
  </sheetViews>
  <sheetFormatPr defaultRowHeight="15"/>
  <cols>
    <col min="1" max="1" width="5.625" style="13" customWidth="1"/>
    <col min="2" max="2" width="15.875" customWidth="1"/>
    <col min="5" max="5" width="10.5" bestFit="1" customWidth="1"/>
    <col min="6" max="6" width="12.125" bestFit="1" customWidth="1"/>
    <col min="7" max="7" width="13.125" customWidth="1"/>
    <col min="8" max="8" width="27.375" customWidth="1"/>
    <col min="9" max="9" width="13.375" customWidth="1"/>
    <col min="10" max="17" width="12.125" bestFit="1" customWidth="1"/>
    <col min="18" max="18" width="16.25" customWidth="1"/>
    <col min="19" max="19" width="9" style="21"/>
    <col min="20" max="20" width="20.875" style="21" bestFit="1" customWidth="1"/>
    <col min="21" max="56" width="9" style="21"/>
  </cols>
  <sheetData>
    <row r="1" spans="1:11">
      <c r="A1"/>
      <c r="B1" s="13" t="s">
        <v>0</v>
      </c>
      <c r="H1" s="13" t="s">
        <v>79</v>
      </c>
      <c r="I1" s="13" t="s">
        <v>80</v>
      </c>
    </row>
    <row r="2" spans="1:11" ht="14.25">
      <c r="A2"/>
      <c r="B2" s="14" t="s">
        <v>66</v>
      </c>
      <c r="C2" s="2">
        <v>0.1</v>
      </c>
      <c r="G2">
        <v>5</v>
      </c>
      <c r="H2" t="s">
        <v>81</v>
      </c>
      <c r="I2" s="1">
        <v>4300000</v>
      </c>
      <c r="J2" t="s">
        <v>97</v>
      </c>
    </row>
    <row r="3" spans="1:11" ht="14.25">
      <c r="A3"/>
      <c r="B3" s="14" t="s">
        <v>75</v>
      </c>
      <c r="C3" s="2">
        <v>0.36</v>
      </c>
      <c r="D3" t="s">
        <v>76</v>
      </c>
      <c r="E3" t="s">
        <v>77</v>
      </c>
      <c r="F3" t="s">
        <v>78</v>
      </c>
      <c r="G3">
        <v>5</v>
      </c>
      <c r="H3" t="s">
        <v>82</v>
      </c>
      <c r="I3">
        <v>2.5000000000000001E-2</v>
      </c>
      <c r="J3" t="s">
        <v>97</v>
      </c>
    </row>
    <row r="4" spans="1:11" ht="14.25">
      <c r="A4"/>
      <c r="D4">
        <f>C22*C3</f>
        <v>396000</v>
      </c>
      <c r="E4">
        <f>D22*C3</f>
        <v>432000</v>
      </c>
      <c r="F4">
        <f>E22*C3</f>
        <v>468000</v>
      </c>
      <c r="G4">
        <v>5</v>
      </c>
      <c r="H4" t="s">
        <v>83</v>
      </c>
      <c r="I4">
        <v>7.0000000000000007E-2</v>
      </c>
      <c r="J4" t="s">
        <v>97</v>
      </c>
      <c r="K4" t="s">
        <v>98</v>
      </c>
    </row>
    <row r="5" spans="1:11">
      <c r="A5"/>
      <c r="B5" s="13"/>
      <c r="G5">
        <v>2</v>
      </c>
      <c r="H5" t="s">
        <v>84</v>
      </c>
      <c r="I5" s="1">
        <v>125000</v>
      </c>
      <c r="J5" t="s">
        <v>97</v>
      </c>
    </row>
    <row r="6" spans="1:11">
      <c r="A6"/>
      <c r="B6" s="13" t="s">
        <v>67</v>
      </c>
      <c r="C6" t="s">
        <v>71</v>
      </c>
      <c r="D6" t="s">
        <v>72</v>
      </c>
      <c r="E6" t="s">
        <v>73</v>
      </c>
      <c r="F6" t="s">
        <v>74</v>
      </c>
      <c r="G6">
        <v>2</v>
      </c>
      <c r="H6" t="s">
        <v>85</v>
      </c>
      <c r="I6" s="2">
        <v>0.02</v>
      </c>
      <c r="J6" t="s">
        <v>97</v>
      </c>
    </row>
    <row r="7" spans="1:11" ht="14.25">
      <c r="A7">
        <v>1</v>
      </c>
      <c r="B7" s="14" t="s">
        <v>68</v>
      </c>
      <c r="C7" s="2">
        <v>0.12</v>
      </c>
      <c r="D7">
        <f>$C$22*C7</f>
        <v>132000</v>
      </c>
      <c r="E7">
        <f>$D$22*C7</f>
        <v>144000</v>
      </c>
      <c r="F7">
        <f>$E$22*C7</f>
        <v>156000</v>
      </c>
      <c r="G7">
        <v>2</v>
      </c>
      <c r="H7" t="s">
        <v>86</v>
      </c>
      <c r="I7">
        <v>1.75</v>
      </c>
      <c r="J7" t="s">
        <v>97</v>
      </c>
    </row>
    <row r="8" spans="1:11" ht="14.25">
      <c r="A8">
        <v>2</v>
      </c>
      <c r="B8" s="14" t="s">
        <v>69</v>
      </c>
      <c r="C8" s="2">
        <v>0.1</v>
      </c>
      <c r="D8">
        <f>$C$22*C8</f>
        <v>110000</v>
      </c>
      <c r="E8">
        <f>$D$22*C8</f>
        <v>120000</v>
      </c>
      <c r="F8">
        <f>$E$22*C8</f>
        <v>130000</v>
      </c>
      <c r="G8">
        <v>2</v>
      </c>
      <c r="H8" t="s">
        <v>87</v>
      </c>
      <c r="I8" s="1">
        <v>45000</v>
      </c>
      <c r="J8" t="s">
        <v>97</v>
      </c>
    </row>
    <row r="9" spans="1:11" ht="14.25">
      <c r="A9">
        <v>3</v>
      </c>
      <c r="B9" s="14" t="s">
        <v>104</v>
      </c>
      <c r="C9" s="2">
        <v>0.14000000000000001</v>
      </c>
      <c r="D9">
        <f>$C$22*C9</f>
        <v>154000.00000000003</v>
      </c>
      <c r="E9">
        <f>$D$22*C9</f>
        <v>168000.00000000003</v>
      </c>
      <c r="F9">
        <f>$E$22*C9</f>
        <v>182000.00000000003</v>
      </c>
      <c r="G9">
        <v>2</v>
      </c>
      <c r="H9" t="s">
        <v>88</v>
      </c>
      <c r="I9">
        <v>0.55000000000000004</v>
      </c>
      <c r="J9" t="s">
        <v>97</v>
      </c>
      <c r="K9" t="s">
        <v>98</v>
      </c>
    </row>
    <row r="10" spans="1:11" ht="14.25">
      <c r="A10">
        <v>4</v>
      </c>
      <c r="B10" s="14" t="s">
        <v>63</v>
      </c>
      <c r="C10" s="2">
        <v>0.12</v>
      </c>
      <c r="D10">
        <f>$C$22*C10</f>
        <v>132000</v>
      </c>
      <c r="E10">
        <f>$D$22*C10</f>
        <v>144000</v>
      </c>
      <c r="F10">
        <f>$E$22*C10</f>
        <v>156000</v>
      </c>
      <c r="G10">
        <v>1</v>
      </c>
      <c r="H10" t="s">
        <v>89</v>
      </c>
      <c r="I10" s="1">
        <v>400000</v>
      </c>
      <c r="J10" t="s">
        <v>97</v>
      </c>
    </row>
    <row r="11" spans="1:11" ht="18" customHeight="1">
      <c r="A11">
        <v>5</v>
      </c>
      <c r="B11" s="14" t="s">
        <v>70</v>
      </c>
      <c r="C11" s="2">
        <v>0.15</v>
      </c>
      <c r="D11">
        <f>$C$22*C11</f>
        <v>165000</v>
      </c>
      <c r="E11">
        <f>$D$22*C11</f>
        <v>180000</v>
      </c>
      <c r="F11">
        <f>$E$22*C11</f>
        <v>195000</v>
      </c>
      <c r="G11">
        <v>1</v>
      </c>
      <c r="H11" t="s">
        <v>90</v>
      </c>
      <c r="I11" s="1">
        <v>100000</v>
      </c>
      <c r="J11" t="s">
        <v>97</v>
      </c>
    </row>
    <row r="12" spans="1:11" ht="18" customHeight="1">
      <c r="A12"/>
      <c r="B12" s="14"/>
      <c r="C12" s="2"/>
      <c r="G12">
        <v>3</v>
      </c>
      <c r="H12" t="s">
        <v>91</v>
      </c>
      <c r="I12" s="1">
        <v>2500</v>
      </c>
      <c r="J12" t="s">
        <v>97</v>
      </c>
    </row>
    <row r="13" spans="1:11" ht="18" customHeight="1">
      <c r="A13"/>
      <c r="B13" s="14"/>
      <c r="C13" s="2"/>
      <c r="G13">
        <v>3</v>
      </c>
      <c r="H13" t="s">
        <v>92</v>
      </c>
      <c r="I13">
        <v>110</v>
      </c>
      <c r="J13" t="s">
        <v>97</v>
      </c>
    </row>
    <row r="14" spans="1:11" ht="18" customHeight="1">
      <c r="A14"/>
      <c r="B14" s="14"/>
      <c r="C14" s="2"/>
      <c r="G14">
        <v>3</v>
      </c>
      <c r="H14" t="s">
        <v>93</v>
      </c>
      <c r="I14">
        <v>10</v>
      </c>
      <c r="J14" t="s">
        <v>97</v>
      </c>
    </row>
    <row r="15" spans="1:11" ht="18" customHeight="1">
      <c r="A15"/>
      <c r="B15" s="14"/>
      <c r="C15" s="2"/>
      <c r="G15">
        <v>4</v>
      </c>
      <c r="H15" t="s">
        <v>94</v>
      </c>
      <c r="I15" s="1">
        <v>11000000</v>
      </c>
      <c r="J15" t="s">
        <v>97</v>
      </c>
    </row>
    <row r="16" spans="1:11" ht="18" customHeight="1">
      <c r="A16"/>
      <c r="B16" s="14"/>
      <c r="C16" s="2"/>
      <c r="G16">
        <v>4</v>
      </c>
      <c r="H16" t="s">
        <v>95</v>
      </c>
      <c r="I16">
        <v>1.7000000000000001E-2</v>
      </c>
      <c r="J16" t="s">
        <v>97</v>
      </c>
    </row>
    <row r="17" spans="1:56" ht="18" customHeight="1">
      <c r="A17"/>
      <c r="B17" s="14"/>
      <c r="C17" s="2"/>
      <c r="G17">
        <v>4</v>
      </c>
      <c r="H17" t="s">
        <v>96</v>
      </c>
      <c r="I17">
        <v>4.0000000000000001E-3</v>
      </c>
      <c r="J17" t="s">
        <v>97</v>
      </c>
    </row>
    <row r="18" spans="1:56">
      <c r="R18" s="21"/>
    </row>
    <row r="19" spans="1:56">
      <c r="A19" s="21"/>
      <c r="B19" s="16" t="s">
        <v>65</v>
      </c>
      <c r="C19" s="17">
        <v>1</v>
      </c>
      <c r="D19" s="17">
        <v>2</v>
      </c>
      <c r="E19" s="17">
        <v>3</v>
      </c>
      <c r="F19" s="17">
        <v>4</v>
      </c>
      <c r="G19" s="17">
        <v>5</v>
      </c>
      <c r="H19" s="17">
        <v>6</v>
      </c>
      <c r="I19" s="17">
        <v>7</v>
      </c>
      <c r="J19" s="17">
        <v>8</v>
      </c>
      <c r="K19" s="17">
        <v>9</v>
      </c>
      <c r="L19" s="17">
        <v>10</v>
      </c>
      <c r="M19" s="17">
        <v>11</v>
      </c>
      <c r="N19" s="17">
        <v>12</v>
      </c>
      <c r="O19" s="17">
        <v>13</v>
      </c>
      <c r="P19" s="17">
        <v>14</v>
      </c>
      <c r="Q19" s="17">
        <v>15</v>
      </c>
      <c r="R19" s="21"/>
    </row>
    <row r="20" spans="1:56" s="19" customFormat="1">
      <c r="A20" s="21"/>
      <c r="B20" s="20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</row>
    <row r="21" spans="1:56" ht="14.25">
      <c r="A21" s="21"/>
      <c r="B21" s="15" t="s">
        <v>13</v>
      </c>
    </row>
    <row r="22" spans="1:56" ht="14.25">
      <c r="A22" s="21"/>
      <c r="B22" s="14" t="s">
        <v>52</v>
      </c>
      <c r="C22">
        <v>1100000</v>
      </c>
      <c r="D22">
        <v>1200000</v>
      </c>
      <c r="E22">
        <v>1300000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97</v>
      </c>
    </row>
    <row r="23" spans="1:56" ht="14.25">
      <c r="A23" s="21">
        <v>5</v>
      </c>
      <c r="B23" s="14" t="s">
        <v>100</v>
      </c>
      <c r="C23">
        <v>0</v>
      </c>
      <c r="D23">
        <v>0</v>
      </c>
      <c r="E23">
        <v>0</v>
      </c>
      <c r="F23" s="8">
        <f>($I$3*$I$2)</f>
        <v>107500</v>
      </c>
      <c r="G23" s="8">
        <f>($I$3*$I$2)</f>
        <v>107500</v>
      </c>
      <c r="H23" s="8">
        <f>($I$3*$I$2)</f>
        <v>107500</v>
      </c>
      <c r="I23" s="8">
        <f>($I$3*$I$2)</f>
        <v>107500</v>
      </c>
      <c r="J23" s="8">
        <f>($I$3*$I$2)</f>
        <v>107500</v>
      </c>
      <c r="K23" s="8">
        <f>($I$3*$I$2)</f>
        <v>107500</v>
      </c>
      <c r="L23" s="8">
        <f>($I$3*$I$2)</f>
        <v>107500</v>
      </c>
      <c r="M23" s="8">
        <f>($I$3*$I$2)</f>
        <v>107500</v>
      </c>
      <c r="N23" s="8">
        <f>($I$3*$I$2)</f>
        <v>107500</v>
      </c>
      <c r="O23" s="8">
        <f>($I$3*$I$2)</f>
        <v>107500</v>
      </c>
      <c r="P23" s="8">
        <f>($I$3*$I$2)</f>
        <v>107500</v>
      </c>
      <c r="Q23" s="8">
        <f>($I$3*$I$2)</f>
        <v>107500</v>
      </c>
      <c r="R23" t="s">
        <v>97</v>
      </c>
    </row>
    <row r="24" spans="1:56" ht="14.25">
      <c r="A24" s="21">
        <v>5</v>
      </c>
      <c r="B24" s="14" t="s">
        <v>106</v>
      </c>
      <c r="C24">
        <v>0</v>
      </c>
      <c r="D24">
        <v>0</v>
      </c>
      <c r="E24">
        <v>0</v>
      </c>
      <c r="F24" s="8">
        <f>$I$4*$I$2</f>
        <v>301000</v>
      </c>
      <c r="G24" s="8">
        <f t="shared" ref="G24:Q24" si="0">$I$4*$I$2</f>
        <v>301000</v>
      </c>
      <c r="H24" s="8">
        <f>$I$4*$I$2</f>
        <v>301000</v>
      </c>
      <c r="I24" s="8">
        <f t="shared" si="0"/>
        <v>301000</v>
      </c>
      <c r="J24" s="8">
        <f t="shared" si="0"/>
        <v>301000</v>
      </c>
      <c r="K24" s="8">
        <f t="shared" si="0"/>
        <v>301000</v>
      </c>
      <c r="L24" s="8">
        <f t="shared" si="0"/>
        <v>301000</v>
      </c>
      <c r="M24" s="8">
        <f t="shared" si="0"/>
        <v>301000</v>
      </c>
      <c r="N24" s="8">
        <f t="shared" si="0"/>
        <v>301000</v>
      </c>
      <c r="O24" s="8">
        <f t="shared" si="0"/>
        <v>301000</v>
      </c>
      <c r="P24" s="8">
        <f t="shared" si="0"/>
        <v>301000</v>
      </c>
      <c r="Q24" s="8">
        <f t="shared" si="0"/>
        <v>301000</v>
      </c>
      <c r="R24" t="s">
        <v>97</v>
      </c>
    </row>
    <row r="25" spans="1:56" ht="14.25">
      <c r="A25" s="21">
        <v>2</v>
      </c>
      <c r="B25" s="14" t="s">
        <v>101</v>
      </c>
      <c r="C25">
        <v>0</v>
      </c>
      <c r="D25">
        <v>0</v>
      </c>
      <c r="E25">
        <v>0</v>
      </c>
      <c r="F25" s="1">
        <f>$I$8</f>
        <v>45000</v>
      </c>
      <c r="G25" s="1">
        <f>$I$8</f>
        <v>45000</v>
      </c>
      <c r="H25" s="1">
        <f>$I$8</f>
        <v>45000</v>
      </c>
      <c r="I25" s="1">
        <f t="shared" ref="H25:Q25" si="1">$I$8</f>
        <v>45000</v>
      </c>
      <c r="J25" s="1">
        <f t="shared" si="1"/>
        <v>45000</v>
      </c>
      <c r="K25" s="1">
        <f t="shared" si="1"/>
        <v>45000</v>
      </c>
      <c r="L25" s="1">
        <f t="shared" si="1"/>
        <v>45000</v>
      </c>
      <c r="M25" s="1">
        <f t="shared" si="1"/>
        <v>45000</v>
      </c>
      <c r="N25" s="1">
        <f t="shared" si="1"/>
        <v>45000</v>
      </c>
      <c r="O25" s="1">
        <f t="shared" si="1"/>
        <v>45000</v>
      </c>
      <c r="P25" s="1">
        <f t="shared" si="1"/>
        <v>45000</v>
      </c>
      <c r="Q25" s="1">
        <f t="shared" si="1"/>
        <v>45000</v>
      </c>
    </row>
    <row r="26" spans="1:56" ht="14.25">
      <c r="A26" s="21">
        <v>2</v>
      </c>
      <c r="B26" s="14" t="s">
        <v>102</v>
      </c>
      <c r="C26">
        <v>0</v>
      </c>
      <c r="D26">
        <v>0</v>
      </c>
      <c r="E26">
        <v>0</v>
      </c>
      <c r="F26">
        <f>$I$5*$I$9</f>
        <v>68750</v>
      </c>
      <c r="G26">
        <f>F26*(1+$I$6)</f>
        <v>70125</v>
      </c>
      <c r="H26">
        <f t="shared" ref="H26:Q26" si="2">G26*(1+$I$6)</f>
        <v>71527.5</v>
      </c>
      <c r="I26">
        <f t="shared" si="2"/>
        <v>72958.05</v>
      </c>
      <c r="J26">
        <f t="shared" si="2"/>
        <v>74417.21100000001</v>
      </c>
      <c r="K26">
        <f t="shared" si="2"/>
        <v>75905.555220000009</v>
      </c>
      <c r="L26">
        <f t="shared" si="2"/>
        <v>77423.666324400008</v>
      </c>
      <c r="M26">
        <f t="shared" si="2"/>
        <v>78972.139650888013</v>
      </c>
      <c r="N26">
        <f t="shared" si="2"/>
        <v>80551.582443905776</v>
      </c>
      <c r="O26">
        <f t="shared" si="2"/>
        <v>82162.614092783886</v>
      </c>
      <c r="P26">
        <f t="shared" si="2"/>
        <v>83805.866374639561</v>
      </c>
      <c r="Q26">
        <f t="shared" si="2"/>
        <v>85481.983702132347</v>
      </c>
      <c r="R26" t="s">
        <v>97</v>
      </c>
    </row>
    <row r="27" spans="1:56" ht="14.25">
      <c r="A27" s="21">
        <v>1</v>
      </c>
      <c r="B27" s="14" t="s">
        <v>103</v>
      </c>
      <c r="C27">
        <v>0</v>
      </c>
      <c r="D27">
        <v>0</v>
      </c>
      <c r="E27">
        <v>0</v>
      </c>
      <c r="F27" s="1">
        <f>$I$11</f>
        <v>100000</v>
      </c>
      <c r="G27" s="1">
        <f t="shared" ref="G27:Q27" si="3">$I$11</f>
        <v>100000</v>
      </c>
      <c r="H27" s="1">
        <f t="shared" si="3"/>
        <v>100000</v>
      </c>
      <c r="I27" s="1">
        <f t="shared" si="3"/>
        <v>100000</v>
      </c>
      <c r="J27" s="1">
        <f t="shared" si="3"/>
        <v>100000</v>
      </c>
      <c r="K27" s="1">
        <f t="shared" si="3"/>
        <v>100000</v>
      </c>
      <c r="L27" s="1">
        <f t="shared" si="3"/>
        <v>100000</v>
      </c>
      <c r="M27" s="1">
        <f t="shared" si="3"/>
        <v>100000</v>
      </c>
      <c r="N27" s="1">
        <f t="shared" si="3"/>
        <v>100000</v>
      </c>
      <c r="O27" s="1">
        <f t="shared" si="3"/>
        <v>100000</v>
      </c>
      <c r="P27" s="1">
        <f t="shared" si="3"/>
        <v>100000</v>
      </c>
      <c r="Q27" s="1">
        <f t="shared" si="3"/>
        <v>100000</v>
      </c>
    </row>
    <row r="28" spans="1:56" ht="14.25">
      <c r="A28" s="21">
        <v>3</v>
      </c>
      <c r="B28" s="14" t="s">
        <v>104</v>
      </c>
      <c r="C28">
        <v>0</v>
      </c>
      <c r="D28">
        <v>0</v>
      </c>
      <c r="E28">
        <v>0</v>
      </c>
      <c r="F28">
        <f>$I$14*$I$12</f>
        <v>25000</v>
      </c>
      <c r="G28">
        <f>$I$14*$I$12</f>
        <v>25000</v>
      </c>
      <c r="H28">
        <f t="shared" ref="G28:Q28" si="4">$I$14*$I$12</f>
        <v>25000</v>
      </c>
      <c r="I28">
        <f t="shared" si="4"/>
        <v>25000</v>
      </c>
      <c r="J28">
        <f t="shared" si="4"/>
        <v>25000</v>
      </c>
      <c r="K28">
        <f t="shared" si="4"/>
        <v>25000</v>
      </c>
      <c r="L28">
        <f t="shared" si="4"/>
        <v>25000</v>
      </c>
      <c r="M28">
        <f t="shared" si="4"/>
        <v>25000</v>
      </c>
      <c r="N28">
        <f t="shared" si="4"/>
        <v>25000</v>
      </c>
      <c r="O28">
        <f t="shared" si="4"/>
        <v>25000</v>
      </c>
      <c r="P28">
        <f t="shared" si="4"/>
        <v>25000</v>
      </c>
      <c r="Q28">
        <f t="shared" si="4"/>
        <v>25000</v>
      </c>
    </row>
    <row r="29" spans="1:56" ht="14.25">
      <c r="A29" s="21">
        <v>4</v>
      </c>
      <c r="B29" s="14" t="s">
        <v>63</v>
      </c>
      <c r="C29">
        <v>0</v>
      </c>
      <c r="D29">
        <v>0</v>
      </c>
      <c r="E29">
        <v>0</v>
      </c>
      <c r="F29">
        <f>$I$15*$I$16</f>
        <v>187000</v>
      </c>
      <c r="G29">
        <f>$I$15*$I$16</f>
        <v>187000</v>
      </c>
      <c r="H29">
        <f t="shared" ref="G29:Q29" si="5">$I$15*$I$16</f>
        <v>187000</v>
      </c>
      <c r="I29">
        <f t="shared" si="5"/>
        <v>187000</v>
      </c>
      <c r="J29">
        <f t="shared" si="5"/>
        <v>187000</v>
      </c>
      <c r="K29">
        <f t="shared" si="5"/>
        <v>187000</v>
      </c>
      <c r="L29">
        <f t="shared" si="5"/>
        <v>187000</v>
      </c>
      <c r="M29">
        <f t="shared" si="5"/>
        <v>187000</v>
      </c>
      <c r="N29">
        <f t="shared" si="5"/>
        <v>187000</v>
      </c>
      <c r="O29">
        <f t="shared" si="5"/>
        <v>187000</v>
      </c>
      <c r="P29">
        <f t="shared" si="5"/>
        <v>187000</v>
      </c>
      <c r="Q29">
        <f t="shared" si="5"/>
        <v>187000</v>
      </c>
    </row>
    <row r="30" spans="1:56">
      <c r="A30" s="21"/>
      <c r="B30" s="13"/>
    </row>
    <row r="31" spans="1:56" ht="14.25">
      <c r="A31" s="21"/>
      <c r="B31" s="15" t="s">
        <v>99</v>
      </c>
    </row>
    <row r="32" spans="1:56" ht="14.25">
      <c r="A32" s="21">
        <v>2</v>
      </c>
      <c r="B32" s="14" t="s">
        <v>69</v>
      </c>
      <c r="C32">
        <v>0</v>
      </c>
      <c r="D32">
        <v>0</v>
      </c>
      <c r="E32">
        <v>0</v>
      </c>
      <c r="F32">
        <f>($I$7*$I$5)</f>
        <v>218750</v>
      </c>
      <c r="G32">
        <f>F32*(1+$I$6)</f>
        <v>223125</v>
      </c>
      <c r="H32">
        <f>G32*(1+$I$6)</f>
        <v>227587.5</v>
      </c>
      <c r="I32">
        <f>H32*(1+$I$6)</f>
        <v>232139.25</v>
      </c>
      <c r="J32">
        <f>I32*(1+$I$6)</f>
        <v>236782.035</v>
      </c>
      <c r="K32">
        <f>J32*(1+$I$6)</f>
        <v>241517.67570000002</v>
      </c>
      <c r="L32">
        <f>K32*(1+$I$6)</f>
        <v>246348.02921400004</v>
      </c>
      <c r="M32">
        <f>L32*(1+$I$6)</f>
        <v>251274.98979828003</v>
      </c>
      <c r="N32">
        <f>M32*(1+$I$6)</f>
        <v>256300.48959424565</v>
      </c>
      <c r="O32">
        <f>N32*(1+$I$6)</f>
        <v>261426.49938613057</v>
      </c>
      <c r="P32">
        <f>O32*(1+$I$6)</f>
        <v>266655.02937385318</v>
      </c>
      <c r="Q32">
        <f>P32*(1+$I$6)</f>
        <v>271988.12996133027</v>
      </c>
    </row>
    <row r="33" spans="1:56" ht="14.25">
      <c r="A33" s="22">
        <v>1</v>
      </c>
      <c r="B33" t="s">
        <v>68</v>
      </c>
      <c r="C33">
        <v>0</v>
      </c>
      <c r="D33">
        <v>0</v>
      </c>
      <c r="E33">
        <v>0</v>
      </c>
      <c r="F33" s="1">
        <f>$I$10</f>
        <v>400000</v>
      </c>
      <c r="G33" s="1">
        <f t="shared" ref="G33:Q33" si="6">$I$10</f>
        <v>400000</v>
      </c>
      <c r="H33" s="1">
        <f t="shared" si="6"/>
        <v>400000</v>
      </c>
      <c r="I33" s="1">
        <f t="shared" si="6"/>
        <v>400000</v>
      </c>
      <c r="J33" s="1">
        <f t="shared" si="6"/>
        <v>400000</v>
      </c>
      <c r="K33" s="1">
        <f t="shared" si="6"/>
        <v>400000</v>
      </c>
      <c r="L33" s="1">
        <f t="shared" si="6"/>
        <v>400000</v>
      </c>
      <c r="M33" s="1">
        <f t="shared" si="6"/>
        <v>400000</v>
      </c>
      <c r="N33" s="1">
        <f t="shared" si="6"/>
        <v>400000</v>
      </c>
      <c r="O33" s="1">
        <f t="shared" si="6"/>
        <v>400000</v>
      </c>
      <c r="P33" s="1">
        <f t="shared" si="6"/>
        <v>400000</v>
      </c>
      <c r="Q33" s="1">
        <f t="shared" si="6"/>
        <v>400000</v>
      </c>
      <c r="R33" s="1"/>
    </row>
    <row r="34" spans="1:56" ht="14.25">
      <c r="A34" s="22">
        <v>3</v>
      </c>
      <c r="B34" t="s">
        <v>104</v>
      </c>
      <c r="C34">
        <v>0</v>
      </c>
      <c r="D34">
        <v>0</v>
      </c>
      <c r="E34">
        <v>0</v>
      </c>
      <c r="F34">
        <f>$I$12*$I$13</f>
        <v>275000</v>
      </c>
      <c r="G34">
        <f t="shared" ref="G34:Q34" si="7">$I$12*$I$13</f>
        <v>275000</v>
      </c>
      <c r="H34">
        <f t="shared" si="7"/>
        <v>275000</v>
      </c>
      <c r="I34">
        <f t="shared" si="7"/>
        <v>275000</v>
      </c>
      <c r="J34">
        <f t="shared" si="7"/>
        <v>275000</v>
      </c>
      <c r="K34">
        <f t="shared" si="7"/>
        <v>275000</v>
      </c>
      <c r="L34">
        <f t="shared" si="7"/>
        <v>275000</v>
      </c>
      <c r="M34">
        <f t="shared" si="7"/>
        <v>275000</v>
      </c>
      <c r="N34">
        <f t="shared" si="7"/>
        <v>275000</v>
      </c>
      <c r="O34">
        <f t="shared" si="7"/>
        <v>275000</v>
      </c>
      <c r="P34">
        <f t="shared" si="7"/>
        <v>275000</v>
      </c>
      <c r="Q34">
        <f t="shared" si="7"/>
        <v>275000</v>
      </c>
    </row>
    <row r="35" spans="1:56" ht="14.25">
      <c r="A35" s="21">
        <v>4</v>
      </c>
      <c r="B35" s="14" t="s">
        <v>63</v>
      </c>
      <c r="C35">
        <v>0</v>
      </c>
      <c r="D35">
        <v>0</v>
      </c>
      <c r="E35">
        <v>0</v>
      </c>
      <c r="F35">
        <f>$I$15*$I$17</f>
        <v>44000</v>
      </c>
      <c r="G35">
        <f t="shared" ref="G35:Q35" si="8">$I$15*$I$17</f>
        <v>44000</v>
      </c>
      <c r="H35">
        <f t="shared" si="8"/>
        <v>44000</v>
      </c>
      <c r="I35">
        <f t="shared" si="8"/>
        <v>44000</v>
      </c>
      <c r="J35">
        <f t="shared" si="8"/>
        <v>44000</v>
      </c>
      <c r="K35">
        <f t="shared" si="8"/>
        <v>44000</v>
      </c>
      <c r="L35">
        <f t="shared" si="8"/>
        <v>44000</v>
      </c>
      <c r="M35">
        <f t="shared" si="8"/>
        <v>44000</v>
      </c>
      <c r="N35">
        <f t="shared" si="8"/>
        <v>44000</v>
      </c>
      <c r="O35">
        <f t="shared" si="8"/>
        <v>44000</v>
      </c>
      <c r="P35">
        <f t="shared" si="8"/>
        <v>44000</v>
      </c>
      <c r="Q35">
        <f t="shared" si="8"/>
        <v>44000</v>
      </c>
    </row>
    <row r="36" spans="1:56">
      <c r="A36" s="23"/>
      <c r="R36" s="7" t="s">
        <v>20</v>
      </c>
    </row>
    <row r="37" spans="1:56" s="17" customFormat="1">
      <c r="A37" s="23"/>
      <c r="B37" s="16" t="s">
        <v>105</v>
      </c>
      <c r="C37" s="17">
        <f>SUM(C32:C35)-SUM(C22:C29)</f>
        <v>-1100000</v>
      </c>
      <c r="D37" s="17">
        <f>SUM(D32:D35)-SUM(D22:D29)</f>
        <v>-1200000</v>
      </c>
      <c r="E37" s="17">
        <f>SUM(E32:E35)-SUM(E22:E29)</f>
        <v>-1300000</v>
      </c>
      <c r="F37" s="17">
        <f>SUM(F32:F35)-SUM(F22:F29)</f>
        <v>103500</v>
      </c>
      <c r="G37" s="17">
        <f>SUM(G32:G35)-SUM(G22:G29)</f>
        <v>106500</v>
      </c>
      <c r="H37" s="17">
        <f>SUM(H32:H35)-SUM(H22:H29)</f>
        <v>109560</v>
      </c>
      <c r="I37" s="17">
        <f>SUM(I32:I35)-SUM(I22:I29)</f>
        <v>112681.19999999995</v>
      </c>
      <c r="J37" s="17">
        <f>SUM(J32:J35)-SUM(J22:J29)</f>
        <v>115864.82400000002</v>
      </c>
      <c r="K37" s="17">
        <f>SUM(K32:K35)-SUM(K22:K29)</f>
        <v>119112.12048000004</v>
      </c>
      <c r="L37" s="17">
        <f>SUM(L32:L35)-SUM(L22:L29)</f>
        <v>122424.3628896001</v>
      </c>
      <c r="M37" s="17">
        <f>SUM(M32:M35)-SUM(M22:M29)</f>
        <v>125802.85014739202</v>
      </c>
      <c r="N37" s="17">
        <f>SUM(N32:N35)-SUM(N22:N29)</f>
        <v>129248.90715033992</v>
      </c>
      <c r="O37" s="17">
        <f>SUM(O32:O35)-SUM(O22:O29)</f>
        <v>132763.88529334671</v>
      </c>
      <c r="P37" s="17">
        <f>SUM(P32:P35)-SUM(P22:P29)</f>
        <v>136349.16299921367</v>
      </c>
      <c r="Q37" s="17">
        <f>SUM(Q32:Q35)-SUM(Q22:Q29)</f>
        <v>140006.14625919785</v>
      </c>
      <c r="R37" s="18">
        <f>NPV(C2,C37:Q37)</f>
        <v>-2367036.7354391613</v>
      </c>
      <c r="S37" s="21"/>
      <c r="T37" s="25">
        <f>NPV($C$2,F37:Q37)+SUM(C37:E37)</f>
        <v>-2799525.8948695236</v>
      </c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</row>
    <row r="38" spans="1:56" ht="14.25">
      <c r="A38" s="14">
        <v>1</v>
      </c>
      <c r="B38" s="14" t="s">
        <v>68</v>
      </c>
      <c r="C38">
        <f>C33-D7-C27</f>
        <v>-132000</v>
      </c>
      <c r="D38">
        <f>D33-E7-D27</f>
        <v>-144000</v>
      </c>
      <c r="E38">
        <f>E33-F7-E27</f>
        <v>-156000</v>
      </c>
      <c r="F38" s="1">
        <f>F33-F27</f>
        <v>300000</v>
      </c>
      <c r="G38" s="1">
        <f t="shared" ref="G38:Q38" si="9">G33-G27</f>
        <v>300000</v>
      </c>
      <c r="H38" s="1">
        <f t="shared" si="9"/>
        <v>300000</v>
      </c>
      <c r="I38" s="1">
        <f t="shared" si="9"/>
        <v>300000</v>
      </c>
      <c r="J38" s="1">
        <f t="shared" si="9"/>
        <v>300000</v>
      </c>
      <c r="K38" s="1">
        <f t="shared" si="9"/>
        <v>300000</v>
      </c>
      <c r="L38" s="1">
        <f t="shared" si="9"/>
        <v>300000</v>
      </c>
      <c r="M38" s="1">
        <f t="shared" si="9"/>
        <v>300000</v>
      </c>
      <c r="N38" s="1">
        <f t="shared" si="9"/>
        <v>300000</v>
      </c>
      <c r="O38" s="1">
        <f t="shared" si="9"/>
        <v>300000</v>
      </c>
      <c r="P38" s="1">
        <f t="shared" si="9"/>
        <v>300000</v>
      </c>
      <c r="Q38" s="1">
        <f t="shared" si="9"/>
        <v>300000</v>
      </c>
      <c r="R38" s="24">
        <f>NPV(C3,C38:Q38)</f>
        <v>86080.738641983931</v>
      </c>
      <c r="T38" s="25">
        <f t="shared" ref="T38:T41" si="10">NPV($C$2,F38:Q38)+SUM(C38:E38)</f>
        <v>1612107.5468689287</v>
      </c>
    </row>
    <row r="39" spans="1:56" ht="14.25">
      <c r="A39" s="14">
        <v>2</v>
      </c>
      <c r="B39" s="14" t="s">
        <v>69</v>
      </c>
      <c r="C39">
        <f>C32-D8-C25-C26</f>
        <v>-110000</v>
      </c>
      <c r="D39">
        <f>D32-E8-D25-D26</f>
        <v>-120000</v>
      </c>
      <c r="E39">
        <f>E32-F8-E25-E26</f>
        <v>-130000</v>
      </c>
      <c r="F39" s="1">
        <f>F32-F25-F26</f>
        <v>105000</v>
      </c>
      <c r="G39" s="1">
        <f t="shared" ref="G39:Q39" si="11">G32-G25-G26</f>
        <v>108000</v>
      </c>
      <c r="H39" s="1">
        <f t="shared" si="11"/>
        <v>111060</v>
      </c>
      <c r="I39" s="1">
        <f t="shared" si="11"/>
        <v>114181.2</v>
      </c>
      <c r="J39" s="1">
        <f t="shared" si="11"/>
        <v>117364.82399999999</v>
      </c>
      <c r="K39" s="1">
        <f t="shared" si="11"/>
        <v>120612.12048000001</v>
      </c>
      <c r="L39" s="1">
        <f t="shared" si="11"/>
        <v>123924.36288960003</v>
      </c>
      <c r="M39" s="1">
        <f t="shared" si="11"/>
        <v>127302.85014739202</v>
      </c>
      <c r="N39" s="1">
        <f t="shared" si="11"/>
        <v>130748.90715033987</v>
      </c>
      <c r="O39" s="1">
        <f t="shared" si="11"/>
        <v>134263.88529334668</v>
      </c>
      <c r="P39" s="1">
        <f t="shared" si="11"/>
        <v>137849.16299921361</v>
      </c>
      <c r="Q39" s="1">
        <f t="shared" si="11"/>
        <v>141506.14625919791</v>
      </c>
      <c r="R39" s="24">
        <f>NPV(C4,C39:Q39)</f>
        <v>1111813.4592190904</v>
      </c>
      <c r="T39" s="25">
        <f t="shared" si="10"/>
        <v>450694.64286482113</v>
      </c>
    </row>
    <row r="40" spans="1:56" ht="14.25">
      <c r="A40" s="14">
        <v>3</v>
      </c>
      <c r="B40" s="14" t="s">
        <v>104</v>
      </c>
      <c r="C40">
        <f>C34-D9-C28</f>
        <v>-154000.00000000003</v>
      </c>
      <c r="D40">
        <f>D34-E9-D28</f>
        <v>-168000.00000000003</v>
      </c>
      <c r="E40">
        <f>E34-F9-E28</f>
        <v>-182000.00000000003</v>
      </c>
      <c r="F40">
        <f>F34-F28</f>
        <v>250000</v>
      </c>
      <c r="G40">
        <f t="shared" ref="G40:Q40" si="12">G34-G28</f>
        <v>250000</v>
      </c>
      <c r="H40">
        <f t="shared" si="12"/>
        <v>250000</v>
      </c>
      <c r="I40">
        <f t="shared" si="12"/>
        <v>250000</v>
      </c>
      <c r="J40">
        <f t="shared" si="12"/>
        <v>250000</v>
      </c>
      <c r="K40">
        <f t="shared" si="12"/>
        <v>250000</v>
      </c>
      <c r="L40">
        <f t="shared" si="12"/>
        <v>250000</v>
      </c>
      <c r="M40">
        <f t="shared" si="12"/>
        <v>250000</v>
      </c>
      <c r="N40">
        <f t="shared" si="12"/>
        <v>250000</v>
      </c>
      <c r="O40">
        <f t="shared" si="12"/>
        <v>250000</v>
      </c>
      <c r="P40">
        <f t="shared" si="12"/>
        <v>250000</v>
      </c>
      <c r="Q40">
        <f t="shared" si="12"/>
        <v>250000</v>
      </c>
      <c r="R40" s="24">
        <f>NPV(C5,C40:Q40)</f>
        <v>2496000</v>
      </c>
      <c r="T40" s="25">
        <f t="shared" si="10"/>
        <v>1199422.9557241071</v>
      </c>
    </row>
    <row r="41" spans="1:56" ht="14.25">
      <c r="A41" s="14">
        <v>4</v>
      </c>
      <c r="B41" s="14" t="s">
        <v>63</v>
      </c>
      <c r="C41">
        <f>C35-D10-C29</f>
        <v>-132000</v>
      </c>
      <c r="D41">
        <f>D35-E10-D29</f>
        <v>-144000</v>
      </c>
      <c r="E41">
        <f>E35-F10-E29</f>
        <v>-156000</v>
      </c>
      <c r="F41">
        <f>F35-F29</f>
        <v>-143000</v>
      </c>
      <c r="G41">
        <f t="shared" ref="G41:Q41" si="13">G35-G29</f>
        <v>-143000</v>
      </c>
      <c r="H41">
        <f t="shared" si="13"/>
        <v>-143000</v>
      </c>
      <c r="I41">
        <f t="shared" si="13"/>
        <v>-143000</v>
      </c>
      <c r="J41">
        <f t="shared" si="13"/>
        <v>-143000</v>
      </c>
      <c r="K41">
        <f t="shared" si="13"/>
        <v>-143000</v>
      </c>
      <c r="L41">
        <f t="shared" si="13"/>
        <v>-143000</v>
      </c>
      <c r="M41">
        <f t="shared" si="13"/>
        <v>-143000</v>
      </c>
      <c r="N41">
        <f t="shared" si="13"/>
        <v>-143000</v>
      </c>
      <c r="O41">
        <f t="shared" si="13"/>
        <v>-143000</v>
      </c>
      <c r="P41">
        <f t="shared" si="13"/>
        <v>-143000</v>
      </c>
      <c r="Q41">
        <f t="shared" si="13"/>
        <v>-143000</v>
      </c>
      <c r="R41" s="24" t="e">
        <f>NPV(C6,C41:Q41)</f>
        <v>#VALUE!</v>
      </c>
      <c r="T41" s="25">
        <f t="shared" si="10"/>
        <v>-1406357.9306741895</v>
      </c>
    </row>
    <row r="42" spans="1:56" ht="14.25">
      <c r="A42" s="14">
        <v>5</v>
      </c>
      <c r="B42" s="14" t="s">
        <v>70</v>
      </c>
      <c r="C42">
        <f>0-D11-C23-C25</f>
        <v>-165000</v>
      </c>
      <c r="D42">
        <f>0-E11-D23-D25</f>
        <v>-180000</v>
      </c>
      <c r="E42">
        <f>0-F11-E23-E25</f>
        <v>-195000</v>
      </c>
      <c r="F42" s="8">
        <f>0-F23-F24</f>
        <v>-408500</v>
      </c>
      <c r="G42" s="8">
        <f>0-G23-G24</f>
        <v>-408500</v>
      </c>
      <c r="H42" s="8">
        <f t="shared" ref="H42" si="14">0-H23-H24</f>
        <v>-408500</v>
      </c>
      <c r="I42" s="8">
        <f>0-I23-I24</f>
        <v>-408500</v>
      </c>
      <c r="J42" s="8">
        <f>0-J23-J24</f>
        <v>-408500</v>
      </c>
      <c r="K42" s="8">
        <f>0-K23-K24</f>
        <v>-408500</v>
      </c>
      <c r="L42" s="8">
        <f>0-L23-L24</f>
        <v>-408500</v>
      </c>
      <c r="M42" s="8">
        <f>0-M23-M24</f>
        <v>-408500</v>
      </c>
      <c r="N42" s="8">
        <f>0-N23-N24</f>
        <v>-408500</v>
      </c>
      <c r="O42" s="8">
        <f>0-O23-O24</f>
        <v>-408500</v>
      </c>
      <c r="P42" s="8">
        <f>0-P23-P24</f>
        <v>-408500</v>
      </c>
      <c r="Q42" s="8">
        <f>0-Q23-Q24</f>
        <v>-408500</v>
      </c>
      <c r="R42" s="24">
        <f>NPV(C7,C42:Q42)</f>
        <v>-2230703.5457321671</v>
      </c>
      <c r="T42" s="25">
        <f>NPV($C$2,F42:Q42)+SUM(C42:E42)</f>
        <v>-3323393.1096531907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DB9E3-0311-41C8-84DE-B1DD1BA74AF1}">
  <dimension ref="A1:BD42"/>
  <sheetViews>
    <sheetView tabSelected="1" topLeftCell="A10" workbookViewId="0">
      <selection activeCell="G34" sqref="G34"/>
    </sheetView>
  </sheetViews>
  <sheetFormatPr defaultRowHeight="15"/>
  <cols>
    <col min="1" max="1" width="5.625" style="13" customWidth="1"/>
    <col min="2" max="2" width="15.875" customWidth="1"/>
    <col min="4" max="5" width="13.125" bestFit="1" customWidth="1"/>
    <col min="6" max="6" width="12.125" bestFit="1" customWidth="1"/>
    <col min="7" max="7" width="13.125" customWidth="1"/>
    <col min="8" max="8" width="33.5" customWidth="1"/>
    <col min="9" max="9" width="13.375" customWidth="1"/>
    <col min="10" max="17" width="12.125" bestFit="1" customWidth="1"/>
    <col min="18" max="18" width="16.25" customWidth="1"/>
    <col min="19" max="19" width="9" style="21"/>
    <col min="20" max="20" width="20.875" style="21" bestFit="1" customWidth="1"/>
    <col min="21" max="56" width="9" style="21"/>
  </cols>
  <sheetData>
    <row r="1" spans="1:13">
      <c r="A1"/>
      <c r="B1" s="13" t="s">
        <v>0</v>
      </c>
      <c r="H1" s="13" t="s">
        <v>79</v>
      </c>
      <c r="I1" s="13" t="s">
        <v>80</v>
      </c>
    </row>
    <row r="2" spans="1:13" ht="16.5">
      <c r="A2"/>
      <c r="B2" s="14" t="s">
        <v>66</v>
      </c>
      <c r="C2" s="2">
        <v>0.1</v>
      </c>
      <c r="G2">
        <v>5</v>
      </c>
      <c r="H2" s="13" t="s">
        <v>81</v>
      </c>
      <c r="I2" s="1">
        <v>4300000</v>
      </c>
      <c r="J2" t="s">
        <v>97</v>
      </c>
      <c r="M2" s="26" t="s">
        <v>107</v>
      </c>
    </row>
    <row r="3" spans="1:13" ht="14.25">
      <c r="A3"/>
      <c r="B3" s="14" t="s">
        <v>75</v>
      </c>
      <c r="C3" s="2">
        <v>0.36</v>
      </c>
      <c r="D3" t="s">
        <v>76</v>
      </c>
      <c r="E3" t="s">
        <v>77</v>
      </c>
      <c r="F3" t="s">
        <v>78</v>
      </c>
      <c r="G3">
        <v>5</v>
      </c>
      <c r="H3" t="s">
        <v>82</v>
      </c>
      <c r="I3">
        <v>2.5000000000000001E-2</v>
      </c>
      <c r="J3" t="s">
        <v>97</v>
      </c>
    </row>
    <row r="4" spans="1:13" ht="14.25">
      <c r="A4"/>
      <c r="D4">
        <f>C22*C3</f>
        <v>396000</v>
      </c>
      <c r="E4">
        <f>D22*C3</f>
        <v>432000</v>
      </c>
      <c r="F4">
        <f>E22*C3</f>
        <v>468000</v>
      </c>
      <c r="G4">
        <v>5</v>
      </c>
      <c r="H4" t="s">
        <v>83</v>
      </c>
      <c r="I4">
        <v>7.0000000000000007E-2</v>
      </c>
      <c r="J4" t="s">
        <v>97</v>
      </c>
      <c r="K4" t="s">
        <v>98</v>
      </c>
    </row>
    <row r="5" spans="1:13">
      <c r="A5"/>
      <c r="B5" s="13"/>
      <c r="G5">
        <v>2</v>
      </c>
      <c r="H5" s="13" t="s">
        <v>84</v>
      </c>
      <c r="I5" s="1">
        <v>125000</v>
      </c>
      <c r="J5" t="s">
        <v>97</v>
      </c>
    </row>
    <row r="6" spans="1:13">
      <c r="A6"/>
      <c r="B6" s="13" t="s">
        <v>67</v>
      </c>
      <c r="C6" t="s">
        <v>71</v>
      </c>
      <c r="D6" t="s">
        <v>72</v>
      </c>
      <c r="E6" t="s">
        <v>73</v>
      </c>
      <c r="F6" t="s">
        <v>74</v>
      </c>
      <c r="G6">
        <v>2</v>
      </c>
      <c r="H6" t="s">
        <v>85</v>
      </c>
      <c r="I6" s="2">
        <v>0.02</v>
      </c>
      <c r="J6" t="s">
        <v>97</v>
      </c>
    </row>
    <row r="7" spans="1:13" ht="14.25">
      <c r="A7" s="27"/>
      <c r="B7" s="27"/>
      <c r="C7" s="28"/>
      <c r="D7" s="27"/>
      <c r="E7" s="27"/>
      <c r="F7" s="27"/>
      <c r="G7">
        <v>2</v>
      </c>
      <c r="H7" t="s">
        <v>86</v>
      </c>
      <c r="I7">
        <v>1.75</v>
      </c>
      <c r="J7" t="s">
        <v>97</v>
      </c>
    </row>
    <row r="8" spans="1:13" ht="14.25">
      <c r="A8">
        <v>2</v>
      </c>
      <c r="B8" s="14" t="s">
        <v>69</v>
      </c>
      <c r="C8" s="2">
        <v>0.1</v>
      </c>
      <c r="D8">
        <f>$C$22*C8</f>
        <v>110000</v>
      </c>
      <c r="E8">
        <f>$D$22*C8</f>
        <v>120000</v>
      </c>
      <c r="F8">
        <f>$E$22*C8</f>
        <v>130000</v>
      </c>
      <c r="G8">
        <v>2</v>
      </c>
      <c r="H8" t="s">
        <v>87</v>
      </c>
      <c r="I8" s="1">
        <v>45000</v>
      </c>
      <c r="J8" t="s">
        <v>97</v>
      </c>
    </row>
    <row r="9" spans="1:13" ht="14.25">
      <c r="A9">
        <v>3</v>
      </c>
      <c r="B9" s="14" t="s">
        <v>104</v>
      </c>
      <c r="C9" s="2">
        <v>0.14000000000000001</v>
      </c>
      <c r="D9">
        <f>$C$22*C9</f>
        <v>154000.00000000003</v>
      </c>
      <c r="E9">
        <f>$D$22*C9</f>
        <v>168000.00000000003</v>
      </c>
      <c r="F9">
        <f>$E$22*C9</f>
        <v>182000.00000000003</v>
      </c>
      <c r="G9">
        <v>2</v>
      </c>
      <c r="H9" t="s">
        <v>88</v>
      </c>
      <c r="I9">
        <v>0.55000000000000004</v>
      </c>
      <c r="J9" t="s">
        <v>97</v>
      </c>
      <c r="K9" t="s">
        <v>98</v>
      </c>
    </row>
    <row r="10" spans="1:13" ht="14.25">
      <c r="A10">
        <v>4</v>
      </c>
      <c r="B10" s="14" t="s">
        <v>63</v>
      </c>
      <c r="C10" s="2">
        <v>0.12</v>
      </c>
      <c r="D10">
        <f>$C$22*C10</f>
        <v>132000</v>
      </c>
      <c r="E10">
        <f>$D$22*C10</f>
        <v>144000</v>
      </c>
      <c r="F10">
        <f>$E$22*C10</f>
        <v>156000</v>
      </c>
      <c r="G10">
        <v>1</v>
      </c>
      <c r="H10" t="s">
        <v>89</v>
      </c>
      <c r="I10" s="1">
        <v>400000</v>
      </c>
      <c r="J10" t="s">
        <v>97</v>
      </c>
    </row>
    <row r="11" spans="1:13" ht="18" customHeight="1">
      <c r="A11">
        <v>5</v>
      </c>
      <c r="B11" s="14" t="s">
        <v>70</v>
      </c>
      <c r="C11" s="2">
        <v>0.15</v>
      </c>
      <c r="D11">
        <f>$C$22*C11</f>
        <v>165000</v>
      </c>
      <c r="E11">
        <f>$D$22*C11</f>
        <v>180000</v>
      </c>
      <c r="F11">
        <f>$E$22*C11</f>
        <v>195000</v>
      </c>
      <c r="G11">
        <v>1</v>
      </c>
      <c r="H11" t="s">
        <v>90</v>
      </c>
      <c r="I11" s="1">
        <v>100000</v>
      </c>
      <c r="J11" t="s">
        <v>97</v>
      </c>
    </row>
    <row r="12" spans="1:13" ht="18" customHeight="1">
      <c r="A12"/>
      <c r="B12" s="14"/>
      <c r="C12" s="2"/>
      <c r="G12">
        <v>3</v>
      </c>
      <c r="H12" s="13" t="s">
        <v>91</v>
      </c>
      <c r="I12" s="1">
        <v>2500</v>
      </c>
      <c r="J12" t="s">
        <v>97</v>
      </c>
    </row>
    <row r="13" spans="1:13" ht="18" customHeight="1">
      <c r="A13"/>
      <c r="B13" s="14"/>
      <c r="C13" s="2"/>
      <c r="G13">
        <v>3</v>
      </c>
      <c r="H13" t="s">
        <v>92</v>
      </c>
      <c r="I13">
        <v>110</v>
      </c>
      <c r="J13" t="s">
        <v>97</v>
      </c>
    </row>
    <row r="14" spans="1:13" ht="18" customHeight="1">
      <c r="A14"/>
      <c r="B14" s="14"/>
      <c r="C14" s="2"/>
      <c r="G14">
        <v>3</v>
      </c>
      <c r="H14" t="s">
        <v>93</v>
      </c>
      <c r="I14">
        <v>10</v>
      </c>
      <c r="J14" t="s">
        <v>97</v>
      </c>
    </row>
    <row r="15" spans="1:13" ht="18" customHeight="1">
      <c r="A15"/>
      <c r="B15" s="14"/>
      <c r="C15" s="2"/>
      <c r="G15">
        <v>4</v>
      </c>
      <c r="H15" s="13" t="s">
        <v>94</v>
      </c>
      <c r="I15" s="1">
        <v>11000000</v>
      </c>
      <c r="J15" t="s">
        <v>97</v>
      </c>
    </row>
    <row r="16" spans="1:13" ht="18" customHeight="1">
      <c r="A16"/>
      <c r="B16" s="14"/>
      <c r="C16" s="2"/>
      <c r="G16">
        <v>4</v>
      </c>
      <c r="H16" t="s">
        <v>95</v>
      </c>
      <c r="I16">
        <v>1.7000000000000001E-2</v>
      </c>
      <c r="J16" t="s">
        <v>97</v>
      </c>
    </row>
    <row r="17" spans="1:56" ht="18" customHeight="1">
      <c r="A17"/>
      <c r="B17" s="14"/>
      <c r="C17" s="2"/>
      <c r="G17">
        <v>4</v>
      </c>
      <c r="H17" t="s">
        <v>96</v>
      </c>
      <c r="I17">
        <v>4.0000000000000001E-3</v>
      </c>
      <c r="J17" t="s">
        <v>97</v>
      </c>
    </row>
    <row r="18" spans="1:56">
      <c r="R18" s="21"/>
    </row>
    <row r="19" spans="1:56">
      <c r="A19" s="21"/>
      <c r="B19" s="16" t="s">
        <v>65</v>
      </c>
      <c r="C19" s="17">
        <v>1</v>
      </c>
      <c r="D19" s="17">
        <v>2</v>
      </c>
      <c r="E19" s="17">
        <v>3</v>
      </c>
      <c r="F19" s="17">
        <v>4</v>
      </c>
      <c r="G19" s="17">
        <v>5</v>
      </c>
      <c r="H19" s="17">
        <v>6</v>
      </c>
      <c r="I19" s="17">
        <v>7</v>
      </c>
      <c r="J19" s="17">
        <v>8</v>
      </c>
      <c r="K19" s="17">
        <v>9</v>
      </c>
      <c r="L19" s="17">
        <v>10</v>
      </c>
      <c r="M19" s="17">
        <v>11</v>
      </c>
      <c r="N19" s="17">
        <v>12</v>
      </c>
      <c r="O19" s="17">
        <v>13</v>
      </c>
      <c r="P19" s="17">
        <v>14</v>
      </c>
      <c r="Q19" s="17">
        <v>15</v>
      </c>
      <c r="R19" s="21"/>
    </row>
    <row r="20" spans="1:56" s="19" customFormat="1">
      <c r="A20" s="21"/>
      <c r="B20" s="20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</row>
    <row r="21" spans="1:56" ht="14.25">
      <c r="A21" s="21"/>
      <c r="B21" s="15" t="s">
        <v>13</v>
      </c>
    </row>
    <row r="22" spans="1:56" ht="14.25">
      <c r="A22" s="21"/>
      <c r="B22" s="14" t="s">
        <v>52</v>
      </c>
      <c r="C22">
        <v>1100000</v>
      </c>
      <c r="D22">
        <v>1200000</v>
      </c>
      <c r="E22">
        <v>1300000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97</v>
      </c>
    </row>
    <row r="23" spans="1:56" ht="14.25">
      <c r="A23" s="21">
        <v>5</v>
      </c>
      <c r="B23" s="14" t="s">
        <v>100</v>
      </c>
      <c r="C23">
        <v>0</v>
      </c>
      <c r="D23">
        <v>0</v>
      </c>
      <c r="E23">
        <v>0</v>
      </c>
      <c r="F23" s="8">
        <f>($I$3*$I$2)</f>
        <v>107500</v>
      </c>
      <c r="G23" s="8">
        <f>($I$3*$I$2)</f>
        <v>107500</v>
      </c>
      <c r="H23" s="8">
        <f>($I$3*$I$2)</f>
        <v>107500</v>
      </c>
      <c r="I23" s="8">
        <f>($I$3*$I$2)</f>
        <v>107500</v>
      </c>
      <c r="J23" s="8">
        <f>($I$3*$I$2)</f>
        <v>107500</v>
      </c>
      <c r="K23" s="8">
        <f>($I$3*$I$2)</f>
        <v>107500</v>
      </c>
      <c r="L23" s="8">
        <f>($I$3*$I$2)</f>
        <v>107500</v>
      </c>
      <c r="M23" s="8">
        <f>($I$3*$I$2)</f>
        <v>107500</v>
      </c>
      <c r="N23" s="8">
        <f>($I$3*$I$2)</f>
        <v>107500</v>
      </c>
      <c r="O23" s="8">
        <f>($I$3*$I$2)</f>
        <v>107500</v>
      </c>
      <c r="P23" s="8">
        <f>($I$3*$I$2)</f>
        <v>107500</v>
      </c>
      <c r="Q23" s="8">
        <f>($I$3*$I$2)</f>
        <v>107500</v>
      </c>
      <c r="R23" t="s">
        <v>97</v>
      </c>
    </row>
    <row r="24" spans="1:56" ht="14.25">
      <c r="A24" s="21">
        <v>5</v>
      </c>
      <c r="B24" s="14" t="s">
        <v>106</v>
      </c>
      <c r="C24">
        <v>0</v>
      </c>
      <c r="D24">
        <v>0</v>
      </c>
      <c r="E24">
        <v>0</v>
      </c>
      <c r="F24" s="8">
        <f>$I$4*$I$2</f>
        <v>301000</v>
      </c>
      <c r="G24" s="8">
        <f t="shared" ref="G24:Q24" si="0">$I$4*$I$2</f>
        <v>301000</v>
      </c>
      <c r="H24" s="8">
        <f>$I$4*$I$2</f>
        <v>301000</v>
      </c>
      <c r="I24" s="8">
        <f t="shared" si="0"/>
        <v>301000</v>
      </c>
      <c r="J24" s="8">
        <f t="shared" si="0"/>
        <v>301000</v>
      </c>
      <c r="K24" s="8">
        <f t="shared" si="0"/>
        <v>301000</v>
      </c>
      <c r="L24" s="8">
        <f t="shared" si="0"/>
        <v>301000</v>
      </c>
      <c r="M24" s="8">
        <f t="shared" si="0"/>
        <v>301000</v>
      </c>
      <c r="N24" s="8">
        <f t="shared" si="0"/>
        <v>301000</v>
      </c>
      <c r="O24" s="8">
        <f t="shared" si="0"/>
        <v>301000</v>
      </c>
      <c r="P24" s="8">
        <f t="shared" si="0"/>
        <v>301000</v>
      </c>
      <c r="Q24" s="8">
        <f t="shared" si="0"/>
        <v>301000</v>
      </c>
      <c r="R24" t="s">
        <v>97</v>
      </c>
    </row>
    <row r="25" spans="1:56" ht="14.25">
      <c r="A25" s="21">
        <v>2</v>
      </c>
      <c r="B25" s="14" t="s">
        <v>101</v>
      </c>
      <c r="C25">
        <v>0</v>
      </c>
      <c r="D25">
        <v>0</v>
      </c>
      <c r="E25">
        <v>0</v>
      </c>
      <c r="F25" s="1">
        <f>$I$8</f>
        <v>45000</v>
      </c>
      <c r="G25" s="1">
        <f>$I$8</f>
        <v>45000</v>
      </c>
      <c r="H25" s="1">
        <f>$I$8</f>
        <v>45000</v>
      </c>
      <c r="I25" s="1">
        <f t="shared" ref="I25:Q25" si="1">$I$8</f>
        <v>45000</v>
      </c>
      <c r="J25" s="1">
        <f t="shared" si="1"/>
        <v>45000</v>
      </c>
      <c r="K25" s="1">
        <f t="shared" si="1"/>
        <v>45000</v>
      </c>
      <c r="L25" s="1">
        <f t="shared" si="1"/>
        <v>45000</v>
      </c>
      <c r="M25" s="1">
        <f t="shared" si="1"/>
        <v>45000</v>
      </c>
      <c r="N25" s="1">
        <f t="shared" si="1"/>
        <v>45000</v>
      </c>
      <c r="O25" s="1">
        <f t="shared" si="1"/>
        <v>45000</v>
      </c>
      <c r="P25" s="1">
        <f t="shared" si="1"/>
        <v>45000</v>
      </c>
      <c r="Q25" s="1">
        <f t="shared" si="1"/>
        <v>45000</v>
      </c>
    </row>
    <row r="26" spans="1:56" ht="14.25">
      <c r="A26" s="21">
        <v>2</v>
      </c>
      <c r="B26" s="14" t="s">
        <v>102</v>
      </c>
      <c r="C26">
        <v>0</v>
      </c>
      <c r="D26">
        <v>0</v>
      </c>
      <c r="E26">
        <v>0</v>
      </c>
      <c r="F26">
        <f>$I$5*$I$9</f>
        <v>68750</v>
      </c>
      <c r="G26">
        <f>F26*(1+$I$6)</f>
        <v>70125</v>
      </c>
      <c r="H26">
        <f t="shared" ref="H26:Q26" si="2">G26*(1+$I$6)</f>
        <v>71527.5</v>
      </c>
      <c r="I26">
        <f t="shared" si="2"/>
        <v>72958.05</v>
      </c>
      <c r="J26">
        <f t="shared" si="2"/>
        <v>74417.21100000001</v>
      </c>
      <c r="K26">
        <f t="shared" si="2"/>
        <v>75905.555220000009</v>
      </c>
      <c r="L26">
        <f t="shared" si="2"/>
        <v>77423.666324400008</v>
      </c>
      <c r="M26">
        <f t="shared" si="2"/>
        <v>78972.139650888013</v>
      </c>
      <c r="N26">
        <f t="shared" si="2"/>
        <v>80551.582443905776</v>
      </c>
      <c r="O26">
        <f t="shared" si="2"/>
        <v>82162.614092783886</v>
      </c>
      <c r="P26">
        <f t="shared" si="2"/>
        <v>83805.866374639561</v>
      </c>
      <c r="Q26">
        <f t="shared" si="2"/>
        <v>85481.983702132347</v>
      </c>
      <c r="R26" t="s">
        <v>97</v>
      </c>
    </row>
    <row r="27" spans="1:56" ht="14.25">
      <c r="A27" s="21">
        <v>3</v>
      </c>
      <c r="B27" s="14" t="s">
        <v>104</v>
      </c>
      <c r="C27">
        <v>0</v>
      </c>
      <c r="D27">
        <v>0</v>
      </c>
      <c r="E27">
        <v>0</v>
      </c>
      <c r="F27">
        <f>$I$14*$I$12</f>
        <v>25000</v>
      </c>
      <c r="G27">
        <f>$I$14*$I$12</f>
        <v>25000</v>
      </c>
      <c r="H27">
        <f t="shared" ref="H27:Q27" si="3">$I$14*$I$12</f>
        <v>25000</v>
      </c>
      <c r="I27">
        <f t="shared" si="3"/>
        <v>25000</v>
      </c>
      <c r="J27">
        <f t="shared" si="3"/>
        <v>25000</v>
      </c>
      <c r="K27">
        <f t="shared" si="3"/>
        <v>25000</v>
      </c>
      <c r="L27">
        <f t="shared" si="3"/>
        <v>25000</v>
      </c>
      <c r="M27">
        <f t="shared" si="3"/>
        <v>25000</v>
      </c>
      <c r="N27">
        <f t="shared" si="3"/>
        <v>25000</v>
      </c>
      <c r="O27">
        <f t="shared" si="3"/>
        <v>25000</v>
      </c>
      <c r="P27">
        <f t="shared" si="3"/>
        <v>25000</v>
      </c>
      <c r="Q27">
        <f t="shared" si="3"/>
        <v>25000</v>
      </c>
    </row>
    <row r="28" spans="1:56" ht="14.25">
      <c r="A28" s="21">
        <v>4</v>
      </c>
      <c r="B28" s="14" t="s">
        <v>63</v>
      </c>
      <c r="C28">
        <v>0</v>
      </c>
      <c r="D28">
        <v>0</v>
      </c>
      <c r="E28">
        <v>0</v>
      </c>
      <c r="F28">
        <f>$I$15*$I$16</f>
        <v>187000</v>
      </c>
      <c r="G28">
        <f>$I$15*$I$16</f>
        <v>187000</v>
      </c>
      <c r="H28">
        <f t="shared" ref="H28:Q28" si="4">$I$15*$I$16</f>
        <v>187000</v>
      </c>
      <c r="I28">
        <f t="shared" si="4"/>
        <v>187000</v>
      </c>
      <c r="J28">
        <f t="shared" si="4"/>
        <v>187000</v>
      </c>
      <c r="K28">
        <f t="shared" si="4"/>
        <v>187000</v>
      </c>
      <c r="L28">
        <f t="shared" si="4"/>
        <v>187000</v>
      </c>
      <c r="M28">
        <f t="shared" si="4"/>
        <v>187000</v>
      </c>
      <c r="N28">
        <f t="shared" si="4"/>
        <v>187000</v>
      </c>
      <c r="O28">
        <f t="shared" si="4"/>
        <v>187000</v>
      </c>
      <c r="P28">
        <f t="shared" si="4"/>
        <v>187000</v>
      </c>
      <c r="Q28">
        <f t="shared" si="4"/>
        <v>187000</v>
      </c>
    </row>
    <row r="29" spans="1:56">
      <c r="A29" s="21"/>
      <c r="B29" s="13"/>
    </row>
    <row r="30" spans="1:56">
      <c r="B30" s="29" t="s">
        <v>108</v>
      </c>
      <c r="C30" s="17" t="s">
        <v>109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56" ht="14.25">
      <c r="A31">
        <v>2</v>
      </c>
      <c r="B31" s="14" t="s">
        <v>69</v>
      </c>
    </row>
    <row r="32" spans="1:56" ht="14.25">
      <c r="A32">
        <v>3</v>
      </c>
      <c r="B32" s="14" t="s">
        <v>104</v>
      </c>
    </row>
    <row r="33" spans="1:17" ht="14.25">
      <c r="A33">
        <v>4</v>
      </c>
      <c r="B33" s="14" t="s">
        <v>63</v>
      </c>
    </row>
    <row r="34" spans="1:17" ht="14.25">
      <c r="A34">
        <v>5</v>
      </c>
      <c r="B34" s="14" t="s">
        <v>70</v>
      </c>
    </row>
    <row r="35" spans="1:17">
      <c r="C35">
        <v>0</v>
      </c>
      <c r="D35">
        <v>0</v>
      </c>
      <c r="E35">
        <v>0</v>
      </c>
      <c r="F35" s="8">
        <f>$B$42</f>
        <v>544492.07660567726</v>
      </c>
      <c r="G35" s="8">
        <f t="shared" ref="G35:Q35" si="5">$B$42</f>
        <v>544492.07660567726</v>
      </c>
      <c r="H35" s="8">
        <f t="shared" si="5"/>
        <v>544492.07660567726</v>
      </c>
      <c r="I35" s="8">
        <f t="shared" si="5"/>
        <v>544492.07660567726</v>
      </c>
      <c r="J35" s="8">
        <f t="shared" si="5"/>
        <v>544492.07660567726</v>
      </c>
      <c r="K35" s="8">
        <f t="shared" si="5"/>
        <v>544492.07660567726</v>
      </c>
      <c r="L35" s="8">
        <f t="shared" si="5"/>
        <v>544492.07660567726</v>
      </c>
      <c r="M35" s="8">
        <f t="shared" si="5"/>
        <v>544492.07660567726</v>
      </c>
      <c r="N35" s="8">
        <f t="shared" si="5"/>
        <v>544492.07660567726</v>
      </c>
      <c r="O35" s="8">
        <f t="shared" si="5"/>
        <v>544492.07660567726</v>
      </c>
      <c r="P35" s="8">
        <f t="shared" si="5"/>
        <v>544492.07660567726</v>
      </c>
      <c r="Q35" s="8">
        <f t="shared" si="5"/>
        <v>544492.07660567726</v>
      </c>
    </row>
    <row r="39" spans="1:17">
      <c r="B39" t="s">
        <v>109</v>
      </c>
    </row>
    <row r="40" spans="1:17">
      <c r="B40">
        <f>(C22*(1+C2)^C19)+(D22+(1+C2)^D19)+(E22)</f>
        <v>3710001.21</v>
      </c>
      <c r="D40" s="8">
        <f>NPV(10%,C22:E22)</f>
        <v>2968444.7783621331</v>
      </c>
      <c r="E40" s="8"/>
    </row>
    <row r="41" spans="1:17">
      <c r="B41">
        <f>SUM(C22:E22)</f>
        <v>3600000</v>
      </c>
      <c r="D41" s="8">
        <f>NPV(10%,C35:Q35)</f>
        <v>2787378.820435761</v>
      </c>
    </row>
    <row r="42" spans="1:17">
      <c r="B42" s="8">
        <f>-PMT(C2,12,B40)</f>
        <v>544492.07660567726</v>
      </c>
      <c r="D4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 1</vt:lpstr>
      <vt:lpstr>Problem 1 Breakeven</vt:lpstr>
      <vt:lpstr>delete</vt:lpstr>
      <vt:lpstr>Problem 2</vt:lpstr>
      <vt:lpstr>Problem 3</vt:lpstr>
      <vt:lpstr>3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Sophia Donnelly</dc:creator>
  <cp:lastModifiedBy>Emma Sophia Donnelly</cp:lastModifiedBy>
  <dcterms:created xsi:type="dcterms:W3CDTF">2025-02-08T17:05:42Z</dcterms:created>
  <dcterms:modified xsi:type="dcterms:W3CDTF">2025-02-12T19:46:48Z</dcterms:modified>
</cp:coreProperties>
</file>