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mma\Downloads\"/>
    </mc:Choice>
  </mc:AlternateContent>
  <xr:revisionPtr revIDLastSave="0" documentId="13_ncr:1_{88CB5D85-C8CE-4D96-977F-6ED668B630B1}" xr6:coauthVersionLast="47" xr6:coauthVersionMax="47" xr10:uidLastSave="{00000000-0000-0000-0000-000000000000}"/>
  <bookViews>
    <workbookView xWindow="-110" yWindow="-110" windowWidth="19420" windowHeight="10300" firstSheet="7" activeTab="7" xr2:uid="{3D9CDADF-415B-42B7-BF7A-9C8D4EBFAFAF}"/>
  </bookViews>
  <sheets>
    <sheet name="Book Example" sheetId="3" r:id="rId1"/>
    <sheet name="Problem 2" sheetId="6" r:id="rId2"/>
    <sheet name="Problem 1" sheetId="2" r:id="rId3"/>
    <sheet name="Sheet1" sheetId="1" r:id="rId4"/>
    <sheet name="Problem 1 Financial Analysis" sheetId="4" r:id="rId5"/>
    <sheet name="Problem 1 Economic Analysis" sheetId="5" r:id="rId6"/>
    <sheet name="Problem 2 FinEc Analysis" sheetId="7" r:id="rId7"/>
    <sheet name="Problem 3 Financial Analysis" sheetId="8" r:id="rId8"/>
    <sheet name="Problem 3 Economic Analysi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8" l="1"/>
  <c r="C59" i="8" s="1"/>
  <c r="C58" i="8" s="1"/>
  <c r="C38" i="8"/>
  <c r="C31" i="8" s="1"/>
  <c r="O30" i="8" s="1"/>
  <c r="K12" i="8"/>
  <c r="K13" i="8"/>
  <c r="D50" i="7"/>
  <c r="D12" i="7"/>
  <c r="E6" i="7"/>
  <c r="D6" i="7"/>
  <c r="C6" i="7"/>
  <c r="C5" i="7"/>
  <c r="F5" i="7"/>
  <c r="E5" i="7"/>
  <c r="D5" i="7"/>
  <c r="D47" i="7"/>
  <c r="C37" i="7"/>
  <c r="C36" i="7"/>
  <c r="D30" i="7"/>
  <c r="B30" i="7"/>
  <c r="B36" i="7"/>
  <c r="D32" i="7"/>
  <c r="D31" i="7"/>
  <c r="D29" i="7"/>
  <c r="P20" i="7"/>
  <c r="N20" i="7"/>
  <c r="N19" i="7"/>
  <c r="C32" i="4"/>
  <c r="C50" i="8"/>
  <c r="E59" i="9"/>
  <c r="E58" i="9" s="1"/>
  <c r="B57" i="9"/>
  <c r="O48" i="9"/>
  <c r="M39" i="9"/>
  <c r="M59" i="9" s="1"/>
  <c r="M58" i="9" s="1"/>
  <c r="L39" i="9"/>
  <c r="L59" i="9" s="1"/>
  <c r="L58" i="9" s="1"/>
  <c r="K39" i="9"/>
  <c r="K59" i="9" s="1"/>
  <c r="K58" i="9" s="1"/>
  <c r="J39" i="9"/>
  <c r="J59" i="9" s="1"/>
  <c r="J58" i="9" s="1"/>
  <c r="I39" i="9"/>
  <c r="I59" i="9" s="1"/>
  <c r="I58" i="9" s="1"/>
  <c r="H39" i="9"/>
  <c r="H59" i="9" s="1"/>
  <c r="H58" i="9" s="1"/>
  <c r="G39" i="9"/>
  <c r="G59" i="9" s="1"/>
  <c r="G58" i="9" s="1"/>
  <c r="F39" i="9"/>
  <c r="F59" i="9" s="1"/>
  <c r="F58" i="9" s="1"/>
  <c r="E39" i="9"/>
  <c r="D39" i="9"/>
  <c r="D59" i="9" s="1"/>
  <c r="D58" i="9" s="1"/>
  <c r="C39" i="9"/>
  <c r="C59" i="9" s="1"/>
  <c r="C58" i="9" s="1"/>
  <c r="M38" i="9"/>
  <c r="L38" i="9"/>
  <c r="K38" i="9"/>
  <c r="J38" i="9"/>
  <c r="I38" i="9"/>
  <c r="H38" i="9"/>
  <c r="G38" i="9"/>
  <c r="E38" i="9"/>
  <c r="B37" i="9"/>
  <c r="B33" i="9"/>
  <c r="B53" i="9" s="1"/>
  <c r="O28" i="9"/>
  <c r="F21" i="9"/>
  <c r="K11" i="9"/>
  <c r="K8" i="9"/>
  <c r="K7" i="9"/>
  <c r="K9" i="9" s="1"/>
  <c r="K12" i="9" s="1"/>
  <c r="K13" i="9" s="1"/>
  <c r="C54" i="7"/>
  <c r="C55" i="7" s="1"/>
  <c r="B54" i="7"/>
  <c r="B55" i="7" s="1"/>
  <c r="O45" i="7"/>
  <c r="D48" i="7"/>
  <c r="D57" i="7"/>
  <c r="E50" i="7"/>
  <c r="F50" i="7"/>
  <c r="G50" i="7"/>
  <c r="H50" i="7"/>
  <c r="H48" i="7" s="1"/>
  <c r="H57" i="7" s="1"/>
  <c r="I50" i="7"/>
  <c r="I48" i="7" s="1"/>
  <c r="J50" i="7"/>
  <c r="K50" i="7"/>
  <c r="K48" i="7" s="1"/>
  <c r="L50" i="7"/>
  <c r="L48" i="7" s="1"/>
  <c r="M50" i="7"/>
  <c r="D49" i="7"/>
  <c r="E13" i="7"/>
  <c r="D13" i="7"/>
  <c r="F13" i="7"/>
  <c r="F12" i="7"/>
  <c r="E12" i="7"/>
  <c r="F6" i="7"/>
  <c r="E48" i="7"/>
  <c r="M49" i="7"/>
  <c r="L49" i="7"/>
  <c r="K49" i="7"/>
  <c r="J49" i="7"/>
  <c r="J48" i="7" s="1"/>
  <c r="I49" i="7"/>
  <c r="H49" i="7"/>
  <c r="G49" i="7"/>
  <c r="F49" i="7"/>
  <c r="E49" i="7"/>
  <c r="F48" i="7"/>
  <c r="C48" i="7"/>
  <c r="C57" i="7" s="1"/>
  <c r="M47" i="7"/>
  <c r="L47" i="7"/>
  <c r="K47" i="7"/>
  <c r="J47" i="7"/>
  <c r="I47" i="7"/>
  <c r="H47" i="7"/>
  <c r="G47" i="7"/>
  <c r="F47" i="7"/>
  <c r="E47" i="7"/>
  <c r="E57" i="7" s="1"/>
  <c r="D56" i="8"/>
  <c r="E56" i="8"/>
  <c r="F56" i="8"/>
  <c r="G56" i="8"/>
  <c r="G57" i="8" s="1"/>
  <c r="H56" i="8"/>
  <c r="I56" i="8"/>
  <c r="I57" i="8" s="1"/>
  <c r="I51" i="8" s="1"/>
  <c r="J56" i="8"/>
  <c r="K56" i="8"/>
  <c r="L56" i="8"/>
  <c r="L57" i="8" s="1"/>
  <c r="M56" i="8"/>
  <c r="C57" i="8"/>
  <c r="C56" i="8"/>
  <c r="D55" i="8"/>
  <c r="E55" i="8"/>
  <c r="E57" i="8" s="1"/>
  <c r="E51" i="8" s="1"/>
  <c r="F55" i="8"/>
  <c r="F57" i="8" s="1"/>
  <c r="G55" i="8"/>
  <c r="H55" i="8"/>
  <c r="I55" i="8"/>
  <c r="J55" i="8"/>
  <c r="J57" i="8" s="1"/>
  <c r="K55" i="8"/>
  <c r="L55" i="8"/>
  <c r="M55" i="8"/>
  <c r="M57" i="8" s="1"/>
  <c r="C55" i="8"/>
  <c r="F21" i="8"/>
  <c r="B53" i="8"/>
  <c r="L50" i="8"/>
  <c r="I50" i="8"/>
  <c r="M50" i="8"/>
  <c r="H50" i="8"/>
  <c r="G50" i="8"/>
  <c r="F50" i="8"/>
  <c r="E50" i="8"/>
  <c r="D50" i="8"/>
  <c r="B61" i="8"/>
  <c r="E59" i="8"/>
  <c r="D59" i="8"/>
  <c r="D58" i="8" s="1"/>
  <c r="E58" i="8"/>
  <c r="F59" i="8"/>
  <c r="F58" i="8" s="1"/>
  <c r="G59" i="8"/>
  <c r="H59" i="8"/>
  <c r="H58" i="8" s="1"/>
  <c r="I59" i="8"/>
  <c r="J59" i="8"/>
  <c r="K59" i="8"/>
  <c r="L59" i="8"/>
  <c r="L58" i="8" s="1"/>
  <c r="M59" i="8"/>
  <c r="M58" i="8" s="1"/>
  <c r="B51" i="8"/>
  <c r="J50" i="8"/>
  <c r="K50" i="8"/>
  <c r="B54" i="8"/>
  <c r="K58" i="8"/>
  <c r="G58" i="8"/>
  <c r="J58" i="8"/>
  <c r="I58" i="8"/>
  <c r="B57" i="8"/>
  <c r="K57" i="8"/>
  <c r="H57" i="8"/>
  <c r="D57" i="8"/>
  <c r="D51" i="8" s="1"/>
  <c r="O48" i="8"/>
  <c r="D39" i="7"/>
  <c r="E39" i="7"/>
  <c r="F39" i="7"/>
  <c r="G39" i="7"/>
  <c r="H39" i="7"/>
  <c r="I39" i="7"/>
  <c r="J39" i="7"/>
  <c r="K39" i="7"/>
  <c r="L39" i="7"/>
  <c r="M39" i="7"/>
  <c r="B39" i="7"/>
  <c r="E30" i="7"/>
  <c r="F30" i="7"/>
  <c r="G30" i="7"/>
  <c r="H30" i="7"/>
  <c r="I30" i="7"/>
  <c r="J30" i="7"/>
  <c r="K30" i="7"/>
  <c r="L30" i="7"/>
  <c r="M30" i="7"/>
  <c r="C30" i="7"/>
  <c r="C39" i="7" s="1"/>
  <c r="O28" i="7" s="1"/>
  <c r="C26" i="5"/>
  <c r="E23" i="5"/>
  <c r="C22" i="5"/>
  <c r="D35" i="5"/>
  <c r="E35" i="5"/>
  <c r="F35" i="5"/>
  <c r="G35" i="5"/>
  <c r="H35" i="5"/>
  <c r="I35" i="5"/>
  <c r="J35" i="5"/>
  <c r="K35" i="5"/>
  <c r="C35" i="5"/>
  <c r="C34" i="5"/>
  <c r="B30" i="5"/>
  <c r="B28" i="5"/>
  <c r="B25" i="5"/>
  <c r="D22" i="5"/>
  <c r="E22" i="5"/>
  <c r="F22" i="5"/>
  <c r="G22" i="5"/>
  <c r="H22" i="5"/>
  <c r="I22" i="5"/>
  <c r="J22" i="5"/>
  <c r="K22" i="5"/>
  <c r="C30" i="8"/>
  <c r="B31" i="8"/>
  <c r="B41" i="8" s="1"/>
  <c r="B33" i="8"/>
  <c r="D38" i="8"/>
  <c r="C37" i="8"/>
  <c r="O28" i="8"/>
  <c r="E41" i="8"/>
  <c r="F41" i="8"/>
  <c r="G41" i="8"/>
  <c r="H41" i="8"/>
  <c r="I41" i="8"/>
  <c r="J41" i="8"/>
  <c r="K41" i="8"/>
  <c r="L41" i="8"/>
  <c r="M41" i="8"/>
  <c r="D31" i="8"/>
  <c r="D41" i="8" s="1"/>
  <c r="E31" i="8"/>
  <c r="F31" i="8"/>
  <c r="G31" i="8"/>
  <c r="H31" i="8"/>
  <c r="I31" i="8"/>
  <c r="J31" i="8"/>
  <c r="K31" i="8"/>
  <c r="L31" i="8"/>
  <c r="M31" i="8"/>
  <c r="K7" i="8"/>
  <c r="D30" i="8"/>
  <c r="B34" i="8"/>
  <c r="C35" i="8"/>
  <c r="D39" i="8"/>
  <c r="E39" i="8"/>
  <c r="E38" i="8" s="1"/>
  <c r="F39" i="8"/>
  <c r="G39" i="8"/>
  <c r="G38" i="8" s="1"/>
  <c r="H39" i="8"/>
  <c r="H38" i="8" s="1"/>
  <c r="I39" i="8"/>
  <c r="I38" i="8" s="1"/>
  <c r="J39" i="8"/>
  <c r="K39" i="8"/>
  <c r="K38" i="8" s="1"/>
  <c r="L39" i="8"/>
  <c r="L38" i="8" s="1"/>
  <c r="M39" i="8"/>
  <c r="M38" i="8" s="1"/>
  <c r="F38" i="8"/>
  <c r="J38" i="8"/>
  <c r="B37" i="8"/>
  <c r="P16" i="7"/>
  <c r="K11" i="8"/>
  <c r="K8" i="8"/>
  <c r="L10" i="5"/>
  <c r="N4" i="5"/>
  <c r="N3" i="5"/>
  <c r="C17" i="7"/>
  <c r="E32" i="7" s="1"/>
  <c r="E10" i="7"/>
  <c r="O27" i="7"/>
  <c r="P18" i="7"/>
  <c r="Q13" i="7"/>
  <c r="P13" i="7" s="1"/>
  <c r="Q11" i="7"/>
  <c r="N18" i="7"/>
  <c r="N16" i="7"/>
  <c r="O13" i="7"/>
  <c r="N13" i="7" s="1"/>
  <c r="O11" i="7"/>
  <c r="H11" i="7"/>
  <c r="P11" i="7" s="1"/>
  <c r="O7" i="6"/>
  <c r="F11" i="7"/>
  <c r="M7" i="6"/>
  <c r="H10" i="7"/>
  <c r="N11" i="7" s="1"/>
  <c r="O6" i="6"/>
  <c r="F10" i="7"/>
  <c r="L6" i="6"/>
  <c r="H4" i="7"/>
  <c r="G4" i="7"/>
  <c r="F4" i="7"/>
  <c r="E4" i="7"/>
  <c r="D4" i="7"/>
  <c r="H3" i="7"/>
  <c r="G3" i="7"/>
  <c r="F3" i="7"/>
  <c r="E3" i="7"/>
  <c r="D3" i="7"/>
  <c r="P21" i="4"/>
  <c r="P20" i="4"/>
  <c r="P19" i="4"/>
  <c r="J4" i="4"/>
  <c r="Q19" i="4" s="1"/>
  <c r="J3" i="4"/>
  <c r="Q21" i="4" s="1"/>
  <c r="Q16" i="4"/>
  <c r="Q14" i="4"/>
  <c r="Q17" i="4" s="1"/>
  <c r="P18" i="4" s="1"/>
  <c r="P22" i="4" s="1"/>
  <c r="P23" i="4" s="1"/>
  <c r="H5" i="3"/>
  <c r="D16" i="5"/>
  <c r="J57" i="7" l="1"/>
  <c r="G48" i="7"/>
  <c r="B48" i="7"/>
  <c r="B57" i="7" s="1"/>
  <c r="O29" i="7"/>
  <c r="O31" i="7"/>
  <c r="H30" i="9"/>
  <c r="M30" i="9"/>
  <c r="L30" i="9"/>
  <c r="K30" i="9"/>
  <c r="J30" i="9"/>
  <c r="I30" i="9"/>
  <c r="C30" i="9"/>
  <c r="G30" i="9"/>
  <c r="F30" i="9"/>
  <c r="E30" i="9"/>
  <c r="D30" i="9"/>
  <c r="C38" i="9"/>
  <c r="B34" i="9"/>
  <c r="M55" i="9" s="1"/>
  <c r="D38" i="9"/>
  <c r="F38" i="9"/>
  <c r="C55" i="9"/>
  <c r="E55" i="9"/>
  <c r="G55" i="9"/>
  <c r="H56" i="9"/>
  <c r="H55" i="9"/>
  <c r="H57" i="9" s="1"/>
  <c r="H51" i="9" s="1"/>
  <c r="I55" i="9"/>
  <c r="O47" i="7"/>
  <c r="M48" i="7"/>
  <c r="M57" i="7" s="1"/>
  <c r="F57" i="7"/>
  <c r="K57" i="7"/>
  <c r="I57" i="7"/>
  <c r="O49" i="7" s="1"/>
  <c r="L57" i="7"/>
  <c r="G57" i="7"/>
  <c r="D61" i="8"/>
  <c r="C51" i="8"/>
  <c r="G51" i="8"/>
  <c r="I61" i="8"/>
  <c r="H51" i="8"/>
  <c r="H61" i="8"/>
  <c r="G61" i="8"/>
  <c r="J51" i="8"/>
  <c r="J61" i="8" s="1"/>
  <c r="L51" i="8"/>
  <c r="L61" i="8" s="1"/>
  <c r="K51" i="8"/>
  <c r="K61" i="8" s="1"/>
  <c r="M51" i="8"/>
  <c r="M61" i="8" s="1"/>
  <c r="E61" i="8"/>
  <c r="F51" i="8"/>
  <c r="F61" i="8" s="1"/>
  <c r="H22" i="4"/>
  <c r="I22" i="4"/>
  <c r="J22" i="4"/>
  <c r="C22" i="4"/>
  <c r="K22" i="4"/>
  <c r="G22" i="4"/>
  <c r="D22" i="4"/>
  <c r="F22" i="4"/>
  <c r="E22" i="4"/>
  <c r="M36" i="8"/>
  <c r="D35" i="8"/>
  <c r="M35" i="8"/>
  <c r="M37" i="8" s="1"/>
  <c r="G36" i="8"/>
  <c r="I36" i="8"/>
  <c r="K36" i="8"/>
  <c r="L36" i="8"/>
  <c r="C36" i="8"/>
  <c r="D36" i="8"/>
  <c r="H35" i="8"/>
  <c r="H36" i="8"/>
  <c r="G35" i="8"/>
  <c r="E36" i="8"/>
  <c r="L35" i="8"/>
  <c r="F36" i="8"/>
  <c r="K35" i="8"/>
  <c r="E35" i="8"/>
  <c r="E37" i="8" s="1"/>
  <c r="F35" i="8"/>
  <c r="F37" i="8" s="1"/>
  <c r="J36" i="8"/>
  <c r="I35" i="8"/>
  <c r="I37" i="8" s="1"/>
  <c r="J35" i="8"/>
  <c r="J37" i="8" s="1"/>
  <c r="K9" i="8"/>
  <c r="Q14" i="7"/>
  <c r="E17" i="7"/>
  <c r="F17" i="7"/>
  <c r="M31" i="7"/>
  <c r="M32" i="7"/>
  <c r="L31" i="7"/>
  <c r="L32" i="7"/>
  <c r="K31" i="7"/>
  <c r="K32" i="7"/>
  <c r="J31" i="7"/>
  <c r="J32" i="7"/>
  <c r="I31" i="7"/>
  <c r="I32" i="7"/>
  <c r="H31" i="7"/>
  <c r="H32" i="7"/>
  <c r="G31" i="7"/>
  <c r="G32" i="7"/>
  <c r="F31" i="7"/>
  <c r="F32" i="7"/>
  <c r="E31" i="7"/>
  <c r="B37" i="7"/>
  <c r="O14" i="7"/>
  <c r="O15" i="7" s="1"/>
  <c r="P14" i="7"/>
  <c r="P19" i="7" s="1"/>
  <c r="N14" i="7"/>
  <c r="O22" i="6"/>
  <c r="O21" i="6"/>
  <c r="O19" i="6"/>
  <c r="O20" i="6" s="1"/>
  <c r="M6" i="6"/>
  <c r="F5" i="6"/>
  <c r="E5" i="6"/>
  <c r="D5" i="6"/>
  <c r="F4" i="6"/>
  <c r="E4" i="6"/>
  <c r="D4" i="6"/>
  <c r="F7" i="5"/>
  <c r="F6" i="5"/>
  <c r="F5" i="5"/>
  <c r="M14" i="5"/>
  <c r="N14" i="5"/>
  <c r="O14" i="5" s="1"/>
  <c r="C23" i="5"/>
  <c r="C24" i="4"/>
  <c r="K26" i="5"/>
  <c r="K23" i="5" s="1"/>
  <c r="D26" i="5"/>
  <c r="D23" i="5" s="1"/>
  <c r="E26" i="5"/>
  <c r="F26" i="5"/>
  <c r="F23" i="5" s="1"/>
  <c r="G26" i="5"/>
  <c r="G23" i="5" s="1"/>
  <c r="H26" i="5"/>
  <c r="H23" i="5" s="1"/>
  <c r="I26" i="5"/>
  <c r="I23" i="5" s="1"/>
  <c r="J26" i="5"/>
  <c r="J23" i="5" s="1"/>
  <c r="C4" i="5"/>
  <c r="B12" i="5" s="1"/>
  <c r="B13" i="5" s="1"/>
  <c r="U5" i="5"/>
  <c r="U4" i="5"/>
  <c r="M18" i="5" s="1"/>
  <c r="U2" i="5"/>
  <c r="D32" i="4"/>
  <c r="D50" i="4" s="1"/>
  <c r="E32" i="4"/>
  <c r="E50" i="4" s="1"/>
  <c r="F32" i="4"/>
  <c r="F50" i="4" s="1"/>
  <c r="G32" i="4"/>
  <c r="G50" i="4" s="1"/>
  <c r="H32" i="4"/>
  <c r="H50" i="4" s="1"/>
  <c r="I32" i="4"/>
  <c r="J32" i="4"/>
  <c r="K32" i="4"/>
  <c r="K50" i="4" s="1"/>
  <c r="C50" i="4"/>
  <c r="I50" i="4"/>
  <c r="I5" i="4"/>
  <c r="P16" i="4" s="1"/>
  <c r="I7" i="4"/>
  <c r="D24" i="4"/>
  <c r="D42" i="4" s="1"/>
  <c r="L14" i="5"/>
  <c r="K10" i="5"/>
  <c r="C8" i="5"/>
  <c r="D7" i="5"/>
  <c r="L6" i="5"/>
  <c r="J6" i="5"/>
  <c r="D6" i="5"/>
  <c r="K5" i="5"/>
  <c r="N5" i="5" s="1"/>
  <c r="N7" i="5" s="1"/>
  <c r="J5" i="5"/>
  <c r="D5" i="5"/>
  <c r="L4" i="5"/>
  <c r="J4" i="5"/>
  <c r="L3" i="5"/>
  <c r="J3" i="5"/>
  <c r="O5" i="4"/>
  <c r="O4" i="4"/>
  <c r="M18" i="4" s="1"/>
  <c r="O2" i="4"/>
  <c r="I47" i="4"/>
  <c r="J47" i="4"/>
  <c r="K47" i="4"/>
  <c r="J46" i="4"/>
  <c r="K46" i="4"/>
  <c r="K48" i="4" s="1"/>
  <c r="I46" i="4"/>
  <c r="D16" i="4"/>
  <c r="B48" i="4"/>
  <c r="E24" i="4"/>
  <c r="G24" i="4"/>
  <c r="F24" i="4"/>
  <c r="H24" i="4"/>
  <c r="I24" i="4"/>
  <c r="J24" i="4"/>
  <c r="J42" i="4" s="1"/>
  <c r="K24" i="4"/>
  <c r="K42" i="4" s="1"/>
  <c r="K41" i="4" s="1"/>
  <c r="D24" i="2"/>
  <c r="J50" i="4"/>
  <c r="I30" i="4"/>
  <c r="J30" i="4"/>
  <c r="K30" i="4"/>
  <c r="B30" i="4"/>
  <c r="D41" i="2"/>
  <c r="D38" i="2"/>
  <c r="C23" i="2"/>
  <c r="D28" i="2"/>
  <c r="K14" i="4"/>
  <c r="J14" i="4"/>
  <c r="I10" i="4"/>
  <c r="C8" i="4"/>
  <c r="B26" i="4" s="1"/>
  <c r="B31" i="4" s="1"/>
  <c r="D7" i="4"/>
  <c r="J6" i="4"/>
  <c r="Q20" i="4" s="1"/>
  <c r="H6" i="4"/>
  <c r="D6" i="4"/>
  <c r="H5" i="4"/>
  <c r="D5" i="4"/>
  <c r="H4" i="4"/>
  <c r="C4" i="4"/>
  <c r="B12" i="4" s="1"/>
  <c r="H3" i="4"/>
  <c r="O46" i="7" l="1"/>
  <c r="J55" i="9"/>
  <c r="J57" i="9" s="1"/>
  <c r="J51" i="9" s="1"/>
  <c r="E56" i="9"/>
  <c r="K56" i="9"/>
  <c r="D55" i="9"/>
  <c r="D57" i="9" s="1"/>
  <c r="D51" i="9" s="1"/>
  <c r="D50" i="9"/>
  <c r="J56" i="9"/>
  <c r="D56" i="9"/>
  <c r="E50" i="9"/>
  <c r="F50" i="9"/>
  <c r="I56" i="9"/>
  <c r="I57" i="9" s="1"/>
  <c r="I51" i="9" s="1"/>
  <c r="G50" i="9"/>
  <c r="C50" i="9"/>
  <c r="I50" i="9"/>
  <c r="L36" i="9"/>
  <c r="K35" i="9"/>
  <c r="K36" i="9"/>
  <c r="J35" i="9"/>
  <c r="J36" i="9"/>
  <c r="I35" i="9"/>
  <c r="I36" i="9"/>
  <c r="H35" i="9"/>
  <c r="E35" i="9"/>
  <c r="E37" i="9" s="1"/>
  <c r="E31" i="9" s="1"/>
  <c r="E41" i="9" s="1"/>
  <c r="C56" i="9"/>
  <c r="C57" i="9" s="1"/>
  <c r="C51" i="9" s="1"/>
  <c r="H36" i="9"/>
  <c r="G35" i="9"/>
  <c r="F36" i="9"/>
  <c r="C35" i="9"/>
  <c r="C37" i="9" s="1"/>
  <c r="C31" i="9" s="1"/>
  <c r="C41" i="9" s="1"/>
  <c r="L35" i="9"/>
  <c r="L37" i="9" s="1"/>
  <c r="L31" i="9" s="1"/>
  <c r="L41" i="9" s="1"/>
  <c r="G36" i="9"/>
  <c r="F35" i="9"/>
  <c r="F37" i="9" s="1"/>
  <c r="F31" i="9" s="1"/>
  <c r="F41" i="9" s="1"/>
  <c r="M36" i="9"/>
  <c r="B31" i="9"/>
  <c r="E36" i="9"/>
  <c r="D35" i="9"/>
  <c r="D37" i="9" s="1"/>
  <c r="D31" i="9" s="1"/>
  <c r="D41" i="9" s="1"/>
  <c r="B54" i="9"/>
  <c r="B51" i="9" s="1"/>
  <c r="B61" i="9" s="1"/>
  <c r="D36" i="9"/>
  <c r="C36" i="9"/>
  <c r="M35" i="9"/>
  <c r="L56" i="9"/>
  <c r="K55" i="9"/>
  <c r="J50" i="9"/>
  <c r="J61" i="9" s="1"/>
  <c r="G56" i="9"/>
  <c r="G57" i="9" s="1"/>
  <c r="G51" i="9" s="1"/>
  <c r="M56" i="9"/>
  <c r="M57" i="9" s="1"/>
  <c r="M51" i="9" s="1"/>
  <c r="K50" i="9"/>
  <c r="F55" i="9"/>
  <c r="F57" i="9" s="1"/>
  <c r="F51" i="9" s="1"/>
  <c r="L55" i="9"/>
  <c r="L57" i="9" s="1"/>
  <c r="L51" i="9" s="1"/>
  <c r="L50" i="9"/>
  <c r="F56" i="9"/>
  <c r="M50" i="9"/>
  <c r="E57" i="9"/>
  <c r="E51" i="9" s="1"/>
  <c r="H50" i="9"/>
  <c r="H61" i="9" s="1"/>
  <c r="O50" i="8"/>
  <c r="C61" i="8"/>
  <c r="O52" i="8" s="1"/>
  <c r="O49" i="8"/>
  <c r="F38" i="5"/>
  <c r="H38" i="5"/>
  <c r="D38" i="5"/>
  <c r="F8" i="5"/>
  <c r="C38" i="5"/>
  <c r="I38" i="5"/>
  <c r="G38" i="5"/>
  <c r="E38" i="5"/>
  <c r="K38" i="5"/>
  <c r="J48" i="4"/>
  <c r="J41" i="4"/>
  <c r="I42" i="4"/>
  <c r="I23" i="4"/>
  <c r="G42" i="4"/>
  <c r="E42" i="4"/>
  <c r="F42" i="4"/>
  <c r="B23" i="4"/>
  <c r="B34" i="4" s="1"/>
  <c r="H42" i="4"/>
  <c r="L14" i="4"/>
  <c r="P14" i="4"/>
  <c r="K23" i="4"/>
  <c r="C42" i="4"/>
  <c r="J23" i="4"/>
  <c r="C41" i="8"/>
  <c r="O32" i="8" s="1"/>
  <c r="G37" i="8"/>
  <c r="H37" i="8"/>
  <c r="K37" i="8"/>
  <c r="L37" i="8"/>
  <c r="D37" i="8"/>
  <c r="E30" i="8"/>
  <c r="F30" i="8"/>
  <c r="G30" i="8"/>
  <c r="H30" i="8"/>
  <c r="I30" i="8"/>
  <c r="J30" i="8"/>
  <c r="K30" i="8"/>
  <c r="L30" i="8"/>
  <c r="M30" i="8"/>
  <c r="P21" i="7"/>
  <c r="K34" i="5"/>
  <c r="E34" i="5"/>
  <c r="J34" i="5"/>
  <c r="K7" i="5"/>
  <c r="D4" i="5"/>
  <c r="D8" i="5"/>
  <c r="C13" i="5"/>
  <c r="J38" i="5"/>
  <c r="C12" i="5"/>
  <c r="I48" i="4"/>
  <c r="C40" i="4"/>
  <c r="K40" i="4"/>
  <c r="H40" i="4"/>
  <c r="F40" i="4"/>
  <c r="E40" i="4"/>
  <c r="D40" i="4"/>
  <c r="J40" i="4"/>
  <c r="I40" i="4"/>
  <c r="G40" i="4"/>
  <c r="D8" i="4"/>
  <c r="B13" i="4"/>
  <c r="C12" i="4"/>
  <c r="D4" i="4"/>
  <c r="M37" i="9" l="1"/>
  <c r="M31" i="9" s="1"/>
  <c r="M41" i="9" s="1"/>
  <c r="K57" i="9"/>
  <c r="K51" i="9" s="1"/>
  <c r="O50" i="9" s="1"/>
  <c r="L61" i="9"/>
  <c r="G37" i="9"/>
  <c r="G31" i="9" s="1"/>
  <c r="G41" i="9" s="1"/>
  <c r="I37" i="9"/>
  <c r="I31" i="9" s="1"/>
  <c r="I41" i="9" s="1"/>
  <c r="E61" i="9"/>
  <c r="C61" i="9"/>
  <c r="B41" i="9"/>
  <c r="I61" i="9"/>
  <c r="H37" i="9"/>
  <c r="H31" i="9" s="1"/>
  <c r="H41" i="9" s="1"/>
  <c r="D61" i="9"/>
  <c r="J37" i="9"/>
  <c r="J31" i="9" s="1"/>
  <c r="J41" i="9" s="1"/>
  <c r="G61" i="9"/>
  <c r="M61" i="9"/>
  <c r="K37" i="9"/>
  <c r="K31" i="9" s="1"/>
  <c r="K41" i="9" s="1"/>
  <c r="F61" i="9"/>
  <c r="B23" i="5"/>
  <c r="I41" i="4"/>
  <c r="B27" i="4"/>
  <c r="D28" i="4" s="1"/>
  <c r="D46" i="4" s="1"/>
  <c r="O29" i="8"/>
  <c r="E29" i="7"/>
  <c r="F29" i="7"/>
  <c r="G29" i="7"/>
  <c r="H29" i="7"/>
  <c r="I29" i="7"/>
  <c r="J29" i="7"/>
  <c r="K29" i="7"/>
  <c r="L29" i="7"/>
  <c r="M29" i="7"/>
  <c r="F34" i="5"/>
  <c r="H34" i="5"/>
  <c r="D34" i="5"/>
  <c r="I34" i="5"/>
  <c r="G34" i="5"/>
  <c r="B44" i="4"/>
  <c r="C13" i="4"/>
  <c r="O52" i="9" l="1"/>
  <c r="K61" i="9"/>
  <c r="O49" i="9" s="1"/>
  <c r="O30" i="9"/>
  <c r="O32" i="9"/>
  <c r="O29" i="9"/>
  <c r="B37" i="5"/>
  <c r="H29" i="4"/>
  <c r="H47" i="4" s="1"/>
  <c r="G29" i="4"/>
  <c r="G47" i="4" s="1"/>
  <c r="F29" i="4"/>
  <c r="F47" i="4" s="1"/>
  <c r="G28" i="4"/>
  <c r="G46" i="4" s="1"/>
  <c r="E28" i="4"/>
  <c r="E46" i="4" s="1"/>
  <c r="F28" i="4"/>
  <c r="F46" i="4" s="1"/>
  <c r="E29" i="4"/>
  <c r="E47" i="4" s="1"/>
  <c r="H28" i="4"/>
  <c r="H46" i="4" s="1"/>
  <c r="C28" i="4"/>
  <c r="C29" i="4"/>
  <c r="C47" i="4" s="1"/>
  <c r="D29" i="4"/>
  <c r="D47" i="4" s="1"/>
  <c r="D48" i="4" s="1"/>
  <c r="B45" i="4"/>
  <c r="D28" i="5"/>
  <c r="D30" i="5" s="1"/>
  <c r="D42" i="5"/>
  <c r="B35" i="5"/>
  <c r="C42" i="5"/>
  <c r="C40" i="5"/>
  <c r="K28" i="5"/>
  <c r="K30" i="5" s="1"/>
  <c r="G28" i="5"/>
  <c r="G30" i="5" s="1"/>
  <c r="H28" i="5"/>
  <c r="H30" i="5" s="1"/>
  <c r="F42" i="5"/>
  <c r="E28" i="5"/>
  <c r="E30" i="5" s="1"/>
  <c r="I28" i="5"/>
  <c r="I30" i="5" s="1"/>
  <c r="J28" i="5"/>
  <c r="J30" i="5" s="1"/>
  <c r="F28" i="5"/>
  <c r="F30" i="5" s="1"/>
  <c r="G48" i="4"/>
  <c r="I34" i="4"/>
  <c r="I36" i="4" s="1"/>
  <c r="I52" i="4"/>
  <c r="I54" i="4" s="1"/>
  <c r="K34" i="4"/>
  <c r="K36" i="4" s="1"/>
  <c r="K52" i="4"/>
  <c r="K54" i="4" s="1"/>
  <c r="J34" i="4"/>
  <c r="J36" i="4" s="1"/>
  <c r="J52" i="4"/>
  <c r="J54" i="4" s="1"/>
  <c r="B49" i="4"/>
  <c r="G30" i="4"/>
  <c r="E48" i="4" l="1"/>
  <c r="E41" i="4" s="1"/>
  <c r="E52" i="4" s="1"/>
  <c r="E54" i="4" s="1"/>
  <c r="H48" i="4"/>
  <c r="F48" i="4"/>
  <c r="F41" i="4" s="1"/>
  <c r="D41" i="4"/>
  <c r="D52" i="4" s="1"/>
  <c r="D54" i="4" s="1"/>
  <c r="B41" i="4"/>
  <c r="B52" i="4" s="1"/>
  <c r="B54" i="4" s="1"/>
  <c r="F30" i="4"/>
  <c r="F23" i="4" s="1"/>
  <c r="F34" i="4" s="1"/>
  <c r="F36" i="4" s="1"/>
  <c r="H41" i="4"/>
  <c r="H52" i="4" s="1"/>
  <c r="H54" i="4" s="1"/>
  <c r="G41" i="4"/>
  <c r="G52" i="4" s="1"/>
  <c r="G54" i="4" s="1"/>
  <c r="H30" i="4"/>
  <c r="H23" i="4" s="1"/>
  <c r="H34" i="4" s="1"/>
  <c r="H36" i="4" s="1"/>
  <c r="E30" i="4"/>
  <c r="E23" i="4" s="1"/>
  <c r="E34" i="4" s="1"/>
  <c r="E36" i="4" s="1"/>
  <c r="D30" i="4"/>
  <c r="D23" i="4" s="1"/>
  <c r="D34" i="4" s="1"/>
  <c r="D36" i="4" s="1"/>
  <c r="G23" i="4"/>
  <c r="G34" i="4" s="1"/>
  <c r="G36" i="4" s="1"/>
  <c r="C30" i="4"/>
  <c r="C23" i="4" s="1"/>
  <c r="C46" i="4"/>
  <c r="C48" i="4" s="1"/>
  <c r="M20" i="5"/>
  <c r="C28" i="5"/>
  <c r="C30" i="5" s="1"/>
  <c r="M19" i="5" s="1"/>
  <c r="D40" i="5"/>
  <c r="H42" i="5"/>
  <c r="B42" i="5"/>
  <c r="B40" i="5"/>
  <c r="G42" i="5"/>
  <c r="J42" i="5"/>
  <c r="K42" i="5"/>
  <c r="I42" i="5"/>
  <c r="F40" i="5"/>
  <c r="F52" i="4"/>
  <c r="F54" i="4" s="1"/>
  <c r="B36" i="4"/>
  <c r="C41" i="4" l="1"/>
  <c r="C52" i="4" s="1"/>
  <c r="C54" i="4" s="1"/>
  <c r="M20" i="4"/>
  <c r="C34" i="4"/>
  <c r="C36" i="4" s="1"/>
  <c r="M19" i="4" s="1"/>
  <c r="M21" i="5"/>
  <c r="M32" i="5"/>
  <c r="J40" i="5"/>
  <c r="G40" i="5"/>
  <c r="H40" i="5"/>
  <c r="E42" i="5"/>
  <c r="M31" i="5" s="1"/>
  <c r="I40" i="5"/>
  <c r="K40" i="5"/>
  <c r="E40" i="5"/>
  <c r="M39" i="4" l="1"/>
  <c r="M38" i="4"/>
  <c r="M40" i="4"/>
  <c r="M21" i="4"/>
  <c r="M33" i="5"/>
  <c r="B68" i="3" l="1"/>
  <c r="C65" i="3"/>
  <c r="C63" i="3"/>
  <c r="B57" i="3"/>
  <c r="L41" i="2"/>
  <c r="K41" i="2"/>
  <c r="J41" i="2"/>
  <c r="L38" i="2"/>
  <c r="K38" i="2"/>
  <c r="J38" i="2"/>
  <c r="C55" i="3"/>
  <c r="B55" i="3"/>
  <c r="B39" i="3"/>
  <c r="E25" i="2"/>
  <c r="F25" i="2"/>
  <c r="G25" i="2"/>
  <c r="H25" i="2"/>
  <c r="I25" i="2"/>
  <c r="J25" i="2"/>
  <c r="K25" i="2"/>
  <c r="L25" i="2"/>
  <c r="D25" i="2"/>
  <c r="C39" i="3"/>
  <c r="C35" i="3"/>
  <c r="H4" i="2"/>
  <c r="H5" i="2"/>
  <c r="H6" i="2"/>
  <c r="I47" i="2" s="1"/>
  <c r="H3" i="2"/>
  <c r="B31" i="3"/>
  <c r="D54" i="3"/>
  <c r="C53" i="3"/>
  <c r="C50" i="3"/>
  <c r="K14" i="2"/>
  <c r="L14" i="2" s="1"/>
  <c r="L28" i="2" s="1"/>
  <c r="C51" i="3"/>
  <c r="D50" i="3"/>
  <c r="B50" i="3"/>
  <c r="F5" i="3"/>
  <c r="I5" i="2"/>
  <c r="C8" i="2"/>
  <c r="C26" i="2" s="1"/>
  <c r="C30" i="2" s="1"/>
  <c r="I10" i="2"/>
  <c r="J14" i="2"/>
  <c r="J3" i="2"/>
  <c r="D5" i="2"/>
  <c r="C4" i="2"/>
  <c r="D4" i="2" s="1"/>
  <c r="D6" i="2"/>
  <c r="D7" i="2"/>
  <c r="J4" i="2"/>
  <c r="J6" i="2"/>
  <c r="L47" i="2" l="1"/>
  <c r="D47" i="2"/>
  <c r="J47" i="2"/>
  <c r="H47" i="2"/>
  <c r="L43" i="2"/>
  <c r="G47" i="2"/>
  <c r="F47" i="2"/>
  <c r="E47" i="2"/>
  <c r="K47" i="2"/>
  <c r="K43" i="2"/>
  <c r="J43" i="2"/>
  <c r="F28" i="2"/>
  <c r="K28" i="2"/>
  <c r="J28" i="2"/>
  <c r="J24" i="2"/>
  <c r="J26" i="2" s="1"/>
  <c r="H28" i="2"/>
  <c r="G28" i="2"/>
  <c r="E28" i="2"/>
  <c r="I28" i="2"/>
  <c r="H24" i="2"/>
  <c r="H26" i="2" s="1"/>
  <c r="I24" i="2"/>
  <c r="I26" i="2" s="1"/>
  <c r="G24" i="2"/>
  <c r="G26" i="2" s="1"/>
  <c r="F24" i="2"/>
  <c r="F26" i="2" s="1"/>
  <c r="D26" i="2"/>
  <c r="L24" i="2"/>
  <c r="E24" i="2"/>
  <c r="E26" i="2" s="1"/>
  <c r="K24" i="2"/>
  <c r="D8" i="2"/>
  <c r="B12" i="2"/>
  <c r="B13" i="2" s="1"/>
  <c r="J30" i="2" l="1"/>
  <c r="C38" i="2"/>
  <c r="C43" i="2" s="1"/>
  <c r="C45" i="2" s="1"/>
  <c r="C50" i="2" s="1"/>
  <c r="J45" i="2"/>
  <c r="J50" i="2" s="1"/>
  <c r="D30" i="2"/>
  <c r="L26" i="2"/>
  <c r="L30" i="2" s="1"/>
  <c r="L45" i="2" s="1"/>
  <c r="L50" i="2" s="1"/>
  <c r="K26" i="2"/>
  <c r="K30" i="2" s="1"/>
  <c r="K45" i="2" s="1"/>
  <c r="K50" i="2" s="1"/>
  <c r="H30" i="2"/>
  <c r="E30" i="2"/>
  <c r="F30" i="2"/>
  <c r="G30" i="2"/>
  <c r="I30" i="2"/>
  <c r="H41" i="2"/>
  <c r="I41" i="2"/>
  <c r="E38" i="2"/>
  <c r="F38" i="2"/>
  <c r="E41" i="2"/>
  <c r="G38" i="2"/>
  <c r="I38" i="2"/>
  <c r="F41" i="2"/>
  <c r="H38" i="2"/>
  <c r="G41" i="2"/>
  <c r="C13" i="2"/>
  <c r="C12" i="2"/>
  <c r="N20" i="2" l="1"/>
  <c r="N21" i="2"/>
  <c r="D43" i="2"/>
  <c r="D45" i="2" s="1"/>
  <c r="D50" i="2" s="1"/>
  <c r="N19" i="2"/>
  <c r="I43" i="2"/>
  <c r="I45" i="2" s="1"/>
  <c r="I50" i="2" s="1"/>
  <c r="H43" i="2"/>
  <c r="H45" i="2" s="1"/>
  <c r="H50" i="2" s="1"/>
  <c r="G43" i="2"/>
  <c r="G45" i="2" s="1"/>
  <c r="G50" i="2" s="1"/>
  <c r="F43" i="2"/>
  <c r="F45" i="2" s="1"/>
  <c r="F50" i="2" s="1"/>
  <c r="E43" i="2"/>
  <c r="E45" i="2" s="1"/>
  <c r="E50" i="2" s="1"/>
  <c r="N35" i="2" l="1"/>
  <c r="N33" i="2"/>
  <c r="C82" i="3" l="1"/>
  <c r="C87" i="3"/>
  <c r="B87" i="3"/>
  <c r="H84" i="3"/>
  <c r="E84" i="3"/>
  <c r="E87" i="3" s="1"/>
  <c r="D84" i="3"/>
  <c r="D87" i="3" s="1"/>
  <c r="C84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5" i="3"/>
  <c r="V79" i="3"/>
  <c r="V32" i="3"/>
  <c r="V78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F82" i="3"/>
  <c r="E82" i="3"/>
  <c r="D82" i="3"/>
  <c r="D35" i="3"/>
  <c r="C79" i="3"/>
  <c r="C32" i="3"/>
  <c r="B78" i="3"/>
  <c r="H15" i="3"/>
  <c r="U84" i="3"/>
  <c r="T84" i="3"/>
  <c r="M84" i="3"/>
  <c r="L84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H12" i="3"/>
  <c r="E11" i="3"/>
  <c r="H11" i="3"/>
  <c r="H10" i="3"/>
  <c r="H14" i="3" s="1"/>
  <c r="H7" i="3"/>
  <c r="F6" i="3"/>
  <c r="H6" i="3" s="1"/>
  <c r="R15" i="3"/>
  <c r="R14" i="3"/>
  <c r="R13" i="3"/>
  <c r="R11" i="3"/>
  <c r="R7" i="3"/>
  <c r="R4" i="3"/>
  <c r="M5" i="3"/>
  <c r="M4" i="3"/>
  <c r="Q10" i="3"/>
  <c r="R10" i="3" s="1"/>
  <c r="Q7" i="3"/>
  <c r="Q8" i="3"/>
  <c r="R8" i="3" s="1"/>
  <c r="Q9" i="3"/>
  <c r="R9" i="3" s="1"/>
  <c r="Q6" i="3"/>
  <c r="R6" i="3" s="1"/>
  <c r="Q5" i="3"/>
  <c r="R5" i="3" s="1"/>
  <c r="H43" i="3"/>
  <c r="I43" i="3"/>
  <c r="J43" i="3"/>
  <c r="M63" i="3"/>
  <c r="N63" i="3"/>
  <c r="O63" i="3"/>
  <c r="P63" i="3"/>
  <c r="Q63" i="3"/>
  <c r="R63" i="3"/>
  <c r="S63" i="3"/>
  <c r="T63" i="3"/>
  <c r="U63" i="3"/>
  <c r="V63" i="3"/>
  <c r="M62" i="3"/>
  <c r="H62" i="3"/>
  <c r="O62" i="3"/>
  <c r="P62" i="3"/>
  <c r="Q62" i="3"/>
  <c r="R62" i="3"/>
  <c r="S62" i="3"/>
  <c r="T62" i="3"/>
  <c r="U62" i="3"/>
  <c r="V62" i="3"/>
  <c r="N62" i="3"/>
  <c r="J62" i="3"/>
  <c r="K62" i="3"/>
  <c r="L62" i="3"/>
  <c r="I62" i="3"/>
  <c r="D62" i="3"/>
  <c r="E62" i="3"/>
  <c r="F62" i="3"/>
  <c r="G62" i="3"/>
  <c r="C62" i="3"/>
  <c r="L53" i="3"/>
  <c r="L63" i="3" s="1"/>
  <c r="E54" i="3"/>
  <c r="F54" i="3"/>
  <c r="G54" i="3"/>
  <c r="D53" i="3"/>
  <c r="D63" i="3" s="1"/>
  <c r="E53" i="3"/>
  <c r="E63" i="3" s="1"/>
  <c r="F53" i="3"/>
  <c r="F63" i="3" s="1"/>
  <c r="G53" i="3"/>
  <c r="G63" i="3" s="1"/>
  <c r="H53" i="3"/>
  <c r="H63" i="3" s="1"/>
  <c r="I53" i="3"/>
  <c r="I63" i="3" s="1"/>
  <c r="J53" i="3"/>
  <c r="J63" i="3" s="1"/>
  <c r="K53" i="3"/>
  <c r="K63" i="3" s="1"/>
  <c r="F51" i="3"/>
  <c r="M1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D33" i="3"/>
  <c r="E33" i="3"/>
  <c r="F33" i="3"/>
  <c r="G33" i="3"/>
  <c r="M21" i="3"/>
  <c r="I37" i="3" s="1"/>
  <c r="I60" i="3" s="1"/>
  <c r="E13" i="3"/>
  <c r="E12" i="3"/>
  <c r="E10" i="3"/>
  <c r="E6" i="3"/>
  <c r="E7" i="3"/>
  <c r="E5" i="3"/>
  <c r="M6" i="3"/>
  <c r="M7" i="3"/>
  <c r="M8" i="3"/>
  <c r="M9" i="3"/>
  <c r="M10" i="3"/>
  <c r="M11" i="3"/>
  <c r="M13" i="3"/>
  <c r="M14" i="3"/>
  <c r="M15" i="3"/>
  <c r="C90" i="3" l="1"/>
  <c r="B91" i="3"/>
  <c r="B90" i="3"/>
  <c r="D90" i="3"/>
  <c r="V80" i="3"/>
  <c r="K84" i="3"/>
  <c r="S84" i="3"/>
  <c r="F84" i="3"/>
  <c r="N84" i="3"/>
  <c r="V84" i="3"/>
  <c r="G84" i="3"/>
  <c r="O84" i="3"/>
  <c r="P84" i="3"/>
  <c r="I84" i="3"/>
  <c r="Q84" i="3"/>
  <c r="J84" i="3"/>
  <c r="R84" i="3"/>
  <c r="H8" i="3"/>
  <c r="R16" i="3"/>
  <c r="I50" i="3"/>
  <c r="I55" i="3" s="1"/>
  <c r="H50" i="3"/>
  <c r="H55" i="3" s="1"/>
  <c r="G50" i="3"/>
  <c r="G55" i="3" s="1"/>
  <c r="F50" i="3"/>
  <c r="F55" i="3" s="1"/>
  <c r="D55" i="3"/>
  <c r="E50" i="3"/>
  <c r="E55" i="3" s="1"/>
  <c r="B80" i="3" s="1"/>
  <c r="K50" i="3"/>
  <c r="K55" i="3" s="1"/>
  <c r="J50" i="3"/>
  <c r="J55" i="3" s="1"/>
  <c r="E8" i="3"/>
  <c r="E15" i="3" s="1"/>
  <c r="V31" i="3" s="1"/>
  <c r="L50" i="3"/>
  <c r="L55" i="3" s="1"/>
  <c r="T37" i="3"/>
  <c r="T60" i="3" s="1"/>
  <c r="P37" i="3"/>
  <c r="P60" i="3" s="1"/>
  <c r="O37" i="3"/>
  <c r="O60" i="3" s="1"/>
  <c r="E14" i="3"/>
  <c r="E37" i="3"/>
  <c r="E60" i="3" s="1"/>
  <c r="M37" i="3"/>
  <c r="M60" i="3" s="1"/>
  <c r="N37" i="3"/>
  <c r="N60" i="3" s="1"/>
  <c r="F37" i="3"/>
  <c r="F60" i="3" s="1"/>
  <c r="L37" i="3"/>
  <c r="L60" i="3" s="1"/>
  <c r="V37" i="3"/>
  <c r="V60" i="3" s="1"/>
  <c r="H37" i="3"/>
  <c r="H60" i="3" s="1"/>
  <c r="U37" i="3"/>
  <c r="U60" i="3" s="1"/>
  <c r="G37" i="3"/>
  <c r="G60" i="3" s="1"/>
  <c r="S37" i="3"/>
  <c r="S60" i="3" s="1"/>
  <c r="K37" i="3"/>
  <c r="K60" i="3" s="1"/>
  <c r="C37" i="3"/>
  <c r="C60" i="3" s="1"/>
  <c r="R37" i="3"/>
  <c r="R60" i="3" s="1"/>
  <c r="J37" i="3"/>
  <c r="J60" i="3" s="1"/>
  <c r="D37" i="3"/>
  <c r="D60" i="3" s="1"/>
  <c r="Q37" i="3"/>
  <c r="Q60" i="3" s="1"/>
  <c r="M16" i="3"/>
  <c r="C33" i="3" l="1"/>
  <c r="B33" i="3"/>
  <c r="S35" i="3"/>
  <c r="S61" i="3" s="1"/>
  <c r="S64" i="3" s="1"/>
  <c r="S65" i="3" s="1"/>
  <c r="L35" i="3"/>
  <c r="T35" i="3"/>
  <c r="M35" i="3"/>
  <c r="U35" i="3"/>
  <c r="N35" i="3"/>
  <c r="V35" i="3"/>
  <c r="V61" i="3" s="1"/>
  <c r="V64" i="3" s="1"/>
  <c r="V65" i="3" s="1"/>
  <c r="G35" i="3"/>
  <c r="O35" i="3"/>
  <c r="F35" i="3"/>
  <c r="H35" i="3"/>
  <c r="P35" i="3"/>
  <c r="E35" i="3"/>
  <c r="I35" i="3"/>
  <c r="Q35" i="3"/>
  <c r="J35" i="3"/>
  <c r="J61" i="3" s="1"/>
  <c r="J64" i="3" s="1"/>
  <c r="J65" i="3" s="1"/>
  <c r="R35" i="3"/>
  <c r="R61" i="3" s="1"/>
  <c r="R64" i="3" s="1"/>
  <c r="R65" i="3" s="1"/>
  <c r="K35" i="3"/>
  <c r="R39" i="3"/>
  <c r="R57" i="3" s="1"/>
  <c r="R68" i="3" s="1"/>
  <c r="V33" i="3"/>
  <c r="G39" i="3" l="1"/>
  <c r="G57" i="3" s="1"/>
  <c r="G61" i="3"/>
  <c r="G64" i="3" s="1"/>
  <c r="G65" i="3" s="1"/>
  <c r="Q39" i="3"/>
  <c r="Q57" i="3" s="1"/>
  <c r="Q61" i="3"/>
  <c r="Q64" i="3" s="1"/>
  <c r="Q65" i="3" s="1"/>
  <c r="O39" i="3"/>
  <c r="O57" i="3" s="1"/>
  <c r="O61" i="3"/>
  <c r="O64" i="3" s="1"/>
  <c r="O65" i="3" s="1"/>
  <c r="I39" i="3"/>
  <c r="I57" i="3" s="1"/>
  <c r="I61" i="3"/>
  <c r="I64" i="3" s="1"/>
  <c r="I65" i="3" s="1"/>
  <c r="N39" i="3"/>
  <c r="N57" i="3" s="1"/>
  <c r="N61" i="3"/>
  <c r="N64" i="3" s="1"/>
  <c r="N65" i="3" s="1"/>
  <c r="E39" i="3"/>
  <c r="E57" i="3" s="1"/>
  <c r="E61" i="3"/>
  <c r="P39" i="3"/>
  <c r="P57" i="3" s="1"/>
  <c r="P61" i="3"/>
  <c r="P64" i="3" s="1"/>
  <c r="P65" i="3" s="1"/>
  <c r="M39" i="3"/>
  <c r="M57" i="3" s="1"/>
  <c r="M61" i="3"/>
  <c r="M64" i="3" s="1"/>
  <c r="M65" i="3" s="1"/>
  <c r="D39" i="3"/>
  <c r="D57" i="3" s="1"/>
  <c r="D61" i="3"/>
  <c r="D64" i="3" s="1"/>
  <c r="D65" i="3" s="1"/>
  <c r="S39" i="3"/>
  <c r="S57" i="3" s="1"/>
  <c r="S68" i="3" s="1"/>
  <c r="J39" i="3"/>
  <c r="J57" i="3" s="1"/>
  <c r="J68" i="3" s="1"/>
  <c r="U39" i="3"/>
  <c r="U57" i="3" s="1"/>
  <c r="U61" i="3"/>
  <c r="U64" i="3" s="1"/>
  <c r="U65" i="3" s="1"/>
  <c r="K39" i="3"/>
  <c r="K57" i="3" s="1"/>
  <c r="K61" i="3"/>
  <c r="K64" i="3" s="1"/>
  <c r="K65" i="3" s="1"/>
  <c r="C61" i="3"/>
  <c r="C64" i="3" s="1"/>
  <c r="H39" i="3"/>
  <c r="H57" i="3" s="1"/>
  <c r="H61" i="3"/>
  <c r="H64" i="3" s="1"/>
  <c r="H65" i="3" s="1"/>
  <c r="T39" i="3"/>
  <c r="T57" i="3" s="1"/>
  <c r="T61" i="3"/>
  <c r="T64" i="3" s="1"/>
  <c r="T65" i="3" s="1"/>
  <c r="F39" i="3"/>
  <c r="F57" i="3" s="1"/>
  <c r="F61" i="3"/>
  <c r="F64" i="3" s="1"/>
  <c r="F65" i="3" s="1"/>
  <c r="L39" i="3"/>
  <c r="L57" i="3" s="1"/>
  <c r="L61" i="3"/>
  <c r="L64" i="3" s="1"/>
  <c r="L65" i="3" s="1"/>
  <c r="V39" i="3"/>
  <c r="V57" i="3" s="1"/>
  <c r="V68" i="3" s="1"/>
  <c r="E64" i="3" l="1"/>
  <c r="E65" i="3" s="1"/>
  <c r="C80" i="3"/>
  <c r="I68" i="3"/>
  <c r="M68" i="3"/>
  <c r="F68" i="3"/>
  <c r="K68" i="3"/>
  <c r="D68" i="3"/>
  <c r="P68" i="3"/>
  <c r="B42" i="3"/>
  <c r="H68" i="3"/>
  <c r="E68" i="3"/>
  <c r="Q68" i="3"/>
  <c r="T68" i="3"/>
  <c r="B43" i="3"/>
  <c r="U68" i="3"/>
  <c r="L68" i="3"/>
  <c r="N68" i="3"/>
  <c r="G68" i="3"/>
  <c r="O68" i="3"/>
  <c r="D42" i="3"/>
  <c r="C42" i="3"/>
  <c r="C57" i="3"/>
  <c r="C68" i="3" s="1"/>
  <c r="C71" i="3" l="1"/>
  <c r="D71" i="3"/>
  <c r="B71" i="3"/>
  <c r="B72" i="3"/>
</calcChain>
</file>

<file path=xl/sharedStrings.xml><?xml version="1.0" encoding="utf-8"?>
<sst xmlns="http://schemas.openxmlformats.org/spreadsheetml/2006/main" count="943" uniqueCount="320">
  <si>
    <t>Parameter</t>
  </si>
  <si>
    <t>Value</t>
  </si>
  <si>
    <t>Units</t>
  </si>
  <si>
    <t>€/unit</t>
  </si>
  <si>
    <t>Air_Transport_Cost</t>
  </si>
  <si>
    <t>Exchange_Rate</t>
  </si>
  <si>
    <t>LC/€</t>
  </si>
  <si>
    <t>Handling_Transit_Charges</t>
  </si>
  <si>
    <t>LC/unit</t>
  </si>
  <si>
    <t>Export_Tax</t>
  </si>
  <si>
    <t>Transport_Cost_Production_to_Port</t>
  </si>
  <si>
    <t>Capital_Costs</t>
  </si>
  <si>
    <t>LC</t>
  </si>
  <si>
    <t>Imported_Equipment</t>
  </si>
  <si>
    <t>Unskilled_Labor</t>
  </si>
  <si>
    <t>Other_Domestic_Costs</t>
  </si>
  <si>
    <t>Debt_Financing</t>
  </si>
  <si>
    <t>%</t>
  </si>
  <si>
    <t>Loan_Term</t>
  </si>
  <si>
    <t>years</t>
  </si>
  <si>
    <t>Nominal_Interest_Rate</t>
  </si>
  <si>
    <t>Development_Period</t>
  </si>
  <si>
    <t>year</t>
  </si>
  <si>
    <t>Production_Years</t>
  </si>
  <si>
    <t>Annual_Production</t>
  </si>
  <si>
    <t>units</t>
  </si>
  <si>
    <t>Inflation_Rate</t>
  </si>
  <si>
    <t>Social_Discount_Rate</t>
  </si>
  <si>
    <t>Private_Discount_Rate</t>
  </si>
  <si>
    <t>Operating_Cost_Unit</t>
  </si>
  <si>
    <t>Labor_Share_Operating_Cost</t>
  </si>
  <si>
    <t>Shadow_Price_Foreign_Exchange</t>
  </si>
  <si>
    <t>-</t>
  </si>
  <si>
    <t>Shadow_Price_Labor</t>
  </si>
  <si>
    <t>Without_Case_Benefits</t>
  </si>
  <si>
    <t>CIF_Price_Paris</t>
  </si>
  <si>
    <t>Key Variables</t>
  </si>
  <si>
    <t>Investment Costs</t>
  </si>
  <si>
    <t>(i) Fixed Investment</t>
  </si>
  <si>
    <t>Farm Equipment (units)</t>
  </si>
  <si>
    <t>Vehicles (units)</t>
  </si>
  <si>
    <t>Buildings (m2)</t>
  </si>
  <si>
    <t>TOTAL</t>
  </si>
  <si>
    <t>No.</t>
  </si>
  <si>
    <t>(units)</t>
  </si>
  <si>
    <t>Price</t>
  </si>
  <si>
    <t>Cost</t>
  </si>
  <si>
    <t>Project</t>
  </si>
  <si>
    <t>($)</t>
  </si>
  <si>
    <t>(ii) Working capital</t>
  </si>
  <si>
    <t>Fertilizer stocks (tons)</t>
  </si>
  <si>
    <t>Insecticide stocks (liters)</t>
  </si>
  <si>
    <t>Equipment spare parts (units)</t>
  </si>
  <si>
    <t>Fuel stocks (liters)</t>
  </si>
  <si>
    <t>(iii) Salvage Value</t>
  </si>
  <si>
    <t>Operating Costs</t>
  </si>
  <si>
    <t>Rent on land (Ha)</t>
  </si>
  <si>
    <t>Fuel (liters)</t>
  </si>
  <si>
    <t>Seeds (Kg)</t>
  </si>
  <si>
    <t>Fertilizers (tons)</t>
  </si>
  <si>
    <t>Water (ML)</t>
  </si>
  <si>
    <t>Spares</t>
  </si>
  <si>
    <t>Asministration (/month)</t>
  </si>
  <si>
    <t>Insurance (p.a.)</t>
  </si>
  <si>
    <t>Management (/month)</t>
  </si>
  <si>
    <t>Misc</t>
  </si>
  <si>
    <t>Total (market prices)</t>
  </si>
  <si>
    <t>Insecticides (liters)</t>
  </si>
  <si>
    <t>Revenues</t>
  </si>
  <si>
    <t>Apples (tons)</t>
  </si>
  <si>
    <t>Peaches (tons)</t>
  </si>
  <si>
    <t>Pears (tons)</t>
  </si>
  <si>
    <t>Conversion factor</t>
  </si>
  <si>
    <t>Depreciation</t>
  </si>
  <si>
    <t>Equipment</t>
  </si>
  <si>
    <t>Vehicles</t>
  </si>
  <si>
    <t>Buildings</t>
  </si>
  <si>
    <t>Life (years)</t>
  </si>
  <si>
    <t>Amount</t>
  </si>
  <si>
    <t>Financing</t>
  </si>
  <si>
    <t>Interest</t>
  </si>
  <si>
    <t>Life (yrs)</t>
  </si>
  <si>
    <t>Loan</t>
  </si>
  <si>
    <t>Overdraft</t>
  </si>
  <si>
    <t xml:space="preserve">Discount rate = </t>
  </si>
  <si>
    <t>Tax rate on profits =</t>
  </si>
  <si>
    <t>Capacity Output</t>
  </si>
  <si>
    <t>2019+</t>
  </si>
  <si>
    <t>TABLE 1</t>
  </si>
  <si>
    <t>TABLE 2</t>
  </si>
  <si>
    <t>ITEM/YEAR</t>
  </si>
  <si>
    <t>Investment costs</t>
  </si>
  <si>
    <t>Fixed investment</t>
  </si>
  <si>
    <t>Working capital</t>
  </si>
  <si>
    <t>Total Investment</t>
  </si>
  <si>
    <t>(Before Financing &amp; Tax)</t>
  </si>
  <si>
    <t>Net Cash Flow</t>
  </si>
  <si>
    <t>Casual labor (days)</t>
  </si>
  <si>
    <t>NPV</t>
  </si>
  <si>
    <t>IRR</t>
  </si>
  <si>
    <t>Parameters</t>
  </si>
  <si>
    <t>Operating capacity</t>
  </si>
  <si>
    <t>TABLE 3</t>
  </si>
  <si>
    <t>(i) Financing</t>
  </si>
  <si>
    <t>Principal</t>
  </si>
  <si>
    <t xml:space="preserve">Interest </t>
  </si>
  <si>
    <t>Net Financing Flows</t>
  </si>
  <si>
    <t>NCF (equity, pre-tax)</t>
  </si>
  <si>
    <t>(ii) Taxes</t>
  </si>
  <si>
    <t>Interest on loans</t>
  </si>
  <si>
    <t>Profits (before taxes)</t>
  </si>
  <si>
    <t>Taxes Liable</t>
  </si>
  <si>
    <t>Private Cash Flow</t>
  </si>
  <si>
    <t>PROJECT/MARKET ANALYSIS</t>
  </si>
  <si>
    <t>PRIVATE/FINANCIAL ANALYSIS</t>
  </si>
  <si>
    <t>(iii) Equity (after tax)</t>
  </si>
  <si>
    <t>MARKET</t>
  </si>
  <si>
    <t>EFFICIENCY</t>
  </si>
  <si>
    <t xml:space="preserve">Rent op cost </t>
  </si>
  <si>
    <t>Seed subsidy</t>
  </si>
  <si>
    <t>Fert subsidy</t>
  </si>
  <si>
    <t>Insecticide subsity</t>
  </si>
  <si>
    <t>Water subsidy</t>
  </si>
  <si>
    <t>Spares -duty</t>
  </si>
  <si>
    <t>Labor op cost</t>
  </si>
  <si>
    <t>Administration (/month)</t>
  </si>
  <si>
    <t>Management</t>
  </si>
  <si>
    <t>Total (efficiency prices)</t>
  </si>
  <si>
    <t>Fuel tax</t>
  </si>
  <si>
    <t>External Costs</t>
  </si>
  <si>
    <t>Import duties</t>
  </si>
  <si>
    <t>(this is the</t>
  </si>
  <si>
    <t>cost w/o</t>
  </si>
  <si>
    <t>duty)</t>
  </si>
  <si>
    <t>TABLE 4</t>
  </si>
  <si>
    <t>EFFICIENCY ANALYSIS</t>
  </si>
  <si>
    <t>*external  cost downstream</t>
  </si>
  <si>
    <t>Price (LC)</t>
  </si>
  <si>
    <t>Cost (LC)</t>
  </si>
  <si>
    <t>Price (€)</t>
  </si>
  <si>
    <t>Cost (€)</t>
  </si>
  <si>
    <t>Fixed Investment</t>
  </si>
  <si>
    <t>Item</t>
  </si>
  <si>
    <t>Imported Equipment</t>
  </si>
  <si>
    <t>Unskilled Labor</t>
  </si>
  <si>
    <t>Other Domestic Costs</t>
  </si>
  <si>
    <t>Transport Costs (to port)</t>
  </si>
  <si>
    <t>Handling/Transit Charges</t>
  </si>
  <si>
    <t>Export Tax</t>
  </si>
  <si>
    <t>Working Capital</t>
  </si>
  <si>
    <t>(end of year 1)</t>
  </si>
  <si>
    <t>Amount (LC)</t>
  </si>
  <si>
    <t>Revenue (€)</t>
  </si>
  <si>
    <t>Cut Flowers (units)</t>
  </si>
  <si>
    <t>development</t>
  </si>
  <si>
    <t>repay investment</t>
  </si>
  <si>
    <t>production</t>
  </si>
  <si>
    <t>NOMINAL</t>
  </si>
  <si>
    <t>CIF PRICE= fob + freight charges + insurance + port charges @ import country</t>
  </si>
  <si>
    <t>Air Transport Costs</t>
  </si>
  <si>
    <t>Exchange rate (LC/€)</t>
  </si>
  <si>
    <r>
      <t xml:space="preserve">Capital Costs </t>
    </r>
    <r>
      <rPr>
        <b/>
        <sz val="11"/>
        <color theme="1"/>
        <rFont val="Aptos Narrow"/>
        <family val="2"/>
        <scheme val="minor"/>
      </rPr>
      <t>(TOTAL)</t>
    </r>
  </si>
  <si>
    <t>Total capital cost</t>
  </si>
  <si>
    <t>Amount (€)</t>
  </si>
  <si>
    <t>capital costs</t>
  </si>
  <si>
    <t>Financed Portion (loan) (80%)</t>
  </si>
  <si>
    <t>Interest (nominal)</t>
  </si>
  <si>
    <t>Inflation rate</t>
  </si>
  <si>
    <t>Discount rate (real)</t>
  </si>
  <si>
    <t>Priv disc rate (real)</t>
  </si>
  <si>
    <t xml:space="preserve">0.5 unskilled, 0.5 domestic costs </t>
  </si>
  <si>
    <t>Shadow Prices</t>
  </si>
  <si>
    <t>Foreign Exchange</t>
  </si>
  <si>
    <t>Labor</t>
  </si>
  <si>
    <t xml:space="preserve">No. </t>
  </si>
  <si>
    <t>BCR</t>
  </si>
  <si>
    <t>DELETE</t>
  </si>
  <si>
    <t>Revenue (LC)</t>
  </si>
  <si>
    <t>still need to do everything belowww</t>
  </si>
  <si>
    <t>Total costs</t>
  </si>
  <si>
    <t>Costs</t>
  </si>
  <si>
    <t>*how often paid? Each year?</t>
  </si>
  <si>
    <t>Operating costs</t>
  </si>
  <si>
    <t>Benefits</t>
  </si>
  <si>
    <t>Capital stock</t>
  </si>
  <si>
    <t>Loan balance</t>
  </si>
  <si>
    <t>Principal pd</t>
  </si>
  <si>
    <t>Interest pd</t>
  </si>
  <si>
    <t>Total debt pd</t>
  </si>
  <si>
    <t>Equity pd</t>
  </si>
  <si>
    <t>Taxes</t>
  </si>
  <si>
    <t>(i) Operating costs</t>
  </si>
  <si>
    <t>(ii) Export costs</t>
  </si>
  <si>
    <t>(iii) Financing cost</t>
  </si>
  <si>
    <t>Cash Flow Pre-Tax</t>
  </si>
  <si>
    <t>REAL</t>
  </si>
  <si>
    <t>Interest (real)</t>
  </si>
  <si>
    <t>Nominal</t>
  </si>
  <si>
    <t>ECONOMIC/EFFICIENCY ANALYSIS</t>
  </si>
  <si>
    <t>Efficiency Cash Flows</t>
  </si>
  <si>
    <t>(i) Financing costs</t>
  </si>
  <si>
    <t>(ii) Operating costs</t>
  </si>
  <si>
    <t>*adjust???</t>
  </si>
  <si>
    <t>dvlpmt</t>
  </si>
  <si>
    <t>Year 1</t>
  </si>
  <si>
    <t>Year 2</t>
  </si>
  <si>
    <t>Shares</t>
  </si>
  <si>
    <t>Domestic costs</t>
  </si>
  <si>
    <t>Foreign exchange</t>
  </si>
  <si>
    <t>Unskilled labor</t>
  </si>
  <si>
    <t>Unskilled labor (LC)</t>
  </si>
  <si>
    <t>Domestic costs (LC)</t>
  </si>
  <si>
    <t>Foreign exchange (LC)</t>
  </si>
  <si>
    <t>Who Pays</t>
  </si>
  <si>
    <t>Farmers</t>
  </si>
  <si>
    <t>Govt</t>
  </si>
  <si>
    <t>No. farmers</t>
  </si>
  <si>
    <t>Hectares per</t>
  </si>
  <si>
    <t>Strawberries</t>
  </si>
  <si>
    <t>Green beans</t>
  </si>
  <si>
    <t>mt/hec</t>
  </si>
  <si>
    <t>production costs (LC/mt)</t>
  </si>
  <si>
    <t>foreign</t>
  </si>
  <si>
    <t>domestic</t>
  </si>
  <si>
    <t>CIF (€)</t>
  </si>
  <si>
    <t>CIF (LC)</t>
  </si>
  <si>
    <t>Air freight &amp; insurance  (€/mt)</t>
  </si>
  <si>
    <t>Transport (LC/mt)</t>
  </si>
  <si>
    <t>Handling and shipping</t>
  </si>
  <si>
    <t>Lease fee</t>
  </si>
  <si>
    <t>Cost (LC/ht)</t>
  </si>
  <si>
    <t>lease fee starts</t>
  </si>
  <si>
    <t>Discount rate (econ/govt)</t>
  </si>
  <si>
    <t>Discount rate (farmer)</t>
  </si>
  <si>
    <t>CIF Price</t>
  </si>
  <si>
    <t>Freight and insurance</t>
  </si>
  <si>
    <t>FOB Price</t>
  </si>
  <si>
    <t>Air Transport Cost</t>
  </si>
  <si>
    <t>€ to LC</t>
  </si>
  <si>
    <t>SA (LC/unit)</t>
  </si>
  <si>
    <t>Paris (€/unit)</t>
  </si>
  <si>
    <t>Farm-Gate Price (/unit)</t>
  </si>
  <si>
    <t>Farm-Gate Price (total)</t>
  </si>
  <si>
    <t>Farm-Gate Calculation</t>
  </si>
  <si>
    <t>Year</t>
  </si>
  <si>
    <t>Total Cost (LC)</t>
  </si>
  <si>
    <t>Unskilled Labor (40%)</t>
  </si>
  <si>
    <t>Domestic Costs (40%)</t>
  </si>
  <si>
    <t>Foreign Exchange (20%)</t>
  </si>
  <si>
    <t>Farmers' Share (20%)</t>
  </si>
  <si>
    <t>Govt. Share (80%)</t>
  </si>
  <si>
    <t>FINANCIAL</t>
  </si>
  <si>
    <t>Production &amp; Costs per Hectare</t>
  </si>
  <si>
    <t>Crop</t>
  </si>
  <si>
    <t>Yield (mt/ha)</t>
  </si>
  <si>
    <t>Production Cost (LC/mt)</t>
  </si>
  <si>
    <t>Foreign (LC/mt)</t>
  </si>
  <si>
    <t>Domestic (LC/mt)</t>
  </si>
  <si>
    <t>CIF Price (€/mt)</t>
  </si>
  <si>
    <t>CIF Price (LC)</t>
  </si>
  <si>
    <t>Freight (€/mt)</t>
  </si>
  <si>
    <t>Handling (LC/mt)</t>
  </si>
  <si>
    <t>Green Beans</t>
  </si>
  <si>
    <t>Total Production &amp; Revenue Calculation</t>
  </si>
  <si>
    <t>Total Hectares</t>
  </si>
  <si>
    <t>Total Farmers</t>
  </si>
  <si>
    <t>Strawberries (mt)</t>
  </si>
  <si>
    <t>Green Beans (mt)</t>
  </si>
  <si>
    <t>Freight</t>
  </si>
  <si>
    <t>Total</t>
  </si>
  <si>
    <t>Govt share</t>
  </si>
  <si>
    <t>(i) Annual land cost</t>
  </si>
  <si>
    <t>Land fee  (LC/ht)</t>
  </si>
  <si>
    <t>(ii) Production cost</t>
  </si>
  <si>
    <t>FARM GATE</t>
  </si>
  <si>
    <t>Category</t>
  </si>
  <si>
    <t>Unit</t>
  </si>
  <si>
    <t>Price Data</t>
  </si>
  <si>
    <t>Tomato price—CIF Paris</t>
  </si>
  <si>
    <t>$/kg</t>
  </si>
  <si>
    <t>Freight and insurance—Morocco to France</t>
  </si>
  <si>
    <t>$/mt</t>
  </si>
  <si>
    <t>Transport to Moroccan port</t>
  </si>
  <si>
    <t>Price Increases per Annum</t>
  </si>
  <si>
    <t>General inflation</t>
  </si>
  <si>
    <t>Production Data per Annum</t>
  </si>
  <si>
    <t>Yield</t>
  </si>
  <si>
    <t>kg/ha</t>
  </si>
  <si>
    <t>Hectares</t>
  </si>
  <si>
    <t>ha</t>
  </si>
  <si>
    <t>Operating Costs per Annum</t>
  </si>
  <si>
    <t>Seed cost</t>
  </si>
  <si>
    <t>$/ha</t>
  </si>
  <si>
    <t>Chemical cost</t>
  </si>
  <si>
    <t>Fertilizer cost</t>
  </si>
  <si>
    <t>Harvest cost</t>
  </si>
  <si>
    <t>Packaging cost</t>
  </si>
  <si>
    <t>Working capital factor</t>
  </si>
  <si>
    <t>Financing, Shadow Pricing, and Discount Rates</t>
  </si>
  <si>
    <t>Foreign exchange shadow price</t>
  </si>
  <si>
    <t>Loan term</t>
  </si>
  <si>
    <r>
      <rPr>
        <sz val="11"/>
        <color rgb="FF00B0F0"/>
        <rFont val="Aptos Narrow"/>
        <family val="2"/>
        <scheme val="minor"/>
      </rPr>
      <t>Nominal</t>
    </r>
    <r>
      <rPr>
        <sz val="11"/>
        <color theme="1"/>
        <rFont val="Aptos Narrow"/>
        <family val="2"/>
        <scheme val="minor"/>
      </rPr>
      <t xml:space="preserve"> debt interest rate</t>
    </r>
  </si>
  <si>
    <r>
      <rPr>
        <sz val="11"/>
        <color rgb="FF9933FF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social discount rate</t>
    </r>
  </si>
  <si>
    <r>
      <rPr>
        <sz val="11"/>
        <color rgb="FF9933FF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tomato price increase</t>
    </r>
  </si>
  <si>
    <r>
      <rPr>
        <sz val="11"/>
        <color rgb="FF9933FF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fertilizer price increase</t>
    </r>
  </si>
  <si>
    <r>
      <rPr>
        <sz val="11"/>
        <color rgb="FF9933FF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chemical price increase</t>
    </r>
  </si>
  <si>
    <r>
      <rPr>
        <sz val="11"/>
        <color rgb="FF9933FF"/>
        <rFont val="Aptos Narrow"/>
        <family val="2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seed price increase</t>
    </r>
  </si>
  <si>
    <t>Morocco (LC/unit)</t>
  </si>
  <si>
    <t>France (€/unit)</t>
  </si>
  <si>
    <t>Financing Data</t>
  </si>
  <si>
    <t>Working capital share of operating costs</t>
  </si>
  <si>
    <t>* seed, chem, fert, harv, pack</t>
  </si>
  <si>
    <t>skip</t>
  </si>
  <si>
    <t>(i) Investment costs</t>
  </si>
  <si>
    <t>(iii) Operating costs</t>
  </si>
  <si>
    <t>Conversion</t>
  </si>
  <si>
    <t>mt</t>
  </si>
  <si>
    <t>kg</t>
  </si>
  <si>
    <r>
      <t xml:space="preserve">Initial investment </t>
    </r>
    <r>
      <rPr>
        <sz val="11"/>
        <color rgb="FF9933FF"/>
        <rFont val="Aptos Narrow"/>
        <family val="2"/>
        <scheme val="minor"/>
      </rPr>
      <t>Real</t>
    </r>
  </si>
  <si>
    <t>adjust shadow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</si>
</sst>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000000000000000%"/>
    <numFmt numFmtId="165" formatCode="0.000%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0" tint="-0.24997711111789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933F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2" tint="-0.249977111117893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FE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8" fillId="10" borderId="0" applyNumberFormat="0" applyBorder="0" applyAlignment="0" applyProtection="0"/>
  </cellStyleXfs>
  <cellXfs count="213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9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1" fillId="0" borderId="6" xfId="0" applyNumberFormat="1" applyFont="1" applyBorder="1"/>
    <xf numFmtId="0" fontId="0" fillId="0" borderId="8" xfId="0" applyBorder="1"/>
    <xf numFmtId="0" fontId="0" fillId="2" borderId="0" xfId="0" applyFill="1"/>
    <xf numFmtId="8" fontId="0" fillId="0" borderId="0" xfId="0" applyNumberFormat="1"/>
    <xf numFmtId="9" fontId="0" fillId="0" borderId="5" xfId="0" applyNumberFormat="1" applyBorder="1"/>
    <xf numFmtId="0" fontId="0" fillId="3" borderId="1" xfId="0" applyFill="1" applyBorder="1"/>
    <xf numFmtId="0" fontId="1" fillId="3" borderId="1" xfId="0" applyFont="1" applyFill="1" applyBorder="1"/>
    <xf numFmtId="8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3" fillId="0" borderId="12" xfId="0" applyFont="1" applyBorder="1"/>
    <xf numFmtId="0" fontId="0" fillId="0" borderId="12" xfId="0" applyBorder="1"/>
    <xf numFmtId="3" fontId="0" fillId="0" borderId="12" xfId="0" applyNumberFormat="1" applyBorder="1"/>
    <xf numFmtId="9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0" xfId="0" applyFill="1"/>
    <xf numFmtId="0" fontId="0" fillId="4" borderId="10" xfId="0" applyFill="1" applyBorder="1"/>
    <xf numFmtId="3" fontId="1" fillId="0" borderId="0" xfId="0" applyNumberFormat="1" applyFont="1"/>
    <xf numFmtId="0" fontId="1" fillId="0" borderId="9" xfId="0" applyFont="1" applyBorder="1"/>
    <xf numFmtId="9" fontId="0" fillId="0" borderId="13" xfId="0" applyNumberFormat="1" applyBorder="1"/>
    <xf numFmtId="9" fontId="0" fillId="0" borderId="16" xfId="0" applyNumberFormat="1" applyBorder="1"/>
    <xf numFmtId="0" fontId="0" fillId="4" borderId="9" xfId="0" applyFill="1" applyBorder="1"/>
    <xf numFmtId="0" fontId="2" fillId="0" borderId="12" xfId="0" applyFont="1" applyBorder="1"/>
    <xf numFmtId="9" fontId="0" fillId="0" borderId="14" xfId="0" applyNumberFormat="1" applyBorder="1"/>
    <xf numFmtId="9" fontId="0" fillId="0" borderId="15" xfId="0" applyNumberFormat="1" applyBorder="1"/>
    <xf numFmtId="0" fontId="3" fillId="0" borderId="13" xfId="0" applyFont="1" applyBorder="1"/>
    <xf numFmtId="0" fontId="4" fillId="0" borderId="0" xfId="0" applyFont="1"/>
    <xf numFmtId="3" fontId="0" fillId="0" borderId="13" xfId="0" applyNumberFormat="1" applyBorder="1"/>
    <xf numFmtId="3" fontId="1" fillId="0" borderId="13" xfId="0" applyNumberFormat="1" applyFont="1" applyBorder="1"/>
    <xf numFmtId="0" fontId="1" fillId="5" borderId="17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7" xfId="0" applyBorder="1"/>
    <xf numFmtId="0" fontId="5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9" fontId="0" fillId="0" borderId="13" xfId="0" applyNumberForma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9" fontId="0" fillId="0" borderId="16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" fillId="7" borderId="1" xfId="0" applyFont="1" applyFill="1" applyBorder="1"/>
    <xf numFmtId="0" fontId="1" fillId="6" borderId="9" xfId="0" applyFont="1" applyFill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9" xfId="0" applyBorder="1"/>
    <xf numFmtId="9" fontId="1" fillId="0" borderId="11" xfId="0" applyNumberFormat="1" applyFont="1" applyBorder="1"/>
    <xf numFmtId="8" fontId="0" fillId="0" borderId="13" xfId="0" applyNumberFormat="1" applyBorder="1"/>
    <xf numFmtId="0" fontId="1" fillId="0" borderId="14" xfId="0" applyFont="1" applyBorder="1"/>
    <xf numFmtId="0" fontId="7" fillId="0" borderId="0" xfId="1"/>
    <xf numFmtId="0" fontId="7" fillId="0" borderId="0" xfId="1" applyAlignment="1">
      <alignment horizontal="right"/>
    </xf>
    <xf numFmtId="0" fontId="8" fillId="0" borderId="0" xfId="1" applyFont="1" applyAlignment="1">
      <alignment horizontal="right"/>
    </xf>
    <xf numFmtId="0" fontId="7" fillId="0" borderId="0" xfId="1" applyAlignment="1">
      <alignment horizontal="left"/>
    </xf>
    <xf numFmtId="2" fontId="0" fillId="0" borderId="0" xfId="0" applyNumberFormat="1"/>
    <xf numFmtId="0" fontId="9" fillId="0" borderId="0" xfId="1" applyFont="1" applyAlignment="1">
      <alignment horizontal="right"/>
    </xf>
    <xf numFmtId="0" fontId="1" fillId="0" borderId="20" xfId="0" applyFont="1" applyBorder="1"/>
    <xf numFmtId="0" fontId="0" fillId="0" borderId="20" xfId="0" applyBorder="1"/>
    <xf numFmtId="0" fontId="6" fillId="8" borderId="1" xfId="0" applyFont="1" applyFill="1" applyBorder="1"/>
    <xf numFmtId="0" fontId="0" fillId="3" borderId="0" xfId="0" applyFill="1"/>
    <xf numFmtId="164" fontId="0" fillId="0" borderId="0" xfId="0" applyNumberFormat="1" applyAlignment="1">
      <alignment horizontal="left" vertical="top"/>
    </xf>
    <xf numFmtId="3" fontId="0" fillId="0" borderId="20" xfId="0" applyNumberFormat="1" applyBorder="1"/>
    <xf numFmtId="9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9" borderId="1" xfId="0" applyFont="1" applyFill="1" applyBorder="1"/>
    <xf numFmtId="0" fontId="0" fillId="9" borderId="1" xfId="0" applyFill="1" applyBorder="1"/>
    <xf numFmtId="0" fontId="10" fillId="0" borderId="0" xfId="0" applyFont="1"/>
    <xf numFmtId="0" fontId="11" fillId="0" borderId="0" xfId="0" applyFont="1"/>
    <xf numFmtId="0" fontId="1" fillId="0" borderId="13" xfId="0" applyFont="1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1" fillId="0" borderId="12" xfId="0" applyNumberFormat="1" applyFont="1" applyBorder="1" applyAlignment="1">
      <alignment horizontal="left" vertical="top"/>
    </xf>
    <xf numFmtId="3" fontId="1" fillId="0" borderId="13" xfId="0" applyNumberFormat="1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3" fontId="1" fillId="0" borderId="14" xfId="0" applyNumberFormat="1" applyFont="1" applyBorder="1" applyAlignment="1">
      <alignment horizontal="left" vertical="top"/>
    </xf>
    <xf numFmtId="3" fontId="1" fillId="0" borderId="16" xfId="0" applyNumberFormat="1" applyFont="1" applyBorder="1" applyAlignment="1">
      <alignment horizontal="left" vertical="top"/>
    </xf>
    <xf numFmtId="0" fontId="1" fillId="6" borderId="21" xfId="0" applyFont="1" applyFill="1" applyBorder="1"/>
    <xf numFmtId="0" fontId="1" fillId="0" borderId="22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4" fillId="0" borderId="12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3" fillId="0" borderId="3" xfId="0" applyFont="1" applyBorder="1"/>
    <xf numFmtId="0" fontId="13" fillId="0" borderId="0" xfId="0" applyFont="1"/>
    <xf numFmtId="0" fontId="10" fillId="0" borderId="3" xfId="0" applyFont="1" applyBorder="1"/>
    <xf numFmtId="0" fontId="14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5" borderId="14" xfId="0" applyFont="1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14" fillId="0" borderId="0" xfId="0" applyFont="1"/>
    <xf numFmtId="0" fontId="1" fillId="6" borderId="9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9" xfId="0" applyBorder="1" applyAlignment="1">
      <alignment vertical="top"/>
    </xf>
    <xf numFmtId="0" fontId="1" fillId="3" borderId="24" xfId="0" applyFont="1" applyFill="1" applyBorder="1" applyAlignment="1">
      <alignment vertical="top"/>
    </xf>
    <xf numFmtId="3" fontId="0" fillId="0" borderId="13" xfId="0" applyNumberFormat="1" applyBorder="1" applyAlignment="1">
      <alignment vertical="top" wrapText="1"/>
    </xf>
    <xf numFmtId="0" fontId="0" fillId="0" borderId="13" xfId="0" applyBorder="1" applyAlignment="1">
      <alignment vertical="top"/>
    </xf>
    <xf numFmtId="0" fontId="1" fillId="6" borderId="17" xfId="0" applyFont="1" applyFill="1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1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3" fillId="0" borderId="0" xfId="0" applyFont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3" fillId="0" borderId="9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6" borderId="11" xfId="0" applyFill="1" applyBorder="1" applyAlignment="1">
      <alignment vertical="top"/>
    </xf>
    <xf numFmtId="0" fontId="1" fillId="0" borderId="12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9" fontId="0" fillId="0" borderId="13" xfId="0" applyNumberFormat="1" applyBorder="1" applyAlignment="1">
      <alignment vertical="top"/>
    </xf>
    <xf numFmtId="0" fontId="0" fillId="0" borderId="12" xfId="0" applyBorder="1" applyAlignment="1">
      <alignment vertical="top"/>
    </xf>
    <xf numFmtId="0" fontId="1" fillId="0" borderId="14" xfId="0" applyFont="1" applyBorder="1" applyAlignment="1">
      <alignment vertical="top"/>
    </xf>
    <xf numFmtId="9" fontId="0" fillId="0" borderId="16" xfId="0" applyNumberFormat="1" applyBorder="1" applyAlignment="1">
      <alignment vertical="top"/>
    </xf>
    <xf numFmtId="0" fontId="0" fillId="0" borderId="14" xfId="0" applyBorder="1" applyAlignment="1">
      <alignment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3" fontId="0" fillId="0" borderId="15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14" fillId="0" borderId="12" xfId="0" applyFont="1" applyBorder="1" applyAlignment="1">
      <alignment horizontal="left" vertical="top"/>
    </xf>
    <xf numFmtId="0" fontId="3" fillId="8" borderId="10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0" fillId="9" borderId="11" xfId="0" applyFill="1" applyBorder="1" applyAlignment="1">
      <alignment vertical="top"/>
    </xf>
    <xf numFmtId="3" fontId="0" fillId="0" borderId="0" xfId="0" applyNumberFormat="1" applyAlignment="1">
      <alignment vertical="top"/>
    </xf>
    <xf numFmtId="3" fontId="0" fillId="0" borderId="13" xfId="0" applyNumberFormat="1" applyBorder="1" applyAlignment="1">
      <alignment vertical="top"/>
    </xf>
    <xf numFmtId="0" fontId="0" fillId="5" borderId="15" xfId="0" applyFill="1" applyBorder="1" applyAlignment="1">
      <alignment vertical="top"/>
    </xf>
    <xf numFmtId="0" fontId="0" fillId="5" borderId="16" xfId="0" applyFill="1" applyBorder="1" applyAlignment="1">
      <alignment vertical="top"/>
    </xf>
    <xf numFmtId="0" fontId="3" fillId="0" borderId="0" xfId="1" applyFont="1" applyAlignment="1">
      <alignment horizontal="right"/>
    </xf>
    <xf numFmtId="9" fontId="0" fillId="0" borderId="0" xfId="0" applyNumberFormat="1" applyAlignment="1">
      <alignment vertical="top"/>
    </xf>
    <xf numFmtId="0" fontId="17" fillId="0" borderId="13" xfId="0" applyFont="1" applyBorder="1" applyAlignment="1">
      <alignment horizontal="left" vertical="top" wrapText="1"/>
    </xf>
    <xf numFmtId="0" fontId="1" fillId="0" borderId="17" xfId="0" applyFont="1" applyBorder="1"/>
    <xf numFmtId="3" fontId="0" fillId="0" borderId="18" xfId="0" applyNumberFormat="1" applyBorder="1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9" fontId="0" fillId="0" borderId="15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9" fontId="0" fillId="0" borderId="13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0" fillId="11" borderId="0" xfId="0" applyFill="1" applyAlignment="1">
      <alignment vertical="center"/>
    </xf>
    <xf numFmtId="0" fontId="1" fillId="5" borderId="14" xfId="0" applyFont="1" applyFill="1" applyBorder="1" applyAlignment="1">
      <alignment horizontal="left" vertical="top"/>
    </xf>
    <xf numFmtId="9" fontId="0" fillId="0" borderId="16" xfId="0" applyNumberFormat="1" applyBorder="1" applyAlignment="1">
      <alignment vertical="center"/>
    </xf>
    <xf numFmtId="0" fontId="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20" fillId="0" borderId="9" xfId="0" applyFont="1" applyBorder="1" applyAlignment="1">
      <alignment vertical="center"/>
    </xf>
    <xf numFmtId="0" fontId="20" fillId="0" borderId="0" xfId="0" applyFont="1"/>
    <xf numFmtId="0" fontId="20" fillId="0" borderId="0" xfId="0" applyFont="1" applyAlignment="1">
      <alignment vertical="center"/>
    </xf>
    <xf numFmtId="6" fontId="0" fillId="0" borderId="13" xfId="0" applyNumberFormat="1" applyBorder="1"/>
    <xf numFmtId="0" fontId="21" fillId="0" borderId="0" xfId="1" applyFont="1" applyAlignment="1">
      <alignment horizontal="right"/>
    </xf>
    <xf numFmtId="6" fontId="0" fillId="0" borderId="0" xfId="0" applyNumberFormat="1"/>
    <xf numFmtId="0" fontId="3" fillId="0" borderId="20" xfId="0" applyFont="1" applyBorder="1"/>
    <xf numFmtId="0" fontId="0" fillId="0" borderId="25" xfId="0" applyBorder="1"/>
    <xf numFmtId="0" fontId="22" fillId="0" borderId="0" xfId="1" applyFont="1" applyAlignment="1">
      <alignment horizontal="right"/>
    </xf>
    <xf numFmtId="0" fontId="0" fillId="12" borderId="0" xfId="0" applyFill="1" applyAlignment="1">
      <alignment vertical="center"/>
    </xf>
    <xf numFmtId="164" fontId="17" fillId="0" borderId="0" xfId="0" applyNumberFormat="1" applyFont="1" applyAlignment="1">
      <alignment horizontal="left" vertical="top"/>
    </xf>
    <xf numFmtId="3" fontId="0" fillId="0" borderId="15" xfId="0" applyNumberFormat="1" applyBorder="1" applyAlignment="1">
      <alignment vertical="top"/>
    </xf>
    <xf numFmtId="0" fontId="0" fillId="4" borderId="15" xfId="0" applyFill="1" applyBorder="1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4" borderId="0" xfId="0" applyFill="1" applyAlignment="1">
      <alignment vertical="top"/>
    </xf>
    <xf numFmtId="0" fontId="18" fillId="10" borderId="0" xfId="2"/>
    <xf numFmtId="0" fontId="4" fillId="0" borderId="0" xfId="1" applyFont="1" applyAlignment="1">
      <alignment horizontal="left"/>
    </xf>
    <xf numFmtId="0" fontId="23" fillId="0" borderId="0" xfId="0" applyFont="1"/>
    <xf numFmtId="0" fontId="4" fillId="0" borderId="0" xfId="0" applyFont="1" applyAlignment="1">
      <alignment vertical="top"/>
    </xf>
  </cellXfs>
  <cellStyles count="3">
    <cellStyle name="Bad" xfId="2" builtinId="27"/>
    <cellStyle name="Normal" xfId="0" builtinId="0"/>
    <cellStyle name="Normal 2" xfId="1" xr:uid="{70989E48-B6AD-43B4-A367-FB49EFB97A9F}"/>
  </cellStyles>
  <dxfs count="0"/>
  <tableStyles count="0" defaultTableStyle="TableStyleMedium2" defaultPivotStyle="PivotStyleLight16"/>
  <colors>
    <mruColors>
      <color rgb="FF9933FF"/>
      <color rgb="FFCCFF99"/>
      <color rgb="FFFF9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B50A-A3D3-40C7-8C12-99EBBA26DD64}">
  <dimension ref="A1:W98"/>
  <sheetViews>
    <sheetView zoomScale="65" zoomScaleNormal="100" workbookViewId="0">
      <selection activeCell="A35" sqref="A35"/>
    </sheetView>
  </sheetViews>
  <sheetFormatPr defaultRowHeight="14.5" x14ac:dyDescent="0.35"/>
  <cols>
    <col min="1" max="1" width="18.90625" customWidth="1"/>
    <col min="2" max="2" width="8.7265625" customWidth="1"/>
    <col min="3" max="3" width="10.6328125" bestFit="1" customWidth="1"/>
    <col min="4" max="4" width="9.453125" customWidth="1"/>
    <col min="6" max="6" width="8.36328125" customWidth="1"/>
    <col min="8" max="10" width="10.6328125" bestFit="1" customWidth="1"/>
    <col min="17" max="17" width="10" customWidth="1"/>
  </cols>
  <sheetData>
    <row r="1" spans="1:22" ht="15" thickBot="1" x14ac:dyDescent="0.4">
      <c r="A1" t="s">
        <v>88</v>
      </c>
      <c r="C1" s="32" t="s">
        <v>116</v>
      </c>
      <c r="F1" s="38" t="s">
        <v>117</v>
      </c>
      <c r="G1" s="33"/>
      <c r="H1" s="22"/>
      <c r="I1" s="32" t="s">
        <v>116</v>
      </c>
      <c r="N1" s="38" t="s">
        <v>117</v>
      </c>
      <c r="O1" s="33"/>
      <c r="P1" s="21"/>
      <c r="Q1" s="21"/>
      <c r="R1" s="21"/>
      <c r="S1" s="22"/>
    </row>
    <row r="2" spans="1:22" x14ac:dyDescent="0.35">
      <c r="A2" s="3" t="s">
        <v>36</v>
      </c>
      <c r="B2" s="1"/>
      <c r="C2" s="1"/>
      <c r="D2" s="1" t="s">
        <v>47</v>
      </c>
      <c r="E2" s="1"/>
      <c r="F2" s="23"/>
      <c r="G2" s="1"/>
      <c r="H2" s="24"/>
      <c r="K2" s="1" t="s">
        <v>47</v>
      </c>
      <c r="N2" s="23"/>
      <c r="O2" s="1"/>
      <c r="P2" s="1"/>
      <c r="Q2" s="1"/>
      <c r="R2" s="1"/>
      <c r="S2" s="24"/>
      <c r="U2" s="35" t="s">
        <v>100</v>
      </c>
      <c r="V2" s="22"/>
    </row>
    <row r="3" spans="1:22" x14ac:dyDescent="0.35">
      <c r="A3" s="3" t="s">
        <v>37</v>
      </c>
      <c r="B3" s="1"/>
      <c r="C3" s="3" t="s">
        <v>43</v>
      </c>
      <c r="D3" s="3" t="s">
        <v>45</v>
      </c>
      <c r="E3" s="3" t="s">
        <v>46</v>
      </c>
      <c r="F3" s="25" t="s">
        <v>45</v>
      </c>
      <c r="H3" s="42" t="s">
        <v>46</v>
      </c>
      <c r="I3" s="3" t="s">
        <v>55</v>
      </c>
      <c r="K3" s="3" t="s">
        <v>43</v>
      </c>
      <c r="L3" s="3" t="s">
        <v>45</v>
      </c>
      <c r="M3" s="3" t="s">
        <v>46</v>
      </c>
      <c r="N3" s="25"/>
      <c r="O3" s="3"/>
      <c r="P3" s="3" t="s">
        <v>17</v>
      </c>
      <c r="Q3" s="3" t="s">
        <v>45</v>
      </c>
      <c r="R3" s="3" t="s">
        <v>46</v>
      </c>
      <c r="S3" s="24"/>
      <c r="U3" s="25" t="s">
        <v>101</v>
      </c>
      <c r="V3" s="24"/>
    </row>
    <row r="4" spans="1:22" x14ac:dyDescent="0.35">
      <c r="A4" t="s">
        <v>38</v>
      </c>
      <c r="C4" t="s">
        <v>44</v>
      </c>
      <c r="D4" t="s">
        <v>48</v>
      </c>
      <c r="F4" s="26" t="s">
        <v>48</v>
      </c>
      <c r="H4" s="24"/>
      <c r="I4" t="s">
        <v>56</v>
      </c>
      <c r="K4">
        <v>100</v>
      </c>
      <c r="L4">
        <v>30</v>
      </c>
      <c r="M4">
        <f>K4*L4</f>
        <v>3000</v>
      </c>
      <c r="N4" s="26" t="s">
        <v>118</v>
      </c>
      <c r="P4" s="5">
        <v>0</v>
      </c>
      <c r="Q4">
        <v>0</v>
      </c>
      <c r="R4">
        <f>K4*Q4</f>
        <v>0</v>
      </c>
      <c r="S4" s="24"/>
      <c r="U4" s="26">
        <v>2016</v>
      </c>
      <c r="V4" s="36">
        <v>0.25</v>
      </c>
    </row>
    <row r="5" spans="1:22" x14ac:dyDescent="0.35">
      <c r="A5" t="s">
        <v>39</v>
      </c>
      <c r="C5">
        <v>4</v>
      </c>
      <c r="D5" s="2">
        <v>100000</v>
      </c>
      <c r="E5" s="2">
        <f>C5*D5</f>
        <v>400000</v>
      </c>
      <c r="F5" s="27">
        <f>D5/(1+Q21)</f>
        <v>90909.090909090897</v>
      </c>
      <c r="G5" s="43" t="s">
        <v>131</v>
      </c>
      <c r="H5" s="44">
        <f>F5*C5</f>
        <v>363636.36363636359</v>
      </c>
      <c r="I5" t="s">
        <v>57</v>
      </c>
      <c r="K5" s="2">
        <v>2500</v>
      </c>
      <c r="L5">
        <v>0.7</v>
      </c>
      <c r="M5">
        <f>K5*L5</f>
        <v>1750</v>
      </c>
      <c r="N5" s="27" t="s">
        <v>128</v>
      </c>
      <c r="O5" s="2"/>
      <c r="P5" s="5">
        <v>0.1</v>
      </c>
      <c r="Q5">
        <f>L5/(1+P5)</f>
        <v>0.63636363636363624</v>
      </c>
      <c r="R5" s="2">
        <f>K5*Q5</f>
        <v>1590.9090909090905</v>
      </c>
      <c r="S5" s="24"/>
      <c r="U5" s="26">
        <v>2017</v>
      </c>
      <c r="V5" s="36">
        <v>0.5</v>
      </c>
    </row>
    <row r="6" spans="1:22" x14ac:dyDescent="0.35">
      <c r="A6" t="s">
        <v>40</v>
      </c>
      <c r="C6">
        <v>3</v>
      </c>
      <c r="D6" s="2">
        <v>30000</v>
      </c>
      <c r="E6" s="2">
        <f t="shared" ref="E6:E7" si="0">C6*D6</f>
        <v>90000</v>
      </c>
      <c r="F6" s="27">
        <f>D6/(1+Q22)</f>
        <v>25000</v>
      </c>
      <c r="G6" s="43" t="s">
        <v>132</v>
      </c>
      <c r="H6" s="44">
        <f>C6*F6</f>
        <v>75000</v>
      </c>
      <c r="I6" t="s">
        <v>58</v>
      </c>
      <c r="K6">
        <v>250</v>
      </c>
      <c r="L6">
        <v>20</v>
      </c>
      <c r="M6">
        <f t="shared" ref="M6:M15" si="1">K6*L6</f>
        <v>5000</v>
      </c>
      <c r="N6" s="27" t="s">
        <v>119</v>
      </c>
      <c r="O6" s="2"/>
      <c r="P6" s="5">
        <v>0.25</v>
      </c>
      <c r="Q6">
        <f>L6/(1-P6)</f>
        <v>26.666666666666668</v>
      </c>
      <c r="R6" s="2">
        <f t="shared" ref="R6:R11" si="2">Q6*K6</f>
        <v>6666.666666666667</v>
      </c>
      <c r="S6" s="24"/>
      <c r="U6" s="26">
        <v>2018</v>
      </c>
      <c r="V6" s="36">
        <v>0.75</v>
      </c>
    </row>
    <row r="7" spans="1:22" ht="15" thickBot="1" x14ac:dyDescent="0.4">
      <c r="A7" t="s">
        <v>41</v>
      </c>
      <c r="C7">
        <v>250</v>
      </c>
      <c r="D7" s="2">
        <v>1000</v>
      </c>
      <c r="E7" s="2">
        <f t="shared" si="0"/>
        <v>250000</v>
      </c>
      <c r="F7" s="27">
        <v>1000</v>
      </c>
      <c r="G7" s="43" t="s">
        <v>133</v>
      </c>
      <c r="H7" s="44">
        <f>F7*C7</f>
        <v>250000</v>
      </c>
      <c r="I7" t="s">
        <v>59</v>
      </c>
      <c r="K7">
        <v>3</v>
      </c>
      <c r="L7">
        <v>500</v>
      </c>
      <c r="M7">
        <f t="shared" si="1"/>
        <v>1500</v>
      </c>
      <c r="N7" s="27" t="s">
        <v>120</v>
      </c>
      <c r="O7" s="2"/>
      <c r="P7" s="5">
        <v>0.3</v>
      </c>
      <c r="Q7">
        <f t="shared" ref="Q7:Q9" si="3">L7/(1-P7)</f>
        <v>714.28571428571433</v>
      </c>
      <c r="R7" s="2">
        <f t="shared" si="2"/>
        <v>2142.8571428571431</v>
      </c>
      <c r="S7" s="24"/>
      <c r="U7" s="29">
        <v>2019</v>
      </c>
      <c r="V7" s="37">
        <v>1</v>
      </c>
    </row>
    <row r="8" spans="1:22" x14ac:dyDescent="0.35">
      <c r="A8" s="1" t="s">
        <v>42</v>
      </c>
      <c r="E8" s="34">
        <f>SUM(E5:E7)</f>
        <v>740000</v>
      </c>
      <c r="F8" s="27"/>
      <c r="H8" s="45">
        <f>SUM(H5:H7)</f>
        <v>688636.36363636353</v>
      </c>
      <c r="I8" t="s">
        <v>67</v>
      </c>
      <c r="K8">
        <v>3000</v>
      </c>
      <c r="L8">
        <v>30</v>
      </c>
      <c r="M8">
        <f t="shared" si="1"/>
        <v>90000</v>
      </c>
      <c r="N8" s="27" t="s">
        <v>121</v>
      </c>
      <c r="O8" s="2"/>
      <c r="P8" s="5">
        <v>0.2</v>
      </c>
      <c r="Q8">
        <f t="shared" si="3"/>
        <v>37.5</v>
      </c>
      <c r="R8" s="2">
        <f t="shared" si="2"/>
        <v>112500</v>
      </c>
      <c r="S8" s="24"/>
    </row>
    <row r="9" spans="1:22" x14ac:dyDescent="0.35">
      <c r="A9" t="s">
        <v>49</v>
      </c>
      <c r="F9" s="26"/>
      <c r="H9" s="24"/>
      <c r="I9" t="s">
        <v>60</v>
      </c>
      <c r="K9">
        <v>900</v>
      </c>
      <c r="L9">
        <v>20</v>
      </c>
      <c r="M9">
        <f t="shared" si="1"/>
        <v>18000</v>
      </c>
      <c r="N9" s="26" t="s">
        <v>122</v>
      </c>
      <c r="P9" s="5">
        <v>0.4</v>
      </c>
      <c r="Q9">
        <f t="shared" si="3"/>
        <v>33.333333333333336</v>
      </c>
      <c r="R9" s="2">
        <f t="shared" si="2"/>
        <v>30000.000000000004</v>
      </c>
      <c r="S9" s="24"/>
    </row>
    <row r="10" spans="1:22" x14ac:dyDescent="0.35">
      <c r="A10" t="s">
        <v>50</v>
      </c>
      <c r="C10">
        <v>2</v>
      </c>
      <c r="D10" s="2">
        <v>500</v>
      </c>
      <c r="E10" s="2">
        <f>C10*D10</f>
        <v>1000</v>
      </c>
      <c r="F10" s="27">
        <v>714.29</v>
      </c>
      <c r="H10" s="44">
        <f>C10*F10</f>
        <v>1428.58</v>
      </c>
      <c r="I10" t="s">
        <v>61</v>
      </c>
      <c r="K10">
        <v>12</v>
      </c>
      <c r="L10">
        <v>1000</v>
      </c>
      <c r="M10">
        <f t="shared" si="1"/>
        <v>12000</v>
      </c>
      <c r="N10" s="27" t="s">
        <v>123</v>
      </c>
      <c r="O10" s="2"/>
      <c r="P10" s="5">
        <v>0.15</v>
      </c>
      <c r="Q10">
        <f>L10/(1+P10)</f>
        <v>869.56521739130437</v>
      </c>
      <c r="R10" s="2">
        <f t="shared" si="2"/>
        <v>10434.782608695652</v>
      </c>
      <c r="S10" s="24"/>
    </row>
    <row r="11" spans="1:22" x14ac:dyDescent="0.35">
      <c r="A11" t="s">
        <v>51</v>
      </c>
      <c r="C11">
        <v>2500</v>
      </c>
      <c r="D11" s="2">
        <v>30</v>
      </c>
      <c r="E11" s="2">
        <f>C11*D11</f>
        <v>75000</v>
      </c>
      <c r="F11" s="27">
        <v>37.5</v>
      </c>
      <c r="H11" s="44">
        <f>C11*F11</f>
        <v>93750</v>
      </c>
      <c r="I11" t="s">
        <v>97</v>
      </c>
      <c r="K11">
        <v>100</v>
      </c>
      <c r="L11">
        <v>60</v>
      </c>
      <c r="M11">
        <f t="shared" si="1"/>
        <v>6000</v>
      </c>
      <c r="N11" s="27" t="s">
        <v>124</v>
      </c>
      <c r="O11" s="2"/>
      <c r="P11" s="5">
        <v>0.2</v>
      </c>
      <c r="Q11">
        <v>12</v>
      </c>
      <c r="R11" s="2">
        <f t="shared" si="2"/>
        <v>1200</v>
      </c>
      <c r="S11" s="24"/>
    </row>
    <row r="12" spans="1:22" x14ac:dyDescent="0.35">
      <c r="A12" t="s">
        <v>52</v>
      </c>
      <c r="C12">
        <v>10</v>
      </c>
      <c r="D12" s="2">
        <v>1000</v>
      </c>
      <c r="E12" s="2">
        <f t="shared" ref="E12" si="4">C12*D12</f>
        <v>10000</v>
      </c>
      <c r="F12" s="27">
        <v>870</v>
      </c>
      <c r="H12" s="44">
        <f>C12*F12</f>
        <v>8700</v>
      </c>
      <c r="I12" t="s">
        <v>62</v>
      </c>
      <c r="K12">
        <v>12</v>
      </c>
      <c r="L12">
        <v>1000</v>
      </c>
      <c r="M12">
        <f>K12*L12</f>
        <v>12000</v>
      </c>
      <c r="N12" s="27" t="s">
        <v>125</v>
      </c>
      <c r="O12" s="2"/>
      <c r="P12" s="2"/>
      <c r="R12" s="2">
        <v>12000</v>
      </c>
      <c r="S12" s="24"/>
    </row>
    <row r="13" spans="1:22" x14ac:dyDescent="0.35">
      <c r="A13" t="s">
        <v>53</v>
      </c>
      <c r="C13">
        <v>500</v>
      </c>
      <c r="D13">
        <v>0.7</v>
      </c>
      <c r="E13" s="2">
        <f>C13*D13</f>
        <v>350</v>
      </c>
      <c r="F13" s="27">
        <v>0.64</v>
      </c>
      <c r="H13" s="44">
        <v>318</v>
      </c>
      <c r="I13" t="s">
        <v>63</v>
      </c>
      <c r="K13" s="4">
        <v>0.01</v>
      </c>
      <c r="L13">
        <v>826350</v>
      </c>
      <c r="M13">
        <f t="shared" si="1"/>
        <v>8263.5</v>
      </c>
      <c r="N13" s="27" t="s">
        <v>63</v>
      </c>
      <c r="O13" s="2"/>
      <c r="P13" s="2"/>
      <c r="Q13">
        <v>826349.6</v>
      </c>
      <c r="R13" s="2">
        <f>Q13*K13</f>
        <v>8263.4959999999992</v>
      </c>
      <c r="S13" s="24"/>
    </row>
    <row r="14" spans="1:22" x14ac:dyDescent="0.35">
      <c r="A14" s="1" t="s">
        <v>42</v>
      </c>
      <c r="E14" s="34">
        <f>SUM(E10:E13)</f>
        <v>86350</v>
      </c>
      <c r="F14" s="27"/>
      <c r="H14" s="45">
        <f>SUM(H10:H13)</f>
        <v>104196.58</v>
      </c>
      <c r="I14" t="s">
        <v>64</v>
      </c>
      <c r="K14">
        <v>12</v>
      </c>
      <c r="L14">
        <v>3000</v>
      </c>
      <c r="M14">
        <f t="shared" si="1"/>
        <v>36000</v>
      </c>
      <c r="N14" s="27" t="s">
        <v>126</v>
      </c>
      <c r="O14" s="2"/>
      <c r="P14" s="2"/>
      <c r="Q14">
        <v>3000</v>
      </c>
      <c r="R14" s="2">
        <f>Q14*K14</f>
        <v>36000</v>
      </c>
      <c r="S14" s="24"/>
    </row>
    <row r="15" spans="1:22" x14ac:dyDescent="0.35">
      <c r="A15" t="s">
        <v>54</v>
      </c>
      <c r="C15" s="4">
        <v>0.1</v>
      </c>
      <c r="E15" s="2">
        <f>E8*C15</f>
        <v>74000</v>
      </c>
      <c r="F15" s="27"/>
      <c r="H15" s="44">
        <f>H8*C15</f>
        <v>68863.636363636353</v>
      </c>
      <c r="I15" t="s">
        <v>65</v>
      </c>
      <c r="K15">
        <v>1</v>
      </c>
      <c r="L15">
        <v>7700</v>
      </c>
      <c r="M15">
        <f t="shared" si="1"/>
        <v>7700</v>
      </c>
      <c r="N15" s="27" t="s">
        <v>65</v>
      </c>
      <c r="O15" s="2"/>
      <c r="P15" s="2"/>
      <c r="Q15">
        <v>7700</v>
      </c>
      <c r="R15" s="2">
        <f>Q15*K15</f>
        <v>7700</v>
      </c>
      <c r="S15" s="24"/>
    </row>
    <row r="16" spans="1:22" x14ac:dyDescent="0.35">
      <c r="F16" s="26"/>
      <c r="H16" s="24"/>
      <c r="I16" s="1" t="s">
        <v>66</v>
      </c>
      <c r="M16" s="1">
        <f>SUM(M4:M15)</f>
        <v>201213.5</v>
      </c>
      <c r="N16" s="23" t="s">
        <v>127</v>
      </c>
      <c r="R16" s="1">
        <f>SUM(R4:R15)</f>
        <v>228498.71150912857</v>
      </c>
      <c r="S16" s="24"/>
    </row>
    <row r="17" spans="1:22" x14ac:dyDescent="0.35">
      <c r="A17" s="3" t="s">
        <v>73</v>
      </c>
      <c r="C17" s="3" t="s">
        <v>77</v>
      </c>
      <c r="D17" s="3" t="s">
        <v>78</v>
      </c>
      <c r="F17" s="26"/>
      <c r="H17" s="24"/>
      <c r="I17" s="3" t="s">
        <v>68</v>
      </c>
      <c r="N17" s="26"/>
      <c r="S17" s="24"/>
    </row>
    <row r="18" spans="1:22" x14ac:dyDescent="0.35">
      <c r="B18" t="s">
        <v>74</v>
      </c>
      <c r="C18">
        <v>10</v>
      </c>
      <c r="D18">
        <v>40000</v>
      </c>
      <c r="F18" s="26"/>
      <c r="H18" s="24"/>
      <c r="I18" t="s">
        <v>69</v>
      </c>
      <c r="K18">
        <v>100</v>
      </c>
      <c r="L18">
        <v>1000</v>
      </c>
      <c r="M18">
        <v>100000</v>
      </c>
      <c r="N18" s="26"/>
      <c r="O18" s="3" t="s">
        <v>129</v>
      </c>
      <c r="R18" s="2">
        <v>10000</v>
      </c>
      <c r="S18" s="24"/>
    </row>
    <row r="19" spans="1:22" x14ac:dyDescent="0.35">
      <c r="B19" t="s">
        <v>75</v>
      </c>
      <c r="C19">
        <v>5</v>
      </c>
      <c r="D19">
        <v>18000</v>
      </c>
      <c r="F19" s="26"/>
      <c r="H19" s="24"/>
      <c r="I19" t="s">
        <v>70</v>
      </c>
      <c r="K19">
        <v>90</v>
      </c>
      <c r="L19">
        <v>1250</v>
      </c>
      <c r="M19">
        <v>112500</v>
      </c>
      <c r="N19" s="26"/>
      <c r="S19" s="24"/>
    </row>
    <row r="20" spans="1:22" x14ac:dyDescent="0.35">
      <c r="B20" t="s">
        <v>76</v>
      </c>
      <c r="C20">
        <v>20</v>
      </c>
      <c r="D20">
        <v>12500</v>
      </c>
      <c r="F20" s="26"/>
      <c r="H20" s="24"/>
      <c r="I20" t="s">
        <v>71</v>
      </c>
      <c r="K20">
        <v>75</v>
      </c>
      <c r="L20">
        <v>1500</v>
      </c>
      <c r="M20">
        <v>112500</v>
      </c>
      <c r="N20" s="26"/>
      <c r="O20" s="3" t="s">
        <v>130</v>
      </c>
      <c r="S20" s="24"/>
    </row>
    <row r="21" spans="1:22" ht="15" thickBot="1" x14ac:dyDescent="0.4">
      <c r="A21" s="3" t="s">
        <v>79</v>
      </c>
      <c r="B21" s="3"/>
      <c r="C21" s="3" t="s">
        <v>78</v>
      </c>
      <c r="D21" s="3" t="s">
        <v>80</v>
      </c>
      <c r="E21" s="3" t="s">
        <v>81</v>
      </c>
      <c r="F21" s="25"/>
      <c r="G21" s="3"/>
      <c r="H21" s="24"/>
      <c r="I21" s="1" t="s">
        <v>42</v>
      </c>
      <c r="M21" s="1">
        <f>SUM(M18:M20)</f>
        <v>325000</v>
      </c>
      <c r="N21" s="23"/>
      <c r="O21" t="s">
        <v>74</v>
      </c>
      <c r="P21" s="1"/>
      <c r="Q21" s="4">
        <v>0.1</v>
      </c>
      <c r="S21" s="24"/>
    </row>
    <row r="22" spans="1:22" ht="15" thickBot="1" x14ac:dyDescent="0.4">
      <c r="A22" t="s">
        <v>82</v>
      </c>
      <c r="C22">
        <v>700000</v>
      </c>
      <c r="D22" s="5">
        <v>3.5000000000000003E-2</v>
      </c>
      <c r="E22">
        <v>10</v>
      </c>
      <c r="F22" s="26"/>
      <c r="H22" s="24"/>
      <c r="K22" s="46" t="s">
        <v>72</v>
      </c>
      <c r="L22" s="47"/>
      <c r="M22" s="48">
        <v>1000</v>
      </c>
      <c r="N22" s="26"/>
      <c r="O22" t="s">
        <v>75</v>
      </c>
      <c r="Q22" s="4">
        <v>0.2</v>
      </c>
      <c r="S22" s="24"/>
    </row>
    <row r="23" spans="1:22" x14ac:dyDescent="0.35">
      <c r="A23" t="s">
        <v>83</v>
      </c>
      <c r="C23">
        <v>40000</v>
      </c>
      <c r="D23" s="4">
        <v>0.05</v>
      </c>
      <c r="E23">
        <v>4</v>
      </c>
      <c r="F23" s="26"/>
      <c r="H23" s="24"/>
      <c r="J23" s="3" t="s">
        <v>86</v>
      </c>
      <c r="N23" s="26"/>
      <c r="S23" s="24"/>
    </row>
    <row r="24" spans="1:22" x14ac:dyDescent="0.35">
      <c r="A24" t="s">
        <v>84</v>
      </c>
      <c r="C24" s="4">
        <v>0.05</v>
      </c>
      <c r="D24" s="4">
        <v>0.1</v>
      </c>
      <c r="E24" s="4">
        <v>0.15</v>
      </c>
      <c r="F24" s="28"/>
      <c r="G24" s="4"/>
      <c r="H24" s="24"/>
      <c r="J24" s="6">
        <v>2016</v>
      </c>
      <c r="K24" s="6">
        <v>2017</v>
      </c>
      <c r="L24" s="6">
        <v>2018</v>
      </c>
      <c r="M24" s="6" t="s">
        <v>87</v>
      </c>
      <c r="N24" s="39"/>
      <c r="O24" s="6"/>
      <c r="P24" s="6"/>
      <c r="S24" s="24"/>
    </row>
    <row r="25" spans="1:22" ht="15" thickBot="1" x14ac:dyDescent="0.4">
      <c r="A25" t="s">
        <v>85</v>
      </c>
      <c r="C25" s="4">
        <v>0.25</v>
      </c>
      <c r="F25" s="29"/>
      <c r="G25" s="30"/>
      <c r="H25" s="31"/>
      <c r="J25" s="4">
        <v>0.25</v>
      </c>
      <c r="K25" s="4">
        <v>0.5</v>
      </c>
      <c r="L25" s="4">
        <v>0.75</v>
      </c>
      <c r="M25" s="4">
        <v>1</v>
      </c>
      <c r="N25" s="40"/>
      <c r="O25" s="41"/>
      <c r="P25" s="41"/>
      <c r="Q25" s="30"/>
      <c r="R25" s="30"/>
      <c r="S25" s="31"/>
    </row>
    <row r="26" spans="1:22" x14ac:dyDescent="0.35">
      <c r="F26" s="12"/>
      <c r="G26" s="12"/>
      <c r="H26" s="12"/>
      <c r="I26" s="12"/>
    </row>
    <row r="27" spans="1:22" x14ac:dyDescent="0.35">
      <c r="A27" s="7" t="s">
        <v>89</v>
      </c>
      <c r="B27" s="19" t="s">
        <v>113</v>
      </c>
      <c r="C27" s="18"/>
      <c r="D27" s="18"/>
      <c r="E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35">
      <c r="B28">
        <v>2015</v>
      </c>
      <c r="C28">
        <v>2016</v>
      </c>
      <c r="D28">
        <v>2017</v>
      </c>
      <c r="E28">
        <v>2018</v>
      </c>
      <c r="F28">
        <v>2019</v>
      </c>
      <c r="G28">
        <v>2020</v>
      </c>
      <c r="H28">
        <v>2021</v>
      </c>
      <c r="I28">
        <v>2022</v>
      </c>
      <c r="J28">
        <v>2023</v>
      </c>
      <c r="K28">
        <v>2024</v>
      </c>
      <c r="L28">
        <v>2025</v>
      </c>
      <c r="M28">
        <v>2026</v>
      </c>
      <c r="N28">
        <v>2027</v>
      </c>
      <c r="O28">
        <v>2028</v>
      </c>
      <c r="P28">
        <v>2029</v>
      </c>
      <c r="Q28">
        <v>2030</v>
      </c>
      <c r="R28">
        <v>2031</v>
      </c>
      <c r="S28">
        <v>2032</v>
      </c>
      <c r="T28">
        <v>2033</v>
      </c>
      <c r="U28">
        <v>2034</v>
      </c>
      <c r="V28">
        <v>2035</v>
      </c>
    </row>
    <row r="29" spans="1:22" x14ac:dyDescent="0.35">
      <c r="A29" s="3" t="s">
        <v>90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</row>
    <row r="30" spans="1:22" x14ac:dyDescent="0.35">
      <c r="A30" s="1" t="s">
        <v>91</v>
      </c>
    </row>
    <row r="31" spans="1:22" x14ac:dyDescent="0.35">
      <c r="A31" t="s">
        <v>92</v>
      </c>
      <c r="B31">
        <f>-1*(E8/M22)</f>
        <v>-740</v>
      </c>
      <c r="V31">
        <f>E15/M22</f>
        <v>74</v>
      </c>
    </row>
    <row r="32" spans="1:22" x14ac:dyDescent="0.35">
      <c r="A32" t="s">
        <v>93</v>
      </c>
      <c r="C32">
        <f>-1*(E14/M22)</f>
        <v>-86.35</v>
      </c>
      <c r="V32" s="15">
        <f>E14/M22</f>
        <v>86.35</v>
      </c>
    </row>
    <row r="33" spans="1:22" x14ac:dyDescent="0.35">
      <c r="A33" s="1" t="s">
        <v>94</v>
      </c>
      <c r="B33">
        <f t="shared" ref="B33:V33" si="5">SUM(B31:B32)</f>
        <v>-740</v>
      </c>
      <c r="C33">
        <f t="shared" si="5"/>
        <v>-86.35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160.35</v>
      </c>
    </row>
    <row r="35" spans="1:22" x14ac:dyDescent="0.35">
      <c r="A35" s="1" t="s">
        <v>55</v>
      </c>
      <c r="C35">
        <f>-1*($M$16/$M$22)*$V$4</f>
        <v>-50.303375000000003</v>
      </c>
      <c r="D35">
        <f>-1*($M$16/$M$22)*V5</f>
        <v>-100.60675000000001</v>
      </c>
      <c r="E35">
        <f>-1*($M$16/$M$22)*V6</f>
        <v>-150.91012499999999</v>
      </c>
      <c r="F35">
        <f t="shared" ref="F35:V35" si="6">-1*($M$16/$M$22)*$V$7</f>
        <v>-201.21350000000001</v>
      </c>
      <c r="G35">
        <f t="shared" si="6"/>
        <v>-201.21350000000001</v>
      </c>
      <c r="H35">
        <f t="shared" si="6"/>
        <v>-201.21350000000001</v>
      </c>
      <c r="I35">
        <f t="shared" si="6"/>
        <v>-201.21350000000001</v>
      </c>
      <c r="J35">
        <f t="shared" si="6"/>
        <v>-201.21350000000001</v>
      </c>
      <c r="K35">
        <f t="shared" si="6"/>
        <v>-201.21350000000001</v>
      </c>
      <c r="L35">
        <f t="shared" si="6"/>
        <v>-201.21350000000001</v>
      </c>
      <c r="M35">
        <f t="shared" si="6"/>
        <v>-201.21350000000001</v>
      </c>
      <c r="N35">
        <f t="shared" si="6"/>
        <v>-201.21350000000001</v>
      </c>
      <c r="O35">
        <f t="shared" si="6"/>
        <v>-201.21350000000001</v>
      </c>
      <c r="P35">
        <f t="shared" si="6"/>
        <v>-201.21350000000001</v>
      </c>
      <c r="Q35">
        <f t="shared" si="6"/>
        <v>-201.21350000000001</v>
      </c>
      <c r="R35">
        <f t="shared" si="6"/>
        <v>-201.21350000000001</v>
      </c>
      <c r="S35">
        <f t="shared" si="6"/>
        <v>-201.21350000000001</v>
      </c>
      <c r="T35">
        <f t="shared" si="6"/>
        <v>-201.21350000000001</v>
      </c>
      <c r="U35">
        <f t="shared" si="6"/>
        <v>-201.21350000000001</v>
      </c>
      <c r="V35">
        <f t="shared" si="6"/>
        <v>-201.21350000000001</v>
      </c>
    </row>
    <row r="37" spans="1:22" x14ac:dyDescent="0.35">
      <c r="A37" s="1" t="s">
        <v>68</v>
      </c>
      <c r="C37">
        <f>($M$21/$M$22)*V4</f>
        <v>81.25</v>
      </c>
      <c r="D37">
        <f>($M$21/$M$22)*V5</f>
        <v>162.5</v>
      </c>
      <c r="E37">
        <f>($M$21/$M$22)*V6</f>
        <v>243.75</v>
      </c>
      <c r="F37">
        <f t="shared" ref="F37:V37" si="7">($M$21/$M$22)*$V$7</f>
        <v>325</v>
      </c>
      <c r="G37">
        <f t="shared" si="7"/>
        <v>325</v>
      </c>
      <c r="H37">
        <f t="shared" si="7"/>
        <v>325</v>
      </c>
      <c r="I37">
        <f t="shared" si="7"/>
        <v>325</v>
      </c>
      <c r="J37">
        <f t="shared" si="7"/>
        <v>325</v>
      </c>
      <c r="K37">
        <f t="shared" si="7"/>
        <v>325</v>
      </c>
      <c r="L37">
        <f t="shared" si="7"/>
        <v>325</v>
      </c>
      <c r="M37">
        <f t="shared" si="7"/>
        <v>325</v>
      </c>
      <c r="N37">
        <f t="shared" si="7"/>
        <v>325</v>
      </c>
      <c r="O37">
        <f t="shared" si="7"/>
        <v>325</v>
      </c>
      <c r="P37">
        <f t="shared" si="7"/>
        <v>325</v>
      </c>
      <c r="Q37">
        <f t="shared" si="7"/>
        <v>325</v>
      </c>
      <c r="R37">
        <f t="shared" si="7"/>
        <v>325</v>
      </c>
      <c r="S37">
        <f t="shared" si="7"/>
        <v>325</v>
      </c>
      <c r="T37">
        <f t="shared" si="7"/>
        <v>325</v>
      </c>
      <c r="U37">
        <f t="shared" si="7"/>
        <v>325</v>
      </c>
      <c r="V37">
        <f t="shared" si="7"/>
        <v>325</v>
      </c>
    </row>
    <row r="39" spans="1:22" x14ac:dyDescent="0.35">
      <c r="A39" s="1" t="s">
        <v>96</v>
      </c>
      <c r="B39">
        <f>B37+B35+B33</f>
        <v>-740</v>
      </c>
      <c r="C39">
        <f>C37+C35+C33</f>
        <v>-55.403374999999997</v>
      </c>
      <c r="D39">
        <f>D37+D35+D33</f>
        <v>61.893249999999995</v>
      </c>
      <c r="E39">
        <f t="shared" ref="E39:V39" si="8">E37+E35+E33</f>
        <v>92.839875000000006</v>
      </c>
      <c r="F39">
        <f t="shared" si="8"/>
        <v>123.78649999999999</v>
      </c>
      <c r="G39">
        <f t="shared" si="8"/>
        <v>123.78649999999999</v>
      </c>
      <c r="H39">
        <f t="shared" si="8"/>
        <v>123.78649999999999</v>
      </c>
      <c r="I39">
        <f t="shared" si="8"/>
        <v>123.78649999999999</v>
      </c>
      <c r="J39">
        <f t="shared" si="8"/>
        <v>123.78649999999999</v>
      </c>
      <c r="K39">
        <f t="shared" si="8"/>
        <v>123.78649999999999</v>
      </c>
      <c r="L39">
        <f t="shared" si="8"/>
        <v>123.78649999999999</v>
      </c>
      <c r="M39">
        <f t="shared" si="8"/>
        <v>123.78649999999999</v>
      </c>
      <c r="N39">
        <f t="shared" si="8"/>
        <v>123.78649999999999</v>
      </c>
      <c r="O39">
        <f t="shared" si="8"/>
        <v>123.78649999999999</v>
      </c>
      <c r="P39">
        <f t="shared" si="8"/>
        <v>123.78649999999999</v>
      </c>
      <c r="Q39">
        <f t="shared" si="8"/>
        <v>123.78649999999999</v>
      </c>
      <c r="R39">
        <f t="shared" si="8"/>
        <v>123.78649999999999</v>
      </c>
      <c r="S39">
        <f t="shared" si="8"/>
        <v>123.78649999999999</v>
      </c>
      <c r="T39">
        <f t="shared" si="8"/>
        <v>123.78649999999999</v>
      </c>
      <c r="U39">
        <f t="shared" si="8"/>
        <v>123.78649999999999</v>
      </c>
      <c r="V39">
        <f t="shared" si="8"/>
        <v>284.13649999999996</v>
      </c>
    </row>
    <row r="40" spans="1:22" x14ac:dyDescent="0.35">
      <c r="A40" t="s">
        <v>95</v>
      </c>
    </row>
    <row r="41" spans="1:22" x14ac:dyDescent="0.35">
      <c r="A41" s="9"/>
      <c r="B41" s="8">
        <v>0.05</v>
      </c>
      <c r="C41" s="8">
        <v>0.1</v>
      </c>
      <c r="D41" s="13">
        <v>0.15</v>
      </c>
    </row>
    <row r="42" spans="1:22" x14ac:dyDescent="0.35">
      <c r="A42" s="10" t="s">
        <v>98</v>
      </c>
      <c r="B42" s="16">
        <f>NPV(B41,$C$39:$V$39)+$B$39</f>
        <v>609.55874484575929</v>
      </c>
      <c r="C42" s="16">
        <f t="shared" ref="C42" si="9">NPV(C41,$C$39:$V$39)+$B$39</f>
        <v>100.39727110448518</v>
      </c>
      <c r="D42" s="20">
        <f>NPV(D41,$C$39:$V$39)+$B$39</f>
        <v>-178.3472147201453</v>
      </c>
    </row>
    <row r="43" spans="1:22" x14ac:dyDescent="0.35">
      <c r="A43" s="11" t="s">
        <v>99</v>
      </c>
      <c r="B43" s="17">
        <f>IRR(B39:V39)</f>
        <v>0.11495646071318855</v>
      </c>
      <c r="C43" s="12"/>
      <c r="D43" s="14"/>
      <c r="H43" s="16">
        <f>PMT(0.035, 10, -700000)</f>
        <v>84168.957507173909</v>
      </c>
      <c r="I43" s="16">
        <f>PPMT(0.035, 1, 10, -700000)</f>
        <v>59668.957507173902</v>
      </c>
      <c r="J43" s="16">
        <f>IPMT(0.035, 1, 10, -700000)</f>
        <v>24500.000000000004</v>
      </c>
    </row>
    <row r="44" spans="1:22" x14ac:dyDescent="0.35">
      <c r="A44" s="10"/>
    </row>
    <row r="45" spans="1:22" x14ac:dyDescent="0.35">
      <c r="A45" s="7" t="s">
        <v>102</v>
      </c>
      <c r="B45" s="19" t="s">
        <v>114</v>
      </c>
      <c r="C45" s="18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35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  <c r="H46">
        <v>2021</v>
      </c>
      <c r="I46">
        <v>2022</v>
      </c>
      <c r="J46">
        <v>2023</v>
      </c>
      <c r="K46">
        <v>2024</v>
      </c>
      <c r="L46">
        <v>2025</v>
      </c>
      <c r="M46">
        <v>2026</v>
      </c>
      <c r="N46">
        <v>2027</v>
      </c>
      <c r="O46">
        <v>2028</v>
      </c>
      <c r="P46">
        <v>2029</v>
      </c>
      <c r="Q46">
        <v>2030</v>
      </c>
      <c r="R46">
        <v>2031</v>
      </c>
      <c r="S46">
        <v>2032</v>
      </c>
      <c r="T46">
        <v>2033</v>
      </c>
      <c r="U46">
        <v>2034</v>
      </c>
      <c r="V46">
        <v>2035</v>
      </c>
    </row>
    <row r="47" spans="1:22" x14ac:dyDescent="0.35">
      <c r="A47" s="3" t="s">
        <v>90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</row>
    <row r="48" spans="1:22" x14ac:dyDescent="0.35">
      <c r="A48" s="3" t="s">
        <v>103</v>
      </c>
    </row>
    <row r="49" spans="1:22" x14ac:dyDescent="0.35">
      <c r="A49" s="1" t="s">
        <v>104</v>
      </c>
    </row>
    <row r="50" spans="1:22" x14ac:dyDescent="0.35">
      <c r="A50" t="s">
        <v>82</v>
      </c>
      <c r="B50">
        <f>-1*(C22/M22)</f>
        <v>-700</v>
      </c>
      <c r="C50" s="16">
        <f>PPMT($D$22, C47, $E$22, $B$50)</f>
        <v>59.6689575071739</v>
      </c>
      <c r="D50" s="16">
        <f>PPMT($D$22, D47, $E$22, $B$50)</f>
        <v>61.757371019924982</v>
      </c>
      <c r="E50" s="16">
        <f>PPMT($D$22, E47, $E$22, $B$50)</f>
        <v>63.918879005622358</v>
      </c>
      <c r="F50" s="16">
        <f t="shared" ref="F50:K50" si="10">PPMT($D$22, F47, $E$22, $B$50)</f>
        <v>66.156039770819135</v>
      </c>
      <c r="G50" s="16">
        <f t="shared" si="10"/>
        <v>68.471501162797807</v>
      </c>
      <c r="H50" s="16">
        <f t="shared" si="10"/>
        <v>70.868003703495731</v>
      </c>
      <c r="I50" s="16">
        <f t="shared" si="10"/>
        <v>73.348383833118078</v>
      </c>
      <c r="J50" s="16">
        <f t="shared" si="10"/>
        <v>75.915577267277214</v>
      </c>
      <c r="K50" s="16">
        <f t="shared" si="10"/>
        <v>78.572622471631917</v>
      </c>
      <c r="L50" s="16">
        <f>PPMT($D$22, L47, $E$22, $B$50)</f>
        <v>81.322664258139042</v>
      </c>
      <c r="M50" s="16"/>
      <c r="N50" s="16"/>
      <c r="O50" s="16"/>
      <c r="P50" s="16"/>
      <c r="R50" s="16"/>
      <c r="S50" s="16"/>
      <c r="T50" s="16"/>
      <c r="U50" s="16"/>
      <c r="V50" s="16"/>
    </row>
    <row r="51" spans="1:22" x14ac:dyDescent="0.35">
      <c r="A51" t="s">
        <v>83</v>
      </c>
      <c r="C51">
        <f>-1*(C23/M22)</f>
        <v>-40</v>
      </c>
      <c r="F51">
        <f>C23/M22</f>
        <v>40</v>
      </c>
    </row>
    <row r="52" spans="1:22" x14ac:dyDescent="0.35">
      <c r="A52" s="1" t="s">
        <v>105</v>
      </c>
    </row>
    <row r="53" spans="1:22" x14ac:dyDescent="0.35">
      <c r="A53" t="s">
        <v>82</v>
      </c>
      <c r="C53" s="16">
        <f>IPMT($D$22, C47, $E$22, -$C$22/$M$22)</f>
        <v>24.500000000000004</v>
      </c>
      <c r="D53" s="16">
        <f t="shared" ref="D53:L53" si="11">IPMT($D$22, D47, $E$22, -$C$22/$M$22)</f>
        <v>22.411586487248915</v>
      </c>
      <c r="E53" s="16">
        <f t="shared" si="11"/>
        <v>20.250078501551545</v>
      </c>
      <c r="F53" s="16">
        <f t="shared" si="11"/>
        <v>18.012917736354758</v>
      </c>
      <c r="G53" s="16">
        <f t="shared" si="11"/>
        <v>15.697456344376089</v>
      </c>
      <c r="H53" s="16">
        <f t="shared" si="11"/>
        <v>13.300953803678171</v>
      </c>
      <c r="I53" s="16">
        <f t="shared" si="11"/>
        <v>10.820573674055817</v>
      </c>
      <c r="J53" s="16">
        <f t="shared" si="11"/>
        <v>8.2533802398966838</v>
      </c>
      <c r="K53" s="16">
        <f t="shared" si="11"/>
        <v>5.5963350355419825</v>
      </c>
      <c r="L53" s="16">
        <f t="shared" si="11"/>
        <v>2.8462932490348658</v>
      </c>
    </row>
    <row r="54" spans="1:22" x14ac:dyDescent="0.35">
      <c r="A54" t="s">
        <v>83</v>
      </c>
      <c r="D54">
        <f>($C$23/$M$22)*$D$23</f>
        <v>2</v>
      </c>
      <c r="E54">
        <f>($C$23/$M$22)*$D$23</f>
        <v>2</v>
      </c>
      <c r="F54">
        <f>($C$23/$M$22)*$D$23</f>
        <v>2</v>
      </c>
      <c r="G54">
        <f>($C$23/$M$22)*$D$23</f>
        <v>2</v>
      </c>
    </row>
    <row r="55" spans="1:22" x14ac:dyDescent="0.35">
      <c r="A55" s="1" t="s">
        <v>106</v>
      </c>
      <c r="B55">
        <f>B50+B53+B51</f>
        <v>-700</v>
      </c>
      <c r="C55" s="16">
        <f>C50+C53+C51</f>
        <v>44.1689575071739</v>
      </c>
      <c r="D55">
        <f t="shared" ref="D55:L55" si="12">D50+D53+D51</f>
        <v>84.1689575071739</v>
      </c>
      <c r="E55">
        <f t="shared" si="12"/>
        <v>84.1689575071739</v>
      </c>
      <c r="F55">
        <f t="shared" si="12"/>
        <v>124.1689575071739</v>
      </c>
      <c r="G55">
        <f t="shared" si="12"/>
        <v>84.1689575071739</v>
      </c>
      <c r="H55">
        <f t="shared" si="12"/>
        <v>84.1689575071739</v>
      </c>
      <c r="I55">
        <f t="shared" si="12"/>
        <v>84.1689575071739</v>
      </c>
      <c r="J55">
        <f t="shared" si="12"/>
        <v>84.1689575071739</v>
      </c>
      <c r="K55">
        <f t="shared" si="12"/>
        <v>84.1689575071739</v>
      </c>
      <c r="L55">
        <f t="shared" si="12"/>
        <v>84.168957507173914</v>
      </c>
    </row>
    <row r="57" spans="1:22" x14ac:dyDescent="0.35">
      <c r="A57" s="1" t="s">
        <v>107</v>
      </c>
      <c r="B57">
        <f>B39+(B55*-1)</f>
        <v>-40</v>
      </c>
      <c r="C57">
        <f>C39+(C55*-1)</f>
        <v>-99.572332507173897</v>
      </c>
      <c r="D57">
        <f t="shared" ref="D57:V57" si="13">D39+(D55*-1)</f>
        <v>-22.275707507173905</v>
      </c>
      <c r="E57">
        <f t="shared" si="13"/>
        <v>8.6709174928261064</v>
      </c>
      <c r="F57">
        <f t="shared" si="13"/>
        <v>-0.38245750717391047</v>
      </c>
      <c r="G57">
        <f t="shared" si="13"/>
        <v>39.61754249282609</v>
      </c>
      <c r="H57">
        <f t="shared" si="13"/>
        <v>39.61754249282609</v>
      </c>
      <c r="I57">
        <f t="shared" si="13"/>
        <v>39.61754249282609</v>
      </c>
      <c r="J57">
        <f t="shared" si="13"/>
        <v>39.61754249282609</v>
      </c>
      <c r="K57">
        <f t="shared" si="13"/>
        <v>39.61754249282609</v>
      </c>
      <c r="L57">
        <f t="shared" si="13"/>
        <v>39.617542492826075</v>
      </c>
      <c r="M57">
        <f>M39+(M55*-1)</f>
        <v>123.78649999999999</v>
      </c>
      <c r="N57">
        <f t="shared" si="13"/>
        <v>123.78649999999999</v>
      </c>
      <c r="O57">
        <f t="shared" si="13"/>
        <v>123.78649999999999</v>
      </c>
      <c r="P57">
        <f t="shared" si="13"/>
        <v>123.78649999999999</v>
      </c>
      <c r="Q57">
        <f t="shared" si="13"/>
        <v>123.78649999999999</v>
      </c>
      <c r="R57">
        <f t="shared" si="13"/>
        <v>123.78649999999999</v>
      </c>
      <c r="S57">
        <f t="shared" si="13"/>
        <v>123.78649999999999</v>
      </c>
      <c r="T57">
        <f t="shared" si="13"/>
        <v>123.78649999999999</v>
      </c>
      <c r="U57">
        <f t="shared" si="13"/>
        <v>123.78649999999999</v>
      </c>
      <c r="V57">
        <f t="shared" si="13"/>
        <v>284.13649999999996</v>
      </c>
    </row>
    <row r="59" spans="1:22" x14ac:dyDescent="0.35">
      <c r="A59" s="3" t="s">
        <v>108</v>
      </c>
    </row>
    <row r="60" spans="1:22" x14ac:dyDescent="0.35">
      <c r="A60" t="s">
        <v>68</v>
      </c>
      <c r="C60" s="16">
        <f>C37</f>
        <v>81.25</v>
      </c>
      <c r="D60" s="16">
        <f t="shared" ref="D60:V60" si="14">D37</f>
        <v>162.5</v>
      </c>
      <c r="E60" s="16">
        <f t="shared" si="14"/>
        <v>243.75</v>
      </c>
      <c r="F60" s="16">
        <f t="shared" si="14"/>
        <v>325</v>
      </c>
      <c r="G60" s="16">
        <f t="shared" si="14"/>
        <v>325</v>
      </c>
      <c r="H60" s="16">
        <f t="shared" si="14"/>
        <v>325</v>
      </c>
      <c r="I60" s="16">
        <f t="shared" si="14"/>
        <v>325</v>
      </c>
      <c r="J60" s="16">
        <f t="shared" si="14"/>
        <v>325</v>
      </c>
      <c r="K60" s="16">
        <f t="shared" si="14"/>
        <v>325</v>
      </c>
      <c r="L60" s="16">
        <f t="shared" si="14"/>
        <v>325</v>
      </c>
      <c r="M60" s="16">
        <f t="shared" si="14"/>
        <v>325</v>
      </c>
      <c r="N60" s="16">
        <f t="shared" si="14"/>
        <v>325</v>
      </c>
      <c r="O60" s="16">
        <f t="shared" si="14"/>
        <v>325</v>
      </c>
      <c r="P60" s="16">
        <f t="shared" si="14"/>
        <v>325</v>
      </c>
      <c r="Q60">
        <f>Q37</f>
        <v>325</v>
      </c>
      <c r="R60" s="16">
        <f t="shared" si="14"/>
        <v>325</v>
      </c>
      <c r="S60" s="16">
        <f t="shared" si="14"/>
        <v>325</v>
      </c>
      <c r="T60" s="16">
        <f t="shared" si="14"/>
        <v>325</v>
      </c>
      <c r="U60" s="16">
        <f t="shared" si="14"/>
        <v>325</v>
      </c>
      <c r="V60" s="16">
        <f t="shared" si="14"/>
        <v>325</v>
      </c>
    </row>
    <row r="61" spans="1:22" x14ac:dyDescent="0.35">
      <c r="A61" t="s">
        <v>55</v>
      </c>
      <c r="C61">
        <f>C35</f>
        <v>-50.303375000000003</v>
      </c>
      <c r="D61">
        <f t="shared" ref="D61:V61" si="15">D35</f>
        <v>-100.60675000000001</v>
      </c>
      <c r="E61">
        <f t="shared" si="15"/>
        <v>-150.91012499999999</v>
      </c>
      <c r="F61">
        <f t="shared" si="15"/>
        <v>-201.21350000000001</v>
      </c>
      <c r="G61">
        <f t="shared" si="15"/>
        <v>-201.21350000000001</v>
      </c>
      <c r="H61">
        <f t="shared" si="15"/>
        <v>-201.21350000000001</v>
      </c>
      <c r="I61">
        <f t="shared" si="15"/>
        <v>-201.21350000000001</v>
      </c>
      <c r="J61">
        <f t="shared" si="15"/>
        <v>-201.21350000000001</v>
      </c>
      <c r="K61">
        <f t="shared" si="15"/>
        <v>-201.21350000000001</v>
      </c>
      <c r="L61">
        <f t="shared" si="15"/>
        <v>-201.21350000000001</v>
      </c>
      <c r="M61">
        <f t="shared" si="15"/>
        <v>-201.21350000000001</v>
      </c>
      <c r="N61">
        <f t="shared" si="15"/>
        <v>-201.21350000000001</v>
      </c>
      <c r="O61">
        <f t="shared" si="15"/>
        <v>-201.21350000000001</v>
      </c>
      <c r="P61">
        <f t="shared" si="15"/>
        <v>-201.21350000000001</v>
      </c>
      <c r="Q61">
        <f t="shared" si="15"/>
        <v>-201.21350000000001</v>
      </c>
      <c r="R61">
        <f t="shared" si="15"/>
        <v>-201.21350000000001</v>
      </c>
      <c r="S61">
        <f t="shared" si="15"/>
        <v>-201.21350000000001</v>
      </c>
      <c r="T61">
        <f t="shared" si="15"/>
        <v>-201.21350000000001</v>
      </c>
      <c r="U61">
        <f>U35</f>
        <v>-201.21350000000001</v>
      </c>
      <c r="V61">
        <f t="shared" si="15"/>
        <v>-201.21350000000001</v>
      </c>
    </row>
    <row r="62" spans="1:22" x14ac:dyDescent="0.35">
      <c r="A62" t="s">
        <v>73</v>
      </c>
      <c r="C62">
        <f>-1*(SUM($D$18:$D$20)/$M$22)</f>
        <v>-70.5</v>
      </c>
      <c r="D62">
        <f>-1*(SUM($D$18:$D$20)/$M$22)</f>
        <v>-70.5</v>
      </c>
      <c r="E62">
        <f>-1*(SUM($D$18:$D$20)/$M$22)</f>
        <v>-70.5</v>
      </c>
      <c r="F62">
        <f>-1*(SUM($D$18:$D$20)/$M$22)</f>
        <v>-70.5</v>
      </c>
      <c r="G62">
        <f>-1*(SUM($D$18:$D$20)/$M$22)</f>
        <v>-70.5</v>
      </c>
      <c r="H62">
        <f>-1*(SUM($D$18+$D$20)/$M$22)</f>
        <v>-52.5</v>
      </c>
      <c r="I62">
        <f>-1*(SUM($D$18+$D$20)/$M$22)</f>
        <v>-52.5</v>
      </c>
      <c r="J62">
        <f>-1*(SUM($D$18+$D$20)/$M$22)</f>
        <v>-52.5</v>
      </c>
      <c r="K62">
        <f>-1*(SUM($D$18+$D$20)/$M$22)</f>
        <v>-52.5</v>
      </c>
      <c r="L62">
        <f>-1*(SUM($D$18+$D$20)/$M$22)</f>
        <v>-52.5</v>
      </c>
      <c r="M62">
        <f t="shared" ref="M62:V62" si="16">-1*(SUM($D$20)/$M$22)</f>
        <v>-12.5</v>
      </c>
      <c r="N62">
        <f t="shared" si="16"/>
        <v>-12.5</v>
      </c>
      <c r="O62">
        <f t="shared" si="16"/>
        <v>-12.5</v>
      </c>
      <c r="P62">
        <f t="shared" si="16"/>
        <v>-12.5</v>
      </c>
      <c r="Q62">
        <f t="shared" si="16"/>
        <v>-12.5</v>
      </c>
      <c r="R62">
        <f t="shared" si="16"/>
        <v>-12.5</v>
      </c>
      <c r="S62">
        <f t="shared" si="16"/>
        <v>-12.5</v>
      </c>
      <c r="T62">
        <f t="shared" si="16"/>
        <v>-12.5</v>
      </c>
      <c r="U62">
        <f t="shared" si="16"/>
        <v>-12.5</v>
      </c>
      <c r="V62">
        <f t="shared" si="16"/>
        <v>-12.5</v>
      </c>
    </row>
    <row r="63" spans="1:22" x14ac:dyDescent="0.35">
      <c r="A63" t="s">
        <v>109</v>
      </c>
      <c r="C63" s="16">
        <f>-1*(C53)</f>
        <v>-24.500000000000004</v>
      </c>
      <c r="D63">
        <f>-1*(D53)</f>
        <v>-22.411586487248915</v>
      </c>
      <c r="E63">
        <f t="shared" ref="E63:V63" si="17">-1*(E53)</f>
        <v>-20.250078501551545</v>
      </c>
      <c r="F63">
        <f t="shared" si="17"/>
        <v>-18.012917736354758</v>
      </c>
      <c r="G63">
        <f t="shared" si="17"/>
        <v>-15.697456344376089</v>
      </c>
      <c r="H63">
        <f t="shared" si="17"/>
        <v>-13.300953803678171</v>
      </c>
      <c r="I63">
        <f t="shared" si="17"/>
        <v>-10.820573674055817</v>
      </c>
      <c r="J63">
        <f t="shared" si="17"/>
        <v>-8.2533802398966838</v>
      </c>
      <c r="K63">
        <f t="shared" si="17"/>
        <v>-5.5963350355419825</v>
      </c>
      <c r="L63">
        <f t="shared" si="17"/>
        <v>-2.8462932490348658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0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>
        <f t="shared" si="17"/>
        <v>0</v>
      </c>
    </row>
    <row r="64" spans="1:22" x14ac:dyDescent="0.35">
      <c r="A64" t="s">
        <v>110</v>
      </c>
      <c r="C64">
        <f>C60+C61+C62+C63</f>
        <v>-64.053375000000003</v>
      </c>
      <c r="D64">
        <f t="shared" ref="D64:T64" si="18">D60+D61+D62+D63</f>
        <v>-31.01833648724892</v>
      </c>
      <c r="E64">
        <f t="shared" si="18"/>
        <v>2.0897964984484609</v>
      </c>
      <c r="F64">
        <f t="shared" si="18"/>
        <v>35.273582263645231</v>
      </c>
      <c r="G64">
        <f t="shared" si="18"/>
        <v>37.589043655623897</v>
      </c>
      <c r="H64">
        <f t="shared" si="18"/>
        <v>57.98554619632182</v>
      </c>
      <c r="I64">
        <f t="shared" si="18"/>
        <v>60.465926325944174</v>
      </c>
      <c r="J64">
        <f t="shared" si="18"/>
        <v>63.033119760103304</v>
      </c>
      <c r="K64">
        <f t="shared" si="18"/>
        <v>65.690164964458006</v>
      </c>
      <c r="L64">
        <f t="shared" si="18"/>
        <v>68.440206750965118</v>
      </c>
      <c r="M64">
        <f t="shared" si="18"/>
        <v>111.28649999999999</v>
      </c>
      <c r="N64">
        <f t="shared" si="18"/>
        <v>111.28649999999999</v>
      </c>
      <c r="O64">
        <f t="shared" si="18"/>
        <v>111.28649999999999</v>
      </c>
      <c r="P64">
        <f t="shared" si="18"/>
        <v>111.28649999999999</v>
      </c>
      <c r="Q64">
        <f t="shared" si="18"/>
        <v>111.28649999999999</v>
      </c>
      <c r="R64">
        <f t="shared" si="18"/>
        <v>111.28649999999999</v>
      </c>
      <c r="S64">
        <f t="shared" si="18"/>
        <v>111.28649999999999</v>
      </c>
      <c r="T64">
        <f t="shared" si="18"/>
        <v>111.28649999999999</v>
      </c>
      <c r="U64">
        <f>U60+U61+U62+U63</f>
        <v>111.28649999999999</v>
      </c>
      <c r="V64">
        <f t="shared" ref="V64" si="19">V60+V61+V62+V63</f>
        <v>111.28649999999999</v>
      </c>
    </row>
    <row r="65" spans="1:22" x14ac:dyDescent="0.35">
      <c r="A65" t="s">
        <v>111</v>
      </c>
      <c r="C65">
        <f>C64*$C$25</f>
        <v>-16.013343750000001</v>
      </c>
      <c r="D65">
        <f t="shared" ref="D65:V65" si="20">D64*$C$25</f>
        <v>-7.75458412181223</v>
      </c>
      <c r="E65">
        <f t="shared" si="20"/>
        <v>0.52244912461211523</v>
      </c>
      <c r="F65">
        <f t="shared" si="20"/>
        <v>8.8183955659113078</v>
      </c>
      <c r="G65">
        <f t="shared" si="20"/>
        <v>9.3972609139059742</v>
      </c>
      <c r="H65">
        <f t="shared" si="20"/>
        <v>14.496386549080455</v>
      </c>
      <c r="I65">
        <f t="shared" si="20"/>
        <v>15.116481581486044</v>
      </c>
      <c r="J65">
        <f t="shared" si="20"/>
        <v>15.758279940025826</v>
      </c>
      <c r="K65">
        <f t="shared" si="20"/>
        <v>16.422541241114502</v>
      </c>
      <c r="L65">
        <f t="shared" si="20"/>
        <v>17.110051687741279</v>
      </c>
      <c r="M65">
        <f t="shared" si="20"/>
        <v>27.821624999999997</v>
      </c>
      <c r="N65">
        <f t="shared" si="20"/>
        <v>27.821624999999997</v>
      </c>
      <c r="O65">
        <f t="shared" si="20"/>
        <v>27.821624999999997</v>
      </c>
      <c r="P65">
        <f t="shared" si="20"/>
        <v>27.821624999999997</v>
      </c>
      <c r="Q65">
        <f t="shared" si="20"/>
        <v>27.821624999999997</v>
      </c>
      <c r="R65">
        <f t="shared" si="20"/>
        <v>27.821624999999997</v>
      </c>
      <c r="S65">
        <f t="shared" si="20"/>
        <v>27.821624999999997</v>
      </c>
      <c r="T65">
        <f t="shared" si="20"/>
        <v>27.821624999999997</v>
      </c>
      <c r="U65">
        <f t="shared" si="20"/>
        <v>27.821624999999997</v>
      </c>
      <c r="V65">
        <f t="shared" si="20"/>
        <v>27.821624999999997</v>
      </c>
    </row>
    <row r="67" spans="1:22" x14ac:dyDescent="0.35">
      <c r="A67" s="3" t="s">
        <v>115</v>
      </c>
    </row>
    <row r="68" spans="1:22" x14ac:dyDescent="0.35">
      <c r="A68" s="1" t="s">
        <v>112</v>
      </c>
      <c r="B68">
        <f>B57-B65</f>
        <v>-40</v>
      </c>
      <c r="C68">
        <f>C57-C65</f>
        <v>-83.558988757173893</v>
      </c>
      <c r="D68">
        <f t="shared" ref="D68:V68" si="21">D57-D65</f>
        <v>-14.521123385361676</v>
      </c>
      <c r="E68">
        <f t="shared" si="21"/>
        <v>8.1484683682139902</v>
      </c>
      <c r="F68">
        <f t="shared" si="21"/>
        <v>-9.2008530730852183</v>
      </c>
      <c r="G68">
        <f t="shared" si="21"/>
        <v>30.220281578920115</v>
      </c>
      <c r="H68">
        <f t="shared" si="21"/>
        <v>25.121155943745634</v>
      </c>
      <c r="I68">
        <f t="shared" si="21"/>
        <v>24.501060911340048</v>
      </c>
      <c r="J68">
        <f t="shared" si="21"/>
        <v>23.859262552800264</v>
      </c>
      <c r="K68">
        <f t="shared" si="21"/>
        <v>23.195001251711588</v>
      </c>
      <c r="L68">
        <f t="shared" si="21"/>
        <v>22.507490805084796</v>
      </c>
      <c r="M68">
        <f t="shared" si="21"/>
        <v>95.964874999999992</v>
      </c>
      <c r="N68">
        <f t="shared" si="21"/>
        <v>95.964874999999992</v>
      </c>
      <c r="O68">
        <f t="shared" si="21"/>
        <v>95.964874999999992</v>
      </c>
      <c r="P68">
        <f t="shared" si="21"/>
        <v>95.964874999999992</v>
      </c>
      <c r="Q68">
        <f t="shared" si="21"/>
        <v>95.964874999999992</v>
      </c>
      <c r="R68">
        <f t="shared" si="21"/>
        <v>95.964874999999992</v>
      </c>
      <c r="S68">
        <f t="shared" si="21"/>
        <v>95.964874999999992</v>
      </c>
      <c r="T68">
        <f t="shared" si="21"/>
        <v>95.964874999999992</v>
      </c>
      <c r="U68">
        <f t="shared" si="21"/>
        <v>95.964874999999992</v>
      </c>
      <c r="V68">
        <f t="shared" si="21"/>
        <v>256.31487499999997</v>
      </c>
    </row>
    <row r="70" spans="1:22" x14ac:dyDescent="0.35">
      <c r="A70" s="9"/>
      <c r="B70" s="8">
        <v>0.05</v>
      </c>
      <c r="C70" s="8">
        <v>0.1</v>
      </c>
      <c r="D70" s="13">
        <v>0.15</v>
      </c>
    </row>
    <row r="71" spans="1:22" x14ac:dyDescent="0.35">
      <c r="A71" s="10" t="s">
        <v>98</v>
      </c>
      <c r="B71" s="16">
        <f>NPV(B70,$C$68:$V$68)+$B$68</f>
        <v>486.82653240414402</v>
      </c>
      <c r="C71" s="16">
        <f t="shared" ref="C71:D71" si="22">NPV(C70,$C$68:$V$68)+$B$68</f>
        <v>198.21223472132806</v>
      </c>
      <c r="D71" s="20">
        <f t="shared" si="22"/>
        <v>60.357831214737487</v>
      </c>
    </row>
    <row r="72" spans="1:22" x14ac:dyDescent="0.35">
      <c r="A72" s="11" t="s">
        <v>99</v>
      </c>
      <c r="B72" s="17">
        <f>IRR(B68:V68)</f>
        <v>0.19119508293368725</v>
      </c>
      <c r="C72" s="12"/>
      <c r="D72" s="14"/>
    </row>
    <row r="74" spans="1:22" x14ac:dyDescent="0.35">
      <c r="A74" s="7" t="s">
        <v>134</v>
      </c>
      <c r="B74" s="19" t="s">
        <v>135</v>
      </c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x14ac:dyDescent="0.35">
      <c r="B75">
        <v>2015</v>
      </c>
      <c r="C75">
        <v>2016</v>
      </c>
      <c r="D75">
        <v>2017</v>
      </c>
      <c r="E75">
        <v>2018</v>
      </c>
      <c r="F75">
        <v>2019</v>
      </c>
      <c r="G75">
        <v>2020</v>
      </c>
      <c r="H75">
        <v>2021</v>
      </c>
      <c r="I75">
        <v>2022</v>
      </c>
      <c r="J75">
        <v>2023</v>
      </c>
      <c r="K75">
        <v>2024</v>
      </c>
      <c r="L75">
        <v>2025</v>
      </c>
      <c r="M75">
        <v>2026</v>
      </c>
      <c r="N75">
        <v>2027</v>
      </c>
      <c r="O75">
        <v>2028</v>
      </c>
      <c r="P75">
        <v>2029</v>
      </c>
      <c r="Q75">
        <v>2030</v>
      </c>
      <c r="R75">
        <v>2031</v>
      </c>
      <c r="S75">
        <v>2032</v>
      </c>
      <c r="T75">
        <v>2033</v>
      </c>
      <c r="U75">
        <v>2034</v>
      </c>
      <c r="V75">
        <v>2035</v>
      </c>
    </row>
    <row r="76" spans="1:22" x14ac:dyDescent="0.35">
      <c r="A76" s="3" t="s">
        <v>90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  <c r="M76">
        <v>11</v>
      </c>
      <c r="N76">
        <v>12</v>
      </c>
      <c r="O76">
        <v>13</v>
      </c>
      <c r="P76">
        <v>14</v>
      </c>
      <c r="Q76">
        <v>15</v>
      </c>
      <c r="R76">
        <v>16</v>
      </c>
      <c r="S76">
        <v>17</v>
      </c>
      <c r="T76">
        <v>18</v>
      </c>
      <c r="U76">
        <v>19</v>
      </c>
      <c r="V76">
        <v>20</v>
      </c>
    </row>
    <row r="77" spans="1:22" x14ac:dyDescent="0.35">
      <c r="A77" s="1" t="s">
        <v>91</v>
      </c>
    </row>
    <row r="78" spans="1:22" x14ac:dyDescent="0.35">
      <c r="A78" t="s">
        <v>92</v>
      </c>
      <c r="B78">
        <f>-1*($H$8/$M$22)</f>
        <v>-688.63636363636351</v>
      </c>
      <c r="V78">
        <f>$H$15/$M$22</f>
        <v>68.86363636363636</v>
      </c>
    </row>
    <row r="79" spans="1:22" x14ac:dyDescent="0.35">
      <c r="A79" t="s">
        <v>93</v>
      </c>
      <c r="C79">
        <f>-1*($H$14/$M$22)</f>
        <v>-104.19658</v>
      </c>
      <c r="V79" s="15">
        <f>$H$14/$M$22</f>
        <v>104.19658</v>
      </c>
    </row>
    <row r="80" spans="1:22" x14ac:dyDescent="0.35">
      <c r="A80" s="1" t="s">
        <v>94</v>
      </c>
      <c r="B80">
        <f>SUM(B78:B79)</f>
        <v>-688.63636363636351</v>
      </c>
      <c r="C80">
        <f t="shared" ref="C80:V80" si="23">SUM(C78:C79)</f>
        <v>-104.19658</v>
      </c>
      <c r="D80">
        <f t="shared" si="23"/>
        <v>0</v>
      </c>
      <c r="E80">
        <f t="shared" si="23"/>
        <v>0</v>
      </c>
      <c r="F80">
        <f t="shared" si="23"/>
        <v>0</v>
      </c>
      <c r="G80">
        <f t="shared" si="23"/>
        <v>0</v>
      </c>
      <c r="H80">
        <f t="shared" si="23"/>
        <v>0</v>
      </c>
      <c r="I80">
        <f t="shared" si="23"/>
        <v>0</v>
      </c>
      <c r="J80">
        <f t="shared" si="23"/>
        <v>0</v>
      </c>
      <c r="K80">
        <f t="shared" si="23"/>
        <v>0</v>
      </c>
      <c r="L80">
        <f t="shared" si="23"/>
        <v>0</v>
      </c>
      <c r="M80">
        <f t="shared" si="23"/>
        <v>0</v>
      </c>
      <c r="N80">
        <f t="shared" si="23"/>
        <v>0</v>
      </c>
      <c r="O80">
        <f t="shared" si="23"/>
        <v>0</v>
      </c>
      <c r="P80">
        <f t="shared" si="23"/>
        <v>0</v>
      </c>
      <c r="Q80">
        <f t="shared" si="23"/>
        <v>0</v>
      </c>
      <c r="R80">
        <f t="shared" si="23"/>
        <v>0</v>
      </c>
      <c r="S80">
        <f t="shared" si="23"/>
        <v>0</v>
      </c>
      <c r="T80">
        <f t="shared" si="23"/>
        <v>0</v>
      </c>
      <c r="U80">
        <f t="shared" si="23"/>
        <v>0</v>
      </c>
      <c r="V80">
        <f t="shared" si="23"/>
        <v>173.06021636363636</v>
      </c>
    </row>
    <row r="82" spans="1:23" x14ac:dyDescent="0.35">
      <c r="A82" s="1" t="s">
        <v>55</v>
      </c>
      <c r="C82">
        <f>-1*($R$16/$M$22)*$V$4</f>
        <v>-57.124677877282139</v>
      </c>
      <c r="D82">
        <f>-1*($R$16/$M$22)*$V$5</f>
        <v>-114.24935575456428</v>
      </c>
      <c r="E82">
        <f>-1*($R$16/$M$22)*$V$6</f>
        <v>-171.37403363184643</v>
      </c>
      <c r="F82">
        <f>-1*($R$16/$M$22)*$V$7</f>
        <v>-228.49871150912855</v>
      </c>
      <c r="G82">
        <f t="shared" ref="G82:V82" si="24">-1*($R$16/$M$22)*$V$7</f>
        <v>-228.49871150912855</v>
      </c>
      <c r="H82">
        <f t="shared" si="24"/>
        <v>-228.49871150912855</v>
      </c>
      <c r="I82">
        <f t="shared" si="24"/>
        <v>-228.49871150912855</v>
      </c>
      <c r="J82">
        <f t="shared" si="24"/>
        <v>-228.49871150912855</v>
      </c>
      <c r="K82">
        <f t="shared" si="24"/>
        <v>-228.49871150912855</v>
      </c>
      <c r="L82">
        <f t="shared" si="24"/>
        <v>-228.49871150912855</v>
      </c>
      <c r="M82">
        <f t="shared" si="24"/>
        <v>-228.49871150912855</v>
      </c>
      <c r="N82">
        <f t="shared" si="24"/>
        <v>-228.49871150912855</v>
      </c>
      <c r="O82">
        <f t="shared" si="24"/>
        <v>-228.49871150912855</v>
      </c>
      <c r="P82">
        <f t="shared" si="24"/>
        <v>-228.49871150912855</v>
      </c>
      <c r="Q82">
        <f t="shared" si="24"/>
        <v>-228.49871150912855</v>
      </c>
      <c r="R82">
        <f t="shared" si="24"/>
        <v>-228.49871150912855</v>
      </c>
      <c r="S82">
        <f t="shared" si="24"/>
        <v>-228.49871150912855</v>
      </c>
      <c r="T82">
        <f t="shared" si="24"/>
        <v>-228.49871150912855</v>
      </c>
      <c r="U82">
        <f t="shared" si="24"/>
        <v>-228.49871150912855</v>
      </c>
      <c r="V82">
        <f t="shared" si="24"/>
        <v>-228.49871150912855</v>
      </c>
    </row>
    <row r="84" spans="1:23" x14ac:dyDescent="0.35">
      <c r="A84" s="1" t="s">
        <v>68</v>
      </c>
      <c r="C84">
        <f>($M$21/$M$22)*V4</f>
        <v>81.25</v>
      </c>
      <c r="D84">
        <f>($M$21/$M$22)*V5</f>
        <v>162.5</v>
      </c>
      <c r="E84">
        <f>($M$21/$M$22)*V6</f>
        <v>243.75</v>
      </c>
      <c r="F84">
        <f t="shared" ref="F84:V84" si="25">($M$21/$M$22)*$V$7</f>
        <v>325</v>
      </c>
      <c r="G84">
        <f t="shared" si="25"/>
        <v>325</v>
      </c>
      <c r="H84">
        <f>($M$21/$M$22)*$V$7</f>
        <v>325</v>
      </c>
      <c r="I84">
        <f t="shared" si="25"/>
        <v>325</v>
      </c>
      <c r="J84">
        <f t="shared" si="25"/>
        <v>325</v>
      </c>
      <c r="K84">
        <f t="shared" si="25"/>
        <v>325</v>
      </c>
      <c r="L84">
        <f t="shared" si="25"/>
        <v>325</v>
      </c>
      <c r="M84">
        <f t="shared" si="25"/>
        <v>325</v>
      </c>
      <c r="N84">
        <f t="shared" si="25"/>
        <v>325</v>
      </c>
      <c r="O84">
        <f t="shared" si="25"/>
        <v>325</v>
      </c>
      <c r="P84">
        <f t="shared" si="25"/>
        <v>325</v>
      </c>
      <c r="Q84">
        <f t="shared" si="25"/>
        <v>325</v>
      </c>
      <c r="R84">
        <f t="shared" si="25"/>
        <v>325</v>
      </c>
      <c r="S84">
        <f t="shared" si="25"/>
        <v>325</v>
      </c>
      <c r="T84">
        <f t="shared" si="25"/>
        <v>325</v>
      </c>
      <c r="U84">
        <f t="shared" si="25"/>
        <v>325</v>
      </c>
      <c r="V84">
        <f t="shared" si="25"/>
        <v>325</v>
      </c>
    </row>
    <row r="85" spans="1:23" x14ac:dyDescent="0.35">
      <c r="A85" s="1" t="s">
        <v>129</v>
      </c>
      <c r="D85">
        <f>-1*$R$18/$M$22</f>
        <v>-10</v>
      </c>
      <c r="E85">
        <f t="shared" ref="E85:V85" si="26">-1*$R$18/$M$22</f>
        <v>-10</v>
      </c>
      <c r="F85">
        <f t="shared" si="26"/>
        <v>-10</v>
      </c>
      <c r="G85">
        <f t="shared" si="26"/>
        <v>-10</v>
      </c>
      <c r="H85">
        <f t="shared" si="26"/>
        <v>-10</v>
      </c>
      <c r="I85">
        <f t="shared" si="26"/>
        <v>-10</v>
      </c>
      <c r="J85">
        <f t="shared" si="26"/>
        <v>-10</v>
      </c>
      <c r="K85">
        <f t="shared" si="26"/>
        <v>-10</v>
      </c>
      <c r="L85">
        <f t="shared" si="26"/>
        <v>-10</v>
      </c>
      <c r="M85">
        <f t="shared" si="26"/>
        <v>-10</v>
      </c>
      <c r="N85">
        <f t="shared" si="26"/>
        <v>-10</v>
      </c>
      <c r="O85">
        <f t="shared" si="26"/>
        <v>-10</v>
      </c>
      <c r="P85">
        <f t="shared" si="26"/>
        <v>-10</v>
      </c>
      <c r="Q85">
        <f t="shared" si="26"/>
        <v>-10</v>
      </c>
      <c r="R85">
        <f t="shared" si="26"/>
        <v>-10</v>
      </c>
      <c r="S85">
        <f t="shared" si="26"/>
        <v>-10</v>
      </c>
      <c r="T85">
        <f t="shared" si="26"/>
        <v>-10</v>
      </c>
      <c r="U85">
        <f t="shared" si="26"/>
        <v>-10</v>
      </c>
      <c r="V85">
        <f t="shared" si="26"/>
        <v>-10</v>
      </c>
      <c r="W85" s="50" t="s">
        <v>136</v>
      </c>
    </row>
    <row r="87" spans="1:23" x14ac:dyDescent="0.35">
      <c r="A87" s="1" t="s">
        <v>96</v>
      </c>
      <c r="B87">
        <f>B84+B82+B80+B85</f>
        <v>-688.63636363636351</v>
      </c>
      <c r="C87">
        <f>C84+C82+C80+C85</f>
        <v>-80.071257877282136</v>
      </c>
      <c r="D87">
        <f t="shared" ref="D87:V87" si="27">D84+D82+D80+D85</f>
        <v>38.250644245435723</v>
      </c>
      <c r="E87">
        <f t="shared" si="27"/>
        <v>62.37596636815357</v>
      </c>
      <c r="F87">
        <f t="shared" si="27"/>
        <v>86.501288490871445</v>
      </c>
      <c r="G87">
        <f t="shared" si="27"/>
        <v>86.501288490871445</v>
      </c>
      <c r="H87">
        <f t="shared" si="27"/>
        <v>86.501288490871445</v>
      </c>
      <c r="I87">
        <f t="shared" si="27"/>
        <v>86.501288490871445</v>
      </c>
      <c r="J87">
        <f t="shared" si="27"/>
        <v>86.501288490871445</v>
      </c>
      <c r="K87">
        <f t="shared" si="27"/>
        <v>86.501288490871445</v>
      </c>
      <c r="L87">
        <f t="shared" si="27"/>
        <v>86.501288490871445</v>
      </c>
      <c r="M87">
        <f t="shared" si="27"/>
        <v>86.501288490871445</v>
      </c>
      <c r="N87">
        <f t="shared" si="27"/>
        <v>86.501288490871445</v>
      </c>
      <c r="O87">
        <f t="shared" si="27"/>
        <v>86.501288490871445</v>
      </c>
      <c r="P87">
        <f t="shared" si="27"/>
        <v>86.501288490871445</v>
      </c>
      <c r="Q87">
        <f t="shared" si="27"/>
        <v>86.501288490871445</v>
      </c>
      <c r="R87">
        <f t="shared" si="27"/>
        <v>86.501288490871445</v>
      </c>
      <c r="S87">
        <f t="shared" si="27"/>
        <v>86.501288490871445</v>
      </c>
      <c r="T87">
        <f t="shared" si="27"/>
        <v>86.501288490871445</v>
      </c>
      <c r="U87">
        <f t="shared" si="27"/>
        <v>86.501288490871445</v>
      </c>
      <c r="V87">
        <f t="shared" si="27"/>
        <v>259.5615048545078</v>
      </c>
    </row>
    <row r="89" spans="1:23" x14ac:dyDescent="0.35">
      <c r="A89" s="9"/>
      <c r="B89" s="8">
        <v>0.05</v>
      </c>
      <c r="C89" s="8">
        <v>0.1</v>
      </c>
      <c r="D89" s="13">
        <v>0.15</v>
      </c>
    </row>
    <row r="90" spans="1:23" x14ac:dyDescent="0.35">
      <c r="A90" s="10" t="s">
        <v>98</v>
      </c>
      <c r="B90">
        <f>NPV(B89,$C$87:$V$87)+$B$87</f>
        <v>231.33982652667771</v>
      </c>
      <c r="C90">
        <f t="shared" ref="C90:D90" si="28">NPV(C89,$C$87:$V$87)+$B$87</f>
        <v>-135.90969848800194</v>
      </c>
      <c r="D90" s="49">
        <f t="shared" si="28"/>
        <v>-333.81500106551357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R90" s="16"/>
      <c r="S90" s="16"/>
      <c r="T90" s="16"/>
      <c r="U90" s="16"/>
      <c r="V90" s="16"/>
    </row>
    <row r="91" spans="1:23" x14ac:dyDescent="0.35">
      <c r="A91" s="11" t="s">
        <v>99</v>
      </c>
      <c r="B91" s="17">
        <f>IRR(B87:V87)</f>
        <v>7.7519671610481566E-2</v>
      </c>
      <c r="C91" s="12"/>
      <c r="D91" s="14"/>
    </row>
    <row r="97" spans="1:1" x14ac:dyDescent="0.35">
      <c r="A97" s="3"/>
    </row>
    <row r="98" spans="1:1" x14ac:dyDescent="0.35">
      <c r="A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B072-3C68-4241-99EE-594B79FEF0AB}">
  <dimension ref="A1:V39"/>
  <sheetViews>
    <sheetView topLeftCell="A7" workbookViewId="0">
      <selection activeCell="E40" sqref="E40"/>
    </sheetView>
  </sheetViews>
  <sheetFormatPr defaultRowHeight="14.5" x14ac:dyDescent="0.35"/>
  <cols>
    <col min="1" max="1" width="19.90625" customWidth="1"/>
    <col min="3" max="3" width="9.90625" bestFit="1" customWidth="1"/>
  </cols>
  <sheetData>
    <row r="1" spans="1:18" x14ac:dyDescent="0.35">
      <c r="A1" s="52" t="s">
        <v>37</v>
      </c>
      <c r="B1" s="53"/>
      <c r="C1" s="53"/>
    </row>
    <row r="2" spans="1:18" x14ac:dyDescent="0.35">
      <c r="A2" s="51" t="s">
        <v>142</v>
      </c>
      <c r="B2" s="51" t="s">
        <v>43</v>
      </c>
      <c r="C2" s="51" t="s">
        <v>138</v>
      </c>
      <c r="D2" s="112" t="s">
        <v>210</v>
      </c>
      <c r="E2" s="112" t="s">
        <v>211</v>
      </c>
      <c r="F2" s="112" t="s">
        <v>212</v>
      </c>
      <c r="I2" s="114" t="s">
        <v>216</v>
      </c>
      <c r="J2">
        <v>75</v>
      </c>
    </row>
    <row r="3" spans="1:18" x14ac:dyDescent="0.35">
      <c r="A3" s="51" t="s">
        <v>141</v>
      </c>
      <c r="B3" s="53"/>
      <c r="C3" s="53"/>
      <c r="I3" s="94" t="s">
        <v>217</v>
      </c>
      <c r="J3">
        <v>6</v>
      </c>
    </row>
    <row r="4" spans="1:18" x14ac:dyDescent="0.35">
      <c r="A4" s="113" t="s">
        <v>204</v>
      </c>
      <c r="B4" s="53">
        <v>1</v>
      </c>
      <c r="C4" s="54">
        <v>45000000</v>
      </c>
      <c r="D4">
        <f>B8*C4</f>
        <v>18000000</v>
      </c>
      <c r="E4">
        <f>C4*B9</f>
        <v>18000000</v>
      </c>
      <c r="F4">
        <f>C4*B10</f>
        <v>9000000</v>
      </c>
    </row>
    <row r="5" spans="1:18" x14ac:dyDescent="0.35">
      <c r="A5" s="113" t="s">
        <v>205</v>
      </c>
      <c r="B5" s="53">
        <v>1</v>
      </c>
      <c r="C5" s="54">
        <v>30000000</v>
      </c>
      <c r="D5">
        <f>B8*C5</f>
        <v>12000000</v>
      </c>
      <c r="E5">
        <f>C5*B9</f>
        <v>12000000</v>
      </c>
      <c r="F5">
        <f>C5*B10</f>
        <v>6000000</v>
      </c>
      <c r="J5" s="94" t="s">
        <v>220</v>
      </c>
      <c r="K5" s="94" t="s">
        <v>221</v>
      </c>
      <c r="L5" s="115" t="s">
        <v>222</v>
      </c>
      <c r="M5" s="116" t="s">
        <v>223</v>
      </c>
      <c r="N5" s="117" t="s">
        <v>224</v>
      </c>
      <c r="O5" s="94" t="s">
        <v>225</v>
      </c>
      <c r="P5" s="117" t="s">
        <v>226</v>
      </c>
      <c r="Q5" s="94" t="s">
        <v>227</v>
      </c>
      <c r="R5" s="94" t="s">
        <v>228</v>
      </c>
    </row>
    <row r="6" spans="1:18" x14ac:dyDescent="0.35">
      <c r="A6" s="113"/>
      <c r="B6" s="53"/>
      <c r="C6" s="54"/>
      <c r="I6" s="94" t="s">
        <v>218</v>
      </c>
      <c r="J6">
        <v>4</v>
      </c>
      <c r="K6">
        <v>2200</v>
      </c>
      <c r="L6" s="10">
        <f>K6/2</f>
        <v>1100</v>
      </c>
      <c r="M6">
        <f>K6/2</f>
        <v>1100</v>
      </c>
      <c r="N6" s="10">
        <v>2000</v>
      </c>
      <c r="O6">
        <f>N6*B13</f>
        <v>12000</v>
      </c>
      <c r="P6" s="10">
        <v>50</v>
      </c>
      <c r="Q6">
        <v>150</v>
      </c>
      <c r="R6">
        <v>75</v>
      </c>
    </row>
    <row r="7" spans="1:18" x14ac:dyDescent="0.35">
      <c r="A7" s="51" t="s">
        <v>206</v>
      </c>
      <c r="B7" s="53"/>
      <c r="C7" s="94" t="s">
        <v>213</v>
      </c>
      <c r="I7" s="94" t="s">
        <v>219</v>
      </c>
      <c r="J7">
        <v>7</v>
      </c>
      <c r="K7">
        <v>1800</v>
      </c>
      <c r="L7" s="10">
        <v>600</v>
      </c>
      <c r="M7">
        <f>K7-L7</f>
        <v>1200</v>
      </c>
      <c r="N7" s="10">
        <v>700</v>
      </c>
      <c r="O7">
        <f>N7*B13</f>
        <v>4200</v>
      </c>
      <c r="P7" s="10">
        <v>50</v>
      </c>
      <c r="Q7">
        <v>80</v>
      </c>
      <c r="R7">
        <v>40</v>
      </c>
    </row>
    <row r="8" spans="1:18" x14ac:dyDescent="0.35">
      <c r="A8" s="53" t="s">
        <v>209</v>
      </c>
      <c r="B8" s="90">
        <v>0.4</v>
      </c>
      <c r="C8" s="111" t="s">
        <v>214</v>
      </c>
      <c r="D8" s="4">
        <v>0.2</v>
      </c>
    </row>
    <row r="9" spans="1:18" x14ac:dyDescent="0.35">
      <c r="A9" s="53" t="s">
        <v>207</v>
      </c>
      <c r="B9" s="90">
        <v>0.4</v>
      </c>
      <c r="C9" s="111" t="s">
        <v>215</v>
      </c>
      <c r="D9" s="4">
        <v>0.8</v>
      </c>
      <c r="J9" s="94" t="s">
        <v>230</v>
      </c>
    </row>
    <row r="10" spans="1:18" x14ac:dyDescent="0.35">
      <c r="A10" s="111" t="s">
        <v>208</v>
      </c>
      <c r="B10" s="90">
        <v>0.2</v>
      </c>
      <c r="C10" s="58"/>
      <c r="I10" s="94" t="s">
        <v>229</v>
      </c>
      <c r="J10">
        <v>25000</v>
      </c>
    </row>
    <row r="11" spans="1:18" ht="15" thickBot="1" x14ac:dyDescent="0.4"/>
    <row r="12" spans="1:18" x14ac:dyDescent="0.35">
      <c r="A12" s="59" t="s">
        <v>100</v>
      </c>
      <c r="B12" s="60"/>
      <c r="C12" s="69" t="s">
        <v>117</v>
      </c>
      <c r="D12" s="57"/>
    </row>
    <row r="13" spans="1:18" x14ac:dyDescent="0.35">
      <c r="A13" s="61" t="s">
        <v>160</v>
      </c>
      <c r="B13" s="56">
        <v>6</v>
      </c>
      <c r="C13" s="55" t="s">
        <v>171</v>
      </c>
      <c r="D13" s="56"/>
    </row>
    <row r="14" spans="1:18" x14ac:dyDescent="0.35">
      <c r="A14" s="61" t="s">
        <v>232</v>
      </c>
      <c r="B14" s="62">
        <v>0.1</v>
      </c>
      <c r="C14" s="65" t="s">
        <v>172</v>
      </c>
      <c r="D14" s="56">
        <v>1.2</v>
      </c>
    </row>
    <row r="15" spans="1:18" ht="15" thickBot="1" x14ac:dyDescent="0.4">
      <c r="A15" s="63" t="s">
        <v>233</v>
      </c>
      <c r="B15" s="64">
        <v>0.15</v>
      </c>
      <c r="C15" s="66" t="s">
        <v>173</v>
      </c>
      <c r="D15" s="67">
        <v>0.7</v>
      </c>
    </row>
    <row r="16" spans="1:18" x14ac:dyDescent="0.35">
      <c r="F16" s="51"/>
      <c r="G16" s="90"/>
    </row>
    <row r="17" spans="1:22" x14ac:dyDescent="0.35">
      <c r="A17" s="19" t="s">
        <v>114</v>
      </c>
      <c r="B17" s="18"/>
      <c r="C17" s="18"/>
      <c r="F17" s="51"/>
      <c r="G17" s="90"/>
    </row>
    <row r="18" spans="1:22" ht="15" thickBot="1" x14ac:dyDescent="0.4">
      <c r="B18" t="s">
        <v>203</v>
      </c>
      <c r="D18" t="s">
        <v>231</v>
      </c>
    </row>
    <row r="19" spans="1:22" x14ac:dyDescent="0.35">
      <c r="A19" s="3" t="s">
        <v>90</v>
      </c>
      <c r="B19">
        <v>1</v>
      </c>
      <c r="C19" t="s">
        <v>203</v>
      </c>
      <c r="D19" t="s">
        <v>156</v>
      </c>
      <c r="E19" t="s">
        <v>156</v>
      </c>
      <c r="F19" t="s">
        <v>156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s="74"/>
      <c r="O19" s="75">
        <f>W5</f>
        <v>0</v>
      </c>
    </row>
    <row r="20" spans="1:22" x14ac:dyDescent="0.35">
      <c r="A20" s="78" t="s">
        <v>183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 s="23" t="s">
        <v>98</v>
      </c>
      <c r="O20" s="24">
        <f>NPV(O19,D32:M32)</f>
        <v>0</v>
      </c>
    </row>
    <row r="21" spans="1:22" x14ac:dyDescent="0.35">
      <c r="A21" s="78" t="s">
        <v>180</v>
      </c>
      <c r="N21" s="23" t="s">
        <v>175</v>
      </c>
      <c r="O21" s="24" t="e">
        <f>NPV(O19,D23:M23)/NPV(O19,D24:M24)</f>
        <v>#DIV/0!</v>
      </c>
    </row>
    <row r="22" spans="1:22" ht="15" thickBot="1" x14ac:dyDescent="0.4">
      <c r="A22" s="83" t="s">
        <v>191</v>
      </c>
      <c r="N22" s="77" t="s">
        <v>99</v>
      </c>
      <c r="O22" s="37" t="e">
        <f>IRR(D32:M32)</f>
        <v>#NUM!</v>
      </c>
    </row>
    <row r="23" spans="1:22" x14ac:dyDescent="0.35">
      <c r="A23" s="83" t="s">
        <v>192</v>
      </c>
    </row>
    <row r="24" spans="1:22" x14ac:dyDescent="0.35">
      <c r="A24" s="83" t="s">
        <v>193</v>
      </c>
      <c r="U24" s="1"/>
      <c r="V24" s="53"/>
    </row>
    <row r="25" spans="1:22" x14ac:dyDescent="0.35">
      <c r="A25" s="80" t="s">
        <v>184</v>
      </c>
      <c r="U25" s="52"/>
      <c r="V25" s="53"/>
    </row>
    <row r="26" spans="1:22" x14ac:dyDescent="0.35">
      <c r="A26" s="80" t="s">
        <v>185</v>
      </c>
      <c r="U26" s="53"/>
      <c r="V26" s="53"/>
    </row>
    <row r="27" spans="1:22" x14ac:dyDescent="0.35">
      <c r="A27" s="80" t="s">
        <v>186</v>
      </c>
      <c r="U27" s="53"/>
      <c r="V27" s="53"/>
    </row>
    <row r="28" spans="1:22" x14ac:dyDescent="0.35">
      <c r="A28" s="80" t="s">
        <v>187</v>
      </c>
    </row>
    <row r="29" spans="1:22" x14ac:dyDescent="0.35">
      <c r="A29" s="79" t="s">
        <v>188</v>
      </c>
    </row>
    <row r="30" spans="1:22" x14ac:dyDescent="0.35">
      <c r="A30" s="79" t="s">
        <v>189</v>
      </c>
    </row>
    <row r="31" spans="1:22" x14ac:dyDescent="0.35">
      <c r="A31" s="81" t="s">
        <v>190</v>
      </c>
    </row>
    <row r="32" spans="1:22" x14ac:dyDescent="0.35">
      <c r="A32" s="3"/>
    </row>
    <row r="33" spans="1:4" x14ac:dyDescent="0.35">
      <c r="A33" s="1" t="s">
        <v>194</v>
      </c>
    </row>
    <row r="34" spans="1:4" x14ac:dyDescent="0.35">
      <c r="A34" s="53"/>
    </row>
    <row r="35" spans="1:4" x14ac:dyDescent="0.35">
      <c r="A35" s="84" t="s">
        <v>112</v>
      </c>
    </row>
    <row r="39" spans="1:4" x14ac:dyDescent="0.35">
      <c r="A39" s="92" t="s">
        <v>198</v>
      </c>
      <c r="B39" s="93"/>
      <c r="C39" s="93"/>
      <c r="D39" s="9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EDE1-4B1F-4A8F-BC06-84A6E4B34F6A}">
  <dimension ref="A1:R64"/>
  <sheetViews>
    <sheetView topLeftCell="A10" zoomScale="80" zoomScaleNormal="81" workbookViewId="0">
      <selection activeCell="A50" sqref="A50:XFD50"/>
    </sheetView>
  </sheetViews>
  <sheetFormatPr defaultColWidth="8.7265625" defaultRowHeight="14.5" x14ac:dyDescent="0.35"/>
  <cols>
    <col min="1" max="1" width="26.36328125" style="53" customWidth="1"/>
    <col min="2" max="2" width="9.453125" style="53" customWidth="1"/>
    <col min="3" max="3" width="11.08984375" style="53" customWidth="1"/>
    <col min="4" max="4" width="11.6328125" style="53" customWidth="1"/>
    <col min="5" max="5" width="12.453125" style="53" customWidth="1"/>
    <col min="6" max="6" width="11.26953125" style="53" customWidth="1"/>
    <col min="7" max="7" width="16.90625" style="53" customWidth="1"/>
    <col min="8" max="8" width="12.90625" style="53" customWidth="1"/>
    <col min="9" max="9" width="13.36328125" style="53" customWidth="1"/>
    <col min="10" max="10" width="13.453125" style="53" customWidth="1"/>
    <col min="11" max="11" width="12.6328125" style="53" customWidth="1"/>
    <col min="12" max="12" width="13.36328125" style="53" customWidth="1"/>
    <col min="13" max="13" width="13.453125" style="53" customWidth="1"/>
    <col min="14" max="14" width="10.90625" style="53" bestFit="1" customWidth="1"/>
    <col min="15" max="15" width="16.90625" style="53" customWidth="1"/>
    <col min="16" max="16384" width="8.7265625" style="53"/>
  </cols>
  <sheetData>
    <row r="1" spans="1:13" x14ac:dyDescent="0.35">
      <c r="A1" s="52" t="s">
        <v>37</v>
      </c>
      <c r="G1" s="52" t="s">
        <v>149</v>
      </c>
      <c r="I1" s="53" t="s">
        <v>150</v>
      </c>
      <c r="L1" s="59" t="s">
        <v>100</v>
      </c>
      <c r="M1" s="60"/>
    </row>
    <row r="2" spans="1:13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</row>
    <row r="3" spans="1:13" x14ac:dyDescent="0.3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3" x14ac:dyDescent="0.3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</row>
    <row r="5" spans="1:13" ht="15" thickBot="1" x14ac:dyDescent="0.4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</row>
    <row r="6" spans="1:13" x14ac:dyDescent="0.35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3" ht="15" thickBot="1" x14ac:dyDescent="0.4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/>
    </row>
    <row r="8" spans="1:13" x14ac:dyDescent="0.3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3" x14ac:dyDescent="0.3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3" x14ac:dyDescent="0.3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3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3" x14ac:dyDescent="0.35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3" ht="19.5" customHeight="1" x14ac:dyDescent="0.35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</row>
    <row r="14" spans="1:13" x14ac:dyDescent="0.35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</row>
    <row r="15" spans="1:13" x14ac:dyDescent="0.35">
      <c r="H15" s="54"/>
      <c r="J15" s="54"/>
    </row>
    <row r="16" spans="1:13" ht="22" customHeight="1" x14ac:dyDescent="0.35">
      <c r="E16" s="51"/>
      <c r="F16" s="51"/>
      <c r="G16" s="53" t="s">
        <v>158</v>
      </c>
    </row>
    <row r="17" spans="1:14" ht="15" thickBot="1" x14ac:dyDescent="0.4">
      <c r="A17"/>
      <c r="B17"/>
      <c r="C17"/>
      <c r="D17"/>
    </row>
    <row r="18" spans="1:14" x14ac:dyDescent="0.35">
      <c r="A18" s="68" t="s">
        <v>157</v>
      </c>
      <c r="B18" s="19" t="s">
        <v>113</v>
      </c>
      <c r="C18" s="18"/>
      <c r="D18" s="18"/>
      <c r="E18" s="7"/>
      <c r="F18" s="7"/>
      <c r="G18" s="7"/>
      <c r="H18" s="7"/>
      <c r="I18" s="7"/>
      <c r="J18" s="7"/>
      <c r="K18" s="7"/>
      <c r="L18" s="7"/>
      <c r="M18" s="74"/>
      <c r="N18" s="75">
        <v>0.1</v>
      </c>
    </row>
    <row r="19" spans="1:14" x14ac:dyDescent="0.35">
      <c r="A19"/>
      <c r="B19" s="1" t="s">
        <v>176</v>
      </c>
      <c r="C19" t="s">
        <v>164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/>
      <c r="K19"/>
      <c r="L19"/>
      <c r="M19" s="23" t="s">
        <v>98</v>
      </c>
      <c r="N19" s="76">
        <f>NPV(N18,C30:L30)</f>
        <v>47907.561513717577</v>
      </c>
    </row>
    <row r="20" spans="1:14" x14ac:dyDescent="0.35">
      <c r="A20"/>
      <c r="B20"/>
      <c r="C20" t="s">
        <v>154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t="s">
        <v>156</v>
      </c>
      <c r="M20" s="23" t="s">
        <v>175</v>
      </c>
      <c r="N20" s="24">
        <f>NPV(N18,C28:L28)/NPV(N18,C26:L26)</f>
        <v>-1.6162230312956241</v>
      </c>
    </row>
    <row r="21" spans="1:14" ht="15" thickBot="1" x14ac:dyDescent="0.4">
      <c r="A21" s="3" t="s">
        <v>90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 s="77" t="s">
        <v>99</v>
      </c>
      <c r="N21" s="37">
        <f>IRR(C30:L30)</f>
        <v>0.3278984969733878</v>
      </c>
    </row>
    <row r="22" spans="1:14" x14ac:dyDescent="0.35">
      <c r="A22" s="1" t="s">
        <v>180</v>
      </c>
      <c r="B22"/>
      <c r="C22"/>
      <c r="D22"/>
      <c r="E22"/>
      <c r="F22"/>
      <c r="G22"/>
      <c r="H22"/>
      <c r="I22"/>
      <c r="J22"/>
      <c r="K22"/>
      <c r="L22"/>
    </row>
    <row r="23" spans="1:14" x14ac:dyDescent="0.35">
      <c r="A23" t="s">
        <v>92</v>
      </c>
      <c r="B23"/>
      <c r="C23">
        <f>-1*$C$8*(1+$M$3)^C21</f>
        <v>-51000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4" x14ac:dyDescent="0.35">
      <c r="A24" t="s">
        <v>93</v>
      </c>
      <c r="B24"/>
      <c r="C24">
        <v>0</v>
      </c>
      <c r="D24">
        <f>(-1*$H$3*($I$3+$I$4+$I$5+$I$6))*(1+$M$3)^D21</f>
        <v>-5618.16</v>
      </c>
      <c r="E24">
        <f>(-1*$H$3*($I$3+$I$4+$I$5+$I$6))*(1+$M$3)^E21</f>
        <v>-5730.5231999999996</v>
      </c>
      <c r="F24">
        <f t="shared" ref="F24:L24" si="1">(-1*$H$3*($I$3+$I$4+$I$5+$I$6))*(1+$M$3)^F21</f>
        <v>-5845.133664</v>
      </c>
      <c r="G24">
        <f t="shared" si="1"/>
        <v>-5962.0363372800002</v>
      </c>
      <c r="H24">
        <f t="shared" si="1"/>
        <v>-6081.2770640256003</v>
      </c>
      <c r="I24">
        <f t="shared" si="1"/>
        <v>-6202.9026053061107</v>
      </c>
      <c r="J24">
        <f t="shared" si="1"/>
        <v>-6326.9606574122336</v>
      </c>
      <c r="K24">
        <f t="shared" si="1"/>
        <v>-6453.4998705604785</v>
      </c>
      <c r="L24">
        <f t="shared" si="1"/>
        <v>-6582.5698679716879</v>
      </c>
    </row>
    <row r="25" spans="1:14" x14ac:dyDescent="0.35">
      <c r="A25" t="s">
        <v>182</v>
      </c>
      <c r="B25"/>
      <c r="C25">
        <v>0</v>
      </c>
      <c r="D25">
        <f>$H$10</f>
        <v>20</v>
      </c>
      <c r="E25">
        <f>$H$10</f>
        <v>20</v>
      </c>
      <c r="F25">
        <f t="shared" ref="F25:L25" si="2">$H$10</f>
        <v>20</v>
      </c>
      <c r="G25">
        <f t="shared" si="2"/>
        <v>20</v>
      </c>
      <c r="H25">
        <f t="shared" si="2"/>
        <v>20</v>
      </c>
      <c r="I25">
        <f t="shared" si="2"/>
        <v>20</v>
      </c>
      <c r="J25">
        <f t="shared" si="2"/>
        <v>20</v>
      </c>
      <c r="K25">
        <f t="shared" si="2"/>
        <v>20</v>
      </c>
      <c r="L25">
        <f t="shared" si="2"/>
        <v>20</v>
      </c>
    </row>
    <row r="26" spans="1:14" x14ac:dyDescent="0.35">
      <c r="A26" s="1" t="s">
        <v>179</v>
      </c>
      <c r="B26"/>
      <c r="C26">
        <f>SUM(C23:C25)</f>
        <v>-51000</v>
      </c>
      <c r="D26">
        <f t="shared" ref="D26:L26" si="3">SUM(D23:D25)</f>
        <v>-5598.16</v>
      </c>
      <c r="E26">
        <f t="shared" si="3"/>
        <v>-5710.5231999999996</v>
      </c>
      <c r="F26">
        <f t="shared" si="3"/>
        <v>-5825.133664</v>
      </c>
      <c r="G26">
        <f t="shared" si="3"/>
        <v>-5942.0363372800002</v>
      </c>
      <c r="H26">
        <f t="shared" si="3"/>
        <v>-6061.2770640256003</v>
      </c>
      <c r="I26">
        <f t="shared" si="3"/>
        <v>-6182.9026053061107</v>
      </c>
      <c r="J26">
        <f t="shared" si="3"/>
        <v>-6306.9606574122336</v>
      </c>
      <c r="K26">
        <f t="shared" si="3"/>
        <v>-6433.4998705604785</v>
      </c>
      <c r="L26">
        <f t="shared" si="3"/>
        <v>-6562.5698679716879</v>
      </c>
    </row>
    <row r="27" spans="1:14" x14ac:dyDescent="0.35">
      <c r="A27"/>
      <c r="B27"/>
      <c r="C27"/>
      <c r="D27"/>
      <c r="E27"/>
      <c r="F27"/>
      <c r="G27"/>
      <c r="H27"/>
      <c r="I27"/>
      <c r="J27"/>
      <c r="K27"/>
      <c r="L27"/>
    </row>
    <row r="28" spans="1:14" x14ac:dyDescent="0.35">
      <c r="A28" s="1" t="s">
        <v>68</v>
      </c>
      <c r="B28"/>
      <c r="C28">
        <v>0</v>
      </c>
      <c r="D28">
        <f>$L$14</f>
        <v>24000</v>
      </c>
      <c r="E28">
        <f t="shared" ref="E28:L28" si="4">$L$14</f>
        <v>24000</v>
      </c>
      <c r="F28">
        <f>$L$14</f>
        <v>24000</v>
      </c>
      <c r="G28">
        <f t="shared" si="4"/>
        <v>24000</v>
      </c>
      <c r="H28">
        <f t="shared" si="4"/>
        <v>24000</v>
      </c>
      <c r="I28">
        <f t="shared" si="4"/>
        <v>24000</v>
      </c>
      <c r="J28">
        <f t="shared" si="4"/>
        <v>24000</v>
      </c>
      <c r="K28">
        <f t="shared" si="4"/>
        <v>24000</v>
      </c>
      <c r="L28">
        <f t="shared" si="4"/>
        <v>24000</v>
      </c>
    </row>
    <row r="29" spans="1:14" x14ac:dyDescent="0.35">
      <c r="A29"/>
      <c r="B29"/>
      <c r="C29"/>
      <c r="D29"/>
      <c r="E29"/>
      <c r="F29"/>
      <c r="G29"/>
      <c r="H29"/>
      <c r="I29"/>
      <c r="J29"/>
      <c r="K29"/>
      <c r="L29"/>
    </row>
    <row r="30" spans="1:14" x14ac:dyDescent="0.35">
      <c r="A30" s="1" t="s">
        <v>96</v>
      </c>
      <c r="B30"/>
      <c r="C30">
        <f t="shared" ref="C30:L30" si="5">C26+C28</f>
        <v>-51000</v>
      </c>
      <c r="D30">
        <f t="shared" si="5"/>
        <v>18401.84</v>
      </c>
      <c r="E30">
        <f t="shared" si="5"/>
        <v>18289.4768</v>
      </c>
      <c r="F30">
        <f t="shared" si="5"/>
        <v>18174.866335999999</v>
      </c>
      <c r="G30">
        <f t="shared" si="5"/>
        <v>18057.963662720002</v>
      </c>
      <c r="H30">
        <f t="shared" si="5"/>
        <v>17938.722935974401</v>
      </c>
      <c r="I30">
        <f t="shared" si="5"/>
        <v>17817.09739469389</v>
      </c>
      <c r="J30">
        <f t="shared" si="5"/>
        <v>17693.039342587766</v>
      </c>
      <c r="K30">
        <f t="shared" si="5"/>
        <v>17566.500129439522</v>
      </c>
      <c r="L30">
        <f t="shared" si="5"/>
        <v>17437.430132028312</v>
      </c>
    </row>
    <row r="31" spans="1:14" ht="15" thickBot="1" x14ac:dyDescent="0.4">
      <c r="A31" t="s">
        <v>95</v>
      </c>
      <c r="B31"/>
      <c r="C31"/>
      <c r="D31"/>
      <c r="E31"/>
      <c r="F31"/>
      <c r="G31"/>
      <c r="H31"/>
      <c r="I31"/>
      <c r="J31"/>
      <c r="K31"/>
      <c r="L31"/>
      <c r="N31" s="1"/>
    </row>
    <row r="32" spans="1:14" x14ac:dyDescent="0.35">
      <c r="A32" s="68" t="s">
        <v>157</v>
      </c>
      <c r="B32" s="19" t="s">
        <v>114</v>
      </c>
      <c r="C32" s="18"/>
      <c r="D32" s="18"/>
      <c r="E32" s="7"/>
      <c r="F32" s="7"/>
      <c r="G32" s="7"/>
      <c r="H32" s="7"/>
      <c r="I32" s="7"/>
      <c r="J32" s="7"/>
      <c r="K32" s="7"/>
      <c r="L32" s="7"/>
      <c r="M32" s="74"/>
      <c r="N32" s="75">
        <v>0.1</v>
      </c>
    </row>
    <row r="33" spans="1:14" x14ac:dyDescent="0.35">
      <c r="A33"/>
      <c r="B33" s="1" t="s">
        <v>176</v>
      </c>
      <c r="C33" t="s">
        <v>164</v>
      </c>
      <c r="D33" t="s">
        <v>155</v>
      </c>
      <c r="E33" t="s">
        <v>155</v>
      </c>
      <c r="F33" t="s">
        <v>155</v>
      </c>
      <c r="G33" t="s">
        <v>155</v>
      </c>
      <c r="H33" t="s">
        <v>155</v>
      </c>
      <c r="I33" t="s">
        <v>155</v>
      </c>
      <c r="J33"/>
      <c r="K33"/>
      <c r="L33"/>
      <c r="M33" s="23" t="s">
        <v>98</v>
      </c>
      <c r="N33" s="76">
        <f>NPV(N32,C50:L50)</f>
        <v>41677.996023177642</v>
      </c>
    </row>
    <row r="34" spans="1:14" x14ac:dyDescent="0.35">
      <c r="A34"/>
      <c r="B34"/>
      <c r="C34" t="s">
        <v>154</v>
      </c>
      <c r="D34" t="s">
        <v>156</v>
      </c>
      <c r="E34" t="s">
        <v>156</v>
      </c>
      <c r="F34" t="s">
        <v>156</v>
      </c>
      <c r="G34" t="s">
        <v>156</v>
      </c>
      <c r="H34" t="s">
        <v>156</v>
      </c>
      <c r="I34" t="s">
        <v>156</v>
      </c>
      <c r="J34" t="s">
        <v>156</v>
      </c>
      <c r="K34" t="s">
        <v>156</v>
      </c>
      <c r="L34" t="s">
        <v>156</v>
      </c>
      <c r="M34" s="23" t="s">
        <v>175</v>
      </c>
      <c r="N34" s="24"/>
    </row>
    <row r="35" spans="1:14" ht="15" thickBot="1" x14ac:dyDescent="0.4">
      <c r="A35" s="3" t="s">
        <v>90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 s="77" t="s">
        <v>99</v>
      </c>
      <c r="N35" s="37">
        <f>IRR(C50:L50)</f>
        <v>0.78602099321495267</v>
      </c>
    </row>
    <row r="36" spans="1:14" x14ac:dyDescent="0.35">
      <c r="A36" s="3" t="s">
        <v>103</v>
      </c>
      <c r="B36"/>
      <c r="C36"/>
      <c r="D36"/>
      <c r="E36"/>
      <c r="F36"/>
      <c r="G36"/>
      <c r="H36"/>
      <c r="I36"/>
      <c r="J36"/>
      <c r="K36"/>
      <c r="L36"/>
    </row>
    <row r="37" spans="1:14" x14ac:dyDescent="0.35">
      <c r="A37" s="1" t="s">
        <v>104</v>
      </c>
      <c r="B37"/>
      <c r="C37"/>
      <c r="D37"/>
      <c r="E37"/>
      <c r="F37"/>
      <c r="G37"/>
      <c r="H37"/>
      <c r="I37"/>
      <c r="J37"/>
      <c r="K37"/>
      <c r="L37"/>
    </row>
    <row r="38" spans="1:14" x14ac:dyDescent="0.35">
      <c r="A38" t="s">
        <v>82</v>
      </c>
      <c r="B38"/>
      <c r="C38">
        <f>-1*($B$13*(1+$M$3)^C35)</f>
        <v>-40800</v>
      </c>
      <c r="D38" s="16">
        <f>PPMT($D$13, C35, $E$13, $C$38)</f>
        <v>5561.6677581436015</v>
      </c>
      <c r="E38" s="16">
        <f t="shared" ref="E38:I38" si="6">PPMT($D$13, D35, $E$13, $C$38)</f>
        <v>6006.6011787950893</v>
      </c>
      <c r="F38" s="16">
        <f t="shared" si="6"/>
        <v>6487.1292730986961</v>
      </c>
      <c r="G38" s="16">
        <f t="shared" si="6"/>
        <v>7006.0996149465918</v>
      </c>
      <c r="H38" s="16">
        <f t="shared" si="6"/>
        <v>7566.5875841423194</v>
      </c>
      <c r="I38" s="16">
        <f t="shared" si="6"/>
        <v>8171.9145908737055</v>
      </c>
      <c r="J38">
        <f t="shared" ref="J38:L38" si="7">J33+J36</f>
        <v>0</v>
      </c>
      <c r="K38">
        <f t="shared" si="7"/>
        <v>0</v>
      </c>
      <c r="L38">
        <f t="shared" si="7"/>
        <v>0</v>
      </c>
    </row>
    <row r="39" spans="1:14" x14ac:dyDescent="0.35">
      <c r="A39" t="s">
        <v>83</v>
      </c>
      <c r="B39"/>
      <c r="C39"/>
      <c r="D39"/>
      <c r="E39"/>
      <c r="F39"/>
      <c r="G39"/>
      <c r="H39"/>
      <c r="I39"/>
      <c r="J39"/>
      <c r="K39"/>
      <c r="L39"/>
    </row>
    <row r="40" spans="1:14" x14ac:dyDescent="0.35">
      <c r="A40" s="1" t="s">
        <v>105</v>
      </c>
      <c r="B40"/>
      <c r="C40"/>
      <c r="D40"/>
      <c r="E40"/>
      <c r="F40"/>
      <c r="G40"/>
      <c r="H40"/>
      <c r="I40"/>
      <c r="J40"/>
      <c r="K40"/>
      <c r="L40"/>
    </row>
    <row r="41" spans="1:14" x14ac:dyDescent="0.35">
      <c r="A41" t="s">
        <v>82</v>
      </c>
      <c r="B41"/>
      <c r="C41">
        <v>0</v>
      </c>
      <c r="D41" s="16">
        <f>IPMT($D$13,C35,$E$13,$C$38)</f>
        <v>3264</v>
      </c>
      <c r="E41" s="16">
        <f t="shared" ref="E41:I41" si="8">IPMT($D$13,D35,$E$13,$C$38)</f>
        <v>2819.0665793485127</v>
      </c>
      <c r="F41" s="16">
        <f t="shared" si="8"/>
        <v>2338.538485044905</v>
      </c>
      <c r="G41" s="16">
        <f t="shared" si="8"/>
        <v>1819.5681431970095</v>
      </c>
      <c r="H41" s="16">
        <f t="shared" si="8"/>
        <v>1259.0801740012819</v>
      </c>
      <c r="I41" s="16">
        <f t="shared" si="8"/>
        <v>653.75316726989638</v>
      </c>
      <c r="J41">
        <f t="shared" ref="E41:L43" si="9">J36+J39</f>
        <v>0</v>
      </c>
      <c r="K41">
        <f t="shared" si="9"/>
        <v>0</v>
      </c>
      <c r="L41">
        <f t="shared" si="9"/>
        <v>0</v>
      </c>
    </row>
    <row r="42" spans="1:14" x14ac:dyDescent="0.35">
      <c r="A42" t="s">
        <v>83</v>
      </c>
      <c r="B42" t="s">
        <v>178</v>
      </c>
      <c r="C42"/>
      <c r="D42"/>
      <c r="E42"/>
      <c r="F42"/>
      <c r="G42"/>
      <c r="H42"/>
      <c r="I42"/>
      <c r="J42"/>
      <c r="K42"/>
      <c r="L42"/>
    </row>
    <row r="43" spans="1:14" x14ac:dyDescent="0.35">
      <c r="A43" s="1" t="s">
        <v>106</v>
      </c>
      <c r="B43"/>
      <c r="C43">
        <f>C38+C41</f>
        <v>-40800</v>
      </c>
      <c r="D43" s="16">
        <f>D38+D41</f>
        <v>8825.6677581436015</v>
      </c>
      <c r="E43">
        <f t="shared" si="9"/>
        <v>8825.6677581436015</v>
      </c>
      <c r="F43">
        <f t="shared" si="9"/>
        <v>8825.6677581436015</v>
      </c>
      <c r="G43" s="16">
        <f>G38+G41</f>
        <v>8825.6677581436015</v>
      </c>
      <c r="H43">
        <f t="shared" si="9"/>
        <v>8825.6677581436015</v>
      </c>
      <c r="I43">
        <f t="shared" si="9"/>
        <v>8825.6677581436015</v>
      </c>
      <c r="J43">
        <f t="shared" si="9"/>
        <v>0</v>
      </c>
      <c r="K43">
        <f t="shared" si="9"/>
        <v>0</v>
      </c>
      <c r="L43">
        <f t="shared" si="9"/>
        <v>0</v>
      </c>
    </row>
    <row r="44" spans="1:14" x14ac:dyDescent="0.35">
      <c r="A44"/>
      <c r="B44"/>
      <c r="C44"/>
      <c r="D44"/>
      <c r="E44"/>
      <c r="F44"/>
      <c r="G44"/>
      <c r="H44"/>
      <c r="I44"/>
      <c r="J44"/>
      <c r="K44"/>
      <c r="L44"/>
    </row>
    <row r="45" spans="1:14" x14ac:dyDescent="0.35">
      <c r="A45" s="1" t="s">
        <v>107</v>
      </c>
      <c r="B45"/>
      <c r="C45">
        <f>C30+C43*-1</f>
        <v>-10200</v>
      </c>
      <c r="D45" s="16">
        <f>D30+D43*-1</f>
        <v>9576.1722418563986</v>
      </c>
      <c r="E45">
        <f t="shared" ref="E45:L45" si="10">E30+E43*-1</f>
        <v>9463.8090418563988</v>
      </c>
      <c r="F45">
        <f t="shared" si="10"/>
        <v>9349.1985778563976</v>
      </c>
      <c r="G45">
        <f t="shared" si="10"/>
        <v>9232.2959045764001</v>
      </c>
      <c r="H45">
        <f t="shared" si="10"/>
        <v>9113.0551778307999</v>
      </c>
      <c r="I45">
        <f t="shared" si="10"/>
        <v>8991.4296365502887</v>
      </c>
      <c r="J45">
        <f t="shared" si="10"/>
        <v>17693.039342587766</v>
      </c>
      <c r="K45">
        <f t="shared" si="10"/>
        <v>17566.500129439522</v>
      </c>
      <c r="L45">
        <f t="shared" si="10"/>
        <v>17437.430132028312</v>
      </c>
    </row>
    <row r="46" spans="1:14" x14ac:dyDescent="0.35">
      <c r="A46"/>
      <c r="B46"/>
      <c r="C46"/>
      <c r="D46"/>
      <c r="E46"/>
      <c r="F46"/>
      <c r="G46"/>
      <c r="H46"/>
      <c r="I46"/>
      <c r="J46"/>
      <c r="K46"/>
      <c r="L46"/>
    </row>
    <row r="47" spans="1:14" x14ac:dyDescent="0.35">
      <c r="A47" s="3" t="s">
        <v>108</v>
      </c>
      <c r="B47"/>
      <c r="C47">
        <v>0</v>
      </c>
      <c r="D47">
        <f t="shared" ref="D47:L47" si="11">$I$6*$H$6</f>
        <v>1600</v>
      </c>
      <c r="E47">
        <f t="shared" si="11"/>
        <v>1600</v>
      </c>
      <c r="F47">
        <f t="shared" si="11"/>
        <v>1600</v>
      </c>
      <c r="G47">
        <f t="shared" si="11"/>
        <v>1600</v>
      </c>
      <c r="H47">
        <f t="shared" si="11"/>
        <v>1600</v>
      </c>
      <c r="I47">
        <f t="shared" si="11"/>
        <v>1600</v>
      </c>
      <c r="J47">
        <f t="shared" si="11"/>
        <v>1600</v>
      </c>
      <c r="K47">
        <f t="shared" si="11"/>
        <v>1600</v>
      </c>
      <c r="L47">
        <f t="shared" si="11"/>
        <v>1600</v>
      </c>
    </row>
    <row r="48" spans="1:14" x14ac:dyDescent="0.35">
      <c r="A48"/>
      <c r="B48"/>
      <c r="C48"/>
      <c r="D48"/>
      <c r="E48"/>
      <c r="F48"/>
      <c r="G48"/>
      <c r="H48"/>
      <c r="I48"/>
      <c r="J48"/>
      <c r="K48"/>
      <c r="L48"/>
    </row>
    <row r="49" spans="1:18" x14ac:dyDescent="0.35">
      <c r="A49" s="3" t="s">
        <v>115</v>
      </c>
      <c r="B49"/>
      <c r="C49"/>
      <c r="D49"/>
      <c r="E49"/>
      <c r="F49"/>
      <c r="G49"/>
      <c r="H49"/>
      <c r="I49"/>
      <c r="J49"/>
      <c r="K49"/>
      <c r="L49"/>
    </row>
    <row r="50" spans="1:18" x14ac:dyDescent="0.35">
      <c r="A50" s="1" t="s">
        <v>112</v>
      </c>
      <c r="B50"/>
      <c r="C50">
        <f t="shared" ref="C50:L50" si="12">C45-C47</f>
        <v>-10200</v>
      </c>
      <c r="D50" s="16">
        <f t="shared" si="12"/>
        <v>7976.1722418563986</v>
      </c>
      <c r="E50">
        <f t="shared" si="12"/>
        <v>7863.8090418563988</v>
      </c>
      <c r="F50">
        <f t="shared" si="12"/>
        <v>7749.1985778563976</v>
      </c>
      <c r="G50">
        <f t="shared" si="12"/>
        <v>7632.2959045764001</v>
      </c>
      <c r="H50">
        <f t="shared" si="12"/>
        <v>7513.0551778307999</v>
      </c>
      <c r="I50">
        <f t="shared" si="12"/>
        <v>7391.4296365502887</v>
      </c>
      <c r="J50">
        <f t="shared" si="12"/>
        <v>16093.039342587766</v>
      </c>
      <c r="K50">
        <f t="shared" si="12"/>
        <v>15966.500129439522</v>
      </c>
      <c r="L50">
        <f t="shared" si="12"/>
        <v>15837.430132028312</v>
      </c>
    </row>
    <row r="51" spans="1:18" x14ac:dyDescent="0.35">
      <c r="A51"/>
      <c r="B51"/>
      <c r="C51"/>
      <c r="D51"/>
      <c r="E51"/>
      <c r="F51"/>
      <c r="G51"/>
      <c r="H51"/>
      <c r="I51"/>
      <c r="J51"/>
      <c r="K51"/>
      <c r="L51"/>
    </row>
    <row r="52" spans="1:18" x14ac:dyDescent="0.35">
      <c r="A52"/>
      <c r="B52"/>
      <c r="C52"/>
      <c r="D52"/>
      <c r="E52"/>
      <c r="F52"/>
      <c r="G52"/>
      <c r="H52"/>
    </row>
    <row r="53" spans="1:18" x14ac:dyDescent="0.35">
      <c r="A53"/>
      <c r="B53"/>
      <c r="C53"/>
      <c r="D53"/>
      <c r="E53"/>
      <c r="F53"/>
      <c r="G53"/>
      <c r="H53"/>
      <c r="I53"/>
      <c r="M53"/>
    </row>
    <row r="54" spans="1:18" x14ac:dyDescent="0.35">
      <c r="A54"/>
      <c r="B54"/>
      <c r="C54"/>
      <c r="D54"/>
      <c r="E54"/>
      <c r="F54"/>
      <c r="G54"/>
      <c r="H54"/>
      <c r="J54"/>
    </row>
    <row r="60" spans="1:18" x14ac:dyDescent="0.35">
      <c r="N60"/>
      <c r="O60"/>
      <c r="P60"/>
      <c r="Q60"/>
      <c r="R60"/>
    </row>
    <row r="64" spans="1:18" x14ac:dyDescent="0.35">
      <c r="O64"/>
      <c r="P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839C-F96F-4B2B-8859-BAA881583C44}">
  <dimension ref="A1:C25"/>
  <sheetViews>
    <sheetView topLeftCell="A12" workbookViewId="0">
      <selection activeCell="A2" sqref="A2"/>
    </sheetView>
  </sheetViews>
  <sheetFormatPr defaultRowHeight="14.5" x14ac:dyDescent="0.35"/>
  <cols>
    <col min="1" max="1" width="22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35</v>
      </c>
      <c r="B2">
        <v>6</v>
      </c>
      <c r="C2" t="s">
        <v>3</v>
      </c>
    </row>
    <row r="3" spans="1:3" x14ac:dyDescent="0.35">
      <c r="A3" t="s">
        <v>4</v>
      </c>
      <c r="B3">
        <v>0.5</v>
      </c>
      <c r="C3" t="s">
        <v>3</v>
      </c>
    </row>
    <row r="4" spans="1:3" x14ac:dyDescent="0.35">
      <c r="A4" t="s">
        <v>5</v>
      </c>
      <c r="B4">
        <v>10</v>
      </c>
      <c r="C4" t="s">
        <v>6</v>
      </c>
    </row>
    <row r="5" spans="1:3" x14ac:dyDescent="0.35">
      <c r="A5" t="s">
        <v>7</v>
      </c>
      <c r="B5">
        <v>2</v>
      </c>
      <c r="C5" t="s">
        <v>8</v>
      </c>
    </row>
    <row r="6" spans="1:3" x14ac:dyDescent="0.35">
      <c r="A6" t="s">
        <v>9</v>
      </c>
      <c r="B6">
        <v>4</v>
      </c>
      <c r="C6" t="s">
        <v>8</v>
      </c>
    </row>
    <row r="7" spans="1:3" x14ac:dyDescent="0.35">
      <c r="A7" t="s">
        <v>10</v>
      </c>
      <c r="B7">
        <v>2.5</v>
      </c>
      <c r="C7" t="s">
        <v>8</v>
      </c>
    </row>
    <row r="8" spans="1:3" x14ac:dyDescent="0.35">
      <c r="A8" t="s">
        <v>11</v>
      </c>
      <c r="B8">
        <v>50000</v>
      </c>
      <c r="C8" t="s">
        <v>12</v>
      </c>
    </row>
    <row r="9" spans="1:3" x14ac:dyDescent="0.35">
      <c r="A9" t="s">
        <v>13</v>
      </c>
      <c r="B9">
        <v>20000</v>
      </c>
      <c r="C9" t="s">
        <v>12</v>
      </c>
    </row>
    <row r="10" spans="1:3" x14ac:dyDescent="0.35">
      <c r="A10" t="s">
        <v>14</v>
      </c>
      <c r="B10">
        <v>15000</v>
      </c>
      <c r="C10" t="s">
        <v>12</v>
      </c>
    </row>
    <row r="11" spans="1:3" x14ac:dyDescent="0.35">
      <c r="A11" t="s">
        <v>15</v>
      </c>
      <c r="B11">
        <v>15000</v>
      </c>
      <c r="C11" t="s">
        <v>12</v>
      </c>
    </row>
    <row r="12" spans="1:3" x14ac:dyDescent="0.35">
      <c r="A12" t="s">
        <v>16</v>
      </c>
      <c r="B12">
        <v>80</v>
      </c>
      <c r="C12" t="s">
        <v>17</v>
      </c>
    </row>
    <row r="13" spans="1:3" x14ac:dyDescent="0.35">
      <c r="A13" t="s">
        <v>18</v>
      </c>
      <c r="B13">
        <v>6</v>
      </c>
      <c r="C13" t="s">
        <v>19</v>
      </c>
    </row>
    <row r="14" spans="1:3" x14ac:dyDescent="0.35">
      <c r="A14" t="s">
        <v>20</v>
      </c>
      <c r="B14">
        <v>8</v>
      </c>
      <c r="C14" t="s">
        <v>17</v>
      </c>
    </row>
    <row r="15" spans="1:3" x14ac:dyDescent="0.35">
      <c r="A15" t="s">
        <v>21</v>
      </c>
      <c r="B15">
        <v>1</v>
      </c>
      <c r="C15" t="s">
        <v>22</v>
      </c>
    </row>
    <row r="16" spans="1:3" x14ac:dyDescent="0.35">
      <c r="A16" t="s">
        <v>23</v>
      </c>
      <c r="B16">
        <v>9</v>
      </c>
      <c r="C16" t="s">
        <v>19</v>
      </c>
    </row>
    <row r="17" spans="1:3" x14ac:dyDescent="0.35">
      <c r="A17" t="s">
        <v>24</v>
      </c>
      <c r="B17">
        <v>400</v>
      </c>
      <c r="C17" t="s">
        <v>25</v>
      </c>
    </row>
    <row r="18" spans="1:3" x14ac:dyDescent="0.35">
      <c r="A18" t="s">
        <v>26</v>
      </c>
      <c r="B18">
        <v>2</v>
      </c>
      <c r="C18" t="s">
        <v>17</v>
      </c>
    </row>
    <row r="19" spans="1:3" x14ac:dyDescent="0.35">
      <c r="A19" t="s">
        <v>27</v>
      </c>
      <c r="B19">
        <v>10</v>
      </c>
      <c r="C19" t="s">
        <v>17</v>
      </c>
    </row>
    <row r="20" spans="1:3" x14ac:dyDescent="0.35">
      <c r="A20" t="s">
        <v>28</v>
      </c>
      <c r="B20">
        <v>10</v>
      </c>
      <c r="C20" t="s">
        <v>17</v>
      </c>
    </row>
    <row r="21" spans="1:3" x14ac:dyDescent="0.35">
      <c r="A21" t="s">
        <v>29</v>
      </c>
      <c r="B21">
        <v>20</v>
      </c>
      <c r="C21" t="s">
        <v>8</v>
      </c>
    </row>
    <row r="22" spans="1:3" x14ac:dyDescent="0.35">
      <c r="A22" t="s">
        <v>30</v>
      </c>
      <c r="B22">
        <v>50</v>
      </c>
      <c r="C22" t="s">
        <v>17</v>
      </c>
    </row>
    <row r="23" spans="1:3" x14ac:dyDescent="0.35">
      <c r="A23" t="s">
        <v>31</v>
      </c>
      <c r="B23">
        <v>1.1499999999999999</v>
      </c>
      <c r="C23" t="s">
        <v>32</v>
      </c>
    </row>
    <row r="24" spans="1:3" x14ac:dyDescent="0.35">
      <c r="A24" t="s">
        <v>33</v>
      </c>
      <c r="B24">
        <v>0.75</v>
      </c>
      <c r="C24" t="s">
        <v>32</v>
      </c>
    </row>
    <row r="25" spans="1:3" x14ac:dyDescent="0.35">
      <c r="A25" t="s">
        <v>34</v>
      </c>
      <c r="B25">
        <v>0</v>
      </c>
      <c r="C2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E835-A550-442C-AE85-1BD2BBFE091E}">
  <dimension ref="A1:X62"/>
  <sheetViews>
    <sheetView zoomScale="72" zoomScaleNormal="100" workbookViewId="0">
      <selection activeCell="G6" sqref="G6"/>
    </sheetView>
  </sheetViews>
  <sheetFormatPr defaultColWidth="8.7265625" defaultRowHeight="14.5" x14ac:dyDescent="0.35"/>
  <cols>
    <col min="1" max="1" width="19" style="53" customWidth="1"/>
    <col min="2" max="2" width="9.453125" style="53" customWidth="1"/>
    <col min="3" max="3" width="11.08984375" style="53" customWidth="1"/>
    <col min="4" max="4" width="21.90625" style="53" customWidth="1"/>
    <col min="5" max="5" width="12.453125" style="53" customWidth="1"/>
    <col min="6" max="6" width="11.26953125" style="53" customWidth="1"/>
    <col min="7" max="7" width="16.90625" style="53" customWidth="1"/>
    <col min="8" max="8" width="12.90625" style="53" customWidth="1"/>
    <col min="9" max="9" width="13.36328125" style="53" customWidth="1"/>
    <col min="10" max="10" width="13.453125" style="53" customWidth="1"/>
    <col min="11" max="11" width="12.6328125" style="53" customWidth="1"/>
    <col min="12" max="12" width="13.36328125" style="53" customWidth="1"/>
    <col min="13" max="13" width="22" style="53" customWidth="1"/>
    <col min="14" max="14" width="10.90625" style="53" bestFit="1" customWidth="1"/>
    <col min="15" max="15" width="21.36328125" style="53" customWidth="1"/>
    <col min="16" max="16" width="8.7265625" style="53"/>
    <col min="17" max="17" width="13.26953125" style="53" customWidth="1"/>
    <col min="18" max="16384" width="8.7265625" style="53"/>
  </cols>
  <sheetData>
    <row r="1" spans="1:17" x14ac:dyDescent="0.35">
      <c r="A1" s="52" t="s">
        <v>37</v>
      </c>
      <c r="G1" s="52" t="s">
        <v>149</v>
      </c>
      <c r="I1" s="53" t="s">
        <v>150</v>
      </c>
      <c r="L1" s="59" t="s">
        <v>100</v>
      </c>
      <c r="M1" s="60"/>
      <c r="O1" s="53" t="s">
        <v>197</v>
      </c>
    </row>
    <row r="2" spans="1:17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  <c r="O2" s="53">
        <f>(1+M2)*(1+$M$3)-1</f>
        <v>10.220000000000001</v>
      </c>
    </row>
    <row r="3" spans="1:17" x14ac:dyDescent="0.3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7" x14ac:dyDescent="0.3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  <c r="O4" s="91">
        <f>(1+M4)*(1+$M$3)-1</f>
        <v>0.12200000000000011</v>
      </c>
    </row>
    <row r="5" spans="1:17" ht="15" thickBot="1" x14ac:dyDescent="0.4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  <c r="O5" s="91">
        <f>(1+M5)*(1+$M$3)-1</f>
        <v>0.12200000000000011</v>
      </c>
    </row>
    <row r="6" spans="1:17" x14ac:dyDescent="0.35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7" ht="15" thickBot="1" x14ac:dyDescent="0.4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>
        <f>H6*SUM(I3:I5)</f>
        <v>3800</v>
      </c>
    </row>
    <row r="8" spans="1:17" x14ac:dyDescent="0.3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7" x14ac:dyDescent="0.3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7" x14ac:dyDescent="0.3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7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7" ht="15" thickBot="1" x14ac:dyDescent="0.4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7" ht="19.5" customHeight="1" x14ac:dyDescent="0.35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  <c r="O13" s="118" t="s">
        <v>243</v>
      </c>
      <c r="P13" s="119" t="s">
        <v>239</v>
      </c>
      <c r="Q13" s="120" t="s">
        <v>240</v>
      </c>
    </row>
    <row r="14" spans="1:17" x14ac:dyDescent="0.35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  <c r="O14" s="65" t="s">
        <v>234</v>
      </c>
      <c r="P14" s="53">
        <f>K14</f>
        <v>60</v>
      </c>
      <c r="Q14" s="56">
        <f>I14</f>
        <v>6</v>
      </c>
    </row>
    <row r="15" spans="1:17" x14ac:dyDescent="0.35">
      <c r="D15" s="51" t="s">
        <v>196</v>
      </c>
      <c r="H15" s="54"/>
      <c r="J15" s="54"/>
      <c r="O15" s="65" t="s">
        <v>235</v>
      </c>
      <c r="Q15" s="56"/>
    </row>
    <row r="16" spans="1:17" ht="22" customHeight="1" x14ac:dyDescent="0.35">
      <c r="D16" s="88">
        <f>(1+D13)/(1+M3)-1</f>
        <v>5.8823529411764719E-2</v>
      </c>
      <c r="E16" s="51"/>
      <c r="F16" s="51"/>
      <c r="G16" s="53" t="s">
        <v>158</v>
      </c>
      <c r="O16" s="121" t="s">
        <v>237</v>
      </c>
      <c r="P16" s="53">
        <f>I5</f>
        <v>5</v>
      </c>
      <c r="Q16" s="56">
        <f>J5</f>
        <v>0.5</v>
      </c>
    </row>
    <row r="17" spans="1:24" ht="15" thickBot="1" x14ac:dyDescent="0.4">
      <c r="A17"/>
      <c r="B17"/>
      <c r="C17"/>
      <c r="D17"/>
      <c r="O17" s="122" t="s">
        <v>236</v>
      </c>
      <c r="Q17" s="56">
        <f>Q14-Q16</f>
        <v>5.5</v>
      </c>
    </row>
    <row r="18" spans="1:24" x14ac:dyDescent="0.35">
      <c r="A18" s="68" t="s">
        <v>157</v>
      </c>
      <c r="B18" s="19" t="s">
        <v>114</v>
      </c>
      <c r="C18" s="18"/>
      <c r="D18" s="18"/>
      <c r="E18" s="7"/>
      <c r="F18" s="7"/>
      <c r="G18" s="7"/>
      <c r="H18" s="7"/>
      <c r="I18" s="7"/>
      <c r="J18" s="7"/>
      <c r="K18" s="7"/>
      <c r="L18" s="74"/>
      <c r="M18" s="75">
        <f>O4</f>
        <v>0.12200000000000011</v>
      </c>
      <c r="O18" s="65" t="s">
        <v>238</v>
      </c>
      <c r="P18" s="53">
        <f>Q17*M2</f>
        <v>55</v>
      </c>
      <c r="Q18" s="56"/>
    </row>
    <row r="19" spans="1:24" x14ac:dyDescent="0.35">
      <c r="A19"/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/>
      <c r="J19"/>
      <c r="K19"/>
      <c r="L19" s="23" t="s">
        <v>98</v>
      </c>
      <c r="M19" s="76">
        <f>NPV(O4,B36:K36)</f>
        <v>5870.3508163126744</v>
      </c>
      <c r="O19" s="121" t="s">
        <v>147</v>
      </c>
      <c r="P19" s="53">
        <f>I4</f>
        <v>2</v>
      </c>
      <c r="Q19" s="56">
        <f>J4</f>
        <v>0.2</v>
      </c>
    </row>
    <row r="20" spans="1:24" x14ac:dyDescent="0.35">
      <c r="A20"/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NPV(O5,B22:K22)/NPV(O4,B23:K23)</f>
        <v>1.1713778705624001</v>
      </c>
      <c r="O20" s="121" t="s">
        <v>148</v>
      </c>
      <c r="P20" s="53">
        <f>I6</f>
        <v>4</v>
      </c>
      <c r="Q20" s="56">
        <f>J6</f>
        <v>0.4</v>
      </c>
    </row>
    <row r="21" spans="1:24" ht="15" thickBot="1" x14ac:dyDescent="0.4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IRR(B36:K36)</f>
        <v>0.20734805836674863</v>
      </c>
      <c r="O21" s="121" t="s">
        <v>146</v>
      </c>
      <c r="P21" s="53">
        <f>I3</f>
        <v>2.5</v>
      </c>
      <c r="Q21" s="56">
        <f>J3</f>
        <v>0.25</v>
      </c>
    </row>
    <row r="22" spans="1:24" x14ac:dyDescent="0.35">
      <c r="A22" s="78" t="s">
        <v>183</v>
      </c>
      <c r="B22">
        <v>0</v>
      </c>
      <c r="C22">
        <f>$P$23*(1+$M$3)^C21</f>
        <v>19351.439999999999</v>
      </c>
      <c r="D22">
        <f t="shared" ref="D22:K22" si="1">$P$23*(1+$M$3)^D21</f>
        <v>19738.468799999999</v>
      </c>
      <c r="E22">
        <f t="shared" si="1"/>
        <v>20133.238175999999</v>
      </c>
      <c r="F22">
        <f t="shared" si="1"/>
        <v>20535.902939520001</v>
      </c>
      <c r="G22">
        <f t="shared" si="1"/>
        <v>20946.620998310402</v>
      </c>
      <c r="H22">
        <f t="shared" si="1"/>
        <v>21365.553418276606</v>
      </c>
      <c r="I22">
        <f t="shared" si="1"/>
        <v>21792.864486642138</v>
      </c>
      <c r="J22">
        <f t="shared" si="1"/>
        <v>22228.721776374983</v>
      </c>
      <c r="K22">
        <f t="shared" si="1"/>
        <v>22673.296211902481</v>
      </c>
      <c r="L22" s="1"/>
      <c r="M22" s="4"/>
      <c r="O22" s="122" t="s">
        <v>241</v>
      </c>
      <c r="P22" s="53">
        <f>P18-P19-P20-P21</f>
        <v>46.5</v>
      </c>
      <c r="Q22" s="56"/>
    </row>
    <row r="23" spans="1:24" ht="15" thickBot="1" x14ac:dyDescent="0.4">
      <c r="A23" s="78" t="s">
        <v>180</v>
      </c>
      <c r="B23">
        <f t="shared" ref="B23:K23" si="2">B24+B30+B31</f>
        <v>10200</v>
      </c>
      <c r="C23" s="2">
        <f t="shared" si="2"/>
        <v>17148.867758143602</v>
      </c>
      <c r="D23">
        <f t="shared" si="2"/>
        <v>17315.331758143599</v>
      </c>
      <c r="E23">
        <f t="shared" si="2"/>
        <v>17485.125038143604</v>
      </c>
      <c r="F23">
        <f t="shared" si="2"/>
        <v>17658.314183743601</v>
      </c>
      <c r="G23">
        <f t="shared" si="2"/>
        <v>17834.967112255603</v>
      </c>
      <c r="H23">
        <f t="shared" si="2"/>
        <v>18015.15309933784</v>
      </c>
      <c r="I23">
        <f t="shared" si="2"/>
        <v>9373.2750480181239</v>
      </c>
      <c r="J23">
        <f t="shared" si="2"/>
        <v>9560.7405489784869</v>
      </c>
      <c r="K23">
        <f t="shared" si="2"/>
        <v>9751.9553599580577</v>
      </c>
      <c r="L23" s="1"/>
      <c r="M23" s="4"/>
      <c r="O23" s="123" t="s">
        <v>242</v>
      </c>
      <c r="P23" s="124">
        <f>P22*H14</f>
        <v>18600</v>
      </c>
      <c r="Q23" s="67"/>
    </row>
    <row r="24" spans="1:24" x14ac:dyDescent="0.35">
      <c r="A24" s="83" t="s">
        <v>191</v>
      </c>
      <c r="B24">
        <v>0</v>
      </c>
      <c r="C24">
        <f t="shared" ref="C24:K24" si="3">($H$10*$H$14)*(1+$M$3)^C21</f>
        <v>8323.2000000000007</v>
      </c>
      <c r="D24">
        <f t="shared" si="3"/>
        <v>8489.6639999999989</v>
      </c>
      <c r="E24">
        <f t="shared" si="3"/>
        <v>8659.4572800000005</v>
      </c>
      <c r="F24">
        <f t="shared" si="3"/>
        <v>8832.6464255999999</v>
      </c>
      <c r="G24">
        <f t="shared" si="3"/>
        <v>9009.2993541120013</v>
      </c>
      <c r="H24">
        <f t="shared" si="3"/>
        <v>9189.4853411942386</v>
      </c>
      <c r="I24">
        <f t="shared" si="3"/>
        <v>9373.2750480181239</v>
      </c>
      <c r="J24">
        <f t="shared" si="3"/>
        <v>9560.7405489784869</v>
      </c>
      <c r="K24">
        <f t="shared" si="3"/>
        <v>9751.9553599580577</v>
      </c>
      <c r="L24" s="1"/>
      <c r="M24" s="4"/>
    </row>
    <row r="25" spans="1:24" x14ac:dyDescent="0.35">
      <c r="A25" s="83" t="s">
        <v>193</v>
      </c>
      <c r="B25"/>
      <c r="C25"/>
      <c r="D25"/>
      <c r="E25"/>
      <c r="F25"/>
      <c r="G25"/>
      <c r="H25"/>
      <c r="I25"/>
      <c r="J25"/>
      <c r="K25"/>
      <c r="L25" s="1"/>
      <c r="M25" s="4"/>
    </row>
    <row r="26" spans="1:24" x14ac:dyDescent="0.35">
      <c r="A26" s="80" t="s">
        <v>184</v>
      </c>
      <c r="B26" s="2">
        <f>$C$8*(1+$M$3)^B21</f>
        <v>51000</v>
      </c>
      <c r="C26"/>
      <c r="D26"/>
      <c r="E26"/>
      <c r="F26"/>
      <c r="G26"/>
      <c r="H26"/>
      <c r="I26"/>
      <c r="J26"/>
      <c r="K26"/>
      <c r="L26" s="1"/>
      <c r="M26" s="4"/>
    </row>
    <row r="27" spans="1:24" x14ac:dyDescent="0.35">
      <c r="A27" s="80" t="s">
        <v>185</v>
      </c>
      <c r="B27">
        <f>$B$13*(1+$M$3)^B21</f>
        <v>40800</v>
      </c>
      <c r="C27"/>
      <c r="D27"/>
      <c r="E27"/>
      <c r="F27"/>
      <c r="G27"/>
      <c r="H27"/>
      <c r="I27"/>
      <c r="J27"/>
      <c r="K27"/>
      <c r="L27" s="1"/>
      <c r="M27" s="4"/>
    </row>
    <row r="28" spans="1:24" x14ac:dyDescent="0.35">
      <c r="A28" s="80" t="s">
        <v>186</v>
      </c>
      <c r="B28">
        <v>0</v>
      </c>
      <c r="C28" s="82">
        <f t="shared" ref="C28:H28" si="4">PPMT($D$13, B21, $E$13,-$B$27)</f>
        <v>5561.6677581436015</v>
      </c>
      <c r="D28" s="82">
        <f t="shared" si="4"/>
        <v>6006.6011787950893</v>
      </c>
      <c r="E28" s="82">
        <f t="shared" si="4"/>
        <v>6487.1292730986961</v>
      </c>
      <c r="F28" s="82">
        <f t="shared" si="4"/>
        <v>7006.0996149465918</v>
      </c>
      <c r="G28" s="82">
        <f t="shared" si="4"/>
        <v>7566.5875841423194</v>
      </c>
      <c r="H28" s="82">
        <f t="shared" si="4"/>
        <v>8171.9145908737055</v>
      </c>
      <c r="I28">
        <v>0</v>
      </c>
      <c r="J28">
        <v>0</v>
      </c>
      <c r="K28">
        <v>0</v>
      </c>
      <c r="L28" s="1"/>
      <c r="M28" s="4"/>
    </row>
    <row r="29" spans="1:24" x14ac:dyDescent="0.35">
      <c r="A29" s="80" t="s">
        <v>187</v>
      </c>
      <c r="B29">
        <v>0</v>
      </c>
      <c r="C29" s="16">
        <f t="shared" ref="C29:H29" si="5">IPMT($D$13,B21,$E$13,-$B$27)</f>
        <v>3264</v>
      </c>
      <c r="D29" s="16">
        <f t="shared" si="5"/>
        <v>2819.0665793485127</v>
      </c>
      <c r="E29" s="16">
        <f t="shared" si="5"/>
        <v>2338.538485044905</v>
      </c>
      <c r="F29" s="16">
        <f t="shared" si="5"/>
        <v>1819.5681431970095</v>
      </c>
      <c r="G29" s="16">
        <f t="shared" si="5"/>
        <v>1259.0801740012819</v>
      </c>
      <c r="H29" s="16">
        <f t="shared" si="5"/>
        <v>653.75316726989638</v>
      </c>
      <c r="I29">
        <v>0</v>
      </c>
      <c r="J29">
        <v>0</v>
      </c>
      <c r="K29">
        <v>0</v>
      </c>
      <c r="L29" s="1"/>
      <c r="M29" s="4"/>
    </row>
    <row r="30" spans="1:24" x14ac:dyDescent="0.35">
      <c r="A30" s="79" t="s">
        <v>188</v>
      </c>
      <c r="B30">
        <f>SUM(B28:B29)</f>
        <v>0</v>
      </c>
      <c r="C30" s="82">
        <f>SUM(C28:C29)</f>
        <v>8825.6677581436015</v>
      </c>
      <c r="D30">
        <f t="shared" ref="D30:K30" si="6">SUM(D28:D29)</f>
        <v>8825.6677581436015</v>
      </c>
      <c r="E30">
        <f t="shared" si="6"/>
        <v>8825.6677581436015</v>
      </c>
      <c r="F30">
        <f t="shared" si="6"/>
        <v>8825.6677581436015</v>
      </c>
      <c r="G30">
        <f t="shared" si="6"/>
        <v>8825.6677581436015</v>
      </c>
      <c r="H30">
        <f t="shared" si="6"/>
        <v>8825.6677581436015</v>
      </c>
      <c r="I30">
        <f t="shared" si="6"/>
        <v>0</v>
      </c>
      <c r="J30">
        <f t="shared" si="6"/>
        <v>0</v>
      </c>
      <c r="K30">
        <f t="shared" si="6"/>
        <v>0</v>
      </c>
      <c r="L30" s="1"/>
      <c r="M30" s="4"/>
    </row>
    <row r="31" spans="1:24" x14ac:dyDescent="0.35">
      <c r="A31" s="79" t="s">
        <v>189</v>
      </c>
      <c r="B31">
        <f>B26*20%</f>
        <v>10200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"/>
      <c r="M31" s="4"/>
      <c r="N31" s="83"/>
      <c r="O31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35">
      <c r="A32" s="210" t="s">
        <v>190</v>
      </c>
      <c r="B32" s="43">
        <v>0</v>
      </c>
      <c r="C32" s="43">
        <f>($H$14*$I$6)*(1+$M$3)^C21</f>
        <v>1664.6399999999999</v>
      </c>
      <c r="D32" s="43">
        <f t="shared" ref="C32:K32" si="7">($H$14*$I$6)*(1+$M$3)^D21</f>
        <v>1697.9327999999998</v>
      </c>
      <c r="E32" s="43">
        <f t="shared" si="7"/>
        <v>1731.8914560000001</v>
      </c>
      <c r="F32" s="43">
        <f t="shared" si="7"/>
        <v>1766.5292851199999</v>
      </c>
      <c r="G32" s="43">
        <f t="shared" si="7"/>
        <v>1801.8598708224001</v>
      </c>
      <c r="H32" s="43">
        <f t="shared" si="7"/>
        <v>1837.8970682388476</v>
      </c>
      <c r="I32" s="43">
        <f t="shared" si="7"/>
        <v>1874.6550096036249</v>
      </c>
      <c r="J32" s="43">
        <f t="shared" si="7"/>
        <v>1912.1481097956973</v>
      </c>
      <c r="K32" s="43">
        <f t="shared" si="7"/>
        <v>1950.3910719916114</v>
      </c>
      <c r="L32" s="211"/>
      <c r="M32" s="4"/>
    </row>
    <row r="33" spans="1:13" x14ac:dyDescent="0.35">
      <c r="A33" s="3"/>
      <c r="B33" s="2"/>
      <c r="C33"/>
      <c r="D33"/>
      <c r="E33"/>
      <c r="F33"/>
      <c r="G33"/>
      <c r="H33"/>
      <c r="I33"/>
      <c r="J33"/>
      <c r="K33"/>
      <c r="L33" s="1"/>
      <c r="M33" s="4"/>
    </row>
    <row r="34" spans="1:13" x14ac:dyDescent="0.35">
      <c r="A34" s="1" t="s">
        <v>194</v>
      </c>
      <c r="B34">
        <f t="shared" ref="B34:K34" si="8">B22-B23</f>
        <v>-10200</v>
      </c>
      <c r="C34">
        <f t="shared" si="8"/>
        <v>2202.5722418563964</v>
      </c>
      <c r="D34">
        <f t="shared" si="8"/>
        <v>2423.1370418564002</v>
      </c>
      <c r="E34">
        <f t="shared" si="8"/>
        <v>2648.113137856395</v>
      </c>
      <c r="F34">
        <f t="shared" si="8"/>
        <v>2877.5887557763999</v>
      </c>
      <c r="G34">
        <f t="shared" si="8"/>
        <v>3111.6538860547989</v>
      </c>
      <c r="H34">
        <f t="shared" si="8"/>
        <v>3350.4003189387658</v>
      </c>
      <c r="I34">
        <f t="shared" si="8"/>
        <v>12419.589438624014</v>
      </c>
      <c r="J34">
        <f t="shared" si="8"/>
        <v>12667.981227396496</v>
      </c>
      <c r="K34">
        <f t="shared" si="8"/>
        <v>12921.340851944424</v>
      </c>
      <c r="L34" s="1"/>
      <c r="M34" s="4"/>
    </row>
    <row r="35" spans="1:13" ht="16.5" customHeight="1" x14ac:dyDescent="0.35">
      <c r="L35" s="1"/>
      <c r="M35" s="4"/>
    </row>
    <row r="36" spans="1:13" ht="15" thickBot="1" x14ac:dyDescent="0.4">
      <c r="A36" s="84" t="s">
        <v>112</v>
      </c>
      <c r="B36" s="85">
        <f t="shared" ref="B36:K36" si="9">B34-B32</f>
        <v>-10200</v>
      </c>
      <c r="C36" s="85">
        <f t="shared" si="9"/>
        <v>537.93224185639656</v>
      </c>
      <c r="D36" s="85">
        <f t="shared" si="9"/>
        <v>725.20424185640036</v>
      </c>
      <c r="E36" s="85">
        <f t="shared" si="9"/>
        <v>916.22168185639498</v>
      </c>
      <c r="F36" s="85">
        <f t="shared" si="9"/>
        <v>1111.0594706564</v>
      </c>
      <c r="G36" s="85">
        <f t="shared" si="9"/>
        <v>1309.7940152323988</v>
      </c>
      <c r="H36" s="85">
        <f t="shared" si="9"/>
        <v>1512.5032506999182</v>
      </c>
      <c r="I36" s="85">
        <f t="shared" si="9"/>
        <v>10544.93442902039</v>
      </c>
      <c r="J36" s="85">
        <f t="shared" si="9"/>
        <v>10755.8331176008</v>
      </c>
      <c r="K36" s="85">
        <f t="shared" si="9"/>
        <v>10970.949779952813</v>
      </c>
      <c r="L36" s="1"/>
      <c r="M36" s="4"/>
    </row>
    <row r="37" spans="1:13" x14ac:dyDescent="0.35">
      <c r="A37" s="1"/>
      <c r="B37"/>
      <c r="C37"/>
      <c r="D37"/>
      <c r="E37"/>
      <c r="F37"/>
      <c r="G37"/>
      <c r="H37"/>
      <c r="I37"/>
      <c r="J37"/>
      <c r="K37"/>
      <c r="L37" s="74"/>
      <c r="M37" s="75">
        <v>0.1</v>
      </c>
    </row>
    <row r="38" spans="1:13" x14ac:dyDescent="0.35">
      <c r="A38" s="86" t="s">
        <v>195</v>
      </c>
      <c r="B38" s="19" t="s">
        <v>114</v>
      </c>
      <c r="C38" s="87"/>
      <c r="D38" s="87"/>
      <c r="E38"/>
      <c r="F38"/>
      <c r="G38"/>
      <c r="H38"/>
      <c r="I38"/>
      <c r="J38"/>
      <c r="K38"/>
      <c r="L38" s="23" t="s">
        <v>98</v>
      </c>
      <c r="M38" s="76">
        <f>NPV(M37,B54:K54)</f>
        <v>5870.3508163126744</v>
      </c>
    </row>
    <row r="39" spans="1:13" x14ac:dyDescent="0.35">
      <c r="A39" s="3" t="s">
        <v>90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 s="23" t="s">
        <v>175</v>
      </c>
      <c r="M39" s="24">
        <f>NPV(M37,B40:K40)/NPV(M37,B41:K41)</f>
        <v>1.1713778705624003</v>
      </c>
    </row>
    <row r="40" spans="1:13" ht="15" thickBot="1" x14ac:dyDescent="0.4">
      <c r="A40" s="78" t="s">
        <v>183</v>
      </c>
      <c r="B40">
        <v>0</v>
      </c>
      <c r="C40">
        <f t="shared" ref="C40:K40" si="10">C22/(1+$M$3)^C21</f>
        <v>18600</v>
      </c>
      <c r="D40">
        <f t="shared" si="10"/>
        <v>18600</v>
      </c>
      <c r="E40">
        <f t="shared" si="10"/>
        <v>18600</v>
      </c>
      <c r="F40">
        <f t="shared" si="10"/>
        <v>18600</v>
      </c>
      <c r="G40">
        <f t="shared" si="10"/>
        <v>18600</v>
      </c>
      <c r="H40">
        <f t="shared" si="10"/>
        <v>18600</v>
      </c>
      <c r="I40">
        <f t="shared" si="10"/>
        <v>18600</v>
      </c>
      <c r="J40">
        <f t="shared" si="10"/>
        <v>18600</v>
      </c>
      <c r="K40">
        <f t="shared" si="10"/>
        <v>18600</v>
      </c>
      <c r="L40" s="77" t="s">
        <v>99</v>
      </c>
      <c r="M40" s="37">
        <f>IRR(B54:K54)</f>
        <v>0.18367456702688689</v>
      </c>
    </row>
    <row r="41" spans="1:13" x14ac:dyDescent="0.35">
      <c r="A41" s="78" t="s">
        <v>180</v>
      </c>
      <c r="B41">
        <f t="shared" ref="B41:K41" si="11">B42+B48+B49</f>
        <v>10000</v>
      </c>
      <c r="C41" s="2">
        <f t="shared" si="11"/>
        <v>16482.956322706268</v>
      </c>
      <c r="D41" s="2">
        <f t="shared" si="11"/>
        <v>16316.623845790458</v>
      </c>
      <c r="E41" s="2">
        <f t="shared" si="11"/>
        <v>16153.552789990646</v>
      </c>
      <c r="F41" s="2">
        <f t="shared" si="11"/>
        <v>15993.679205873183</v>
      </c>
      <c r="G41" s="2">
        <f t="shared" si="11"/>
        <v>15836.940397914885</v>
      </c>
      <c r="H41" s="2">
        <f t="shared" si="11"/>
        <v>15683.274899916556</v>
      </c>
      <c r="I41" s="2">
        <f t="shared" si="11"/>
        <v>8000</v>
      </c>
      <c r="J41" s="2">
        <f t="shared" si="11"/>
        <v>8000</v>
      </c>
      <c r="K41">
        <f t="shared" si="11"/>
        <v>8000.0000000000009</v>
      </c>
    </row>
    <row r="42" spans="1:13" x14ac:dyDescent="0.35">
      <c r="A42" s="83" t="s">
        <v>191</v>
      </c>
      <c r="B42">
        <v>0</v>
      </c>
      <c r="C42">
        <f t="shared" ref="C42:K42" si="12">C24/(1+$M$3)^C39</f>
        <v>8000.0000000000009</v>
      </c>
      <c r="D42">
        <f t="shared" si="12"/>
        <v>7999.9999999999991</v>
      </c>
      <c r="E42">
        <f t="shared" si="12"/>
        <v>8000.0000000000009</v>
      </c>
      <c r="F42">
        <f t="shared" si="12"/>
        <v>8000</v>
      </c>
      <c r="G42">
        <f t="shared" si="12"/>
        <v>8000.0000000000009</v>
      </c>
      <c r="H42">
        <f t="shared" si="12"/>
        <v>8000</v>
      </c>
      <c r="I42">
        <f t="shared" si="12"/>
        <v>8000</v>
      </c>
      <c r="J42">
        <f t="shared" si="12"/>
        <v>8000</v>
      </c>
      <c r="K42">
        <f t="shared" si="12"/>
        <v>8000.0000000000009</v>
      </c>
    </row>
    <row r="43" spans="1:13" x14ac:dyDescent="0.35">
      <c r="A43" s="83" t="s">
        <v>193</v>
      </c>
      <c r="B43"/>
      <c r="C43"/>
      <c r="D43"/>
      <c r="E43"/>
      <c r="F43"/>
      <c r="G43"/>
      <c r="H43"/>
      <c r="I43"/>
      <c r="J43"/>
      <c r="K43"/>
    </row>
    <row r="44" spans="1:13" x14ac:dyDescent="0.35">
      <c r="A44" s="80" t="s">
        <v>184</v>
      </c>
      <c r="B44" s="2">
        <f>B26/(1+$M$3)^B39</f>
        <v>50000</v>
      </c>
      <c r="C44"/>
      <c r="D44"/>
      <c r="E44"/>
      <c r="F44"/>
      <c r="G44"/>
      <c r="H44"/>
      <c r="I44"/>
      <c r="J44"/>
      <c r="K44"/>
    </row>
    <row r="45" spans="1:13" x14ac:dyDescent="0.35">
      <c r="A45" s="80" t="s">
        <v>185</v>
      </c>
      <c r="B45">
        <f>B27/(1+$M$3)^B39</f>
        <v>40000</v>
      </c>
      <c r="C45"/>
      <c r="D45"/>
      <c r="E45"/>
      <c r="F45"/>
      <c r="G45"/>
      <c r="H45"/>
      <c r="I45"/>
      <c r="J45"/>
      <c r="K45"/>
    </row>
    <row r="46" spans="1:13" x14ac:dyDescent="0.35">
      <c r="A46" s="80" t="s">
        <v>186</v>
      </c>
      <c r="B46">
        <v>0</v>
      </c>
      <c r="C46" s="82">
        <f t="shared" ref="C46:K46" si="13">C28/(1+$M$3)^C39</f>
        <v>5345.701420745484</v>
      </c>
      <c r="D46" s="82">
        <f t="shared" si="13"/>
        <v>5660.1544454952182</v>
      </c>
      <c r="E46" s="82">
        <f t="shared" si="13"/>
        <v>5993.1047069949364</v>
      </c>
      <c r="F46" s="82">
        <f t="shared" si="13"/>
        <v>6345.6402779946384</v>
      </c>
      <c r="G46" s="82">
        <f t="shared" si="13"/>
        <v>6718.9132355237343</v>
      </c>
      <c r="H46" s="82">
        <f t="shared" si="13"/>
        <v>7114.1434258486624</v>
      </c>
      <c r="I46" s="82">
        <f t="shared" si="13"/>
        <v>0</v>
      </c>
      <c r="J46" s="82">
        <f t="shared" si="13"/>
        <v>0</v>
      </c>
      <c r="K46" s="82">
        <f t="shared" si="13"/>
        <v>0</v>
      </c>
    </row>
    <row r="47" spans="1:13" x14ac:dyDescent="0.35">
      <c r="A47" s="80" t="s">
        <v>187</v>
      </c>
      <c r="B47">
        <v>0</v>
      </c>
      <c r="C47" s="16">
        <f t="shared" ref="C47:K47" si="14">C29/(1+$M$3)^C39</f>
        <v>3137.2549019607845</v>
      </c>
      <c r="D47" s="16">
        <f t="shared" si="14"/>
        <v>2656.4694002952419</v>
      </c>
      <c r="E47" s="16">
        <f t="shared" si="14"/>
        <v>2160.4480829957092</v>
      </c>
      <c r="F47" s="16">
        <f t="shared" si="14"/>
        <v>1648.0389278785437</v>
      </c>
      <c r="G47" s="16">
        <f t="shared" si="14"/>
        <v>1118.0271623911494</v>
      </c>
      <c r="H47" s="16">
        <f t="shared" si="14"/>
        <v>569.1314740678929</v>
      </c>
      <c r="I47" s="16">
        <f t="shared" si="14"/>
        <v>0</v>
      </c>
      <c r="J47" s="16">
        <f t="shared" si="14"/>
        <v>0</v>
      </c>
      <c r="K47" s="16">
        <f t="shared" si="14"/>
        <v>0</v>
      </c>
    </row>
    <row r="48" spans="1:13" x14ac:dyDescent="0.35">
      <c r="A48" s="79" t="s">
        <v>188</v>
      </c>
      <c r="B48">
        <f>SUM(B46:B47)</f>
        <v>0</v>
      </c>
      <c r="C48" s="82">
        <f>SUM(C46:C47)</f>
        <v>8482.9563227062681</v>
      </c>
      <c r="D48">
        <f t="shared" ref="D48" si="15">SUM(D46:D47)</f>
        <v>8316.6238457904601</v>
      </c>
      <c r="E48">
        <f t="shared" ref="E48" si="16">SUM(E46:E47)</f>
        <v>8153.5527899906456</v>
      </c>
      <c r="F48" s="82">
        <f>SUM(F46:F47)</f>
        <v>7993.6792058731826</v>
      </c>
      <c r="G48" s="82">
        <f>SUM(G46:G47)</f>
        <v>7836.9403979148838</v>
      </c>
      <c r="H48">
        <f t="shared" ref="H48" si="17">SUM(H46:H47)</f>
        <v>7683.2748999165551</v>
      </c>
      <c r="I48">
        <f t="shared" ref="I48" si="18">SUM(I46:I47)</f>
        <v>0</v>
      </c>
      <c r="J48">
        <f t="shared" ref="J48" si="19">SUM(J46:J47)</f>
        <v>0</v>
      </c>
      <c r="K48">
        <f t="shared" ref="K48" si="20">SUM(K46:K47)</f>
        <v>0</v>
      </c>
    </row>
    <row r="49" spans="1:17" x14ac:dyDescent="0.35">
      <c r="A49" s="79" t="s">
        <v>189</v>
      </c>
      <c r="B49">
        <f>B31/(1+$M$3)^B39</f>
        <v>10000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7" x14ac:dyDescent="0.35">
      <c r="A50" s="81" t="s">
        <v>190</v>
      </c>
      <c r="B50">
        <v>0</v>
      </c>
      <c r="C50">
        <f t="shared" ref="C50:K50" si="21">C32/(1+$M$3)^C39</f>
        <v>1600</v>
      </c>
      <c r="D50">
        <f t="shared" si="21"/>
        <v>1600</v>
      </c>
      <c r="E50">
        <f t="shared" si="21"/>
        <v>1600</v>
      </c>
      <c r="F50">
        <f t="shared" si="21"/>
        <v>1600</v>
      </c>
      <c r="G50">
        <f t="shared" si="21"/>
        <v>1600</v>
      </c>
      <c r="H50">
        <f t="shared" si="21"/>
        <v>1600</v>
      </c>
      <c r="I50">
        <f t="shared" si="21"/>
        <v>1600</v>
      </c>
      <c r="J50">
        <f t="shared" si="21"/>
        <v>1600</v>
      </c>
      <c r="K50">
        <f t="shared" si="21"/>
        <v>1600</v>
      </c>
    </row>
    <row r="51" spans="1:17" x14ac:dyDescent="0.35">
      <c r="A51" s="3"/>
      <c r="B51" s="2"/>
      <c r="C51"/>
      <c r="D51"/>
      <c r="E51"/>
      <c r="F51"/>
      <c r="G51"/>
      <c r="H51"/>
      <c r="I51"/>
      <c r="J51"/>
      <c r="K51"/>
    </row>
    <row r="52" spans="1:17" x14ac:dyDescent="0.35">
      <c r="A52" s="1" t="s">
        <v>194</v>
      </c>
      <c r="B52">
        <f t="shared" ref="B52:K52" si="22">B40-B41</f>
        <v>-10000</v>
      </c>
      <c r="C52" s="2">
        <f t="shared" si="22"/>
        <v>2117.0436772937319</v>
      </c>
      <c r="D52" s="2">
        <f t="shared" si="22"/>
        <v>2283.3761542095417</v>
      </c>
      <c r="E52">
        <f t="shared" si="22"/>
        <v>2446.4472100093535</v>
      </c>
      <c r="F52">
        <f t="shared" si="22"/>
        <v>2606.3207941268174</v>
      </c>
      <c r="G52">
        <f t="shared" si="22"/>
        <v>2763.0596020851153</v>
      </c>
      <c r="H52">
        <f t="shared" si="22"/>
        <v>2916.725100083444</v>
      </c>
      <c r="I52">
        <f t="shared" si="22"/>
        <v>10600</v>
      </c>
      <c r="J52">
        <f t="shared" si="22"/>
        <v>10600</v>
      </c>
      <c r="K52">
        <f t="shared" si="22"/>
        <v>10600</v>
      </c>
      <c r="N52"/>
      <c r="O52"/>
      <c r="P52"/>
      <c r="Q52"/>
    </row>
    <row r="54" spans="1:17" x14ac:dyDescent="0.35">
      <c r="A54" s="84" t="s">
        <v>112</v>
      </c>
      <c r="B54" s="85">
        <f t="shared" ref="B54:K54" si="23">B52-B50</f>
        <v>-10000</v>
      </c>
      <c r="C54" s="85">
        <f t="shared" si="23"/>
        <v>517.04367729373189</v>
      </c>
      <c r="D54" s="89">
        <f t="shared" si="23"/>
        <v>683.37615420954171</v>
      </c>
      <c r="E54" s="85">
        <f t="shared" si="23"/>
        <v>846.44721000935351</v>
      </c>
      <c r="F54" s="85">
        <f t="shared" si="23"/>
        <v>1006.3207941268174</v>
      </c>
      <c r="G54" s="85">
        <f t="shared" si="23"/>
        <v>1163.0596020851153</v>
      </c>
      <c r="H54" s="85">
        <f t="shared" si="23"/>
        <v>1316.725100083444</v>
      </c>
      <c r="I54" s="85">
        <f t="shared" si="23"/>
        <v>9000</v>
      </c>
      <c r="J54" s="85">
        <f t="shared" si="23"/>
        <v>9000</v>
      </c>
      <c r="K54" s="85">
        <f t="shared" si="23"/>
        <v>9000</v>
      </c>
    </row>
    <row r="55" spans="1:17" x14ac:dyDescent="0.35">
      <c r="B55"/>
      <c r="C55"/>
      <c r="D55"/>
      <c r="E55"/>
      <c r="F55"/>
      <c r="G55"/>
      <c r="I55"/>
      <c r="L55"/>
    </row>
    <row r="56" spans="1:17" x14ac:dyDescent="0.35">
      <c r="N56"/>
      <c r="O56"/>
    </row>
    <row r="62" spans="1:17" x14ac:dyDescent="0.35">
      <c r="M6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32C-4A65-4FC2-BE35-F9DA62EB6B4E}">
  <dimension ref="A1:U60"/>
  <sheetViews>
    <sheetView topLeftCell="A10" zoomScale="90" zoomScaleNormal="90" workbookViewId="0">
      <selection activeCell="B32" sqref="B32:D32"/>
    </sheetView>
  </sheetViews>
  <sheetFormatPr defaultRowHeight="14.5" x14ac:dyDescent="0.35"/>
  <cols>
    <col min="4" max="4" width="14.08984375" customWidth="1"/>
    <col min="5" max="5" width="12.36328125" customWidth="1"/>
    <col min="12" max="12" width="11.453125" customWidth="1"/>
    <col min="13" max="13" width="10.36328125" customWidth="1"/>
  </cols>
  <sheetData>
    <row r="1" spans="1:21" x14ac:dyDescent="0.35">
      <c r="A1" s="52" t="s">
        <v>37</v>
      </c>
      <c r="B1" s="53"/>
      <c r="C1" s="53"/>
      <c r="D1" s="53"/>
      <c r="E1" s="53"/>
      <c r="F1" s="69" t="s">
        <v>117</v>
      </c>
      <c r="G1" s="57"/>
      <c r="H1" s="53"/>
      <c r="I1" s="52" t="s">
        <v>149</v>
      </c>
      <c r="J1" s="53"/>
      <c r="K1" s="53" t="s">
        <v>150</v>
      </c>
      <c r="L1" s="53"/>
      <c r="M1" s="53"/>
      <c r="N1" s="69" t="s">
        <v>117</v>
      </c>
      <c r="O1" s="57"/>
      <c r="P1" s="53"/>
      <c r="Q1" s="53"/>
      <c r="R1" s="59" t="s">
        <v>100</v>
      </c>
      <c r="S1" s="60"/>
      <c r="U1" s="53" t="s">
        <v>197</v>
      </c>
    </row>
    <row r="2" spans="1:21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F2" s="61" t="s">
        <v>138</v>
      </c>
      <c r="G2" s="96"/>
      <c r="H2" s="51"/>
      <c r="I2" s="51" t="s">
        <v>142</v>
      </c>
      <c r="J2" s="51" t="s">
        <v>174</v>
      </c>
      <c r="K2" s="51" t="s">
        <v>138</v>
      </c>
      <c r="L2" s="51" t="s">
        <v>140</v>
      </c>
      <c r="M2" s="51"/>
      <c r="N2" s="61" t="s">
        <v>138</v>
      </c>
      <c r="O2" s="96"/>
      <c r="P2" s="51"/>
      <c r="Q2" s="51"/>
      <c r="R2" s="61" t="s">
        <v>160</v>
      </c>
      <c r="S2" s="56">
        <v>10</v>
      </c>
      <c r="U2" s="53">
        <f>(1+S2)*(1+$S$3)-1</f>
        <v>10.220000000000001</v>
      </c>
    </row>
    <row r="3" spans="1:21" x14ac:dyDescent="0.35">
      <c r="A3" s="51" t="s">
        <v>141</v>
      </c>
      <c r="B3" s="53"/>
      <c r="C3" s="53"/>
      <c r="D3" s="53"/>
      <c r="E3" s="53"/>
      <c r="F3" s="65"/>
      <c r="G3" s="56"/>
      <c r="H3" s="53"/>
      <c r="I3" s="53" t="s">
        <v>146</v>
      </c>
      <c r="J3" s="54">
        <f>$J$14</f>
        <v>400</v>
      </c>
      <c r="K3" s="53">
        <v>2.5</v>
      </c>
      <c r="L3" s="53">
        <f>K3/S2</f>
        <v>0.25</v>
      </c>
      <c r="M3" s="107" t="s">
        <v>202</v>
      </c>
      <c r="N3" s="109">
        <f>K3</f>
        <v>2.5</v>
      </c>
      <c r="O3" s="56"/>
      <c r="P3" s="53"/>
      <c r="Q3" s="53"/>
      <c r="R3" s="61" t="s">
        <v>167</v>
      </c>
      <c r="S3" s="62">
        <v>0.02</v>
      </c>
      <c r="U3" s="53"/>
    </row>
    <row r="4" spans="1:21" x14ac:dyDescent="0.35">
      <c r="A4" s="53" t="s">
        <v>161</v>
      </c>
      <c r="B4" s="53">
        <v>1</v>
      </c>
      <c r="C4" s="54">
        <f>SUM(C5:C7)</f>
        <v>50000</v>
      </c>
      <c r="D4" s="54">
        <f>C4/$S$2</f>
        <v>5000</v>
      </c>
      <c r="E4" s="54"/>
      <c r="F4" s="97"/>
      <c r="G4" s="98"/>
      <c r="H4" s="54"/>
      <c r="I4" s="53" t="s">
        <v>147</v>
      </c>
      <c r="J4" s="54">
        <f t="shared" ref="J4:J6" si="0">$J$14</f>
        <v>400</v>
      </c>
      <c r="K4" s="53">
        <v>2</v>
      </c>
      <c r="L4" s="53">
        <f>K4/S2</f>
        <v>0.2</v>
      </c>
      <c r="M4" s="107" t="s">
        <v>202</v>
      </c>
      <c r="N4" s="65">
        <f>K4</f>
        <v>2</v>
      </c>
      <c r="O4" s="98"/>
      <c r="P4" s="54"/>
      <c r="Q4" s="54"/>
      <c r="R4" s="61" t="s">
        <v>168</v>
      </c>
      <c r="S4" s="62">
        <v>0.1</v>
      </c>
      <c r="U4" s="91">
        <f>(1+S4)*(1+$S$3)-1</f>
        <v>0.12200000000000011</v>
      </c>
    </row>
    <row r="5" spans="1:21" ht="15" thickBot="1" x14ac:dyDescent="0.4">
      <c r="A5" s="53" t="s">
        <v>143</v>
      </c>
      <c r="B5" s="53">
        <v>1</v>
      </c>
      <c r="C5" s="54">
        <v>20000</v>
      </c>
      <c r="D5" s="54">
        <f>C5/$S$2</f>
        <v>2000</v>
      </c>
      <c r="E5" s="54"/>
      <c r="F5" s="97">
        <f>C5*S10</f>
        <v>23000</v>
      </c>
      <c r="G5" s="98"/>
      <c r="H5" s="54"/>
      <c r="I5" s="53" t="s">
        <v>159</v>
      </c>
      <c r="J5" s="54">
        <f t="shared" si="0"/>
        <v>400</v>
      </c>
      <c r="K5" s="53">
        <f>L5*S2</f>
        <v>5</v>
      </c>
      <c r="L5" s="53">
        <v>0.5</v>
      </c>
      <c r="M5" s="54"/>
      <c r="N5" s="97">
        <f>K5*S10</f>
        <v>5.75</v>
      </c>
      <c r="O5" s="98"/>
      <c r="P5" s="54"/>
      <c r="Q5" s="54"/>
      <c r="R5" s="63" t="s">
        <v>169</v>
      </c>
      <c r="S5" s="64">
        <v>0.1</v>
      </c>
      <c r="U5" s="91">
        <f>(1+S5)*(1+$S$3)-1</f>
        <v>0.12200000000000011</v>
      </c>
    </row>
    <row r="6" spans="1:21" x14ac:dyDescent="0.35">
      <c r="A6" s="53" t="s">
        <v>144</v>
      </c>
      <c r="B6" s="53">
        <v>1</v>
      </c>
      <c r="C6" s="54">
        <v>15000</v>
      </c>
      <c r="D6" s="54">
        <f>C6/$S$2</f>
        <v>1500</v>
      </c>
      <c r="E6" s="54"/>
      <c r="F6" s="97">
        <f>C6*S11</f>
        <v>11250</v>
      </c>
      <c r="G6" s="98"/>
      <c r="H6" s="54"/>
      <c r="I6" s="53" t="s">
        <v>148</v>
      </c>
      <c r="J6" s="54">
        <f t="shared" si="0"/>
        <v>400</v>
      </c>
      <c r="K6" s="53">
        <v>4</v>
      </c>
      <c r="L6" s="53">
        <f>K6/S2</f>
        <v>0.4</v>
      </c>
      <c r="M6" s="54"/>
      <c r="N6" s="97"/>
      <c r="O6" s="98"/>
      <c r="P6" s="54"/>
      <c r="Q6" s="54"/>
      <c r="R6" s="54"/>
      <c r="S6" s="54"/>
    </row>
    <row r="7" spans="1:21" ht="15" thickBot="1" x14ac:dyDescent="0.4">
      <c r="A7" s="53" t="s">
        <v>145</v>
      </c>
      <c r="B7" s="53">
        <v>1</v>
      </c>
      <c r="C7" s="54">
        <v>15000</v>
      </c>
      <c r="D7" s="54">
        <f>C7/$S$2</f>
        <v>1500</v>
      </c>
      <c r="E7" s="107" t="s">
        <v>202</v>
      </c>
      <c r="F7" s="108">
        <f>C7</f>
        <v>15000</v>
      </c>
      <c r="G7" s="98"/>
      <c r="H7" s="54"/>
      <c r="I7" s="51" t="s">
        <v>42</v>
      </c>
      <c r="J7" s="53"/>
      <c r="K7" s="54">
        <f>J6*SUM(K3:K6)</f>
        <v>5400</v>
      </c>
      <c r="L7" s="53"/>
      <c r="M7" s="53"/>
      <c r="N7" s="97">
        <f>SUM(N3:N5)*400</f>
        <v>4100</v>
      </c>
      <c r="O7" s="98"/>
      <c r="P7" s="53"/>
      <c r="Q7" s="53"/>
      <c r="R7" s="53"/>
      <c r="S7" s="53"/>
    </row>
    <row r="8" spans="1:21" ht="15" thickBot="1" x14ac:dyDescent="0.4">
      <c r="A8" s="51" t="s">
        <v>42</v>
      </c>
      <c r="B8" s="53"/>
      <c r="C8" s="58">
        <f>SUM(C5:C7)</f>
        <v>50000</v>
      </c>
      <c r="D8" s="58">
        <f>SUM(D5:D7)</f>
        <v>5000</v>
      </c>
      <c r="E8" s="58"/>
      <c r="F8" s="99">
        <f>SUM(F5:F7)</f>
        <v>49250</v>
      </c>
      <c r="G8" s="100"/>
      <c r="H8" s="58"/>
      <c r="I8" s="54"/>
      <c r="J8" s="54"/>
      <c r="K8" s="54"/>
      <c r="L8" s="104" t="s">
        <v>117</v>
      </c>
      <c r="M8" s="53"/>
      <c r="N8" s="102"/>
      <c r="O8" s="103"/>
      <c r="P8" s="54"/>
      <c r="Q8" s="54"/>
      <c r="R8" s="69" t="s">
        <v>117</v>
      </c>
      <c r="S8" s="57"/>
    </row>
    <row r="9" spans="1:21" x14ac:dyDescent="0.35">
      <c r="A9" s="51"/>
      <c r="B9" s="53"/>
      <c r="C9" s="53"/>
      <c r="D9" s="54"/>
      <c r="E9" s="54"/>
      <c r="F9" s="97"/>
      <c r="G9" s="98"/>
      <c r="H9" s="54"/>
      <c r="I9" s="52" t="s">
        <v>55</v>
      </c>
      <c r="J9" s="51" t="s">
        <v>138</v>
      </c>
      <c r="K9" s="51" t="s">
        <v>140</v>
      </c>
      <c r="L9" s="105" t="s">
        <v>138</v>
      </c>
      <c r="M9" s="53"/>
      <c r="N9" s="54"/>
      <c r="O9" s="54"/>
      <c r="P9" s="53"/>
      <c r="Q9" s="53"/>
      <c r="R9" s="55" t="s">
        <v>171</v>
      </c>
      <c r="S9" s="56"/>
    </row>
    <row r="10" spans="1:21" ht="15" thickBot="1" x14ac:dyDescent="0.4">
      <c r="A10" s="52" t="s">
        <v>79</v>
      </c>
      <c r="B10" s="70"/>
      <c r="C10" s="71"/>
      <c r="D10" s="53"/>
      <c r="E10" s="53"/>
      <c r="F10" s="65"/>
      <c r="G10" s="56"/>
      <c r="H10" s="53"/>
      <c r="I10" s="53" t="s">
        <v>170</v>
      </c>
      <c r="J10" s="53">
        <v>20</v>
      </c>
      <c r="K10" s="53">
        <f>J10/$S$2</f>
        <v>2</v>
      </c>
      <c r="L10" s="110">
        <f>(0.5*J10)+(0.5*S11*J10)</f>
        <v>17.5</v>
      </c>
      <c r="M10" s="53"/>
      <c r="N10" s="53"/>
      <c r="O10" s="53"/>
      <c r="P10" s="53"/>
      <c r="Q10" s="53"/>
      <c r="R10" s="65" t="s">
        <v>172</v>
      </c>
      <c r="S10" s="56">
        <v>1.1499999999999999</v>
      </c>
    </row>
    <row r="11" spans="1:21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F11" s="61"/>
      <c r="G11" s="96"/>
      <c r="H11" s="51"/>
      <c r="I11" s="53"/>
      <c r="J11" s="53"/>
      <c r="K11" s="53"/>
      <c r="L11" s="53"/>
      <c r="M11" s="53"/>
      <c r="N11" s="51"/>
      <c r="O11" s="51"/>
      <c r="P11" s="53"/>
      <c r="Q11" s="53"/>
      <c r="R11" s="66" t="s">
        <v>173</v>
      </c>
      <c r="S11" s="67">
        <v>0.75</v>
      </c>
    </row>
    <row r="12" spans="1:21" x14ac:dyDescent="0.35">
      <c r="A12" s="53" t="s">
        <v>162</v>
      </c>
      <c r="B12" s="54">
        <f>C4</f>
        <v>50000</v>
      </c>
      <c r="C12" s="54">
        <f>B12/$S$2</f>
        <v>5000</v>
      </c>
      <c r="D12" s="72"/>
      <c r="E12" s="53"/>
      <c r="F12" s="65"/>
      <c r="G12" s="56"/>
      <c r="H12" s="53"/>
      <c r="I12" s="52" t="s">
        <v>68</v>
      </c>
      <c r="J12" s="53"/>
      <c r="K12" s="53"/>
      <c r="L12" s="53"/>
      <c r="M12" s="53"/>
      <c r="N12" s="53"/>
      <c r="O12" s="104" t="s">
        <v>117</v>
      </c>
      <c r="P12" s="53"/>
      <c r="Q12" s="53"/>
      <c r="R12" s="53"/>
      <c r="S12" s="53"/>
    </row>
    <row r="13" spans="1:21" x14ac:dyDescent="0.35">
      <c r="A13" s="53" t="s">
        <v>165</v>
      </c>
      <c r="B13" s="53">
        <f>B12*80%</f>
        <v>40000</v>
      </c>
      <c r="C13" s="54">
        <f>B13/$S$2</f>
        <v>4000</v>
      </c>
      <c r="D13" s="72">
        <v>0.08</v>
      </c>
      <c r="E13" s="53">
        <v>6</v>
      </c>
      <c r="F13" s="65"/>
      <c r="G13" s="56"/>
      <c r="H13" s="53"/>
      <c r="I13" s="51" t="s">
        <v>142</v>
      </c>
      <c r="J13" s="51" t="s">
        <v>43</v>
      </c>
      <c r="K13" s="51" t="s">
        <v>139</v>
      </c>
      <c r="L13" s="51" t="s">
        <v>152</v>
      </c>
      <c r="M13" s="51" t="s">
        <v>137</v>
      </c>
      <c r="N13" s="51" t="s">
        <v>177</v>
      </c>
      <c r="O13" s="51" t="s">
        <v>177</v>
      </c>
      <c r="P13" s="51"/>
      <c r="Q13" s="51"/>
      <c r="S13" s="54"/>
    </row>
    <row r="14" spans="1:21" ht="15" thickBot="1" x14ac:dyDescent="0.4">
      <c r="A14" s="53"/>
      <c r="B14" s="53"/>
      <c r="C14" s="53"/>
      <c r="D14" s="53"/>
      <c r="E14" s="53"/>
      <c r="F14" s="65"/>
      <c r="G14" s="56"/>
      <c r="H14" s="53"/>
      <c r="I14" s="53" t="s">
        <v>153</v>
      </c>
      <c r="J14" s="54">
        <v>400</v>
      </c>
      <c r="K14" s="53">
        <v>6</v>
      </c>
      <c r="L14" s="54">
        <f>J14*K14</f>
        <v>2400</v>
      </c>
      <c r="M14" s="53">
        <f>K14*S2</f>
        <v>60</v>
      </c>
      <c r="N14" s="53">
        <f>M14*J14</f>
        <v>24000</v>
      </c>
      <c r="O14" s="106">
        <f>N14*S10</f>
        <v>27599.999999999996</v>
      </c>
      <c r="P14" s="53"/>
      <c r="Q14" s="53"/>
      <c r="S14" s="53"/>
    </row>
    <row r="15" spans="1:21" x14ac:dyDescent="0.35">
      <c r="A15" s="53"/>
      <c r="B15" s="53"/>
      <c r="C15" s="53"/>
      <c r="D15" s="51" t="s">
        <v>196</v>
      </c>
      <c r="E15" s="53"/>
      <c r="F15" s="65"/>
      <c r="G15" s="56"/>
      <c r="H15" s="53"/>
      <c r="I15" s="53"/>
      <c r="J15" s="54"/>
      <c r="K15" s="53"/>
      <c r="L15" s="54"/>
      <c r="M15" s="53"/>
      <c r="N15" s="53"/>
      <c r="O15" s="53"/>
      <c r="P15" s="53"/>
      <c r="Q15" s="53"/>
      <c r="R15" s="53"/>
      <c r="S15" s="53"/>
    </row>
    <row r="16" spans="1:21" ht="15" thickBot="1" x14ac:dyDescent="0.4">
      <c r="A16" s="53"/>
      <c r="B16" s="53"/>
      <c r="C16" s="53"/>
      <c r="D16" s="88">
        <f>(1+D13)/(1+S3)-1</f>
        <v>5.8823529411764719E-2</v>
      </c>
      <c r="E16" s="51"/>
      <c r="F16" s="63"/>
      <c r="G16" s="101"/>
      <c r="H16" s="51"/>
      <c r="I16" s="53" t="s">
        <v>158</v>
      </c>
      <c r="J16" s="53"/>
      <c r="K16" s="53"/>
      <c r="L16" s="53"/>
      <c r="M16" s="53"/>
      <c r="N16" s="51"/>
      <c r="O16" s="51"/>
      <c r="P16" s="53"/>
      <c r="Q16" s="53"/>
      <c r="R16" s="53"/>
      <c r="S16" s="53"/>
    </row>
    <row r="17" spans="1:18" ht="15" thickBot="1" x14ac:dyDescent="0.4"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8" x14ac:dyDescent="0.35">
      <c r="A18" s="68" t="s">
        <v>157</v>
      </c>
      <c r="B18" s="92" t="s">
        <v>198</v>
      </c>
      <c r="C18" s="93"/>
      <c r="D18" s="93"/>
      <c r="E18" s="93"/>
      <c r="F18" s="7"/>
      <c r="G18" s="7"/>
      <c r="H18" s="7"/>
      <c r="I18" s="7"/>
      <c r="J18" s="7"/>
      <c r="K18" s="7"/>
      <c r="L18" s="74"/>
      <c r="M18" s="75">
        <f>U4</f>
        <v>0.12200000000000011</v>
      </c>
      <c r="P18" s="118" t="s">
        <v>243</v>
      </c>
      <c r="Q18" s="119" t="s">
        <v>239</v>
      </c>
      <c r="R18" s="120" t="s">
        <v>240</v>
      </c>
    </row>
    <row r="19" spans="1:18" x14ac:dyDescent="0.35"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L19" s="23" t="s">
        <v>98</v>
      </c>
      <c r="M19" s="76">
        <f>NPV(M18,B30:K30)</f>
        <v>15958.796607992468</v>
      </c>
      <c r="P19" s="65" t="s">
        <v>234</v>
      </c>
      <c r="Q19" s="53">
        <v>60</v>
      </c>
      <c r="R19" s="56">
        <v>6</v>
      </c>
    </row>
    <row r="20" spans="1:18" x14ac:dyDescent="0.35"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NPV(M18,B22:K22)/NPV(M18,B23:K23)</f>
        <v>-11.986107332855441</v>
      </c>
      <c r="P20" s="65" t="s">
        <v>235</v>
      </c>
      <c r="Q20" s="53"/>
      <c r="R20" s="56"/>
    </row>
    <row r="21" spans="1:18" ht="15" thickBot="1" x14ac:dyDescent="0.4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IRR(B30:K30)</f>
        <v>0.20771956112717538</v>
      </c>
      <c r="P21" s="121" t="s">
        <v>237</v>
      </c>
      <c r="Q21" s="53">
        <v>5</v>
      </c>
      <c r="R21" s="56">
        <v>0.5</v>
      </c>
    </row>
    <row r="22" spans="1:18" x14ac:dyDescent="0.35">
      <c r="A22" s="78" t="s">
        <v>183</v>
      </c>
      <c r="B22">
        <v>0</v>
      </c>
      <c r="C22">
        <f>($Q$28*(1+$S$3)^C21)</f>
        <v>19351.439999999999</v>
      </c>
      <c r="D22">
        <f t="shared" ref="D22:K22" si="1">($Q$28*(1+$S$3)^D21)</f>
        <v>19738.468799999999</v>
      </c>
      <c r="E22">
        <f t="shared" si="1"/>
        <v>20133.238175999999</v>
      </c>
      <c r="F22">
        <f t="shared" si="1"/>
        <v>20535.902939520001</v>
      </c>
      <c r="G22">
        <f t="shared" si="1"/>
        <v>20946.620998310402</v>
      </c>
      <c r="H22">
        <f t="shared" si="1"/>
        <v>21365.553418276606</v>
      </c>
      <c r="I22">
        <f t="shared" si="1"/>
        <v>21792.864486642138</v>
      </c>
      <c r="J22">
        <f t="shared" si="1"/>
        <v>22228.721776374983</v>
      </c>
      <c r="K22">
        <f t="shared" si="1"/>
        <v>22673.296211902481</v>
      </c>
      <c r="L22" s="1"/>
      <c r="M22" s="4"/>
      <c r="P22" s="122" t="s">
        <v>236</v>
      </c>
      <c r="Q22" s="53"/>
      <c r="R22" s="56">
        <v>5.5</v>
      </c>
    </row>
    <row r="23" spans="1:18" x14ac:dyDescent="0.35">
      <c r="A23" s="78" t="s">
        <v>180</v>
      </c>
      <c r="B23" s="2">
        <f>B26-B25</f>
        <v>-50235</v>
      </c>
      <c r="C23" s="2">
        <f>C26</f>
        <v>7282.8</v>
      </c>
      <c r="D23" s="2">
        <f t="shared" ref="D23:K23" si="2">D26</f>
        <v>7428.4559999999992</v>
      </c>
      <c r="E23" s="2">
        <f>E26</f>
        <v>7577.0251200000002</v>
      </c>
      <c r="F23" s="2">
        <f t="shared" si="2"/>
        <v>7728.5656224000004</v>
      </c>
      <c r="G23" s="2">
        <f t="shared" si="2"/>
        <v>7883.1369348480002</v>
      </c>
      <c r="H23" s="2">
        <f t="shared" si="2"/>
        <v>8040.7996735449588</v>
      </c>
      <c r="I23" s="2">
        <f t="shared" si="2"/>
        <v>8201.615667015858</v>
      </c>
      <c r="J23" s="2">
        <f t="shared" si="2"/>
        <v>8365.647980356176</v>
      </c>
      <c r="K23" s="2">
        <f t="shared" si="2"/>
        <v>8532.9609399632991</v>
      </c>
      <c r="L23" s="1"/>
      <c r="M23" s="4"/>
      <c r="P23" s="65" t="s">
        <v>238</v>
      </c>
      <c r="Q23" s="53">
        <v>55</v>
      </c>
      <c r="R23" s="56"/>
    </row>
    <row r="24" spans="1:18" s="53" customFormat="1" x14ac:dyDescent="0.35">
      <c r="A24" s="94" t="s">
        <v>200</v>
      </c>
      <c r="B24"/>
      <c r="C24"/>
      <c r="D24"/>
      <c r="E24"/>
      <c r="F24"/>
      <c r="G24"/>
      <c r="H24"/>
      <c r="I24"/>
      <c r="J24"/>
      <c r="K24"/>
      <c r="L24" s="1"/>
      <c r="M24" s="4"/>
      <c r="P24" s="121" t="s">
        <v>147</v>
      </c>
      <c r="Q24" s="53">
        <v>2</v>
      </c>
      <c r="R24" s="56">
        <v>0.2</v>
      </c>
    </row>
    <row r="25" spans="1:18" s="53" customFormat="1" x14ac:dyDescent="0.35">
      <c r="A25" s="95" t="s">
        <v>184</v>
      </c>
      <c r="B25" s="2">
        <f>$F$8*(1+$S$3)^B21</f>
        <v>50235</v>
      </c>
      <c r="C25"/>
      <c r="D25"/>
      <c r="E25"/>
      <c r="F25"/>
      <c r="G25"/>
      <c r="H25"/>
      <c r="I25"/>
      <c r="J25"/>
      <c r="K25"/>
      <c r="L25" s="1"/>
      <c r="M25" s="4"/>
      <c r="P25" s="121" t="s">
        <v>148</v>
      </c>
      <c r="Q25" s="53">
        <v>4</v>
      </c>
      <c r="R25" s="56">
        <v>0.4</v>
      </c>
    </row>
    <row r="26" spans="1:18" x14ac:dyDescent="0.35">
      <c r="A26" s="94" t="s">
        <v>191</v>
      </c>
      <c r="B26">
        <v>0</v>
      </c>
      <c r="C26">
        <f>($L$10*$J$14)*(1+$S$3)^C21</f>
        <v>7282.8</v>
      </c>
      <c r="D26">
        <f t="shared" ref="D26:J26" si="3">($L$10*$J$14)*(1+$S$3)^D21</f>
        <v>7428.4559999999992</v>
      </c>
      <c r="E26">
        <f t="shared" si="3"/>
        <v>7577.0251200000002</v>
      </c>
      <c r="F26">
        <f t="shared" si="3"/>
        <v>7728.5656224000004</v>
      </c>
      <c r="G26">
        <f t="shared" si="3"/>
        <v>7883.1369348480002</v>
      </c>
      <c r="H26">
        <f t="shared" si="3"/>
        <v>8040.7996735449588</v>
      </c>
      <c r="I26">
        <f t="shared" si="3"/>
        <v>8201.615667015858</v>
      </c>
      <c r="J26">
        <f t="shared" si="3"/>
        <v>8365.647980356176</v>
      </c>
      <c r="K26">
        <f>($L$10*$J$14)*(1+$S$3)^K21</f>
        <v>8532.9609399632991</v>
      </c>
      <c r="L26" s="1"/>
      <c r="M26" s="4"/>
      <c r="P26" s="121" t="s">
        <v>146</v>
      </c>
      <c r="Q26" s="53">
        <v>2.5</v>
      </c>
      <c r="R26" s="56">
        <v>0.25</v>
      </c>
    </row>
    <row r="27" spans="1:18" x14ac:dyDescent="0.35">
      <c r="A27" s="3"/>
      <c r="B27" s="2"/>
      <c r="L27" s="1"/>
      <c r="M27" s="4"/>
      <c r="P27" s="122" t="s">
        <v>241</v>
      </c>
      <c r="Q27" s="53">
        <v>46.5</v>
      </c>
      <c r="R27" s="56"/>
    </row>
    <row r="28" spans="1:18" ht="15" thickBot="1" x14ac:dyDescent="0.4">
      <c r="A28" s="1" t="s">
        <v>194</v>
      </c>
      <c r="B28" s="2">
        <f>B23</f>
        <v>-50235</v>
      </c>
      <c r="C28" s="2">
        <f t="shared" ref="C28:K28" si="4">C22-C23</f>
        <v>12068.64</v>
      </c>
      <c r="D28">
        <f t="shared" si="4"/>
        <v>12310.0128</v>
      </c>
      <c r="E28">
        <f t="shared" si="4"/>
        <v>12556.213055999999</v>
      </c>
      <c r="F28">
        <f t="shared" si="4"/>
        <v>12807.33731712</v>
      </c>
      <c r="G28">
        <f t="shared" si="4"/>
        <v>13063.484063462402</v>
      </c>
      <c r="H28">
        <f t="shared" si="4"/>
        <v>13324.753744731646</v>
      </c>
      <c r="I28">
        <f t="shared" si="4"/>
        <v>13591.24881962628</v>
      </c>
      <c r="J28">
        <f t="shared" si="4"/>
        <v>13863.073796018807</v>
      </c>
      <c r="K28">
        <f t="shared" si="4"/>
        <v>14140.335271939182</v>
      </c>
      <c r="L28" s="1"/>
      <c r="M28" s="4"/>
      <c r="P28" s="123" t="s">
        <v>242</v>
      </c>
      <c r="Q28" s="124">
        <v>18600</v>
      </c>
      <c r="R28" s="67"/>
    </row>
    <row r="29" spans="1:18" ht="15" thickBot="1" x14ac:dyDescent="0.4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1"/>
      <c r="M29" s="4"/>
    </row>
    <row r="30" spans="1:18" x14ac:dyDescent="0.35">
      <c r="A30" s="84" t="s">
        <v>199</v>
      </c>
      <c r="B30" s="89">
        <f>B28</f>
        <v>-50235</v>
      </c>
      <c r="C30" s="89">
        <f>C28</f>
        <v>12068.64</v>
      </c>
      <c r="D30" s="85">
        <f t="shared" ref="D30:K30" si="5">D28</f>
        <v>12310.0128</v>
      </c>
      <c r="E30" s="85">
        <f t="shared" si="5"/>
        <v>12556.213055999999</v>
      </c>
      <c r="F30" s="85">
        <f t="shared" si="5"/>
        <v>12807.33731712</v>
      </c>
      <c r="G30" s="85">
        <f t="shared" si="5"/>
        <v>13063.484063462402</v>
      </c>
      <c r="H30" s="85">
        <f t="shared" si="5"/>
        <v>13324.753744731646</v>
      </c>
      <c r="I30" s="85">
        <f t="shared" si="5"/>
        <v>13591.24881962628</v>
      </c>
      <c r="J30" s="85">
        <f t="shared" si="5"/>
        <v>13863.073796018807</v>
      </c>
      <c r="K30" s="85">
        <f t="shared" si="5"/>
        <v>14140.335271939182</v>
      </c>
      <c r="L30" s="74"/>
      <c r="M30" s="75">
        <v>0.1</v>
      </c>
    </row>
    <row r="31" spans="1:18" x14ac:dyDescent="0.35">
      <c r="A31" s="1"/>
      <c r="L31" s="23" t="s">
        <v>98</v>
      </c>
      <c r="M31" s="24">
        <f>NPV(M30,B42:K42)</f>
        <v>15958.796607992474</v>
      </c>
    </row>
    <row r="32" spans="1:18" x14ac:dyDescent="0.35">
      <c r="A32" s="86" t="s">
        <v>195</v>
      </c>
      <c r="B32" s="92" t="s">
        <v>198</v>
      </c>
      <c r="C32" s="93"/>
      <c r="D32" s="93"/>
      <c r="E32" s="93"/>
      <c r="L32" s="23" t="s">
        <v>175</v>
      </c>
      <c r="M32" s="24">
        <f>NPV(M30,B34:K34)/NPV(M30,B35:K35)</f>
        <v>-11.986107332855445</v>
      </c>
    </row>
    <row r="33" spans="1:13" ht="15" thickBot="1" x14ac:dyDescent="0.4">
      <c r="A33" s="3" t="s">
        <v>90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 s="77" t="s">
        <v>99</v>
      </c>
      <c r="M33" s="37">
        <f>IRR(B42:K42)</f>
        <v>0.18403878541880081</v>
      </c>
    </row>
    <row r="34" spans="1:13" x14ac:dyDescent="0.35">
      <c r="A34" s="78" t="s">
        <v>183</v>
      </c>
      <c r="B34">
        <v>0</v>
      </c>
      <c r="C34">
        <f t="shared" ref="C34:K34" si="6">C22/(1+$S$3)^C21</f>
        <v>18600</v>
      </c>
      <c r="D34">
        <f t="shared" si="6"/>
        <v>18600</v>
      </c>
      <c r="E34">
        <f t="shared" si="6"/>
        <v>18600</v>
      </c>
      <c r="F34">
        <f t="shared" si="6"/>
        <v>18600</v>
      </c>
      <c r="G34">
        <f t="shared" si="6"/>
        <v>18600</v>
      </c>
      <c r="H34">
        <f t="shared" si="6"/>
        <v>18600</v>
      </c>
      <c r="I34">
        <f t="shared" si="6"/>
        <v>18600</v>
      </c>
      <c r="J34">
        <f t="shared" si="6"/>
        <v>18600</v>
      </c>
      <c r="K34">
        <f t="shared" si="6"/>
        <v>18600</v>
      </c>
      <c r="L34" s="1"/>
      <c r="M34" s="4"/>
    </row>
    <row r="35" spans="1:13" x14ac:dyDescent="0.35">
      <c r="A35" s="78" t="s">
        <v>180</v>
      </c>
      <c r="B35" s="2">
        <f>B23/(1+$S$3)^B33</f>
        <v>-49250</v>
      </c>
      <c r="C35" s="2">
        <f>C23/(1+$S$3)^C21</f>
        <v>7000</v>
      </c>
      <c r="D35" s="2">
        <f t="shared" ref="D35:K35" si="7">D23/(1+$S$3)^D21</f>
        <v>7000</v>
      </c>
      <c r="E35" s="2">
        <f t="shared" si="7"/>
        <v>7000</v>
      </c>
      <c r="F35" s="2">
        <f t="shared" si="7"/>
        <v>7000</v>
      </c>
      <c r="G35" s="2">
        <f t="shared" si="7"/>
        <v>7000</v>
      </c>
      <c r="H35" s="2">
        <f t="shared" si="7"/>
        <v>7000</v>
      </c>
      <c r="I35" s="2">
        <f t="shared" si="7"/>
        <v>6999.9999999999991</v>
      </c>
      <c r="J35" s="2">
        <f t="shared" si="7"/>
        <v>7000</v>
      </c>
      <c r="K35" s="2">
        <f t="shared" si="7"/>
        <v>6999.9999999999991</v>
      </c>
      <c r="L35" s="1"/>
      <c r="M35" s="4"/>
    </row>
    <row r="36" spans="1:13" x14ac:dyDescent="0.35">
      <c r="A36" s="94" t="s">
        <v>200</v>
      </c>
      <c r="L36" s="1"/>
      <c r="M36" s="4"/>
    </row>
    <row r="37" spans="1:13" s="53" customFormat="1" x14ac:dyDescent="0.35">
      <c r="A37" s="95" t="s">
        <v>184</v>
      </c>
      <c r="B37" s="2">
        <f>B25/(1+$S$3)^B33</f>
        <v>49250</v>
      </c>
      <c r="C37"/>
      <c r="D37"/>
      <c r="E37"/>
      <c r="F37"/>
      <c r="G37"/>
      <c r="H37"/>
      <c r="I37"/>
      <c r="J37"/>
      <c r="K37"/>
      <c r="L37" s="1"/>
      <c r="M37" s="4"/>
    </row>
    <row r="38" spans="1:13" s="53" customFormat="1" x14ac:dyDescent="0.35">
      <c r="A38" s="94" t="s">
        <v>201</v>
      </c>
      <c r="B38">
        <v>0</v>
      </c>
      <c r="C38">
        <f t="shared" ref="C38:K38" si="8">C26/(1+$S$3)^C33</f>
        <v>7000</v>
      </c>
      <c r="D38">
        <f t="shared" si="8"/>
        <v>7000</v>
      </c>
      <c r="E38">
        <f t="shared" si="8"/>
        <v>7000</v>
      </c>
      <c r="F38">
        <f t="shared" si="8"/>
        <v>7000</v>
      </c>
      <c r="G38">
        <f t="shared" si="8"/>
        <v>7000</v>
      </c>
      <c r="H38">
        <f t="shared" si="8"/>
        <v>7000</v>
      </c>
      <c r="I38">
        <f t="shared" si="8"/>
        <v>6999.9999999999991</v>
      </c>
      <c r="J38">
        <f t="shared" si="8"/>
        <v>7000</v>
      </c>
      <c r="K38">
        <f t="shared" si="8"/>
        <v>6999.9999999999991</v>
      </c>
      <c r="L38" s="1"/>
      <c r="M38" s="4"/>
    </row>
    <row r="39" spans="1:13" x14ac:dyDescent="0.35">
      <c r="A39" s="3"/>
      <c r="B39" s="2"/>
      <c r="L39" s="1"/>
      <c r="M39" s="4"/>
    </row>
    <row r="40" spans="1:13" x14ac:dyDescent="0.35">
      <c r="A40" s="1" t="s">
        <v>194</v>
      </c>
      <c r="B40">
        <f t="shared" ref="B40:K40" si="9">B34-B35</f>
        <v>49250</v>
      </c>
      <c r="C40" s="2">
        <f t="shared" si="9"/>
        <v>11600</v>
      </c>
      <c r="D40" s="2">
        <f t="shared" si="9"/>
        <v>11600</v>
      </c>
      <c r="E40">
        <f t="shared" si="9"/>
        <v>11600</v>
      </c>
      <c r="F40">
        <f t="shared" si="9"/>
        <v>11600</v>
      </c>
      <c r="G40">
        <f t="shared" si="9"/>
        <v>11600</v>
      </c>
      <c r="H40">
        <f t="shared" si="9"/>
        <v>11600</v>
      </c>
      <c r="I40">
        <f t="shared" si="9"/>
        <v>11600</v>
      </c>
      <c r="J40">
        <f t="shared" si="9"/>
        <v>11600</v>
      </c>
      <c r="K40">
        <f t="shared" si="9"/>
        <v>11600</v>
      </c>
      <c r="L40" s="1"/>
      <c r="M40" s="4"/>
    </row>
    <row r="41" spans="1:13" x14ac:dyDescent="0.3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</row>
    <row r="42" spans="1:13" x14ac:dyDescent="0.35">
      <c r="A42" s="84" t="s">
        <v>199</v>
      </c>
      <c r="B42" s="89">
        <f>B35</f>
        <v>-49250</v>
      </c>
      <c r="C42" s="89">
        <f>C34-C35</f>
        <v>11600</v>
      </c>
      <c r="D42" s="89">
        <f t="shared" ref="D42:K42" si="10">D34-D35</f>
        <v>11600</v>
      </c>
      <c r="E42" s="89">
        <f t="shared" si="10"/>
        <v>11600</v>
      </c>
      <c r="F42" s="89">
        <f t="shared" si="10"/>
        <v>11600</v>
      </c>
      <c r="G42" s="89">
        <f t="shared" si="10"/>
        <v>11600</v>
      </c>
      <c r="H42" s="89">
        <f t="shared" si="10"/>
        <v>11600</v>
      </c>
      <c r="I42" s="89">
        <f t="shared" si="10"/>
        <v>11600</v>
      </c>
      <c r="J42" s="89">
        <f t="shared" si="10"/>
        <v>11600</v>
      </c>
      <c r="K42" s="89">
        <f t="shared" si="10"/>
        <v>11600</v>
      </c>
    </row>
    <row r="45" spans="1:13" x14ac:dyDescent="0.35">
      <c r="L45" s="53"/>
      <c r="M45" s="53"/>
    </row>
    <row r="46" spans="1:13" x14ac:dyDescent="0.35">
      <c r="L46" s="53"/>
      <c r="M46" s="53"/>
    </row>
    <row r="47" spans="1:13" x14ac:dyDescent="0.35">
      <c r="L47" s="53"/>
      <c r="M47" s="53"/>
    </row>
    <row r="48" spans="1:13" x14ac:dyDescent="0.35">
      <c r="L48" s="53"/>
      <c r="M48" s="53"/>
    </row>
    <row r="49" spans="12:13" x14ac:dyDescent="0.35">
      <c r="L49" s="53"/>
      <c r="M49" s="53"/>
    </row>
    <row r="50" spans="12:13" x14ac:dyDescent="0.35">
      <c r="L50" s="53"/>
      <c r="M50" s="53"/>
    </row>
    <row r="51" spans="12:13" x14ac:dyDescent="0.35">
      <c r="L51" s="53"/>
      <c r="M51" s="53"/>
    </row>
    <row r="52" spans="12:13" x14ac:dyDescent="0.35">
      <c r="L52" s="53"/>
      <c r="M52" s="53"/>
    </row>
    <row r="53" spans="12:13" x14ac:dyDescent="0.35">
      <c r="L53" s="53"/>
      <c r="M53" s="53"/>
    </row>
    <row r="54" spans="12:13" x14ac:dyDescent="0.35">
      <c r="L54" s="53"/>
      <c r="M54" s="53"/>
    </row>
    <row r="55" spans="12:13" x14ac:dyDescent="0.35">
      <c r="L55" s="53"/>
      <c r="M55" s="53"/>
    </row>
    <row r="56" spans="12:13" x14ac:dyDescent="0.35">
      <c r="L56" s="53"/>
      <c r="M56" s="53"/>
    </row>
    <row r="57" spans="12:13" x14ac:dyDescent="0.35">
      <c r="L57" s="53"/>
      <c r="M57" s="53"/>
    </row>
    <row r="58" spans="12:13" x14ac:dyDescent="0.35">
      <c r="L58" s="53"/>
      <c r="M58" s="53"/>
    </row>
    <row r="59" spans="12:13" x14ac:dyDescent="0.35">
      <c r="M59" s="53"/>
    </row>
    <row r="60" spans="12:13" x14ac:dyDescent="0.35">
      <c r="L60" s="53"/>
      <c r="M60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AAF9-CCF7-47AD-A405-61DFB4659ECB}">
  <dimension ref="A1:V57"/>
  <sheetViews>
    <sheetView topLeftCell="A27" zoomScale="70" zoomScaleNormal="80" workbookViewId="0">
      <selection activeCell="D47" sqref="D47"/>
    </sheetView>
  </sheetViews>
  <sheetFormatPr defaultColWidth="9" defaultRowHeight="14.5" x14ac:dyDescent="0.35"/>
  <cols>
    <col min="1" max="1" width="13.453125" style="127" customWidth="1"/>
    <col min="2" max="2" width="11.453125" style="127" customWidth="1"/>
    <col min="3" max="3" width="14.36328125" style="127" customWidth="1"/>
    <col min="4" max="4" width="14.6328125" style="127" customWidth="1"/>
    <col min="5" max="5" width="13.26953125" style="127" customWidth="1"/>
    <col min="6" max="6" width="16.36328125" style="127" customWidth="1"/>
    <col min="7" max="7" width="17.7265625" style="127" customWidth="1"/>
    <col min="8" max="8" width="14.453125" style="127" customWidth="1"/>
    <col min="9" max="9" width="15.90625" style="127" customWidth="1"/>
    <col min="10" max="10" width="14.7265625" style="127" customWidth="1"/>
    <col min="11" max="11" width="13.453125" style="127" customWidth="1"/>
    <col min="12" max="12" width="14.36328125" style="127" customWidth="1"/>
    <col min="13" max="13" width="17.90625" style="127" customWidth="1"/>
    <col min="14" max="14" width="9" style="127"/>
    <col min="15" max="15" width="22.08984375" style="127" customWidth="1"/>
    <col min="16" max="16" width="16.36328125" style="127" customWidth="1"/>
    <col min="17" max="17" width="18.453125" style="127" customWidth="1"/>
    <col min="18" max="16384" width="9" style="127"/>
  </cols>
  <sheetData>
    <row r="1" spans="1:19" ht="15" thickBot="1" x14ac:dyDescent="0.4">
      <c r="A1" s="138" t="s">
        <v>37</v>
      </c>
    </row>
    <row r="2" spans="1:19" ht="56.15" customHeight="1" x14ac:dyDescent="0.35">
      <c r="A2" s="128"/>
      <c r="B2" s="139" t="s">
        <v>244</v>
      </c>
      <c r="C2" s="139" t="s">
        <v>245</v>
      </c>
      <c r="D2" s="139" t="s">
        <v>246</v>
      </c>
      <c r="E2" s="139" t="s">
        <v>247</v>
      </c>
      <c r="F2" s="139" t="s">
        <v>248</v>
      </c>
      <c r="G2" s="139" t="s">
        <v>249</v>
      </c>
      <c r="H2" s="140" t="s">
        <v>250</v>
      </c>
      <c r="J2" s="127" t="s">
        <v>270</v>
      </c>
      <c r="N2" s="141" t="s">
        <v>100</v>
      </c>
      <c r="O2" s="142"/>
      <c r="P2" s="126" t="s">
        <v>117</v>
      </c>
      <c r="Q2" s="143"/>
    </row>
    <row r="3" spans="1:19" x14ac:dyDescent="0.35">
      <c r="A3" s="129" t="s">
        <v>251</v>
      </c>
      <c r="B3" s="206">
        <v>1</v>
      </c>
      <c r="C3" s="207">
        <v>45000000</v>
      </c>
      <c r="D3" s="207">
        <f>C3*40%</f>
        <v>18000000</v>
      </c>
      <c r="E3" s="207">
        <f>C3*40%</f>
        <v>18000000</v>
      </c>
      <c r="F3" s="207">
        <f>C3*20%</f>
        <v>9000000</v>
      </c>
      <c r="G3" s="207">
        <f>C3*20%</f>
        <v>9000000</v>
      </c>
      <c r="H3" s="130">
        <f>C3*80%</f>
        <v>36000000</v>
      </c>
      <c r="J3" s="167">
        <v>0.8</v>
      </c>
      <c r="N3" s="144" t="s">
        <v>160</v>
      </c>
      <c r="O3" s="131">
        <v>6</v>
      </c>
      <c r="P3" s="145" t="s">
        <v>171</v>
      </c>
      <c r="Q3" s="131"/>
    </row>
    <row r="4" spans="1:19" ht="15" thickBot="1" x14ac:dyDescent="0.4">
      <c r="A4" s="129" t="s">
        <v>251</v>
      </c>
      <c r="B4" s="206">
        <v>2</v>
      </c>
      <c r="C4" s="207">
        <v>30000000</v>
      </c>
      <c r="D4" s="207">
        <f>C4*40%</f>
        <v>12000000</v>
      </c>
      <c r="E4" s="207">
        <f>C4*40%</f>
        <v>12000000</v>
      </c>
      <c r="F4" s="207">
        <f>C4*20%</f>
        <v>6000000</v>
      </c>
      <c r="G4" s="207">
        <f>C4*20%</f>
        <v>6000000</v>
      </c>
      <c r="H4" s="130">
        <f>C4*80%</f>
        <v>24000000</v>
      </c>
      <c r="N4" s="144" t="s">
        <v>232</v>
      </c>
      <c r="O4" s="146">
        <v>0.1</v>
      </c>
      <c r="P4" s="147" t="s">
        <v>172</v>
      </c>
      <c r="Q4" s="131">
        <v>1.2</v>
      </c>
    </row>
    <row r="5" spans="1:19" ht="15" thickBot="1" x14ac:dyDescent="0.4">
      <c r="A5" s="126" t="s">
        <v>117</v>
      </c>
      <c r="B5" s="206">
        <v>1</v>
      </c>
      <c r="C5" s="208">
        <f>SUM(D5:F5)</f>
        <v>41400000</v>
      </c>
      <c r="D5" s="127">
        <f>D3*Q5</f>
        <v>12600000</v>
      </c>
      <c r="E5" s="162">
        <f>E3</f>
        <v>18000000</v>
      </c>
      <c r="F5" s="127">
        <f>F3*Q4</f>
        <v>10800000</v>
      </c>
      <c r="H5" s="131"/>
      <c r="N5" s="148" t="s">
        <v>233</v>
      </c>
      <c r="O5" s="149">
        <v>0.15</v>
      </c>
      <c r="P5" s="150" t="s">
        <v>173</v>
      </c>
      <c r="Q5" s="135">
        <v>0.7</v>
      </c>
    </row>
    <row r="6" spans="1:19" ht="15" thickBot="1" x14ac:dyDescent="0.4">
      <c r="A6" s="132" t="s">
        <v>117</v>
      </c>
      <c r="B6" s="133">
        <v>2</v>
      </c>
      <c r="C6" s="205">
        <f>SUM(D6:F6)</f>
        <v>27600000</v>
      </c>
      <c r="D6" s="134">
        <f>D4*Q5</f>
        <v>8400000</v>
      </c>
      <c r="E6" s="204">
        <f>E4</f>
        <v>12000000</v>
      </c>
      <c r="F6" s="134">
        <f>F4*Q4</f>
        <v>7200000</v>
      </c>
      <c r="G6" s="134"/>
      <c r="H6" s="135"/>
    </row>
    <row r="7" spans="1:19" ht="24.75" customHeight="1" x14ac:dyDescent="0.35"/>
    <row r="8" spans="1:19" ht="15.75" customHeight="1" thickBot="1" x14ac:dyDescent="0.4">
      <c r="A8" s="136" t="s">
        <v>252</v>
      </c>
    </row>
    <row r="9" spans="1:19" ht="29" x14ac:dyDescent="0.35">
      <c r="A9" s="128"/>
      <c r="B9" s="139" t="s">
        <v>253</v>
      </c>
      <c r="C9" s="139" t="s">
        <v>254</v>
      </c>
      <c r="D9" s="139" t="s">
        <v>255</v>
      </c>
      <c r="E9" s="139" t="s">
        <v>256</v>
      </c>
      <c r="F9" s="139" t="s">
        <v>257</v>
      </c>
      <c r="G9" s="139" t="s">
        <v>258</v>
      </c>
      <c r="H9" s="139" t="s">
        <v>259</v>
      </c>
      <c r="I9" s="139" t="s">
        <v>260</v>
      </c>
      <c r="J9" s="139" t="s">
        <v>227</v>
      </c>
      <c r="K9" s="140" t="s">
        <v>261</v>
      </c>
      <c r="M9" s="128"/>
      <c r="N9" s="159" t="s">
        <v>218</v>
      </c>
      <c r="O9" s="159"/>
      <c r="P9" s="160" t="s">
        <v>262</v>
      </c>
      <c r="Q9" s="161"/>
      <c r="S9" s="212" t="s">
        <v>319</v>
      </c>
    </row>
    <row r="10" spans="1:19" x14ac:dyDescent="0.35">
      <c r="A10" s="129" t="s">
        <v>251</v>
      </c>
      <c r="B10" s="206" t="s">
        <v>218</v>
      </c>
      <c r="C10" s="206">
        <v>4</v>
      </c>
      <c r="D10" s="207">
        <v>2200</v>
      </c>
      <c r="E10" s="207">
        <f>D10/2</f>
        <v>1100</v>
      </c>
      <c r="F10" s="207">
        <f>D10/2</f>
        <v>1100</v>
      </c>
      <c r="G10" s="207">
        <v>2000</v>
      </c>
      <c r="H10" s="207">
        <f>G10*O3</f>
        <v>12000</v>
      </c>
      <c r="I10" s="206">
        <v>50</v>
      </c>
      <c r="J10" s="206">
        <v>150</v>
      </c>
      <c r="K10" s="137">
        <v>75</v>
      </c>
      <c r="M10" s="158" t="s">
        <v>243</v>
      </c>
      <c r="N10" s="51" t="s">
        <v>239</v>
      </c>
      <c r="O10" s="51" t="s">
        <v>240</v>
      </c>
      <c r="P10" s="51" t="s">
        <v>239</v>
      </c>
      <c r="Q10" s="96" t="s">
        <v>240</v>
      </c>
    </row>
    <row r="11" spans="1:19" ht="15" thickBot="1" x14ac:dyDescent="0.4">
      <c r="A11" s="129" t="s">
        <v>251</v>
      </c>
      <c r="B11" s="206" t="s">
        <v>262</v>
      </c>
      <c r="C11" s="206">
        <v>7</v>
      </c>
      <c r="D11" s="207">
        <v>1800</v>
      </c>
      <c r="E11" s="206">
        <v>600</v>
      </c>
      <c r="F11" s="207">
        <f>D11-E11</f>
        <v>1200</v>
      </c>
      <c r="G11" s="206">
        <v>700</v>
      </c>
      <c r="H11" s="207">
        <f>G11*O3</f>
        <v>4200</v>
      </c>
      <c r="I11" s="206">
        <v>50</v>
      </c>
      <c r="J11" s="206">
        <v>80</v>
      </c>
      <c r="K11" s="137">
        <v>40</v>
      </c>
      <c r="M11" s="65" t="s">
        <v>234</v>
      </c>
      <c r="N11" s="54">
        <f>H10</f>
        <v>12000</v>
      </c>
      <c r="O11" s="54">
        <f>G10</f>
        <v>2000</v>
      </c>
      <c r="P11" s="162">
        <f>H11</f>
        <v>4200</v>
      </c>
      <c r="Q11" s="163">
        <f>G11</f>
        <v>700</v>
      </c>
    </row>
    <row r="12" spans="1:19" ht="15" thickBot="1" x14ac:dyDescent="0.4">
      <c r="A12" s="126" t="s">
        <v>117</v>
      </c>
      <c r="D12" s="208">
        <f>SUM(E12:F12)</f>
        <v>2420</v>
      </c>
      <c r="E12" s="127">
        <f>E10*$Q$4</f>
        <v>1320</v>
      </c>
      <c r="F12" s="162">
        <f>F10</f>
        <v>1100</v>
      </c>
      <c r="K12" s="131"/>
      <c r="M12" s="65" t="s">
        <v>235</v>
      </c>
      <c r="N12" s="53"/>
      <c r="O12" s="53"/>
      <c r="Q12" s="131"/>
    </row>
    <row r="13" spans="1:19" ht="15" thickBot="1" x14ac:dyDescent="0.4">
      <c r="A13" s="132" t="s">
        <v>117</v>
      </c>
      <c r="B13" s="134"/>
      <c r="C13" s="134"/>
      <c r="D13" s="205">
        <f>SUM(E13:F13)</f>
        <v>1920</v>
      </c>
      <c r="E13" s="134">
        <f>E11*$Q$4</f>
        <v>720</v>
      </c>
      <c r="F13" s="204">
        <f>F11</f>
        <v>1200</v>
      </c>
      <c r="G13" s="134"/>
      <c r="H13" s="134"/>
      <c r="I13" s="134"/>
      <c r="J13" s="134"/>
      <c r="K13" s="135"/>
      <c r="M13" s="121" t="s">
        <v>268</v>
      </c>
      <c r="N13" s="53">
        <f>O13*O3</f>
        <v>300</v>
      </c>
      <c r="O13" s="53">
        <f>I10</f>
        <v>50</v>
      </c>
      <c r="P13" s="127">
        <f>Q13*O3</f>
        <v>300</v>
      </c>
      <c r="Q13" s="131">
        <f>I11</f>
        <v>50</v>
      </c>
    </row>
    <row r="14" spans="1:19" x14ac:dyDescent="0.35">
      <c r="M14" s="122" t="s">
        <v>236</v>
      </c>
      <c r="N14" s="54">
        <f>N11-N13</f>
        <v>11700</v>
      </c>
      <c r="O14" s="54">
        <f>O11-O13</f>
        <v>1950</v>
      </c>
      <c r="P14" s="162">
        <f>P11-P13</f>
        <v>3900</v>
      </c>
      <c r="Q14" s="163">
        <f>Q11-Q13</f>
        <v>650</v>
      </c>
    </row>
    <row r="15" spans="1:19" ht="15" thickBot="1" x14ac:dyDescent="0.4">
      <c r="A15" s="125" t="s">
        <v>263</v>
      </c>
      <c r="M15" s="65" t="s">
        <v>238</v>
      </c>
      <c r="N15" s="53"/>
      <c r="O15" s="53">
        <f>O14*O3</f>
        <v>11700</v>
      </c>
      <c r="Q15" s="131"/>
    </row>
    <row r="16" spans="1:19" ht="29" x14ac:dyDescent="0.35">
      <c r="A16" s="128"/>
      <c r="B16" s="151" t="s">
        <v>244</v>
      </c>
      <c r="C16" s="151" t="s">
        <v>264</v>
      </c>
      <c r="D16" s="151" t="s">
        <v>265</v>
      </c>
      <c r="E16" s="151" t="s">
        <v>266</v>
      </c>
      <c r="F16" s="151" t="s">
        <v>267</v>
      </c>
      <c r="G16" s="152" t="s">
        <v>272</v>
      </c>
      <c r="M16" s="121" t="s">
        <v>147</v>
      </c>
      <c r="N16" s="53">
        <f>K10</f>
        <v>75</v>
      </c>
      <c r="O16" s="53"/>
      <c r="P16" s="127">
        <f>K11</f>
        <v>40</v>
      </c>
      <c r="Q16" s="131"/>
    </row>
    <row r="17" spans="1:17" ht="15" thickBot="1" x14ac:dyDescent="0.4">
      <c r="A17" s="129" t="s">
        <v>251</v>
      </c>
      <c r="B17" s="156">
        <v>3</v>
      </c>
      <c r="C17" s="156">
        <f>D17*6</f>
        <v>450</v>
      </c>
      <c r="D17" s="156">
        <v>75</v>
      </c>
      <c r="E17" s="157">
        <f>C10*C17</f>
        <v>1800</v>
      </c>
      <c r="F17" s="157">
        <f>C11*C17</f>
        <v>3150</v>
      </c>
      <c r="G17" s="168">
        <v>25000</v>
      </c>
      <c r="M17" s="121" t="s">
        <v>148</v>
      </c>
      <c r="N17" s="53">
        <v>0</v>
      </c>
      <c r="O17" s="53"/>
      <c r="P17" s="127">
        <v>0</v>
      </c>
      <c r="Q17" s="131"/>
    </row>
    <row r="18" spans="1:17" ht="15" thickBot="1" x14ac:dyDescent="0.4">
      <c r="A18" s="132" t="s">
        <v>117</v>
      </c>
      <c r="B18" s="153"/>
      <c r="C18" s="153"/>
      <c r="D18" s="153"/>
      <c r="E18" s="154"/>
      <c r="F18" s="154"/>
      <c r="G18" s="155"/>
      <c r="M18" s="121" t="s">
        <v>146</v>
      </c>
      <c r="N18" s="53">
        <f>J10</f>
        <v>150</v>
      </c>
      <c r="O18" s="53"/>
      <c r="P18" s="127">
        <f>J11</f>
        <v>80</v>
      </c>
      <c r="Q18" s="131"/>
    </row>
    <row r="19" spans="1:17" x14ac:dyDescent="0.35">
      <c r="M19" s="122" t="s">
        <v>241</v>
      </c>
      <c r="N19" s="54">
        <f>N14-N16-N17-N18</f>
        <v>11475</v>
      </c>
      <c r="O19" s="53"/>
      <c r="P19" s="162">
        <f>P14-P16-P18</f>
        <v>3780</v>
      </c>
      <c r="Q19" s="131"/>
    </row>
    <row r="20" spans="1:17" ht="15" thickBot="1" x14ac:dyDescent="0.4">
      <c r="M20" s="123" t="s">
        <v>242</v>
      </c>
      <c r="N20" s="124">
        <f>N19*E17</f>
        <v>20655000</v>
      </c>
      <c r="O20" s="124"/>
      <c r="P20" s="164">
        <f>P19*F17</f>
        <v>11907000</v>
      </c>
      <c r="Q20" s="165"/>
    </row>
    <row r="21" spans="1:17" x14ac:dyDescent="0.35">
      <c r="M21" s="127" t="s">
        <v>269</v>
      </c>
      <c r="P21" s="127">
        <f>N20+P20</f>
        <v>32562000</v>
      </c>
    </row>
    <row r="25" spans="1:17" customFormat="1" x14ac:dyDescent="0.35">
      <c r="A25" s="19" t="s">
        <v>114</v>
      </c>
      <c r="B25" s="18"/>
      <c r="C25" s="18"/>
      <c r="F25" s="51"/>
      <c r="G25" s="90"/>
    </row>
    <row r="26" spans="1:17" customFormat="1" ht="15" thickBot="1" x14ac:dyDescent="0.4">
      <c r="D26" t="s">
        <v>231</v>
      </c>
    </row>
    <row r="27" spans="1:17" customFormat="1" x14ac:dyDescent="0.35">
      <c r="B27" t="s">
        <v>203</v>
      </c>
      <c r="C27" t="s">
        <v>203</v>
      </c>
      <c r="D27" t="s">
        <v>156</v>
      </c>
      <c r="E27" t="s">
        <v>156</v>
      </c>
      <c r="F27" t="s">
        <v>156</v>
      </c>
      <c r="G27" t="s">
        <v>156</v>
      </c>
      <c r="H27" t="s">
        <v>156</v>
      </c>
      <c r="I27" t="s">
        <v>156</v>
      </c>
      <c r="J27" t="s">
        <v>156</v>
      </c>
      <c r="K27" t="s">
        <v>156</v>
      </c>
      <c r="L27" s="209" t="s">
        <v>156</v>
      </c>
      <c r="M27" t="s">
        <v>156</v>
      </c>
      <c r="N27" s="74"/>
      <c r="O27" s="75">
        <f>O5</f>
        <v>0.15</v>
      </c>
    </row>
    <row r="28" spans="1:17" customFormat="1" x14ac:dyDescent="0.35">
      <c r="A28" s="199" t="s">
        <v>90</v>
      </c>
      <c r="B28" s="85">
        <v>1</v>
      </c>
      <c r="C28" s="85">
        <v>2</v>
      </c>
      <c r="D28" s="85">
        <v>3</v>
      </c>
      <c r="E28" s="85">
        <v>4</v>
      </c>
      <c r="F28" s="85">
        <v>5</v>
      </c>
      <c r="G28" s="85">
        <v>6</v>
      </c>
      <c r="H28" s="85">
        <v>7</v>
      </c>
      <c r="I28" s="85">
        <v>8</v>
      </c>
      <c r="J28" s="85">
        <v>9</v>
      </c>
      <c r="K28" s="85">
        <v>10</v>
      </c>
      <c r="L28" s="85">
        <v>11</v>
      </c>
      <c r="M28" s="200">
        <v>12</v>
      </c>
      <c r="N28" s="23" t="s">
        <v>98</v>
      </c>
      <c r="O28" s="76">
        <f>NPV(O27,B39:M39)</f>
        <v>31969190.992233749</v>
      </c>
      <c r="Q28" s="166"/>
    </row>
    <row r="29" spans="1:17" customFormat="1" x14ac:dyDescent="0.35">
      <c r="A29" s="78" t="s">
        <v>274</v>
      </c>
      <c r="B29">
        <v>0</v>
      </c>
      <c r="C29">
        <v>0</v>
      </c>
      <c r="D29">
        <f>$P$21</f>
        <v>32562000</v>
      </c>
      <c r="E29">
        <f t="shared" ref="D29:M29" si="0">$P$21</f>
        <v>32562000</v>
      </c>
      <c r="F29">
        <f t="shared" si="0"/>
        <v>32562000</v>
      </c>
      <c r="G29">
        <f t="shared" si="0"/>
        <v>32562000</v>
      </c>
      <c r="H29">
        <f t="shared" si="0"/>
        <v>32562000</v>
      </c>
      <c r="I29">
        <f t="shared" si="0"/>
        <v>32562000</v>
      </c>
      <c r="J29">
        <f t="shared" si="0"/>
        <v>32562000</v>
      </c>
      <c r="K29">
        <f t="shared" si="0"/>
        <v>32562000</v>
      </c>
      <c r="L29">
        <f t="shared" si="0"/>
        <v>32562000</v>
      </c>
      <c r="M29">
        <f t="shared" si="0"/>
        <v>32562000</v>
      </c>
      <c r="N29" s="23" t="s">
        <v>175</v>
      </c>
      <c r="O29" s="24">
        <f>NPV(O27,B29:M29)/NPV(O27,B30:M30)</f>
        <v>1.3490060743513321</v>
      </c>
      <c r="Q29" s="166"/>
    </row>
    <row r="30" spans="1:17" customFormat="1" x14ac:dyDescent="0.35">
      <c r="A30" s="78" t="s">
        <v>180</v>
      </c>
      <c r="B30" s="2">
        <f>B31+B32+B36</f>
        <v>8999999.9999999981</v>
      </c>
      <c r="C30" s="2">
        <f>C31+C32+C36</f>
        <v>5999999.9999999991</v>
      </c>
      <c r="D30" s="2">
        <f>D31+D32+D36</f>
        <v>20880000</v>
      </c>
      <c r="E30" s="2">
        <f t="shared" ref="E30:M30" si="1">E31+E32+E36</f>
        <v>20880000</v>
      </c>
      <c r="F30" s="2">
        <f t="shared" si="1"/>
        <v>20880000</v>
      </c>
      <c r="G30" s="2">
        <f t="shared" si="1"/>
        <v>20880000</v>
      </c>
      <c r="H30" s="2">
        <f t="shared" si="1"/>
        <v>20880000</v>
      </c>
      <c r="I30" s="2">
        <f t="shared" si="1"/>
        <v>20880000</v>
      </c>
      <c r="J30" s="2">
        <f t="shared" si="1"/>
        <v>20880000</v>
      </c>
      <c r="K30" s="2">
        <f t="shared" si="1"/>
        <v>20880000</v>
      </c>
      <c r="L30" s="2">
        <f t="shared" si="1"/>
        <v>20880000</v>
      </c>
      <c r="M30" s="2">
        <f t="shared" si="1"/>
        <v>20880000</v>
      </c>
      <c r="N30" s="23"/>
      <c r="O30" s="24"/>
      <c r="Q30" s="166"/>
    </row>
    <row r="31" spans="1:17" customFormat="1" ht="15" thickBot="1" x14ac:dyDescent="0.4">
      <c r="A31" s="166" t="s">
        <v>271</v>
      </c>
      <c r="B31">
        <v>0</v>
      </c>
      <c r="C31">
        <v>0</v>
      </c>
      <c r="D31">
        <f>$G$17*$C$17</f>
        <v>11250000</v>
      </c>
      <c r="E31">
        <f t="shared" ref="E31:M31" si="2">$G$17*$C$17</f>
        <v>11250000</v>
      </c>
      <c r="F31">
        <f t="shared" si="2"/>
        <v>11250000</v>
      </c>
      <c r="G31">
        <f t="shared" si="2"/>
        <v>11250000</v>
      </c>
      <c r="H31">
        <f t="shared" si="2"/>
        <v>11250000</v>
      </c>
      <c r="I31">
        <f t="shared" si="2"/>
        <v>11250000</v>
      </c>
      <c r="J31">
        <f t="shared" si="2"/>
        <v>11250000</v>
      </c>
      <c r="K31">
        <f t="shared" si="2"/>
        <v>11250000</v>
      </c>
      <c r="L31">
        <f t="shared" si="2"/>
        <v>11250000</v>
      </c>
      <c r="M31">
        <f t="shared" si="2"/>
        <v>11250000</v>
      </c>
      <c r="N31" s="77" t="s">
        <v>99</v>
      </c>
      <c r="O31" s="37">
        <f>IRR(B39:M39)</f>
        <v>0.57324799047893005</v>
      </c>
      <c r="Q31" s="166"/>
    </row>
    <row r="32" spans="1:17" customFormat="1" x14ac:dyDescent="0.35">
      <c r="A32" s="166" t="s">
        <v>273</v>
      </c>
      <c r="B32">
        <v>0</v>
      </c>
      <c r="C32">
        <v>0</v>
      </c>
      <c r="D32">
        <f>$C$17*(($D$10*$C$10)+($C$11*$D$11))</f>
        <v>9630000</v>
      </c>
      <c r="E32">
        <f t="shared" ref="E32:M32" si="3">$C$17*(($D$10*$C$10)+($C$11*$D$11))</f>
        <v>9630000</v>
      </c>
      <c r="F32">
        <f t="shared" si="3"/>
        <v>9630000</v>
      </c>
      <c r="G32">
        <f t="shared" si="3"/>
        <v>9630000</v>
      </c>
      <c r="H32">
        <f t="shared" si="3"/>
        <v>9630000</v>
      </c>
      <c r="I32">
        <f t="shared" si="3"/>
        <v>9630000</v>
      </c>
      <c r="J32">
        <f t="shared" si="3"/>
        <v>9630000</v>
      </c>
      <c r="K32">
        <f t="shared" si="3"/>
        <v>9630000</v>
      </c>
      <c r="L32">
        <f t="shared" si="3"/>
        <v>9630000</v>
      </c>
      <c r="M32">
        <f t="shared" si="3"/>
        <v>9630000</v>
      </c>
      <c r="N32" s="1"/>
      <c r="O32" s="4"/>
      <c r="Q32" s="83"/>
    </row>
    <row r="33" spans="1:22" customFormat="1" x14ac:dyDescent="0.35">
      <c r="A33" s="201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1"/>
      <c r="O33" s="4"/>
    </row>
    <row r="34" spans="1:22" customFormat="1" x14ac:dyDescent="0.35">
      <c r="A34" s="201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1"/>
      <c r="O34" s="4"/>
    </row>
    <row r="35" spans="1:22" customFormat="1" x14ac:dyDescent="0.35">
      <c r="A35" s="83" t="s">
        <v>193</v>
      </c>
      <c r="N35" s="1"/>
      <c r="O35" s="4"/>
    </row>
    <row r="36" spans="1:22" customFormat="1" x14ac:dyDescent="0.35">
      <c r="A36" s="80" t="s">
        <v>184</v>
      </c>
      <c r="B36" s="2">
        <f>C3*(1-$J$3)</f>
        <v>8999999.9999999981</v>
      </c>
      <c r="C36" s="2">
        <f>C4*(1-$J$3)</f>
        <v>5999999.9999999991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U36" s="52"/>
      <c r="V36" s="53"/>
    </row>
    <row r="37" spans="1:22" customFormat="1" x14ac:dyDescent="0.35">
      <c r="A37" s="80" t="s">
        <v>185</v>
      </c>
      <c r="B37">
        <f>B36*$J$3</f>
        <v>7199999.9999999991</v>
      </c>
      <c r="C37">
        <f>C36*$J$3</f>
        <v>4799999.9999999991</v>
      </c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U37" s="53"/>
      <c r="V37" s="53"/>
    </row>
    <row r="38" spans="1:22" customFormat="1" ht="15" thickBot="1" x14ac:dyDescent="0.4">
      <c r="A38" s="53"/>
      <c r="U38" s="53"/>
      <c r="V38" s="53"/>
    </row>
    <row r="39" spans="1:22" customFormat="1" ht="15" thickBot="1" x14ac:dyDescent="0.4">
      <c r="A39" s="169" t="s">
        <v>112</v>
      </c>
      <c r="B39" s="170">
        <f>B29-B30</f>
        <v>-8999999.9999999981</v>
      </c>
      <c r="C39" s="170">
        <f>C29-C30</f>
        <v>-5999999.9999999991</v>
      </c>
      <c r="D39" s="170">
        <f t="shared" ref="D39:M39" si="4">D29-D30</f>
        <v>11682000</v>
      </c>
      <c r="E39" s="170">
        <f t="shared" si="4"/>
        <v>11682000</v>
      </c>
      <c r="F39" s="170">
        <f t="shared" si="4"/>
        <v>11682000</v>
      </c>
      <c r="G39" s="170">
        <f t="shared" si="4"/>
        <v>11682000</v>
      </c>
      <c r="H39" s="170">
        <f t="shared" si="4"/>
        <v>11682000</v>
      </c>
      <c r="I39" s="170">
        <f t="shared" si="4"/>
        <v>11682000</v>
      </c>
      <c r="J39" s="170">
        <f t="shared" si="4"/>
        <v>11682000</v>
      </c>
      <c r="K39" s="170">
        <f t="shared" si="4"/>
        <v>11682000</v>
      </c>
      <c r="L39" s="170">
        <f t="shared" si="4"/>
        <v>11682000</v>
      </c>
      <c r="M39" s="170">
        <f t="shared" si="4"/>
        <v>11682000</v>
      </c>
    </row>
    <row r="40" spans="1:22" customFormat="1" x14ac:dyDescent="0.35"/>
    <row r="41" spans="1:22" customFormat="1" x14ac:dyDescent="0.35">
      <c r="A41" s="127"/>
    </row>
    <row r="42" spans="1:22" customFormat="1" x14ac:dyDescent="0.35">
      <c r="A42" s="127"/>
    </row>
    <row r="43" spans="1:22" customFormat="1" x14ac:dyDescent="0.35">
      <c r="A43" s="92" t="s">
        <v>198</v>
      </c>
      <c r="B43" s="93"/>
      <c r="C43" s="93"/>
      <c r="F43" s="51"/>
      <c r="G43" s="90"/>
    </row>
    <row r="44" spans="1:22" ht="15" thickBot="1" x14ac:dyDescent="0.4">
      <c r="A44"/>
      <c r="B44"/>
      <c r="C44"/>
      <c r="D44" t="s">
        <v>231</v>
      </c>
      <c r="E44"/>
      <c r="F44"/>
      <c r="G44"/>
      <c r="H44"/>
      <c r="I44"/>
      <c r="J44"/>
      <c r="K44"/>
      <c r="L44"/>
      <c r="M44"/>
      <c r="N44"/>
      <c r="O44"/>
    </row>
    <row r="45" spans="1:22" x14ac:dyDescent="0.35">
      <c r="A45"/>
      <c r="B45" t="s">
        <v>203</v>
      </c>
      <c r="C45" t="s">
        <v>203</v>
      </c>
      <c r="D45" t="s">
        <v>156</v>
      </c>
      <c r="E45" t="s">
        <v>156</v>
      </c>
      <c r="F45" t="s">
        <v>156</v>
      </c>
      <c r="G45" t="s">
        <v>156</v>
      </c>
      <c r="H45" t="s">
        <v>156</v>
      </c>
      <c r="I45" t="s">
        <v>156</v>
      </c>
      <c r="J45" t="s">
        <v>156</v>
      </c>
      <c r="K45" t="s">
        <v>156</v>
      </c>
      <c r="L45" t="s">
        <v>156</v>
      </c>
      <c r="M45" t="s">
        <v>156</v>
      </c>
      <c r="N45" s="74"/>
      <c r="O45" s="75">
        <f>O5</f>
        <v>0.15</v>
      </c>
    </row>
    <row r="46" spans="1:22" x14ac:dyDescent="0.35">
      <c r="A46" s="199" t="s">
        <v>90</v>
      </c>
      <c r="B46" s="85">
        <v>1</v>
      </c>
      <c r="C46" s="85">
        <v>2</v>
      </c>
      <c r="D46" s="85">
        <v>3</v>
      </c>
      <c r="E46" s="85">
        <v>4</v>
      </c>
      <c r="F46" s="85">
        <v>5</v>
      </c>
      <c r="G46" s="85">
        <v>6</v>
      </c>
      <c r="H46" s="85">
        <v>7</v>
      </c>
      <c r="I46" s="85">
        <v>8</v>
      </c>
      <c r="J46" s="85">
        <v>9</v>
      </c>
      <c r="K46" s="85">
        <v>10</v>
      </c>
      <c r="L46" s="85">
        <v>11</v>
      </c>
      <c r="M46" s="200">
        <v>12</v>
      </c>
      <c r="N46" s="23" t="s">
        <v>98</v>
      </c>
      <c r="O46" s="76">
        <f>NPV(O45,B57:M57)</f>
        <v>-15474685.693143323</v>
      </c>
    </row>
    <row r="47" spans="1:22" x14ac:dyDescent="0.35">
      <c r="A47" s="78" t="s">
        <v>274</v>
      </c>
      <c r="B47">
        <v>0</v>
      </c>
      <c r="C47">
        <v>0</v>
      </c>
      <c r="D47">
        <f>$P$21</f>
        <v>32562000</v>
      </c>
      <c r="E47">
        <f t="shared" ref="E47:M47" si="5">$P$21</f>
        <v>32562000</v>
      </c>
      <c r="F47">
        <f t="shared" si="5"/>
        <v>32562000</v>
      </c>
      <c r="G47">
        <f t="shared" si="5"/>
        <v>32562000</v>
      </c>
      <c r="H47">
        <f t="shared" si="5"/>
        <v>32562000</v>
      </c>
      <c r="I47">
        <f t="shared" si="5"/>
        <v>32562000</v>
      </c>
      <c r="J47">
        <f t="shared" si="5"/>
        <v>32562000</v>
      </c>
      <c r="K47">
        <f t="shared" si="5"/>
        <v>32562000</v>
      </c>
      <c r="L47">
        <f t="shared" si="5"/>
        <v>32562000</v>
      </c>
      <c r="M47">
        <f t="shared" si="5"/>
        <v>32562000</v>
      </c>
      <c r="N47" s="23" t="s">
        <v>175</v>
      </c>
      <c r="O47" s="24">
        <f>NPV(O45,B47:M47)/NPV(O45,B48:M48)</f>
        <v>0.88870699481824644</v>
      </c>
    </row>
    <row r="48" spans="1:22" x14ac:dyDescent="0.35">
      <c r="A48" s="78" t="s">
        <v>180</v>
      </c>
      <c r="B48" s="2">
        <f>B49+B50+B54</f>
        <v>41400000</v>
      </c>
      <c r="C48" s="2">
        <f>C49+C50+C54</f>
        <v>27600000</v>
      </c>
      <c r="D48" s="2">
        <f>D49+D50+D54</f>
        <v>21654000</v>
      </c>
      <c r="E48" s="2">
        <f t="shared" ref="E48" si="6">E49+E50+E54</f>
        <v>21654000</v>
      </c>
      <c r="F48" s="2">
        <f t="shared" ref="F48" si="7">F49+F50+F54</f>
        <v>21654000</v>
      </c>
      <c r="G48" s="2">
        <f t="shared" ref="G48" si="8">G49+G50+G54</f>
        <v>21654000</v>
      </c>
      <c r="H48" s="2">
        <f t="shared" ref="H48" si="9">H49+H50+H54</f>
        <v>21654000</v>
      </c>
      <c r="I48" s="2">
        <f t="shared" ref="I48" si="10">I49+I50+I54</f>
        <v>21654000</v>
      </c>
      <c r="J48" s="2">
        <f t="shared" ref="J48" si="11">J49+J50+J54</f>
        <v>21654000</v>
      </c>
      <c r="K48" s="2">
        <f t="shared" ref="K48" si="12">K49+K50+K54</f>
        <v>21654000</v>
      </c>
      <c r="L48" s="2">
        <f t="shared" ref="L48" si="13">L49+L50+L54</f>
        <v>21654000</v>
      </c>
      <c r="M48" s="2">
        <f t="shared" ref="M48" si="14">M49+M50+M54</f>
        <v>21654000</v>
      </c>
      <c r="N48" s="23"/>
      <c r="O48" s="24"/>
    </row>
    <row r="49" spans="1:15" ht="15" thickBot="1" x14ac:dyDescent="0.4">
      <c r="A49" s="166" t="s">
        <v>271</v>
      </c>
      <c r="B49">
        <v>0</v>
      </c>
      <c r="C49">
        <v>0</v>
      </c>
      <c r="D49">
        <f>$G$17*$C$17</f>
        <v>11250000</v>
      </c>
      <c r="E49">
        <f t="shared" ref="E49:M49" si="15">$G$17*$C$17</f>
        <v>11250000</v>
      </c>
      <c r="F49">
        <f t="shared" si="15"/>
        <v>11250000</v>
      </c>
      <c r="G49">
        <f t="shared" si="15"/>
        <v>11250000</v>
      </c>
      <c r="H49">
        <f t="shared" si="15"/>
        <v>11250000</v>
      </c>
      <c r="I49">
        <f t="shared" si="15"/>
        <v>11250000</v>
      </c>
      <c r="J49">
        <f t="shared" si="15"/>
        <v>11250000</v>
      </c>
      <c r="K49">
        <f t="shared" si="15"/>
        <v>11250000</v>
      </c>
      <c r="L49">
        <f t="shared" si="15"/>
        <v>11250000</v>
      </c>
      <c r="M49">
        <f t="shared" si="15"/>
        <v>11250000</v>
      </c>
      <c r="N49" s="77" t="s">
        <v>99</v>
      </c>
      <c r="O49" s="37">
        <f>IRR(B57:M57)</f>
        <v>8.2390296761337023E-2</v>
      </c>
    </row>
    <row r="50" spans="1:15" x14ac:dyDescent="0.35">
      <c r="A50" s="166" t="s">
        <v>273</v>
      </c>
      <c r="B50">
        <v>0</v>
      </c>
      <c r="C50">
        <v>0</v>
      </c>
      <c r="D50">
        <f>$C$17*(($D$12*$C$10)+($C$11*$D$13))</f>
        <v>10404000</v>
      </c>
      <c r="E50">
        <f t="shared" ref="E50:M50" si="16">$C$17*(($D$12*$C$10)+($C$11*$D$13))</f>
        <v>10404000</v>
      </c>
      <c r="F50">
        <f t="shared" si="16"/>
        <v>10404000</v>
      </c>
      <c r="G50">
        <f t="shared" si="16"/>
        <v>10404000</v>
      </c>
      <c r="H50">
        <f t="shared" si="16"/>
        <v>10404000</v>
      </c>
      <c r="I50">
        <f t="shared" si="16"/>
        <v>10404000</v>
      </c>
      <c r="J50">
        <f t="shared" si="16"/>
        <v>10404000</v>
      </c>
      <c r="K50">
        <f t="shared" si="16"/>
        <v>10404000</v>
      </c>
      <c r="L50">
        <f t="shared" si="16"/>
        <v>10404000</v>
      </c>
      <c r="M50">
        <f t="shared" si="16"/>
        <v>10404000</v>
      </c>
      <c r="N50" s="1"/>
      <c r="O50" s="4"/>
    </row>
    <row r="51" spans="1:15" x14ac:dyDescent="0.35">
      <c r="A51" s="201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1"/>
      <c r="O51" s="4"/>
    </row>
    <row r="52" spans="1:15" x14ac:dyDescent="0.35">
      <c r="A52" s="201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1"/>
      <c r="O52" s="4"/>
    </row>
    <row r="53" spans="1:15" x14ac:dyDescent="0.35">
      <c r="A53" s="83" t="s">
        <v>193</v>
      </c>
      <c r="B53"/>
      <c r="C53"/>
      <c r="D53"/>
      <c r="E53"/>
      <c r="F53"/>
      <c r="G53"/>
      <c r="H53"/>
      <c r="I53"/>
      <c r="J53"/>
      <c r="K53"/>
      <c r="L53"/>
      <c r="M53"/>
      <c r="N53" s="1"/>
      <c r="O53" s="4"/>
    </row>
    <row r="54" spans="1:15" x14ac:dyDescent="0.35">
      <c r="A54" s="80" t="s">
        <v>184</v>
      </c>
      <c r="B54" s="2">
        <f>C5</f>
        <v>41400000</v>
      </c>
      <c r="C54" s="2">
        <f>C6</f>
        <v>27600000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/>
      <c r="O54"/>
    </row>
    <row r="55" spans="1:15" x14ac:dyDescent="0.35">
      <c r="A55" s="80" t="s">
        <v>185</v>
      </c>
      <c r="B55">
        <f>B54*$J$3</f>
        <v>33120000</v>
      </c>
      <c r="C55">
        <f>C54*$J$3</f>
        <v>22080000</v>
      </c>
      <c r="N55"/>
      <c r="O55"/>
    </row>
    <row r="56" spans="1:15" ht="15" thickBot="1" x14ac:dyDescent="0.4">
      <c r="A56" s="53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ht="15" thickBot="1" x14ac:dyDescent="0.4">
      <c r="A57" s="169" t="s">
        <v>112</v>
      </c>
      <c r="B57" s="170">
        <f>B47-B48</f>
        <v>-41400000</v>
      </c>
      <c r="C57" s="170">
        <f>C47-C48</f>
        <v>-27600000</v>
      </c>
      <c r="D57" s="170">
        <f>D47-D48</f>
        <v>10908000</v>
      </c>
      <c r="E57" s="170">
        <f t="shared" ref="E57:M57" si="17">E47-E48</f>
        <v>10908000</v>
      </c>
      <c r="F57" s="170">
        <f t="shared" si="17"/>
        <v>10908000</v>
      </c>
      <c r="G57" s="170">
        <f t="shared" si="17"/>
        <v>10908000</v>
      </c>
      <c r="H57" s="170">
        <f t="shared" si="17"/>
        <v>10908000</v>
      </c>
      <c r="I57" s="170">
        <f t="shared" si="17"/>
        <v>10908000</v>
      </c>
      <c r="J57" s="170">
        <f t="shared" si="17"/>
        <v>10908000</v>
      </c>
      <c r="K57" s="170">
        <f t="shared" si="17"/>
        <v>10908000</v>
      </c>
      <c r="L57" s="170">
        <f t="shared" si="17"/>
        <v>10908000</v>
      </c>
      <c r="M57" s="170">
        <f t="shared" si="17"/>
        <v>10908000</v>
      </c>
      <c r="N57"/>
      <c r="O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46C2-30FE-43AE-A694-2BA34C4EAA6B}">
  <dimension ref="A1:O62"/>
  <sheetViews>
    <sheetView tabSelected="1" topLeftCell="A39" zoomScale="72" workbookViewId="0">
      <selection activeCell="C40" sqref="C40"/>
    </sheetView>
  </sheetViews>
  <sheetFormatPr defaultRowHeight="14.5" x14ac:dyDescent="0.35"/>
  <cols>
    <col min="1" max="1" width="24.90625" customWidth="1"/>
    <col min="2" max="2" width="20.26953125" customWidth="1"/>
    <col min="3" max="3" width="12.08984375" bestFit="1" customWidth="1"/>
    <col min="4" max="4" width="11.453125" bestFit="1" customWidth="1"/>
    <col min="5" max="5" width="19.7265625" customWidth="1"/>
    <col min="6" max="6" width="15.08984375" customWidth="1"/>
    <col min="7" max="7" width="16.90625" customWidth="1"/>
    <col min="8" max="8" width="11.453125" bestFit="1" customWidth="1"/>
    <col min="9" max="9" width="28" customWidth="1"/>
    <col min="10" max="10" width="20.6328125" customWidth="1"/>
    <col min="11" max="13" width="11.453125" bestFit="1" customWidth="1"/>
    <col min="15" max="15" width="16.6328125" bestFit="1" customWidth="1"/>
  </cols>
  <sheetData>
    <row r="1" spans="1:12" ht="15" thickBot="1" x14ac:dyDescent="0.4">
      <c r="A1" s="171" t="s">
        <v>275</v>
      </c>
      <c r="B1" s="171" t="s">
        <v>1</v>
      </c>
      <c r="C1" s="171" t="s">
        <v>276</v>
      </c>
      <c r="J1" t="s">
        <v>316</v>
      </c>
      <c r="K1" t="s">
        <v>317</v>
      </c>
    </row>
    <row r="2" spans="1:12" x14ac:dyDescent="0.35">
      <c r="A2" s="172" t="s">
        <v>277</v>
      </c>
      <c r="B2" s="21"/>
      <c r="C2" s="22"/>
      <c r="E2" s="172" t="s">
        <v>285</v>
      </c>
      <c r="F2" s="21"/>
      <c r="G2" s="22"/>
      <c r="I2" s="187" t="s">
        <v>315</v>
      </c>
      <c r="J2" s="70">
        <v>1</v>
      </c>
      <c r="K2" s="70">
        <v>1000</v>
      </c>
      <c r="L2" s="70"/>
    </row>
    <row r="3" spans="1:12" x14ac:dyDescent="0.35">
      <c r="A3" s="173" t="s">
        <v>278</v>
      </c>
      <c r="B3" s="70">
        <v>5</v>
      </c>
      <c r="C3" s="174" t="s">
        <v>279</v>
      </c>
      <c r="E3" s="26"/>
      <c r="F3" s="70" t="s">
        <v>287</v>
      </c>
      <c r="G3" s="174" t="s">
        <v>289</v>
      </c>
      <c r="I3" s="70"/>
      <c r="J3" s="188"/>
      <c r="K3" s="71"/>
      <c r="L3" s="70"/>
    </row>
    <row r="4" spans="1:12" x14ac:dyDescent="0.35">
      <c r="A4" s="173" t="s">
        <v>280</v>
      </c>
      <c r="B4" s="70">
        <v>300</v>
      </c>
      <c r="C4" s="174" t="s">
        <v>281</v>
      </c>
      <c r="E4" s="173" t="s">
        <v>286</v>
      </c>
      <c r="F4" s="70">
        <v>900</v>
      </c>
      <c r="G4" s="174"/>
    </row>
    <row r="5" spans="1:12" ht="15" thickBot="1" x14ac:dyDescent="0.4">
      <c r="A5" s="173" t="s">
        <v>282</v>
      </c>
      <c r="B5" s="70">
        <v>400</v>
      </c>
      <c r="C5" s="174" t="s">
        <v>281</v>
      </c>
      <c r="E5" s="29" t="s">
        <v>288</v>
      </c>
      <c r="F5" s="179"/>
      <c r="G5" s="177">
        <v>125</v>
      </c>
    </row>
    <row r="6" spans="1:12" ht="15" thickBot="1" x14ac:dyDescent="0.4">
      <c r="A6" s="182" t="s">
        <v>306</v>
      </c>
      <c r="B6" s="176">
        <v>-0.01</v>
      </c>
      <c r="C6" s="177"/>
      <c r="D6" s="70"/>
      <c r="I6" s="59" t="s">
        <v>243</v>
      </c>
      <c r="J6" s="191" t="s">
        <v>307</v>
      </c>
      <c r="K6" s="192" t="s">
        <v>308</v>
      </c>
    </row>
    <row r="7" spans="1:12" ht="15" thickBot="1" x14ac:dyDescent="0.4">
      <c r="A7" s="70"/>
      <c r="B7" s="71"/>
      <c r="E7" s="172" t="s">
        <v>290</v>
      </c>
      <c r="F7" s="21"/>
      <c r="G7" s="180"/>
      <c r="I7" s="65" t="s">
        <v>234</v>
      </c>
      <c r="J7" s="53"/>
      <c r="K7" s="56">
        <f>(B3*1000)</f>
        <v>5000</v>
      </c>
    </row>
    <row r="8" spans="1:12" x14ac:dyDescent="0.35">
      <c r="A8" s="172" t="s">
        <v>283</v>
      </c>
      <c r="B8" s="22"/>
      <c r="C8" s="70"/>
      <c r="E8" s="173" t="s">
        <v>291</v>
      </c>
      <c r="F8" s="70">
        <v>140</v>
      </c>
      <c r="G8" s="174" t="s">
        <v>292</v>
      </c>
      <c r="I8" s="65" t="s">
        <v>235</v>
      </c>
      <c r="J8" s="53"/>
      <c r="K8" s="56">
        <f>B4</f>
        <v>300</v>
      </c>
    </row>
    <row r="9" spans="1:12" x14ac:dyDescent="0.35">
      <c r="A9" s="183" t="s">
        <v>305</v>
      </c>
      <c r="B9" s="178">
        <v>0.05</v>
      </c>
      <c r="C9" s="70"/>
      <c r="E9" s="173" t="s">
        <v>293</v>
      </c>
      <c r="F9" s="70">
        <v>120</v>
      </c>
      <c r="G9" s="174" t="s">
        <v>292</v>
      </c>
      <c r="I9" s="61" t="s">
        <v>236</v>
      </c>
      <c r="J9" s="53"/>
      <c r="K9" s="56">
        <f>K7-K8</f>
        <v>4700</v>
      </c>
    </row>
    <row r="10" spans="1:12" x14ac:dyDescent="0.35">
      <c r="A10" s="183" t="s">
        <v>304</v>
      </c>
      <c r="B10" s="178">
        <v>0.03</v>
      </c>
      <c r="C10" s="70"/>
      <c r="E10" s="173" t="s">
        <v>294</v>
      </c>
      <c r="F10" s="70">
        <v>450</v>
      </c>
      <c r="G10" s="174" t="s">
        <v>292</v>
      </c>
      <c r="I10" s="65" t="s">
        <v>238</v>
      </c>
      <c r="J10" s="53" t="s">
        <v>312</v>
      </c>
      <c r="K10" s="56"/>
    </row>
    <row r="11" spans="1:12" x14ac:dyDescent="0.35">
      <c r="A11" s="173" t="s">
        <v>284</v>
      </c>
      <c r="B11" s="178">
        <v>0.02</v>
      </c>
      <c r="C11" s="70"/>
      <c r="E11" s="173" t="s">
        <v>295</v>
      </c>
      <c r="F11" s="70">
        <v>500</v>
      </c>
      <c r="G11" s="174" t="s">
        <v>292</v>
      </c>
      <c r="I11" s="121" t="s">
        <v>147</v>
      </c>
      <c r="J11" s="53"/>
      <c r="K11" s="56">
        <f>B5</f>
        <v>400</v>
      </c>
    </row>
    <row r="12" spans="1:12" ht="15" thickBot="1" x14ac:dyDescent="0.4">
      <c r="A12" s="182" t="s">
        <v>303</v>
      </c>
      <c r="B12" s="186">
        <v>0.02</v>
      </c>
      <c r="E12" s="173" t="s">
        <v>296</v>
      </c>
      <c r="F12" s="70">
        <v>800</v>
      </c>
      <c r="G12" s="174" t="s">
        <v>281</v>
      </c>
      <c r="I12" s="61" t="s">
        <v>241</v>
      </c>
      <c r="J12" s="53"/>
      <c r="K12" s="56">
        <f>K9+K11</f>
        <v>5100</v>
      </c>
    </row>
    <row r="13" spans="1:12" ht="15" thickBot="1" x14ac:dyDescent="0.4">
      <c r="E13" s="175" t="s">
        <v>297</v>
      </c>
      <c r="F13" s="179">
        <v>0.3</v>
      </c>
      <c r="G13" s="177"/>
      <c r="I13" s="185" t="s">
        <v>242</v>
      </c>
      <c r="J13" s="190"/>
      <c r="K13" s="67">
        <f>K12*(F4*G5)</f>
        <v>573750000</v>
      </c>
    </row>
    <row r="14" spans="1:12" ht="15" thickBot="1" x14ac:dyDescent="0.4">
      <c r="I14" s="189"/>
      <c r="J14" s="53"/>
      <c r="K14" s="53"/>
    </row>
    <row r="15" spans="1:12" x14ac:dyDescent="0.35">
      <c r="A15" s="193" t="s">
        <v>309</v>
      </c>
      <c r="B15" s="22"/>
      <c r="E15" s="172" t="s">
        <v>298</v>
      </c>
      <c r="F15" s="181"/>
      <c r="G15" s="22"/>
      <c r="I15" s="51"/>
      <c r="J15" s="53"/>
      <c r="K15" s="53"/>
    </row>
    <row r="16" spans="1:12" x14ac:dyDescent="0.35">
      <c r="A16" s="173" t="s">
        <v>318</v>
      </c>
      <c r="B16" s="196">
        <v>1500000</v>
      </c>
      <c r="E16" s="173" t="s">
        <v>299</v>
      </c>
      <c r="F16" s="70">
        <v>1.3</v>
      </c>
      <c r="G16" s="24"/>
      <c r="I16" s="51"/>
      <c r="J16" s="53"/>
      <c r="K16" s="53"/>
    </row>
    <row r="17" spans="1:15" x14ac:dyDescent="0.35">
      <c r="A17" s="173" t="s">
        <v>82</v>
      </c>
      <c r="B17" s="36">
        <v>1</v>
      </c>
      <c r="E17" s="183" t="s">
        <v>302</v>
      </c>
      <c r="F17" s="71">
        <v>0.1</v>
      </c>
      <c r="G17" s="24"/>
    </row>
    <row r="18" spans="1:15" ht="15" thickBot="1" x14ac:dyDescent="0.4">
      <c r="A18" s="175" t="s">
        <v>310</v>
      </c>
      <c r="B18" s="37">
        <v>0.3</v>
      </c>
      <c r="C18" t="s">
        <v>311</v>
      </c>
      <c r="E18" s="173" t="s">
        <v>300</v>
      </c>
      <c r="F18" s="70">
        <v>5</v>
      </c>
      <c r="G18" s="174" t="s">
        <v>19</v>
      </c>
    </row>
    <row r="19" spans="1:15" ht="15" thickBot="1" x14ac:dyDescent="0.4">
      <c r="E19" s="182" t="s">
        <v>301</v>
      </c>
      <c r="F19" s="176">
        <v>0.11</v>
      </c>
      <c r="G19" s="31"/>
    </row>
    <row r="20" spans="1:15" x14ac:dyDescent="0.35">
      <c r="F20" s="51"/>
      <c r="G20" s="90"/>
      <c r="I20" s="70"/>
    </row>
    <row r="21" spans="1:15" x14ac:dyDescent="0.35">
      <c r="F21" s="203">
        <f>(1+F19)/(1+B11)-1</f>
        <v>8.8235294117647189E-2</v>
      </c>
      <c r="G21" s="90"/>
    </row>
    <row r="22" spans="1:15" x14ac:dyDescent="0.35">
      <c r="F22" s="70"/>
      <c r="G22" s="70"/>
    </row>
    <row r="25" spans="1:15" x14ac:dyDescent="0.35">
      <c r="A25" s="184" t="s">
        <v>157</v>
      </c>
    </row>
    <row r="26" spans="1:15" x14ac:dyDescent="0.35">
      <c r="A26" s="19" t="s">
        <v>114</v>
      </c>
      <c r="F26" s="51"/>
      <c r="G26" s="90"/>
    </row>
    <row r="27" spans="1:15" ht="15" thickBot="1" x14ac:dyDescent="0.4">
      <c r="F27" s="51"/>
      <c r="G27" s="90"/>
    </row>
    <row r="28" spans="1:15" ht="14.25" customHeight="1" x14ac:dyDescent="0.35">
      <c r="B28" t="s">
        <v>154</v>
      </c>
      <c r="C28" t="s">
        <v>156</v>
      </c>
      <c r="F28" s="51"/>
      <c r="G28" s="90"/>
      <c r="N28" s="74"/>
      <c r="O28" s="75">
        <f>(1+$F$17)*(1+$B$11)-1</f>
        <v>0.12200000000000011</v>
      </c>
    </row>
    <row r="29" spans="1:15" x14ac:dyDescent="0.35">
      <c r="A29" s="199" t="s">
        <v>90</v>
      </c>
      <c r="B29" s="85">
        <v>1</v>
      </c>
      <c r="C29" s="85">
        <v>2</v>
      </c>
      <c r="D29" s="85">
        <v>3</v>
      </c>
      <c r="E29" s="85">
        <v>4</v>
      </c>
      <c r="F29" s="85">
        <v>5</v>
      </c>
      <c r="G29" s="85">
        <v>6</v>
      </c>
      <c r="H29" s="85">
        <v>7</v>
      </c>
      <c r="I29" s="85">
        <v>8</v>
      </c>
      <c r="J29" s="85">
        <v>9</v>
      </c>
      <c r="K29" s="85">
        <v>10</v>
      </c>
      <c r="L29" s="85">
        <v>11</v>
      </c>
      <c r="M29" s="200">
        <v>12</v>
      </c>
      <c r="N29" s="23" t="s">
        <v>98</v>
      </c>
      <c r="O29" s="76">
        <f>NPV($O$28,B41:M41)</f>
        <v>3386189844.9033451</v>
      </c>
    </row>
    <row r="30" spans="1:15" x14ac:dyDescent="0.35">
      <c r="A30" s="78" t="s">
        <v>183</v>
      </c>
      <c r="B30">
        <v>0</v>
      </c>
      <c r="C30">
        <f>$K$13*(1+$B$11)^C29</f>
        <v>596929500</v>
      </c>
      <c r="D30">
        <f>$K$13*(1+$B$11)^D29</f>
        <v>608868090</v>
      </c>
      <c r="E30">
        <f t="shared" ref="E30:M30" si="0">$K$13*(1+$B$11)^E29</f>
        <v>621045451.79999995</v>
      </c>
      <c r="F30">
        <f t="shared" si="0"/>
        <v>633466360.83599997</v>
      </c>
      <c r="G30">
        <f t="shared" si="0"/>
        <v>646135688.05272007</v>
      </c>
      <c r="H30">
        <f t="shared" si="0"/>
        <v>659058401.81377435</v>
      </c>
      <c r="I30">
        <f t="shared" si="0"/>
        <v>672239569.85004985</v>
      </c>
      <c r="J30">
        <f t="shared" si="0"/>
        <v>685684361.24705088</v>
      </c>
      <c r="K30">
        <f t="shared" si="0"/>
        <v>699398048.4719919</v>
      </c>
      <c r="L30">
        <f t="shared" si="0"/>
        <v>713386009.44143164</v>
      </c>
      <c r="M30">
        <f t="shared" si="0"/>
        <v>727653729.63026035</v>
      </c>
      <c r="N30" s="23" t="s">
        <v>175</v>
      </c>
      <c r="O30" s="24">
        <f>NPV(O28,B30:M30)/NPV(O28,B31:M31)</f>
        <v>2151.0581936412009</v>
      </c>
    </row>
    <row r="31" spans="1:15" x14ac:dyDescent="0.35">
      <c r="A31" s="78" t="s">
        <v>180</v>
      </c>
      <c r="B31" s="2">
        <f>-1*B34</f>
        <v>-1530000</v>
      </c>
      <c r="C31" s="2">
        <f>C37+C38+C39</f>
        <v>560140.14091171906</v>
      </c>
      <c r="D31" s="2">
        <f t="shared" ref="D31:M31" si="1">D37+D38+D39</f>
        <v>560140.14091171895</v>
      </c>
      <c r="E31" s="2">
        <f t="shared" si="1"/>
        <v>560140.14091171895</v>
      </c>
      <c r="F31" s="2">
        <f t="shared" si="1"/>
        <v>560140.14091171906</v>
      </c>
      <c r="G31" s="2">
        <f t="shared" si="1"/>
        <v>560140.14091171906</v>
      </c>
      <c r="H31" s="2">
        <f t="shared" si="1"/>
        <v>560140.14091171906</v>
      </c>
      <c r="I31" s="2">
        <f t="shared" si="1"/>
        <v>560140.14091171895</v>
      </c>
      <c r="J31" s="2">
        <f t="shared" si="1"/>
        <v>560140.14091171895</v>
      </c>
      <c r="K31" s="2">
        <f t="shared" si="1"/>
        <v>560140.14091171895</v>
      </c>
      <c r="L31" s="2">
        <f t="shared" si="1"/>
        <v>560140.14091171895</v>
      </c>
      <c r="M31" s="2">
        <f t="shared" si="1"/>
        <v>560140.14091171895</v>
      </c>
      <c r="N31" s="23"/>
      <c r="O31" s="24"/>
    </row>
    <row r="32" spans="1:15" ht="15" thickBot="1" x14ac:dyDescent="0.4">
      <c r="A32" s="194" t="s">
        <v>313</v>
      </c>
      <c r="N32" s="77" t="s">
        <v>99</v>
      </c>
      <c r="O32" s="37" t="e">
        <f>IRR(B41:M41)</f>
        <v>#NUM!</v>
      </c>
    </row>
    <row r="33" spans="1:15" x14ac:dyDescent="0.35">
      <c r="A33" s="80" t="s">
        <v>184</v>
      </c>
      <c r="B33" s="198">
        <f>$B$16*(1+$B$11)^$B$29</f>
        <v>1530000</v>
      </c>
    </row>
    <row r="34" spans="1:15" x14ac:dyDescent="0.35">
      <c r="A34" s="80" t="s">
        <v>185</v>
      </c>
      <c r="B34" s="198">
        <f>B33*B17</f>
        <v>1530000</v>
      </c>
    </row>
    <row r="35" spans="1:15" x14ac:dyDescent="0.35">
      <c r="A35" s="80" t="s">
        <v>186</v>
      </c>
      <c r="B35">
        <v>0</v>
      </c>
      <c r="C35" s="16">
        <f>PPMT($F$19,B29,$M$29-1,-$B$34)</f>
        <v>78215.140911718991</v>
      </c>
      <c r="D35" s="16">
        <f>PPMT($F$19,C29,$M$29-1,-$B$34)</f>
        <v>86818.806412008082</v>
      </c>
      <c r="E35" s="16">
        <f t="shared" ref="E35:J35" si="2">PPMT($F$19,D29,$M$29-1,-$B$34)</f>
        <v>96368.875117328978</v>
      </c>
      <c r="F35" s="16">
        <f t="shared" si="2"/>
        <v>106969.45138023516</v>
      </c>
      <c r="G35" s="16">
        <f t="shared" si="2"/>
        <v>118736.09103206103</v>
      </c>
      <c r="H35" s="16">
        <f>PPMT($F$19,G29,$M$29-1,-$B$34)</f>
        <v>131797.06104558776</v>
      </c>
      <c r="I35" s="16">
        <f t="shared" si="2"/>
        <v>146294.73776060238</v>
      </c>
      <c r="J35" s="16">
        <f t="shared" si="2"/>
        <v>162387.15891426866</v>
      </c>
      <c r="K35" s="16">
        <f>PPMT($F$19,J29,$M$29-1,-$B$34)</f>
        <v>180249.74639483821</v>
      </c>
      <c r="L35" s="16">
        <f>PPMT($F$19,K29,$M$29-1,-$B$34)</f>
        <v>200077.21849827041</v>
      </c>
      <c r="M35" s="16">
        <f>PPMT($F$19,L29,$M$29-1,-$B$34)</f>
        <v>222085.71253308016</v>
      </c>
    </row>
    <row r="36" spans="1:15" x14ac:dyDescent="0.35">
      <c r="A36" s="80" t="s">
        <v>187</v>
      </c>
      <c r="B36">
        <v>0</v>
      </c>
      <c r="C36" s="16">
        <f>IPMT($F$19,B29,$M$29-1,-$B$34)</f>
        <v>168300</v>
      </c>
      <c r="D36" s="16">
        <f>IPMT($F$19,C29,$M$29-1,-$B$34)</f>
        <v>159696.33449971088</v>
      </c>
      <c r="E36" s="16">
        <f t="shared" ref="E36:M36" si="3">IPMT($F$19,D29,$M$29-1,-$B$34)</f>
        <v>150146.26579439</v>
      </c>
      <c r="F36" s="16">
        <f t="shared" si="3"/>
        <v>139545.68953148383</v>
      </c>
      <c r="G36" s="16">
        <f t="shared" si="3"/>
        <v>127779.04987965796</v>
      </c>
      <c r="H36" s="16">
        <f t="shared" si="3"/>
        <v>114718.07986613124</v>
      </c>
      <c r="I36" s="16">
        <f t="shared" si="3"/>
        <v>100220.40315111658</v>
      </c>
      <c r="J36" s="16">
        <f t="shared" si="3"/>
        <v>84127.981997450319</v>
      </c>
      <c r="K36" s="16">
        <f t="shared" si="3"/>
        <v>66265.394516880755</v>
      </c>
      <c r="L36" s="16">
        <f t="shared" si="3"/>
        <v>46437.922413448563</v>
      </c>
      <c r="M36" s="16">
        <f t="shared" si="3"/>
        <v>24429.428378638815</v>
      </c>
    </row>
    <row r="37" spans="1:15" x14ac:dyDescent="0.35">
      <c r="A37" s="197" t="s">
        <v>188</v>
      </c>
      <c r="B37">
        <f>SUM(B35:B36)</f>
        <v>0</v>
      </c>
      <c r="C37">
        <f t="shared" ref="C37:M37" si="4">SUM(C35:C36)</f>
        <v>246515.14091171901</v>
      </c>
      <c r="D37">
        <f t="shared" si="4"/>
        <v>246515.14091171895</v>
      </c>
      <c r="E37">
        <f t="shared" si="4"/>
        <v>246515.14091171898</v>
      </c>
      <c r="F37">
        <f t="shared" si="4"/>
        <v>246515.14091171901</v>
      </c>
      <c r="G37">
        <f t="shared" si="4"/>
        <v>246515.14091171901</v>
      </c>
      <c r="H37">
        <f t="shared" si="4"/>
        <v>246515.14091171901</v>
      </c>
      <c r="I37">
        <f t="shared" si="4"/>
        <v>246515.14091171895</v>
      </c>
      <c r="J37">
        <f t="shared" si="4"/>
        <v>246515.14091171898</v>
      </c>
      <c r="K37">
        <f t="shared" si="4"/>
        <v>246515.14091171895</v>
      </c>
      <c r="L37">
        <f t="shared" si="4"/>
        <v>246515.14091171898</v>
      </c>
      <c r="M37">
        <f t="shared" si="4"/>
        <v>246515.14091171898</v>
      </c>
    </row>
    <row r="38" spans="1:15" x14ac:dyDescent="0.35">
      <c r="A38" s="195" t="s">
        <v>49</v>
      </c>
      <c r="B38">
        <v>0</v>
      </c>
      <c r="C38">
        <f>C39*F13</f>
        <v>72375</v>
      </c>
      <c r="D38">
        <f>D39*$B$18</f>
        <v>72375</v>
      </c>
      <c r="E38">
        <f t="shared" ref="E38:M38" si="5">E39*$B$18</f>
        <v>72375</v>
      </c>
      <c r="F38">
        <f t="shared" si="5"/>
        <v>72375</v>
      </c>
      <c r="G38">
        <f t="shared" si="5"/>
        <v>72375</v>
      </c>
      <c r="H38">
        <f t="shared" si="5"/>
        <v>72375</v>
      </c>
      <c r="I38">
        <f t="shared" si="5"/>
        <v>72375</v>
      </c>
      <c r="J38">
        <f t="shared" si="5"/>
        <v>72375</v>
      </c>
      <c r="K38">
        <f t="shared" si="5"/>
        <v>72375</v>
      </c>
      <c r="L38">
        <f t="shared" si="5"/>
        <v>72375</v>
      </c>
      <c r="M38">
        <f t="shared" si="5"/>
        <v>72375</v>
      </c>
    </row>
    <row r="39" spans="1:15" x14ac:dyDescent="0.35">
      <c r="A39" s="1" t="s">
        <v>314</v>
      </c>
      <c r="B39">
        <v>0</v>
      </c>
      <c r="C39">
        <f>(SUM($F$8:$F$11)*$G$5)+((($F$4*$G$5)/$K$2)*$F$12)</f>
        <v>241250</v>
      </c>
      <c r="D39">
        <f t="shared" ref="D39:M39" si="6">(SUM($F$8:$F$11)*$G$5)+((($F$4*$G$5)/$K$2)*$F$12)</f>
        <v>241250</v>
      </c>
      <c r="E39">
        <f t="shared" si="6"/>
        <v>241250</v>
      </c>
      <c r="F39">
        <f t="shared" si="6"/>
        <v>241250</v>
      </c>
      <c r="G39">
        <f t="shared" si="6"/>
        <v>241250</v>
      </c>
      <c r="H39">
        <f t="shared" si="6"/>
        <v>241250</v>
      </c>
      <c r="I39">
        <f t="shared" si="6"/>
        <v>241250</v>
      </c>
      <c r="J39">
        <f t="shared" si="6"/>
        <v>241250</v>
      </c>
      <c r="K39">
        <f t="shared" si="6"/>
        <v>241250</v>
      </c>
      <c r="L39">
        <f t="shared" si="6"/>
        <v>241250</v>
      </c>
      <c r="M39">
        <f t="shared" si="6"/>
        <v>241250</v>
      </c>
    </row>
    <row r="41" spans="1:15" x14ac:dyDescent="0.35">
      <c r="A41" s="85" t="s">
        <v>112</v>
      </c>
      <c r="B41" s="89">
        <f>B30-B31</f>
        <v>1530000</v>
      </c>
      <c r="C41" s="89">
        <f t="shared" ref="C41:M41" si="7">C30-C31</f>
        <v>596369359.8590883</v>
      </c>
      <c r="D41" s="89">
        <f t="shared" si="7"/>
        <v>608307949.8590883</v>
      </c>
      <c r="E41" s="89">
        <f t="shared" si="7"/>
        <v>620485311.65908825</v>
      </c>
      <c r="F41" s="89">
        <f t="shared" si="7"/>
        <v>632906220.69508827</v>
      </c>
      <c r="G41" s="89">
        <f t="shared" si="7"/>
        <v>645575547.91180837</v>
      </c>
      <c r="H41" s="89">
        <f t="shared" si="7"/>
        <v>658498261.67286265</v>
      </c>
      <c r="I41" s="89">
        <f t="shared" si="7"/>
        <v>671679429.70913815</v>
      </c>
      <c r="J41" s="89">
        <f t="shared" si="7"/>
        <v>685124221.10613918</v>
      </c>
      <c r="K41" s="89">
        <f t="shared" si="7"/>
        <v>698837908.3310802</v>
      </c>
      <c r="L41" s="89">
        <f t="shared" si="7"/>
        <v>712825869.30051994</v>
      </c>
      <c r="M41" s="89">
        <f t="shared" si="7"/>
        <v>727093589.48934865</v>
      </c>
    </row>
    <row r="42" spans="1:15" x14ac:dyDescent="0.35">
      <c r="A42" s="1"/>
    </row>
    <row r="44" spans="1:15" x14ac:dyDescent="0.35">
      <c r="A44" s="1"/>
    </row>
    <row r="45" spans="1:15" x14ac:dyDescent="0.35">
      <c r="A45" s="202" t="s">
        <v>195</v>
      </c>
    </row>
    <row r="46" spans="1:15" x14ac:dyDescent="0.35">
      <c r="A46" s="19" t="s">
        <v>114</v>
      </c>
      <c r="F46" s="51"/>
      <c r="G46" s="90"/>
    </row>
    <row r="47" spans="1:15" ht="15" thickBot="1" x14ac:dyDescent="0.4">
      <c r="F47" s="51"/>
      <c r="G47" s="90"/>
    </row>
    <row r="48" spans="1:15" x14ac:dyDescent="0.35">
      <c r="B48" t="s">
        <v>154</v>
      </c>
      <c r="C48" t="s">
        <v>156</v>
      </c>
      <c r="F48" s="51"/>
      <c r="G48" s="90"/>
      <c r="N48" s="74"/>
      <c r="O48" s="75">
        <f>(1+$F$17)*(1+$B$11)-1</f>
        <v>0.12200000000000011</v>
      </c>
    </row>
    <row r="49" spans="1:15" x14ac:dyDescent="0.35">
      <c r="A49" s="199" t="s">
        <v>90</v>
      </c>
      <c r="B49" s="85">
        <v>1</v>
      </c>
      <c r="C49" s="85">
        <v>2</v>
      </c>
      <c r="D49" s="85">
        <v>3</v>
      </c>
      <c r="E49" s="85">
        <v>4</v>
      </c>
      <c r="F49" s="85">
        <v>5</v>
      </c>
      <c r="G49" s="85">
        <v>6</v>
      </c>
      <c r="H49" s="85">
        <v>7</v>
      </c>
      <c r="I49" s="85">
        <v>8</v>
      </c>
      <c r="J49" s="85">
        <v>9</v>
      </c>
      <c r="K49" s="85">
        <v>10</v>
      </c>
      <c r="L49" s="85">
        <v>11</v>
      </c>
      <c r="M49" s="200">
        <v>12</v>
      </c>
      <c r="N49" s="23" t="s">
        <v>98</v>
      </c>
      <c r="O49" s="76">
        <f>NPV($O$28,B61:M61)</f>
        <v>3825540482.7543974</v>
      </c>
    </row>
    <row r="50" spans="1:15" x14ac:dyDescent="0.35">
      <c r="A50" s="78" t="s">
        <v>183</v>
      </c>
      <c r="B50">
        <v>0</v>
      </c>
      <c r="C50">
        <f t="shared" ref="C50:I50" si="8">C30*(1+$B$11)^C49</f>
        <v>621045451.79999995</v>
      </c>
      <c r="D50">
        <f t="shared" si="8"/>
        <v>646135688.05271995</v>
      </c>
      <c r="E50">
        <f t="shared" si="8"/>
        <v>672239569.85004985</v>
      </c>
      <c r="F50">
        <f t="shared" si="8"/>
        <v>699398048.4719919</v>
      </c>
      <c r="G50">
        <f t="shared" si="8"/>
        <v>727653729.63026047</v>
      </c>
      <c r="H50">
        <f t="shared" si="8"/>
        <v>757050940.30732274</v>
      </c>
      <c r="I50">
        <f t="shared" si="8"/>
        <v>787635798.2957387</v>
      </c>
      <c r="J50">
        <f t="shared" ref="J50:K50" si="9">J30*(1+$B$11)^J49</f>
        <v>819456284.54688656</v>
      </c>
      <c r="K50">
        <f t="shared" si="9"/>
        <v>852562318.44258082</v>
      </c>
      <c r="L50">
        <f>L30*(1+$B$11)^L49</f>
        <v>887005836.10766077</v>
      </c>
      <c r="M50">
        <f>M30*(1+$B$11)^M49</f>
        <v>922840871.88641047</v>
      </c>
      <c r="N50" s="23" t="s">
        <v>175</v>
      </c>
      <c r="O50" s="24">
        <f>NPV(O48,B50:M50)/NPV(O48,B51:M51)</f>
        <v>2355.5000916007143</v>
      </c>
    </row>
    <row r="51" spans="1:15" x14ac:dyDescent="0.35">
      <c r="A51" s="78" t="s">
        <v>180</v>
      </c>
      <c r="B51" s="2">
        <f>-1*B54</f>
        <v>-1500000</v>
      </c>
      <c r="C51" s="2">
        <f>C57+C58+C59</f>
        <v>473953.44200387958</v>
      </c>
      <c r="D51" s="2">
        <f>D57+D58+D59</f>
        <v>555778.30100387952</v>
      </c>
      <c r="E51" s="2">
        <f>E57+E58+E59</f>
        <v>562434.72818387952</v>
      </c>
      <c r="F51" s="2">
        <f t="shared" ref="F51:M51" si="10">F57+F58+F59</f>
        <v>569224.28390747961</v>
      </c>
      <c r="G51" s="2">
        <f t="shared" si="10"/>
        <v>576149.63074555155</v>
      </c>
      <c r="H51" s="2">
        <f t="shared" si="10"/>
        <v>583213.48452038504</v>
      </c>
      <c r="I51" s="2">
        <f>I57+I58+I59</f>
        <v>590418.61537071504</v>
      </c>
      <c r="J51" s="2">
        <f t="shared" si="10"/>
        <v>597767.84883805178</v>
      </c>
      <c r="K51" s="2">
        <f t="shared" si="10"/>
        <v>605264.06697473512</v>
      </c>
      <c r="L51" s="2">
        <f t="shared" si="10"/>
        <v>612910.20947415219</v>
      </c>
      <c r="M51" s="2">
        <f t="shared" si="10"/>
        <v>620709.27482355782</v>
      </c>
      <c r="N51" s="23"/>
      <c r="O51" s="24"/>
    </row>
    <row r="52" spans="1:15" ht="15" thickBot="1" x14ac:dyDescent="0.4">
      <c r="A52" s="194" t="s">
        <v>313</v>
      </c>
      <c r="N52" s="77" t="s">
        <v>99</v>
      </c>
      <c r="O52" s="37" t="e">
        <f>IRR(B61:M61)</f>
        <v>#NUM!</v>
      </c>
    </row>
    <row r="53" spans="1:15" x14ac:dyDescent="0.35">
      <c r="A53" s="80" t="s">
        <v>184</v>
      </c>
      <c r="B53" s="198">
        <f>B33/(1+$B$11)^B29</f>
        <v>1500000</v>
      </c>
    </row>
    <row r="54" spans="1:15" x14ac:dyDescent="0.35">
      <c r="A54" s="80" t="s">
        <v>185</v>
      </c>
      <c r="B54" s="198">
        <f>B34/(1+$B$11)^B29</f>
        <v>1500000</v>
      </c>
    </row>
    <row r="55" spans="1:15" x14ac:dyDescent="0.35">
      <c r="A55" s="80" t="s">
        <v>186</v>
      </c>
      <c r="B55">
        <v>0</v>
      </c>
      <c r="C55" s="16">
        <f>PPMT($F$21,B49,$M$29-1,-$B$34)</f>
        <v>87956.942003879318</v>
      </c>
      <c r="D55" s="16">
        <f t="shared" ref="D55:M55" si="11">PPMT($F$21,C49,$M$29-1,-$B$34)</f>
        <v>95717.848651280437</v>
      </c>
      <c r="E55" s="16">
        <f t="shared" si="11"/>
        <v>104163.5411793346</v>
      </c>
      <c r="F55" s="16">
        <f t="shared" si="11"/>
        <v>113354.44187162885</v>
      </c>
      <c r="G55" s="16">
        <f t="shared" si="11"/>
        <v>123356.30438971377</v>
      </c>
      <c r="H55" s="16">
        <f t="shared" si="11"/>
        <v>134240.68418880619</v>
      </c>
      <c r="I55" s="16">
        <f t="shared" si="11"/>
        <v>146085.45044075965</v>
      </c>
      <c r="J55" s="16">
        <f t="shared" si="11"/>
        <v>158975.34312670908</v>
      </c>
      <c r="K55" s="16">
        <f t="shared" si="11"/>
        <v>173002.57928494812</v>
      </c>
      <c r="L55" s="16">
        <f t="shared" si="11"/>
        <v>188267.51275126712</v>
      </c>
      <c r="M55" s="16">
        <f t="shared" si="11"/>
        <v>204879.35211167307</v>
      </c>
    </row>
    <row r="56" spans="1:15" x14ac:dyDescent="0.35">
      <c r="A56" s="80" t="s">
        <v>187</v>
      </c>
      <c r="B56">
        <v>0</v>
      </c>
      <c r="C56" s="16">
        <f>IPMT($F$21,B49,$M$29-1,-$B$34)</f>
        <v>135000.00000000023</v>
      </c>
      <c r="D56" s="16">
        <f t="shared" ref="D56:M56" si="12">IPMT($F$21,C49,$M$29-1,-$B$34)</f>
        <v>127239.09335259908</v>
      </c>
      <c r="E56" s="16">
        <f t="shared" si="12"/>
        <v>118793.40082454494</v>
      </c>
      <c r="F56" s="16">
        <f t="shared" si="12"/>
        <v>109602.50013225069</v>
      </c>
      <c r="G56" s="16">
        <f t="shared" si="12"/>
        <v>99600.637614165738</v>
      </c>
      <c r="H56" s="16">
        <f t="shared" si="12"/>
        <v>88716.257815073361</v>
      </c>
      <c r="I56" s="16">
        <f t="shared" si="12"/>
        <v>76871.491563119853</v>
      </c>
      <c r="J56" s="16">
        <f t="shared" si="12"/>
        <v>63981.598877170458</v>
      </c>
      <c r="K56" s="16">
        <f t="shared" si="12"/>
        <v>49954.362718931385</v>
      </c>
      <c r="L56" s="16">
        <f t="shared" si="12"/>
        <v>34689.429252612412</v>
      </c>
      <c r="M56" s="16">
        <f t="shared" si="12"/>
        <v>18077.589892206473</v>
      </c>
    </row>
    <row r="57" spans="1:15" x14ac:dyDescent="0.35">
      <c r="A57" s="197" t="s">
        <v>188</v>
      </c>
      <c r="B57">
        <f>SUM(B55:B56)</f>
        <v>0</v>
      </c>
      <c r="C57" s="16">
        <f>SUM(C55:C56)</f>
        <v>222956.94200387955</v>
      </c>
      <c r="D57">
        <f t="shared" ref="D57" si="13">SUM(D55:D56)</f>
        <v>222956.94200387952</v>
      </c>
      <c r="E57">
        <f t="shared" ref="E57" si="14">SUM(E55:E56)</f>
        <v>222956.94200387952</v>
      </c>
      <c r="F57">
        <f t="shared" ref="F57" si="15">SUM(F55:F56)</f>
        <v>222956.94200387952</v>
      </c>
      <c r="G57">
        <f t="shared" ref="G57" si="16">SUM(G55:G56)</f>
        <v>222956.94200387952</v>
      </c>
      <c r="H57">
        <f t="shared" ref="H57" si="17">SUM(H55:H56)</f>
        <v>222956.94200387955</v>
      </c>
      <c r="I57">
        <f t="shared" ref="I57" si="18">SUM(I55:I56)</f>
        <v>222956.94200387952</v>
      </c>
      <c r="J57">
        <f t="shared" ref="J57" si="19">SUM(J55:J56)</f>
        <v>222956.94200387952</v>
      </c>
      <c r="K57">
        <f t="shared" ref="K57" si="20">SUM(K55:K56)</f>
        <v>222956.94200387952</v>
      </c>
      <c r="L57">
        <f t="shared" ref="L57" si="21">SUM(L55:L56)</f>
        <v>222956.94200387952</v>
      </c>
      <c r="M57">
        <f t="shared" ref="M57" si="22">SUM(M55:M56)</f>
        <v>222956.94200387955</v>
      </c>
    </row>
    <row r="58" spans="1:15" x14ac:dyDescent="0.35">
      <c r="A58" s="195" t="s">
        <v>49</v>
      </c>
      <c r="B58">
        <v>0</v>
      </c>
      <c r="C58">
        <f>C59*F33</f>
        <v>0</v>
      </c>
      <c r="D58">
        <f>D59*$B$18</f>
        <v>76804.928999999989</v>
      </c>
      <c r="E58">
        <f t="shared" ref="E58" si="23">E59*$B$18</f>
        <v>78341.027579999994</v>
      </c>
      <c r="F58">
        <f t="shared" ref="F58" si="24">F59*$B$18</f>
        <v>79907.848131599996</v>
      </c>
      <c r="G58">
        <f t="shared" ref="G58" si="25">G59*$B$18</f>
        <v>81506.005094231994</v>
      </c>
      <c r="H58">
        <f t="shared" ref="H58" si="26">H59*$B$18</f>
        <v>83136.125196116627</v>
      </c>
      <c r="I58">
        <f t="shared" ref="I58" si="27">I59*$B$18</f>
        <v>84798.847700038954</v>
      </c>
      <c r="J58">
        <f t="shared" ref="J58" si="28">J59*$B$18</f>
        <v>86494.824654039752</v>
      </c>
      <c r="K58">
        <f t="shared" ref="K58" si="29">K59*$B$18</f>
        <v>88224.721147120537</v>
      </c>
      <c r="L58">
        <f t="shared" ref="L58" si="30">L59*$B$18</f>
        <v>89989.215570062937</v>
      </c>
      <c r="M58">
        <f t="shared" ref="M58" si="31">M59*$B$18</f>
        <v>91788.999881464217</v>
      </c>
    </row>
    <row r="59" spans="1:15" x14ac:dyDescent="0.35">
      <c r="A59" s="1" t="s">
        <v>314</v>
      </c>
      <c r="B59">
        <v>0</v>
      </c>
      <c r="C59">
        <f>C39*(1+$B$11)^C49</f>
        <v>250996.5</v>
      </c>
      <c r="D59">
        <f t="shared" ref="D59:M59" si="32">D39*(1+$B$11)^D49</f>
        <v>256016.43</v>
      </c>
      <c r="E59">
        <f>E39*(1+$B$11)^E49</f>
        <v>261136.7586</v>
      </c>
      <c r="F59">
        <f t="shared" si="32"/>
        <v>266359.49377200002</v>
      </c>
      <c r="G59">
        <f t="shared" si="32"/>
        <v>271686.68364743999</v>
      </c>
      <c r="H59">
        <f t="shared" si="32"/>
        <v>277120.41732038878</v>
      </c>
      <c r="I59">
        <f t="shared" si="32"/>
        <v>282662.82566679653</v>
      </c>
      <c r="J59">
        <f t="shared" si="32"/>
        <v>288316.08218013251</v>
      </c>
      <c r="K59">
        <f t="shared" si="32"/>
        <v>294082.40382373513</v>
      </c>
      <c r="L59">
        <f t="shared" si="32"/>
        <v>299964.0519002098</v>
      </c>
      <c r="M59">
        <f t="shared" si="32"/>
        <v>305963.33293821407</v>
      </c>
    </row>
    <row r="61" spans="1:15" x14ac:dyDescent="0.35">
      <c r="A61" s="85" t="s">
        <v>112</v>
      </c>
      <c r="B61" s="89">
        <f>B50-B51</f>
        <v>1500000</v>
      </c>
      <c r="C61" s="89">
        <f t="shared" ref="C61:M61" si="33">C50-C51</f>
        <v>620571498.35799611</v>
      </c>
      <c r="D61" s="89">
        <f t="shared" si="33"/>
        <v>645579909.75171602</v>
      </c>
      <c r="E61" s="89">
        <f t="shared" si="33"/>
        <v>671677135.12186599</v>
      </c>
      <c r="F61" s="89">
        <f t="shared" si="33"/>
        <v>698828824.18808436</v>
      </c>
      <c r="G61" s="89">
        <f t="shared" si="33"/>
        <v>727077579.99951494</v>
      </c>
      <c r="H61" s="89">
        <f t="shared" si="33"/>
        <v>756467726.82280231</v>
      </c>
      <c r="I61" s="89">
        <f t="shared" si="33"/>
        <v>787045379.68036795</v>
      </c>
      <c r="J61" s="89">
        <f t="shared" si="33"/>
        <v>818858516.69804847</v>
      </c>
      <c r="K61" s="89">
        <f t="shared" si="33"/>
        <v>851957054.37560606</v>
      </c>
      <c r="L61" s="89">
        <f t="shared" si="33"/>
        <v>886392925.89818656</v>
      </c>
      <c r="M61" s="89">
        <f t="shared" si="33"/>
        <v>922220162.61158693</v>
      </c>
    </row>
    <row r="62" spans="1:15" x14ac:dyDescent="0.35">
      <c r="A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00A9-0AE7-4807-A422-245F55FC556E}">
  <dimension ref="A1:O62"/>
  <sheetViews>
    <sheetView topLeftCell="A29" zoomScale="69" workbookViewId="0">
      <selection activeCell="D26" sqref="D26"/>
    </sheetView>
  </sheetViews>
  <sheetFormatPr defaultRowHeight="14.5" x14ac:dyDescent="0.35"/>
  <cols>
    <col min="1" max="1" width="24.90625" customWidth="1"/>
    <col min="2" max="2" width="20.26953125" customWidth="1"/>
    <col min="3" max="3" width="12.08984375" bestFit="1" customWidth="1"/>
    <col min="4" max="4" width="11.453125" bestFit="1" customWidth="1"/>
    <col min="5" max="5" width="19.7265625" customWidth="1"/>
    <col min="6" max="6" width="15.08984375" customWidth="1"/>
    <col min="7" max="7" width="16.90625" customWidth="1"/>
    <col min="8" max="8" width="11.453125" bestFit="1" customWidth="1"/>
    <col min="9" max="9" width="28" customWidth="1"/>
    <col min="10" max="10" width="20.6328125" customWidth="1"/>
    <col min="11" max="13" width="11.453125" bestFit="1" customWidth="1"/>
    <col min="15" max="15" width="16.6328125" bestFit="1" customWidth="1"/>
  </cols>
  <sheetData>
    <row r="1" spans="1:12" ht="15" thickBot="1" x14ac:dyDescent="0.4">
      <c r="A1" s="171" t="s">
        <v>275</v>
      </c>
      <c r="B1" s="171" t="s">
        <v>1</v>
      </c>
      <c r="C1" s="171" t="s">
        <v>276</v>
      </c>
      <c r="J1" t="s">
        <v>316</v>
      </c>
      <c r="K1" t="s">
        <v>317</v>
      </c>
    </row>
    <row r="2" spans="1:12" x14ac:dyDescent="0.35">
      <c r="A2" s="172" t="s">
        <v>277</v>
      </c>
      <c r="B2" s="21"/>
      <c r="C2" s="22"/>
      <c r="E2" s="172" t="s">
        <v>285</v>
      </c>
      <c r="F2" s="21"/>
      <c r="G2" s="22"/>
      <c r="I2" s="187" t="s">
        <v>315</v>
      </c>
      <c r="J2" s="70">
        <v>1</v>
      </c>
      <c r="K2" s="70">
        <v>1000</v>
      </c>
      <c r="L2" s="70"/>
    </row>
    <row r="3" spans="1:12" x14ac:dyDescent="0.35">
      <c r="A3" s="173" t="s">
        <v>278</v>
      </c>
      <c r="B3" s="70">
        <v>5</v>
      </c>
      <c r="C3" s="174" t="s">
        <v>279</v>
      </c>
      <c r="E3" s="26"/>
      <c r="F3" s="70" t="s">
        <v>287</v>
      </c>
      <c r="G3" s="174" t="s">
        <v>289</v>
      </c>
      <c r="I3" s="70"/>
      <c r="J3" s="188"/>
      <c r="K3" s="71"/>
      <c r="L3" s="70"/>
    </row>
    <row r="4" spans="1:12" x14ac:dyDescent="0.35">
      <c r="A4" s="173" t="s">
        <v>280</v>
      </c>
      <c r="B4" s="70">
        <v>300</v>
      </c>
      <c r="C4" s="174" t="s">
        <v>281</v>
      </c>
      <c r="E4" s="173" t="s">
        <v>286</v>
      </c>
      <c r="F4" s="70">
        <v>900</v>
      </c>
      <c r="G4" s="174"/>
    </row>
    <row r="5" spans="1:12" ht="15" thickBot="1" x14ac:dyDescent="0.4">
      <c r="A5" s="173" t="s">
        <v>282</v>
      </c>
      <c r="B5" s="70">
        <v>400</v>
      </c>
      <c r="C5" s="174" t="s">
        <v>281</v>
      </c>
      <c r="E5" s="29" t="s">
        <v>288</v>
      </c>
      <c r="F5" s="179"/>
      <c r="G5" s="177">
        <v>125</v>
      </c>
    </row>
    <row r="6" spans="1:12" ht="15" thickBot="1" x14ac:dyDescent="0.4">
      <c r="A6" s="182" t="s">
        <v>306</v>
      </c>
      <c r="B6" s="176">
        <v>-0.01</v>
      </c>
      <c r="C6" s="177"/>
      <c r="D6" s="70"/>
      <c r="I6" s="59" t="s">
        <v>243</v>
      </c>
      <c r="J6" s="191" t="s">
        <v>307</v>
      </c>
      <c r="K6" s="192" t="s">
        <v>308</v>
      </c>
    </row>
    <row r="7" spans="1:12" ht="15" thickBot="1" x14ac:dyDescent="0.4">
      <c r="A7" s="70"/>
      <c r="B7" s="71"/>
      <c r="E7" s="172" t="s">
        <v>290</v>
      </c>
      <c r="F7" s="21"/>
      <c r="G7" s="180"/>
      <c r="I7" s="65" t="s">
        <v>234</v>
      </c>
      <c r="J7" s="53"/>
      <c r="K7" s="56">
        <f>(B3*1000)</f>
        <v>5000</v>
      </c>
    </row>
    <row r="8" spans="1:12" x14ac:dyDescent="0.35">
      <c r="A8" s="172" t="s">
        <v>283</v>
      </c>
      <c r="B8" s="22"/>
      <c r="C8" s="70"/>
      <c r="E8" s="173" t="s">
        <v>291</v>
      </c>
      <c r="F8" s="70">
        <v>140</v>
      </c>
      <c r="G8" s="174" t="s">
        <v>292</v>
      </c>
      <c r="I8" s="65" t="s">
        <v>235</v>
      </c>
      <c r="J8" s="53"/>
      <c r="K8" s="56">
        <f>B4</f>
        <v>300</v>
      </c>
    </row>
    <row r="9" spans="1:12" x14ac:dyDescent="0.35">
      <c r="A9" s="183" t="s">
        <v>305</v>
      </c>
      <c r="B9" s="178">
        <v>0.05</v>
      </c>
      <c r="C9" s="70"/>
      <c r="E9" s="173" t="s">
        <v>293</v>
      </c>
      <c r="F9" s="70">
        <v>120</v>
      </c>
      <c r="G9" s="174" t="s">
        <v>292</v>
      </c>
      <c r="I9" s="61" t="s">
        <v>236</v>
      </c>
      <c r="J9" s="53"/>
      <c r="K9" s="56">
        <f>K7-K8</f>
        <v>4700</v>
      </c>
    </row>
    <row r="10" spans="1:12" x14ac:dyDescent="0.35">
      <c r="A10" s="183" t="s">
        <v>304</v>
      </c>
      <c r="B10" s="178">
        <v>0.03</v>
      </c>
      <c r="C10" s="70"/>
      <c r="E10" s="173" t="s">
        <v>294</v>
      </c>
      <c r="F10" s="70">
        <v>450</v>
      </c>
      <c r="G10" s="174" t="s">
        <v>292</v>
      </c>
      <c r="I10" s="65" t="s">
        <v>238</v>
      </c>
      <c r="J10" s="53" t="s">
        <v>312</v>
      </c>
      <c r="K10" s="56"/>
    </row>
    <row r="11" spans="1:12" x14ac:dyDescent="0.35">
      <c r="A11" s="173" t="s">
        <v>284</v>
      </c>
      <c r="B11" s="178">
        <v>0.02</v>
      </c>
      <c r="C11" s="70"/>
      <c r="E11" s="173" t="s">
        <v>295</v>
      </c>
      <c r="F11" s="70">
        <v>500</v>
      </c>
      <c r="G11" s="174" t="s">
        <v>292</v>
      </c>
      <c r="I11" s="121" t="s">
        <v>147</v>
      </c>
      <c r="J11" s="53"/>
      <c r="K11" s="56">
        <f>B5</f>
        <v>400</v>
      </c>
    </row>
    <row r="12" spans="1:12" ht="15" thickBot="1" x14ac:dyDescent="0.4">
      <c r="A12" s="182" t="s">
        <v>303</v>
      </c>
      <c r="B12" s="186">
        <v>0.02</v>
      </c>
      <c r="E12" s="173" t="s">
        <v>296</v>
      </c>
      <c r="F12" s="70">
        <v>800</v>
      </c>
      <c r="G12" s="174" t="s">
        <v>281</v>
      </c>
      <c r="I12" s="61" t="s">
        <v>241</v>
      </c>
      <c r="J12" s="53"/>
      <c r="K12" s="56">
        <f>K9+K11</f>
        <v>5100</v>
      </c>
    </row>
    <row r="13" spans="1:12" ht="15" thickBot="1" x14ac:dyDescent="0.4">
      <c r="E13" s="175" t="s">
        <v>297</v>
      </c>
      <c r="F13" s="179">
        <v>0.3</v>
      </c>
      <c r="G13" s="177"/>
      <c r="I13" s="185" t="s">
        <v>242</v>
      </c>
      <c r="J13" s="190"/>
      <c r="K13" s="67">
        <f>K12*(F4*G5)</f>
        <v>573750000</v>
      </c>
    </row>
    <row r="14" spans="1:12" ht="15" thickBot="1" x14ac:dyDescent="0.4">
      <c r="I14" s="189"/>
      <c r="J14" s="53"/>
      <c r="K14" s="53"/>
    </row>
    <row r="15" spans="1:12" x14ac:dyDescent="0.35">
      <c r="A15" s="193" t="s">
        <v>309</v>
      </c>
      <c r="B15" s="22"/>
      <c r="E15" s="172" t="s">
        <v>298</v>
      </c>
      <c r="F15" s="181"/>
      <c r="G15" s="22"/>
      <c r="I15" s="51"/>
      <c r="J15" s="53"/>
      <c r="K15" s="53"/>
    </row>
    <row r="16" spans="1:12" x14ac:dyDescent="0.35">
      <c r="A16" s="173" t="s">
        <v>318</v>
      </c>
      <c r="B16" s="196">
        <v>1500000</v>
      </c>
      <c r="E16" s="173" t="s">
        <v>299</v>
      </c>
      <c r="F16" s="70">
        <v>1.3</v>
      </c>
      <c r="G16" s="24"/>
      <c r="I16" s="51"/>
      <c r="J16" s="53"/>
      <c r="K16" s="53"/>
    </row>
    <row r="17" spans="1:15" x14ac:dyDescent="0.35">
      <c r="A17" s="173" t="s">
        <v>82</v>
      </c>
      <c r="B17" s="36">
        <v>1</v>
      </c>
      <c r="E17" s="183" t="s">
        <v>302</v>
      </c>
      <c r="F17" s="71">
        <v>0.1</v>
      </c>
      <c r="G17" s="24"/>
    </row>
    <row r="18" spans="1:15" ht="15" thickBot="1" x14ac:dyDescent="0.4">
      <c r="A18" s="175" t="s">
        <v>310</v>
      </c>
      <c r="B18" s="37">
        <v>0.3</v>
      </c>
      <c r="C18" t="s">
        <v>311</v>
      </c>
      <c r="E18" s="173" t="s">
        <v>300</v>
      </c>
      <c r="F18" s="70">
        <v>5</v>
      </c>
      <c r="G18" s="174" t="s">
        <v>19</v>
      </c>
    </row>
    <row r="19" spans="1:15" ht="15" thickBot="1" x14ac:dyDescent="0.4">
      <c r="E19" s="182" t="s">
        <v>301</v>
      </c>
      <c r="F19" s="176">
        <v>0.11</v>
      </c>
      <c r="G19" s="31"/>
    </row>
    <row r="20" spans="1:15" x14ac:dyDescent="0.35">
      <c r="F20" s="51"/>
      <c r="G20" s="90"/>
      <c r="I20" s="70"/>
    </row>
    <row r="21" spans="1:15" x14ac:dyDescent="0.35">
      <c r="F21" s="203">
        <f>(1+F19)/(1+B11)-1</f>
        <v>8.8235294117647189E-2</v>
      </c>
      <c r="G21" s="90"/>
    </row>
    <row r="22" spans="1:15" x14ac:dyDescent="0.35">
      <c r="F22" s="70"/>
      <c r="G22" s="70"/>
    </row>
    <row r="25" spans="1:15" x14ac:dyDescent="0.35">
      <c r="A25" s="184" t="s">
        <v>157</v>
      </c>
    </row>
    <row r="26" spans="1:15" x14ac:dyDescent="0.35">
      <c r="A26" s="19" t="s">
        <v>114</v>
      </c>
      <c r="F26" s="51"/>
      <c r="G26" s="90"/>
    </row>
    <row r="27" spans="1:15" ht="15" thickBot="1" x14ac:dyDescent="0.4">
      <c r="F27" s="51"/>
      <c r="G27" s="90"/>
    </row>
    <row r="28" spans="1:15" ht="14.25" customHeight="1" x14ac:dyDescent="0.35">
      <c r="B28" t="s">
        <v>154</v>
      </c>
      <c r="C28" t="s">
        <v>156</v>
      </c>
      <c r="F28" s="51"/>
      <c r="G28" s="90"/>
      <c r="N28" s="74"/>
      <c r="O28" s="75">
        <f>(1+$F$17)*(1+$B$11)-1</f>
        <v>0.12200000000000011</v>
      </c>
    </row>
    <row r="29" spans="1:15" x14ac:dyDescent="0.35">
      <c r="A29" s="199" t="s">
        <v>90</v>
      </c>
      <c r="B29" s="85">
        <v>1</v>
      </c>
      <c r="C29" s="85">
        <v>2</v>
      </c>
      <c r="D29" s="85">
        <v>3</v>
      </c>
      <c r="E29" s="85">
        <v>4</v>
      </c>
      <c r="F29" s="85">
        <v>5</v>
      </c>
      <c r="G29" s="85">
        <v>6</v>
      </c>
      <c r="H29" s="85">
        <v>7</v>
      </c>
      <c r="I29" s="85">
        <v>8</v>
      </c>
      <c r="J29" s="85">
        <v>9</v>
      </c>
      <c r="K29" s="85">
        <v>10</v>
      </c>
      <c r="L29" s="85">
        <v>11</v>
      </c>
      <c r="M29" s="200">
        <v>12</v>
      </c>
      <c r="N29" s="23" t="s">
        <v>98</v>
      </c>
      <c r="O29" s="76">
        <f>NPV($O$28,B41:M41)</f>
        <v>3386189844.9033451</v>
      </c>
    </row>
    <row r="30" spans="1:15" x14ac:dyDescent="0.35">
      <c r="A30" s="78" t="s">
        <v>183</v>
      </c>
      <c r="B30">
        <v>0</v>
      </c>
      <c r="C30">
        <f>$K$13*(1+$B$11)^C29</f>
        <v>596929500</v>
      </c>
      <c r="D30">
        <f>$K$13*(1+$B$11)^D29</f>
        <v>608868090</v>
      </c>
      <c r="E30">
        <f t="shared" ref="E30:M30" si="0">$K$13*(1+$B$11)^E29</f>
        <v>621045451.79999995</v>
      </c>
      <c r="F30">
        <f t="shared" si="0"/>
        <v>633466360.83599997</v>
      </c>
      <c r="G30">
        <f t="shared" si="0"/>
        <v>646135688.05272007</v>
      </c>
      <c r="H30">
        <f t="shared" si="0"/>
        <v>659058401.81377435</v>
      </c>
      <c r="I30">
        <f t="shared" si="0"/>
        <v>672239569.85004985</v>
      </c>
      <c r="J30">
        <f t="shared" si="0"/>
        <v>685684361.24705088</v>
      </c>
      <c r="K30">
        <f t="shared" si="0"/>
        <v>699398048.4719919</v>
      </c>
      <c r="L30">
        <f t="shared" si="0"/>
        <v>713386009.44143164</v>
      </c>
      <c r="M30">
        <f t="shared" si="0"/>
        <v>727653729.63026035</v>
      </c>
      <c r="N30" s="23" t="s">
        <v>175</v>
      </c>
      <c r="O30" s="24">
        <f>NPV(O28,B30:M30)/NPV(O28,B31:M31)</f>
        <v>2151.0581936412009</v>
      </c>
    </row>
    <row r="31" spans="1:15" x14ac:dyDescent="0.35">
      <c r="A31" s="78" t="s">
        <v>180</v>
      </c>
      <c r="B31" s="2">
        <f>-1*B34</f>
        <v>-1530000</v>
      </c>
      <c r="C31" s="2">
        <f>C37+C38+C39</f>
        <v>560140.14091171906</v>
      </c>
      <c r="D31" s="2">
        <f t="shared" ref="D31:M31" si="1">D37+D38+D39</f>
        <v>560140.14091171895</v>
      </c>
      <c r="E31" s="2">
        <f t="shared" si="1"/>
        <v>560140.14091171895</v>
      </c>
      <c r="F31" s="2">
        <f t="shared" si="1"/>
        <v>560140.14091171906</v>
      </c>
      <c r="G31" s="2">
        <f t="shared" si="1"/>
        <v>560140.14091171906</v>
      </c>
      <c r="H31" s="2">
        <f t="shared" si="1"/>
        <v>560140.14091171906</v>
      </c>
      <c r="I31" s="2">
        <f t="shared" si="1"/>
        <v>560140.14091171895</v>
      </c>
      <c r="J31" s="2">
        <f t="shared" si="1"/>
        <v>560140.14091171895</v>
      </c>
      <c r="K31" s="2">
        <f t="shared" si="1"/>
        <v>560140.14091171895</v>
      </c>
      <c r="L31" s="2">
        <f t="shared" si="1"/>
        <v>560140.14091171895</v>
      </c>
      <c r="M31" s="2">
        <f t="shared" si="1"/>
        <v>560140.14091171895</v>
      </c>
      <c r="N31" s="23"/>
      <c r="O31" s="24"/>
    </row>
    <row r="32" spans="1:15" ht="15" thickBot="1" x14ac:dyDescent="0.4">
      <c r="A32" s="194" t="s">
        <v>313</v>
      </c>
      <c r="N32" s="77" t="s">
        <v>99</v>
      </c>
      <c r="O32" s="37" t="e">
        <f>IRR(B41:M41)</f>
        <v>#NUM!</v>
      </c>
    </row>
    <row r="33" spans="1:15" x14ac:dyDescent="0.35">
      <c r="A33" s="80" t="s">
        <v>184</v>
      </c>
      <c r="B33" s="198">
        <f>$B$16*(1+$B$11)^$B$29</f>
        <v>1530000</v>
      </c>
    </row>
    <row r="34" spans="1:15" x14ac:dyDescent="0.35">
      <c r="A34" s="80" t="s">
        <v>185</v>
      </c>
      <c r="B34" s="198">
        <f>B33*B17</f>
        <v>1530000</v>
      </c>
    </row>
    <row r="35" spans="1:15" x14ac:dyDescent="0.35">
      <c r="A35" s="80" t="s">
        <v>186</v>
      </c>
      <c r="B35">
        <v>0</v>
      </c>
      <c r="C35" s="16">
        <f>PPMT($F$19,B29,$M$29-1,-$B$34)</f>
        <v>78215.140911718991</v>
      </c>
      <c r="D35" s="16">
        <f>PPMT($F$19,C29,$M$29-1,-$B$34)</f>
        <v>86818.806412008082</v>
      </c>
      <c r="E35" s="16">
        <f t="shared" ref="E35:J35" si="2">PPMT($F$19,D29,$M$29-1,-$B$34)</f>
        <v>96368.875117328978</v>
      </c>
      <c r="F35" s="16">
        <f t="shared" si="2"/>
        <v>106969.45138023516</v>
      </c>
      <c r="G35" s="16">
        <f t="shared" si="2"/>
        <v>118736.09103206103</v>
      </c>
      <c r="H35" s="16">
        <f>PPMT($F$19,G29,$M$29-1,-$B$34)</f>
        <v>131797.06104558776</v>
      </c>
      <c r="I35" s="16">
        <f t="shared" si="2"/>
        <v>146294.73776060238</v>
      </c>
      <c r="J35" s="16">
        <f t="shared" si="2"/>
        <v>162387.15891426866</v>
      </c>
      <c r="K35" s="16">
        <f>PPMT($F$19,J29,$M$29-1,-$B$34)</f>
        <v>180249.74639483821</v>
      </c>
      <c r="L35" s="16">
        <f>PPMT($F$19,K29,$M$29-1,-$B$34)</f>
        <v>200077.21849827041</v>
      </c>
      <c r="M35" s="16">
        <f>PPMT($F$19,L29,$M$29-1,-$B$34)</f>
        <v>222085.71253308016</v>
      </c>
    </row>
    <row r="36" spans="1:15" x14ac:dyDescent="0.35">
      <c r="A36" s="80" t="s">
        <v>187</v>
      </c>
      <c r="B36">
        <v>0</v>
      </c>
      <c r="C36" s="16">
        <f>IPMT($F$19,B29,$M$29-1,-$B$34)</f>
        <v>168300</v>
      </c>
      <c r="D36" s="16">
        <f>IPMT($F$19,C29,$M$29-1,-$B$34)</f>
        <v>159696.33449971088</v>
      </c>
      <c r="E36" s="16">
        <f t="shared" ref="E36:M36" si="3">IPMT($F$19,D29,$M$29-1,-$B$34)</f>
        <v>150146.26579439</v>
      </c>
      <c r="F36" s="16">
        <f t="shared" si="3"/>
        <v>139545.68953148383</v>
      </c>
      <c r="G36" s="16">
        <f t="shared" si="3"/>
        <v>127779.04987965796</v>
      </c>
      <c r="H36" s="16">
        <f t="shared" si="3"/>
        <v>114718.07986613124</v>
      </c>
      <c r="I36" s="16">
        <f t="shared" si="3"/>
        <v>100220.40315111658</v>
      </c>
      <c r="J36" s="16">
        <f t="shared" si="3"/>
        <v>84127.981997450319</v>
      </c>
      <c r="K36" s="16">
        <f t="shared" si="3"/>
        <v>66265.394516880755</v>
      </c>
      <c r="L36" s="16">
        <f t="shared" si="3"/>
        <v>46437.922413448563</v>
      </c>
      <c r="M36" s="16">
        <f t="shared" si="3"/>
        <v>24429.428378638815</v>
      </c>
    </row>
    <row r="37" spans="1:15" x14ac:dyDescent="0.35">
      <c r="A37" s="197" t="s">
        <v>188</v>
      </c>
      <c r="B37">
        <f>SUM(B35:B36)</f>
        <v>0</v>
      </c>
      <c r="C37">
        <f t="shared" ref="C37:M37" si="4">SUM(C35:C36)</f>
        <v>246515.14091171901</v>
      </c>
      <c r="D37">
        <f t="shared" si="4"/>
        <v>246515.14091171895</v>
      </c>
      <c r="E37">
        <f t="shared" si="4"/>
        <v>246515.14091171898</v>
      </c>
      <c r="F37">
        <f t="shared" si="4"/>
        <v>246515.14091171901</v>
      </c>
      <c r="G37">
        <f t="shared" si="4"/>
        <v>246515.14091171901</v>
      </c>
      <c r="H37">
        <f t="shared" si="4"/>
        <v>246515.14091171901</v>
      </c>
      <c r="I37">
        <f t="shared" si="4"/>
        <v>246515.14091171895</v>
      </c>
      <c r="J37">
        <f t="shared" si="4"/>
        <v>246515.14091171898</v>
      </c>
      <c r="K37">
        <f t="shared" si="4"/>
        <v>246515.14091171895</v>
      </c>
      <c r="L37">
        <f t="shared" si="4"/>
        <v>246515.14091171898</v>
      </c>
      <c r="M37">
        <f t="shared" si="4"/>
        <v>246515.14091171898</v>
      </c>
    </row>
    <row r="38" spans="1:15" x14ac:dyDescent="0.35">
      <c r="A38" s="195" t="s">
        <v>49</v>
      </c>
      <c r="B38">
        <v>0</v>
      </c>
      <c r="C38">
        <f>C39*F13</f>
        <v>72375</v>
      </c>
      <c r="D38">
        <f>D39*$B$18</f>
        <v>72375</v>
      </c>
      <c r="E38">
        <f t="shared" ref="E38:M38" si="5">E39*$B$18</f>
        <v>72375</v>
      </c>
      <c r="F38">
        <f t="shared" si="5"/>
        <v>72375</v>
      </c>
      <c r="G38">
        <f t="shared" si="5"/>
        <v>72375</v>
      </c>
      <c r="H38">
        <f t="shared" si="5"/>
        <v>72375</v>
      </c>
      <c r="I38">
        <f t="shared" si="5"/>
        <v>72375</v>
      </c>
      <c r="J38">
        <f t="shared" si="5"/>
        <v>72375</v>
      </c>
      <c r="K38">
        <f t="shared" si="5"/>
        <v>72375</v>
      </c>
      <c r="L38">
        <f t="shared" si="5"/>
        <v>72375</v>
      </c>
      <c r="M38">
        <f t="shared" si="5"/>
        <v>72375</v>
      </c>
    </row>
    <row r="39" spans="1:15" x14ac:dyDescent="0.35">
      <c r="A39" s="1" t="s">
        <v>314</v>
      </c>
      <c r="B39">
        <v>0</v>
      </c>
      <c r="C39">
        <f>(SUM($F$8:$F$11)*$G$5)+((($F$4*$G$5)/$K$2)*$F$12)</f>
        <v>241250</v>
      </c>
      <c r="D39">
        <f t="shared" ref="D39:M39" si="6">(SUM($F$8:$F$11)*$G$5)+((($F$4*$G$5)/$K$2)*$F$12)</f>
        <v>241250</v>
      </c>
      <c r="E39">
        <f t="shared" si="6"/>
        <v>241250</v>
      </c>
      <c r="F39">
        <f t="shared" si="6"/>
        <v>241250</v>
      </c>
      <c r="G39">
        <f t="shared" si="6"/>
        <v>241250</v>
      </c>
      <c r="H39">
        <f t="shared" si="6"/>
        <v>241250</v>
      </c>
      <c r="I39">
        <f t="shared" si="6"/>
        <v>241250</v>
      </c>
      <c r="J39">
        <f t="shared" si="6"/>
        <v>241250</v>
      </c>
      <c r="K39">
        <f t="shared" si="6"/>
        <v>241250</v>
      </c>
      <c r="L39">
        <f t="shared" si="6"/>
        <v>241250</v>
      </c>
      <c r="M39">
        <f t="shared" si="6"/>
        <v>241250</v>
      </c>
    </row>
    <row r="41" spans="1:15" x14ac:dyDescent="0.35">
      <c r="A41" s="85" t="s">
        <v>112</v>
      </c>
      <c r="B41" s="89">
        <f>B30-B31</f>
        <v>1530000</v>
      </c>
      <c r="C41" s="89">
        <f t="shared" ref="C41:M41" si="7">C30-C31</f>
        <v>596369359.8590883</v>
      </c>
      <c r="D41" s="89">
        <f t="shared" si="7"/>
        <v>608307949.8590883</v>
      </c>
      <c r="E41" s="89">
        <f t="shared" si="7"/>
        <v>620485311.65908825</v>
      </c>
      <c r="F41" s="89">
        <f t="shared" si="7"/>
        <v>632906220.69508827</v>
      </c>
      <c r="G41" s="89">
        <f t="shared" si="7"/>
        <v>645575547.91180837</v>
      </c>
      <c r="H41" s="89">
        <f t="shared" si="7"/>
        <v>658498261.67286265</v>
      </c>
      <c r="I41" s="89">
        <f t="shared" si="7"/>
        <v>671679429.70913815</v>
      </c>
      <c r="J41" s="89">
        <f t="shared" si="7"/>
        <v>685124221.10613918</v>
      </c>
      <c r="K41" s="89">
        <f t="shared" si="7"/>
        <v>698837908.3310802</v>
      </c>
      <c r="L41" s="89">
        <f t="shared" si="7"/>
        <v>712825869.30051994</v>
      </c>
      <c r="M41" s="89">
        <f t="shared" si="7"/>
        <v>727093589.48934865</v>
      </c>
    </row>
    <row r="42" spans="1:15" x14ac:dyDescent="0.35">
      <c r="A42" s="1"/>
    </row>
    <row r="44" spans="1:15" x14ac:dyDescent="0.35">
      <c r="A44" s="1"/>
    </row>
    <row r="45" spans="1:15" x14ac:dyDescent="0.35">
      <c r="A45" s="202" t="s">
        <v>195</v>
      </c>
    </row>
    <row r="46" spans="1:15" x14ac:dyDescent="0.35">
      <c r="A46" s="19" t="s">
        <v>114</v>
      </c>
      <c r="F46" s="51"/>
      <c r="G46" s="90"/>
    </row>
    <row r="47" spans="1:15" ht="15" thickBot="1" x14ac:dyDescent="0.4">
      <c r="F47" s="51"/>
      <c r="G47" s="90"/>
    </row>
    <row r="48" spans="1:15" x14ac:dyDescent="0.35">
      <c r="B48" t="s">
        <v>154</v>
      </c>
      <c r="C48" t="s">
        <v>156</v>
      </c>
      <c r="F48" s="51"/>
      <c r="G48" s="90"/>
      <c r="N48" s="74"/>
      <c r="O48" s="75">
        <f>(1+$F$17)*(1+$B$11)-1</f>
        <v>0.12200000000000011</v>
      </c>
    </row>
    <row r="49" spans="1:15" x14ac:dyDescent="0.35">
      <c r="A49" s="199" t="s">
        <v>90</v>
      </c>
      <c r="B49" s="85">
        <v>1</v>
      </c>
      <c r="C49" s="85">
        <v>2</v>
      </c>
      <c r="D49" s="85">
        <v>3</v>
      </c>
      <c r="E49" s="85">
        <v>4</v>
      </c>
      <c r="F49" s="85">
        <v>5</v>
      </c>
      <c r="G49" s="85">
        <v>6</v>
      </c>
      <c r="H49" s="85">
        <v>7</v>
      </c>
      <c r="I49" s="85">
        <v>8</v>
      </c>
      <c r="J49" s="85">
        <v>9</v>
      </c>
      <c r="K49" s="85">
        <v>10</v>
      </c>
      <c r="L49" s="85">
        <v>11</v>
      </c>
      <c r="M49" s="200">
        <v>12</v>
      </c>
      <c r="N49" s="23" t="s">
        <v>98</v>
      </c>
      <c r="O49" s="76">
        <f>NPV($O$28,B61:M61)</f>
        <v>3825540482.7543974</v>
      </c>
    </row>
    <row r="50" spans="1:15" x14ac:dyDescent="0.35">
      <c r="A50" s="78" t="s">
        <v>183</v>
      </c>
      <c r="B50">
        <v>0</v>
      </c>
      <c r="C50">
        <f t="shared" ref="C50:I50" si="8">C30*(1+$B$11)^C49</f>
        <v>621045451.79999995</v>
      </c>
      <c r="D50">
        <f t="shared" si="8"/>
        <v>646135688.05271995</v>
      </c>
      <c r="E50">
        <f t="shared" si="8"/>
        <v>672239569.85004985</v>
      </c>
      <c r="F50">
        <f t="shared" si="8"/>
        <v>699398048.4719919</v>
      </c>
      <c r="G50">
        <f t="shared" si="8"/>
        <v>727653729.63026047</v>
      </c>
      <c r="H50">
        <f t="shared" si="8"/>
        <v>757050940.30732274</v>
      </c>
      <c r="I50">
        <f t="shared" si="8"/>
        <v>787635798.2957387</v>
      </c>
      <c r="J50">
        <f t="shared" ref="J50:K50" si="9">J30*(1+$B$11)^J49</f>
        <v>819456284.54688656</v>
      </c>
      <c r="K50">
        <f t="shared" si="9"/>
        <v>852562318.44258082</v>
      </c>
      <c r="L50">
        <f>L30*(1+$B$11)^L49</f>
        <v>887005836.10766077</v>
      </c>
      <c r="M50">
        <f>M30*(1+$B$11)^M49</f>
        <v>922840871.88641047</v>
      </c>
      <c r="N50" s="23" t="s">
        <v>175</v>
      </c>
      <c r="O50" s="24">
        <f>NPV(O48,B50:M50)/NPV(O48,B51:M51)</f>
        <v>2355.5000916007143</v>
      </c>
    </row>
    <row r="51" spans="1:15" x14ac:dyDescent="0.35">
      <c r="A51" s="78" t="s">
        <v>180</v>
      </c>
      <c r="B51" s="2">
        <f>-1*B54</f>
        <v>-1500000</v>
      </c>
      <c r="C51" s="2">
        <f>C57+C58+C59</f>
        <v>473953.44200387958</v>
      </c>
      <c r="D51" s="2">
        <f>D57+D58+D59</f>
        <v>555778.30100387952</v>
      </c>
      <c r="E51" s="2">
        <f>E57+E58+E59</f>
        <v>562434.72818387952</v>
      </c>
      <c r="F51" s="2">
        <f t="shared" ref="F51:M51" si="10">F57+F58+F59</f>
        <v>569224.28390747961</v>
      </c>
      <c r="G51" s="2">
        <f t="shared" si="10"/>
        <v>576149.63074555155</v>
      </c>
      <c r="H51" s="2">
        <f t="shared" si="10"/>
        <v>583213.48452038504</v>
      </c>
      <c r="I51" s="2">
        <f>I57+I58+I59</f>
        <v>590418.61537071504</v>
      </c>
      <c r="J51" s="2">
        <f t="shared" si="10"/>
        <v>597767.84883805178</v>
      </c>
      <c r="K51" s="2">
        <f t="shared" si="10"/>
        <v>605264.06697473512</v>
      </c>
      <c r="L51" s="2">
        <f t="shared" si="10"/>
        <v>612910.20947415219</v>
      </c>
      <c r="M51" s="2">
        <f t="shared" si="10"/>
        <v>620709.27482355782</v>
      </c>
      <c r="N51" s="23"/>
      <c r="O51" s="24"/>
    </row>
    <row r="52" spans="1:15" ht="15" thickBot="1" x14ac:dyDescent="0.4">
      <c r="A52" s="194" t="s">
        <v>313</v>
      </c>
      <c r="N52" s="77" t="s">
        <v>99</v>
      </c>
      <c r="O52" s="37" t="e">
        <f>IRR(B61:M61)</f>
        <v>#NUM!</v>
      </c>
    </row>
    <row r="53" spans="1:15" x14ac:dyDescent="0.35">
      <c r="A53" s="80" t="s">
        <v>184</v>
      </c>
      <c r="B53" s="198">
        <f>B33/(1+$B$11)^B29</f>
        <v>1500000</v>
      </c>
    </row>
    <row r="54" spans="1:15" x14ac:dyDescent="0.35">
      <c r="A54" s="80" t="s">
        <v>185</v>
      </c>
      <c r="B54" s="198">
        <f>B34/(1+$B$11)^B29</f>
        <v>1500000</v>
      </c>
    </row>
    <row r="55" spans="1:15" x14ac:dyDescent="0.35">
      <c r="A55" s="80" t="s">
        <v>186</v>
      </c>
      <c r="B55">
        <v>0</v>
      </c>
      <c r="C55" s="16">
        <f>PPMT($F$21,B49,$M$29-1,-$B$34)</f>
        <v>87956.942003879318</v>
      </c>
      <c r="D55" s="16">
        <f t="shared" ref="D55:M55" si="11">PPMT($F$21,C49,$M$29-1,-$B$34)</f>
        <v>95717.848651280437</v>
      </c>
      <c r="E55" s="16">
        <f t="shared" si="11"/>
        <v>104163.5411793346</v>
      </c>
      <c r="F55" s="16">
        <f t="shared" si="11"/>
        <v>113354.44187162885</v>
      </c>
      <c r="G55" s="16">
        <f t="shared" si="11"/>
        <v>123356.30438971377</v>
      </c>
      <c r="H55" s="16">
        <f t="shared" si="11"/>
        <v>134240.68418880619</v>
      </c>
      <c r="I55" s="16">
        <f t="shared" si="11"/>
        <v>146085.45044075965</v>
      </c>
      <c r="J55" s="16">
        <f t="shared" si="11"/>
        <v>158975.34312670908</v>
      </c>
      <c r="K55" s="16">
        <f t="shared" si="11"/>
        <v>173002.57928494812</v>
      </c>
      <c r="L55" s="16">
        <f t="shared" si="11"/>
        <v>188267.51275126712</v>
      </c>
      <c r="M55" s="16">
        <f t="shared" si="11"/>
        <v>204879.35211167307</v>
      </c>
    </row>
    <row r="56" spans="1:15" x14ac:dyDescent="0.35">
      <c r="A56" s="80" t="s">
        <v>187</v>
      </c>
      <c r="B56">
        <v>0</v>
      </c>
      <c r="C56" s="16">
        <f>IPMT($F$21,B49,$M$29-1,-$B$34)</f>
        <v>135000.00000000023</v>
      </c>
      <c r="D56" s="16">
        <f t="shared" ref="D56:M56" si="12">IPMT($F$21,C49,$M$29-1,-$B$34)</f>
        <v>127239.09335259908</v>
      </c>
      <c r="E56" s="16">
        <f t="shared" si="12"/>
        <v>118793.40082454494</v>
      </c>
      <c r="F56" s="16">
        <f t="shared" si="12"/>
        <v>109602.50013225069</v>
      </c>
      <c r="G56" s="16">
        <f t="shared" si="12"/>
        <v>99600.637614165738</v>
      </c>
      <c r="H56" s="16">
        <f t="shared" si="12"/>
        <v>88716.257815073361</v>
      </c>
      <c r="I56" s="16">
        <f t="shared" si="12"/>
        <v>76871.491563119853</v>
      </c>
      <c r="J56" s="16">
        <f t="shared" si="12"/>
        <v>63981.598877170458</v>
      </c>
      <c r="K56" s="16">
        <f t="shared" si="12"/>
        <v>49954.362718931385</v>
      </c>
      <c r="L56" s="16">
        <f t="shared" si="12"/>
        <v>34689.429252612412</v>
      </c>
      <c r="M56" s="16">
        <f t="shared" si="12"/>
        <v>18077.589892206473</v>
      </c>
    </row>
    <row r="57" spans="1:15" x14ac:dyDescent="0.35">
      <c r="A57" s="197" t="s">
        <v>188</v>
      </c>
      <c r="B57">
        <f>SUM(B55:B56)</f>
        <v>0</v>
      </c>
      <c r="C57" s="16">
        <f>SUM(C55:C56)</f>
        <v>222956.94200387955</v>
      </c>
      <c r="D57">
        <f t="shared" ref="D57:M57" si="13">SUM(D55:D56)</f>
        <v>222956.94200387952</v>
      </c>
      <c r="E57">
        <f t="shared" si="13"/>
        <v>222956.94200387952</v>
      </c>
      <c r="F57">
        <f t="shared" si="13"/>
        <v>222956.94200387952</v>
      </c>
      <c r="G57">
        <f t="shared" si="13"/>
        <v>222956.94200387952</v>
      </c>
      <c r="H57">
        <f t="shared" si="13"/>
        <v>222956.94200387955</v>
      </c>
      <c r="I57">
        <f t="shared" si="13"/>
        <v>222956.94200387952</v>
      </c>
      <c r="J57">
        <f t="shared" si="13"/>
        <v>222956.94200387952</v>
      </c>
      <c r="K57">
        <f t="shared" si="13"/>
        <v>222956.94200387952</v>
      </c>
      <c r="L57">
        <f t="shared" si="13"/>
        <v>222956.94200387952</v>
      </c>
      <c r="M57">
        <f t="shared" si="13"/>
        <v>222956.94200387955</v>
      </c>
    </row>
    <row r="58" spans="1:15" x14ac:dyDescent="0.35">
      <c r="A58" s="195" t="s">
        <v>49</v>
      </c>
      <c r="B58">
        <v>0</v>
      </c>
      <c r="C58">
        <f>C59*F33</f>
        <v>0</v>
      </c>
      <c r="D58">
        <f>D59*$B$18</f>
        <v>76804.928999999989</v>
      </c>
      <c r="E58">
        <f t="shared" ref="E58:M58" si="14">E59*$B$18</f>
        <v>78341.027579999994</v>
      </c>
      <c r="F58">
        <f t="shared" si="14"/>
        <v>79907.848131599996</v>
      </c>
      <c r="G58">
        <f t="shared" si="14"/>
        <v>81506.005094231994</v>
      </c>
      <c r="H58">
        <f t="shared" si="14"/>
        <v>83136.125196116627</v>
      </c>
      <c r="I58">
        <f t="shared" si="14"/>
        <v>84798.847700038954</v>
      </c>
      <c r="J58">
        <f t="shared" si="14"/>
        <v>86494.824654039752</v>
      </c>
      <c r="K58">
        <f t="shared" si="14"/>
        <v>88224.721147120537</v>
      </c>
      <c r="L58">
        <f t="shared" si="14"/>
        <v>89989.215570062937</v>
      </c>
      <c r="M58">
        <f t="shared" si="14"/>
        <v>91788.999881464217</v>
      </c>
    </row>
    <row r="59" spans="1:15" x14ac:dyDescent="0.35">
      <c r="A59" s="1" t="s">
        <v>314</v>
      </c>
      <c r="B59">
        <v>0</v>
      </c>
      <c r="C59">
        <f>C39*(1+$B$11)^C49</f>
        <v>250996.5</v>
      </c>
      <c r="D59">
        <f t="shared" ref="D59:M59" si="15">D39*(1+$B$11)^D49</f>
        <v>256016.43</v>
      </c>
      <c r="E59">
        <f>E39*(1+$B$11)^E49</f>
        <v>261136.7586</v>
      </c>
      <c r="F59">
        <f t="shared" si="15"/>
        <v>266359.49377200002</v>
      </c>
      <c r="G59">
        <f t="shared" si="15"/>
        <v>271686.68364743999</v>
      </c>
      <c r="H59">
        <f t="shared" si="15"/>
        <v>277120.41732038878</v>
      </c>
      <c r="I59">
        <f t="shared" si="15"/>
        <v>282662.82566679653</v>
      </c>
      <c r="J59">
        <f t="shared" si="15"/>
        <v>288316.08218013251</v>
      </c>
      <c r="K59">
        <f t="shared" si="15"/>
        <v>294082.40382373513</v>
      </c>
      <c r="L59">
        <f t="shared" si="15"/>
        <v>299964.0519002098</v>
      </c>
      <c r="M59">
        <f t="shared" si="15"/>
        <v>305963.33293821407</v>
      </c>
    </row>
    <row r="61" spans="1:15" x14ac:dyDescent="0.35">
      <c r="A61" s="85" t="s">
        <v>112</v>
      </c>
      <c r="B61" s="89">
        <f>B50-B51</f>
        <v>1500000</v>
      </c>
      <c r="C61" s="89">
        <f t="shared" ref="C61:M61" si="16">C50-C51</f>
        <v>620571498.35799611</v>
      </c>
      <c r="D61" s="89">
        <f t="shared" si="16"/>
        <v>645579909.75171602</v>
      </c>
      <c r="E61" s="89">
        <f t="shared" si="16"/>
        <v>671677135.12186599</v>
      </c>
      <c r="F61" s="89">
        <f t="shared" si="16"/>
        <v>698828824.18808436</v>
      </c>
      <c r="G61" s="89">
        <f t="shared" si="16"/>
        <v>727077579.99951494</v>
      </c>
      <c r="H61" s="89">
        <f t="shared" si="16"/>
        <v>756467726.82280231</v>
      </c>
      <c r="I61" s="89">
        <f t="shared" si="16"/>
        <v>787045379.68036795</v>
      </c>
      <c r="J61" s="89">
        <f t="shared" si="16"/>
        <v>818858516.69804847</v>
      </c>
      <c r="K61" s="89">
        <f t="shared" si="16"/>
        <v>851957054.37560606</v>
      </c>
      <c r="L61" s="89">
        <f t="shared" si="16"/>
        <v>886392925.89818656</v>
      </c>
      <c r="M61" s="89">
        <f t="shared" si="16"/>
        <v>922220162.61158693</v>
      </c>
    </row>
    <row r="62" spans="1:15" x14ac:dyDescent="0.35">
      <c r="A6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c8d946-e74e-4658-82bc-01095f10b8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90183F06D724C83DE71489E552D5A" ma:contentTypeVersion="16" ma:contentTypeDescription="Create a new document." ma:contentTypeScope="" ma:versionID="0329eb1172e3e2bb210cc0d14101b948">
  <xsd:schema xmlns:xsd="http://www.w3.org/2001/XMLSchema" xmlns:xs="http://www.w3.org/2001/XMLSchema" xmlns:p="http://schemas.microsoft.com/office/2006/metadata/properties" xmlns:ns3="81c8d946-e74e-4658-82bc-01095f10b832" xmlns:ns4="af7da3fd-bd7d-4b07-a26d-5c4edd2bac1d" targetNamespace="http://schemas.microsoft.com/office/2006/metadata/properties" ma:root="true" ma:fieldsID="742184678c46a89a3d824c3c7a548713" ns3:_="" ns4:_="">
    <xsd:import namespace="81c8d946-e74e-4658-82bc-01095f10b832"/>
    <xsd:import namespace="af7da3fd-bd7d-4b07-a26d-5c4edd2ba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d946-e74e-4658-82bc-01095f10b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a3fd-bd7d-4b07-a26d-5c4edd2bac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B8D604-7AA4-4EF4-B03B-AF1A6311066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1c8d946-e74e-4658-82bc-01095f10b832"/>
    <ds:schemaRef ds:uri="af7da3fd-bd7d-4b07-a26d-5c4edd2bac1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B5D269A-F902-4BB8-9353-AD90D8C89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d946-e74e-4658-82bc-01095f10b832"/>
    <ds:schemaRef ds:uri="af7da3fd-bd7d-4b07-a26d-5c4edd2ba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938BAF-8B73-4EF6-B007-DD17E20F45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Book Example</vt:lpstr>
      <vt:lpstr>Problem 2</vt:lpstr>
      <vt:lpstr>Problem 1</vt:lpstr>
      <vt:lpstr>Sheet1</vt:lpstr>
      <vt:lpstr>Problem 1 Financial Analysis</vt:lpstr>
      <vt:lpstr>Problem 1 Economic Analysis</vt:lpstr>
      <vt:lpstr>Problem 2 FinEc Analysis</vt:lpstr>
      <vt:lpstr>Problem 3 Financial Analysis</vt:lpstr>
      <vt:lpstr>Problem 3 Economic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cp:lastPrinted>2025-02-23T21:05:32Z</cp:lastPrinted>
  <dcterms:created xsi:type="dcterms:W3CDTF">2025-02-23T04:20:16Z</dcterms:created>
  <dcterms:modified xsi:type="dcterms:W3CDTF">2025-02-28T17:22:35Z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0x01010064390183F06D724C83DE71489E552D5A</vt:lpwstr>
  </property>
</Properties>
</file>