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\OneDrive - purdue.edu\Desktop\Purdue Classes Spring 2025\AGEC 609\"/>
    </mc:Choice>
  </mc:AlternateContent>
  <xr:revisionPtr revIDLastSave="0" documentId="13_ncr:1_{28C3D34E-6A0B-452F-9A6B-F6DF3D5EB5B2}" xr6:coauthVersionLast="47" xr6:coauthVersionMax="47" xr10:uidLastSave="{00000000-0000-0000-0000-000000000000}"/>
  <bookViews>
    <workbookView xWindow="-110" yWindow="-110" windowWidth="19420" windowHeight="10300" firstSheet="2" activeTab="3" xr2:uid="{61B41BEC-A4E3-45DF-A8B2-636DF7572DB2}"/>
  </bookViews>
  <sheets>
    <sheet name="Problem 1" sheetId="1" r:id="rId1"/>
    <sheet name="Problem 1 Breakeven" sheetId="2" r:id="rId2"/>
    <sheet name="delete" sheetId="4" r:id="rId3"/>
    <sheet name="Problem 2" sheetId="6" r:id="rId4"/>
    <sheet name="Problem 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6" l="1"/>
  <c r="K23" i="6"/>
  <c r="B2" i="6"/>
  <c r="B3" i="6"/>
  <c r="I11" i="6"/>
  <c r="I12" i="6"/>
  <c r="I13" i="6"/>
  <c r="I14" i="6"/>
  <c r="I15" i="6"/>
  <c r="I16" i="6"/>
  <c r="I17" i="6"/>
  <c r="I18" i="6"/>
  <c r="I19" i="6"/>
  <c r="I20" i="6"/>
  <c r="I21" i="6"/>
  <c r="I22" i="6"/>
  <c r="I10" i="6"/>
  <c r="F22" i="4"/>
  <c r="H14" i="6"/>
  <c r="H15" i="6"/>
  <c r="H16" i="6"/>
  <c r="H17" i="6"/>
  <c r="H18" i="6"/>
  <c r="H19" i="6"/>
  <c r="H13" i="6"/>
  <c r="F20" i="4"/>
  <c r="F24" i="4" s="1"/>
  <c r="F14" i="6"/>
  <c r="F15" i="6"/>
  <c r="F16" i="6"/>
  <c r="F17" i="6" s="1"/>
  <c r="F18" i="6" s="1"/>
  <c r="F19" i="6" s="1"/>
  <c r="F20" i="6" s="1"/>
  <c r="F21" i="6" s="1"/>
  <c r="F22" i="6" s="1"/>
  <c r="F13" i="6"/>
  <c r="F19" i="4"/>
  <c r="G14" i="6"/>
  <c r="G15" i="6"/>
  <c r="G16" i="6"/>
  <c r="G17" i="6"/>
  <c r="G18" i="6"/>
  <c r="G19" i="6"/>
  <c r="G13" i="6"/>
  <c r="F21" i="4"/>
  <c r="D19" i="4"/>
  <c r="C19" i="4"/>
  <c r="D10" i="6"/>
  <c r="E10" i="6" s="1"/>
  <c r="M11" i="6"/>
  <c r="N11" i="6" s="1"/>
  <c r="M12" i="6"/>
  <c r="N12" i="6" s="1"/>
  <c r="M10" i="6"/>
  <c r="N10" i="6" s="1"/>
  <c r="L14" i="6"/>
  <c r="L15" i="6"/>
  <c r="L16" i="6"/>
  <c r="L17" i="6"/>
  <c r="L13" i="6"/>
  <c r="J15" i="6"/>
  <c r="J16" i="6"/>
  <c r="J17" i="6"/>
  <c r="J18" i="6"/>
  <c r="M18" i="6" s="1"/>
  <c r="N18" i="6" s="1"/>
  <c r="J19" i="6"/>
  <c r="M19" i="6" s="1"/>
  <c r="N19" i="6" s="1"/>
  <c r="J20" i="6"/>
  <c r="M20" i="6" s="1"/>
  <c r="N20" i="6" s="1"/>
  <c r="J21" i="6"/>
  <c r="M21" i="6" s="1"/>
  <c r="N21" i="6" s="1"/>
  <c r="J22" i="6"/>
  <c r="M22" i="6" s="1"/>
  <c r="N22" i="6" s="1"/>
  <c r="J14" i="6"/>
  <c r="J13" i="6"/>
  <c r="E19" i="4"/>
  <c r="D11" i="6"/>
  <c r="D12" i="6"/>
  <c r="C11" i="6"/>
  <c r="C12" i="6"/>
  <c r="C10" i="6"/>
  <c r="C17" i="4"/>
  <c r="M26" i="4"/>
  <c r="G26" i="4"/>
  <c r="H26" i="4"/>
  <c r="I26" i="4"/>
  <c r="J26" i="4"/>
  <c r="K26" i="4"/>
  <c r="L26" i="4"/>
  <c r="N26" i="4"/>
  <c r="O26" i="4"/>
  <c r="G24" i="4"/>
  <c r="H24" i="4"/>
  <c r="I24" i="4"/>
  <c r="J24" i="4"/>
  <c r="K24" i="4"/>
  <c r="L24" i="4"/>
  <c r="M24" i="4"/>
  <c r="N24" i="4"/>
  <c r="O24" i="4"/>
  <c r="E24" i="4"/>
  <c r="D24" i="4"/>
  <c r="C24" i="4"/>
  <c r="F16" i="4"/>
  <c r="B2" i="4"/>
  <c r="B3" i="4"/>
  <c r="E17" i="4"/>
  <c r="H17" i="4" s="1"/>
  <c r="D22" i="4"/>
  <c r="D26" i="4" s="1"/>
  <c r="E22" i="4"/>
  <c r="E26" i="4" s="1"/>
  <c r="C22" i="4"/>
  <c r="C26" i="4" s="1"/>
  <c r="E11" i="6" l="1"/>
  <c r="F10" i="6"/>
  <c r="M17" i="6"/>
  <c r="N17" i="6" s="1"/>
  <c r="M16" i="6"/>
  <c r="N16" i="6" s="1"/>
  <c r="M14" i="6"/>
  <c r="N14" i="6" s="1"/>
  <c r="M15" i="6"/>
  <c r="N15" i="6" s="1"/>
  <c r="O15" i="6" s="1"/>
  <c r="O22" i="6"/>
  <c r="O14" i="6"/>
  <c r="O21" i="6"/>
  <c r="O20" i="6"/>
  <c r="O19" i="6"/>
  <c r="M13" i="6"/>
  <c r="N13" i="6" s="1"/>
  <c r="O18" i="6"/>
  <c r="O17" i="6"/>
  <c r="O16" i="6"/>
  <c r="F17" i="4"/>
  <c r="G17" i="4"/>
  <c r="I21" i="4"/>
  <c r="G21" i="4"/>
  <c r="J20" i="4"/>
  <c r="H21" i="4"/>
  <c r="K20" i="4"/>
  <c r="L20" i="4"/>
  <c r="J21" i="4"/>
  <c r="G20" i="4"/>
  <c r="K21" i="4"/>
  <c r="H20" i="4"/>
  <c r="L21" i="4"/>
  <c r="I20" i="4"/>
  <c r="E12" i="6" l="1"/>
  <c r="F11" i="6"/>
  <c r="B24" i="6"/>
  <c r="K24" i="6"/>
  <c r="G19" i="4"/>
  <c r="H19" i="4" s="1"/>
  <c r="I19" i="4" s="1"/>
  <c r="J19" i="4" s="1"/>
  <c r="K19" i="4" s="1"/>
  <c r="L19" i="4" s="1"/>
  <c r="G22" i="4"/>
  <c r="I22" i="4"/>
  <c r="K22" i="4"/>
  <c r="F26" i="4"/>
  <c r="B28" i="4" s="1"/>
  <c r="J22" i="4"/>
  <c r="H22" i="4"/>
  <c r="L22" i="4"/>
  <c r="F12" i="6" l="1"/>
  <c r="G12" i="4" l="1"/>
  <c r="D17" i="4"/>
  <c r="G16" i="4"/>
  <c r="H16" i="4"/>
  <c r="I16" i="4"/>
  <c r="J16" i="4"/>
  <c r="K16" i="4"/>
  <c r="L16" i="4"/>
  <c r="M16" i="4"/>
  <c r="N16" i="4"/>
  <c r="O16" i="4"/>
  <c r="D30" i="1"/>
  <c r="D16" i="1"/>
  <c r="E2" i="1"/>
  <c r="I3" i="2"/>
  <c r="I6" i="2"/>
  <c r="O6" i="2"/>
  <c r="N6" i="2"/>
  <c r="M6" i="2"/>
  <c r="L6" i="2"/>
  <c r="K6" i="2"/>
  <c r="J6" i="2"/>
  <c r="I5" i="2"/>
  <c r="L5" i="2"/>
  <c r="K5" i="2"/>
  <c r="J5" i="2"/>
  <c r="M5" i="2"/>
  <c r="N5" i="2"/>
  <c r="O5" i="2"/>
  <c r="B11" i="2"/>
  <c r="B11" i="1"/>
  <c r="E9" i="2"/>
  <c r="E5" i="2"/>
  <c r="D16" i="2" s="1"/>
  <c r="E2" i="2"/>
  <c r="C19" i="2" s="1"/>
  <c r="C33" i="2" s="1"/>
  <c r="E5" i="1"/>
  <c r="I33" i="2"/>
  <c r="H33" i="2"/>
  <c r="G33" i="2"/>
  <c r="F33" i="2"/>
  <c r="E33" i="2"/>
  <c r="D33" i="2"/>
  <c r="B33" i="2"/>
  <c r="C30" i="2"/>
  <c r="B30" i="2"/>
  <c r="C29" i="2"/>
  <c r="B29" i="2"/>
  <c r="B31" i="2" s="1"/>
  <c r="C17" i="2"/>
  <c r="B17" i="2"/>
  <c r="B21" i="2" s="1"/>
  <c r="I15" i="2"/>
  <c r="I29" i="2" s="1"/>
  <c r="H15" i="2"/>
  <c r="H29" i="2" s="1"/>
  <c r="G15" i="2"/>
  <c r="G29" i="2" s="1"/>
  <c r="F15" i="2"/>
  <c r="F29" i="2" s="1"/>
  <c r="E15" i="2"/>
  <c r="E29" i="2" s="1"/>
  <c r="D15" i="2"/>
  <c r="D29" i="2" s="1"/>
  <c r="H12" i="4" l="1"/>
  <c r="C31" i="2"/>
  <c r="B35" i="2"/>
  <c r="C35" i="2"/>
  <c r="D30" i="2"/>
  <c r="D31" i="2" s="1"/>
  <c r="D35" i="2" s="1"/>
  <c r="E16" i="2"/>
  <c r="D17" i="2"/>
  <c r="D21" i="2" s="1"/>
  <c r="C21" i="2"/>
  <c r="I12" i="4" l="1"/>
  <c r="J17" i="4"/>
  <c r="I17" i="4"/>
  <c r="F16" i="2"/>
  <c r="E17" i="2"/>
  <c r="E21" i="2" s="1"/>
  <c r="E30" i="2"/>
  <c r="E31" i="2" s="1"/>
  <c r="E35" i="2" s="1"/>
  <c r="J12" i="4" l="1"/>
  <c r="G16" i="2"/>
  <c r="F17" i="2"/>
  <c r="F30" i="2"/>
  <c r="F31" i="2" s="1"/>
  <c r="F35" i="2" s="1"/>
  <c r="K12" i="4" l="1"/>
  <c r="F21" i="2"/>
  <c r="H16" i="2"/>
  <c r="G17" i="2"/>
  <c r="G30" i="2"/>
  <c r="G31" i="2" s="1"/>
  <c r="G35" i="2" s="1"/>
  <c r="L12" i="4" l="1"/>
  <c r="H17" i="2"/>
  <c r="H21" i="2" s="1"/>
  <c r="H30" i="2"/>
  <c r="H31" i="2" s="1"/>
  <c r="H35" i="2" s="1"/>
  <c r="I16" i="2"/>
  <c r="G21" i="2"/>
  <c r="D35" i="1"/>
  <c r="E35" i="1"/>
  <c r="F35" i="1"/>
  <c r="G35" i="1"/>
  <c r="H35" i="1"/>
  <c r="I35" i="1"/>
  <c r="B35" i="1"/>
  <c r="D31" i="1"/>
  <c r="D29" i="1"/>
  <c r="D17" i="1"/>
  <c r="D15" i="1"/>
  <c r="I16" i="1"/>
  <c r="E16" i="1"/>
  <c r="E15" i="1"/>
  <c r="F15" i="1"/>
  <c r="G15" i="1"/>
  <c r="H15" i="1"/>
  <c r="I15" i="1"/>
  <c r="E29" i="1"/>
  <c r="C17" i="1"/>
  <c r="D33" i="1"/>
  <c r="E33" i="1"/>
  <c r="F33" i="1"/>
  <c r="G33" i="1"/>
  <c r="H33" i="1"/>
  <c r="I33" i="1"/>
  <c r="B33" i="1"/>
  <c r="B29" i="1"/>
  <c r="B31" i="1"/>
  <c r="C19" i="1"/>
  <c r="B39" i="1" s="1"/>
  <c r="C30" i="1"/>
  <c r="B30" i="1"/>
  <c r="F29" i="1"/>
  <c r="B21" i="1"/>
  <c r="E9" i="1"/>
  <c r="B17" i="1"/>
  <c r="M12" i="4" l="1"/>
  <c r="C33" i="1"/>
  <c r="C35" i="1" s="1"/>
  <c r="I30" i="2"/>
  <c r="I31" i="2" s="1"/>
  <c r="I35" i="2" s="1"/>
  <c r="I17" i="2"/>
  <c r="C29" i="1"/>
  <c r="C31" i="1" s="1"/>
  <c r="C21" i="1"/>
  <c r="B23" i="1" s="1"/>
  <c r="H29" i="1"/>
  <c r="I29" i="1"/>
  <c r="G29" i="1"/>
  <c r="E30" i="1"/>
  <c r="E31" i="1" s="1"/>
  <c r="N12" i="4" l="1"/>
  <c r="B38" i="1"/>
  <c r="B37" i="1"/>
  <c r="I21" i="2"/>
  <c r="B39" i="2"/>
  <c r="B25" i="2"/>
  <c r="B37" i="2"/>
  <c r="B38" i="2"/>
  <c r="F16" i="1"/>
  <c r="D21" i="1"/>
  <c r="E17" i="1"/>
  <c r="O12" i="4" l="1"/>
  <c r="B23" i="2"/>
  <c r="B24" i="2"/>
  <c r="G16" i="1"/>
  <c r="F30" i="1"/>
  <c r="F31" i="1" s="1"/>
  <c r="E21" i="1"/>
  <c r="F17" i="1"/>
  <c r="F21" i="1" s="1"/>
  <c r="G17" i="1"/>
  <c r="G21" i="1" s="1"/>
  <c r="B29" i="4" l="1"/>
  <c r="H16" i="1"/>
  <c r="H17" i="1" s="1"/>
  <c r="H21" i="1" s="1"/>
  <c r="G30" i="1"/>
  <c r="G31" i="1" s="1"/>
  <c r="H30" i="1" l="1"/>
  <c r="H31" i="1" s="1"/>
  <c r="I30" i="1" l="1"/>
  <c r="I31" i="1" s="1"/>
  <c r="I17" i="1"/>
  <c r="I21" i="1" l="1"/>
  <c r="B25" i="1"/>
  <c r="B24" i="1" l="1"/>
</calcChain>
</file>

<file path=xl/sharedStrings.xml><?xml version="1.0" encoding="utf-8"?>
<sst xmlns="http://schemas.openxmlformats.org/spreadsheetml/2006/main" count="160" uniqueCount="64">
  <si>
    <t>Parameters</t>
  </si>
  <si>
    <t>Fixed cost</t>
  </si>
  <si>
    <t>Benefits (annual)</t>
  </si>
  <si>
    <t>Avoided costs (annual)</t>
  </si>
  <si>
    <t>Benefits decline rate (deprec)</t>
  </si>
  <si>
    <t>Bens decline start year</t>
  </si>
  <si>
    <t>First use year</t>
  </si>
  <si>
    <t>Parameters (real terms)</t>
  </si>
  <si>
    <t>Useful life (years)</t>
  </si>
  <si>
    <t>Year</t>
  </si>
  <si>
    <t>Benefits_a</t>
  </si>
  <si>
    <t>Benefits_b</t>
  </si>
  <si>
    <t>Benefits_sum</t>
  </si>
  <si>
    <t>Costs</t>
  </si>
  <si>
    <t>Discount rate</t>
  </si>
  <si>
    <t>Inflation rate</t>
  </si>
  <si>
    <t>Discount rate (center)</t>
  </si>
  <si>
    <t>Parameters (nominal terms)</t>
  </si>
  <si>
    <t>Medical inflation rate (uncertain)</t>
  </si>
  <si>
    <t>Nominal</t>
  </si>
  <si>
    <t>NPV</t>
  </si>
  <si>
    <t>IRR</t>
  </si>
  <si>
    <t>BCR</t>
  </si>
  <si>
    <t>Cash flow</t>
  </si>
  <si>
    <t>Real</t>
  </si>
  <si>
    <t>* this is less than DR 12% ==&gt; no!</t>
  </si>
  <si>
    <t>* this is less than 1 ==&gt; no!</t>
  </si>
  <si>
    <t>* this is less than DR 10% ==&gt; no!</t>
  </si>
  <si>
    <t>BREAKEVEN</t>
  </si>
  <si>
    <t>NPV BENS</t>
  </si>
  <si>
    <t>Bens</t>
  </si>
  <si>
    <t>flows</t>
  </si>
  <si>
    <t>dvlpmt</t>
  </si>
  <si>
    <t>bens</t>
  </si>
  <si>
    <t>Investments</t>
  </si>
  <si>
    <t>Downpayment</t>
  </si>
  <si>
    <t>Financing</t>
  </si>
  <si>
    <t>Loan interest rate</t>
  </si>
  <si>
    <t>*interest capitalized</t>
  </si>
  <si>
    <t>repay</t>
  </si>
  <si>
    <t>deprec</t>
  </si>
  <si>
    <t>Operating</t>
  </si>
  <si>
    <t>ben growth</t>
  </si>
  <si>
    <t>Capitalized investments</t>
  </si>
  <si>
    <t xml:space="preserve">Tax Rate </t>
  </si>
  <si>
    <t>Principal Balance</t>
  </si>
  <si>
    <t>Total pd</t>
  </si>
  <si>
    <t>Interest pd</t>
  </si>
  <si>
    <t>Principal pd</t>
  </si>
  <si>
    <t>=</t>
  </si>
  <si>
    <t>Cash Flows</t>
  </si>
  <si>
    <t>Taxable profits</t>
  </si>
  <si>
    <t>Purposes</t>
  </si>
  <si>
    <t>Investment</t>
  </si>
  <si>
    <t>Equity</t>
  </si>
  <si>
    <t>Loan</t>
  </si>
  <si>
    <t>Loan interest</t>
  </si>
  <si>
    <t>Depreciation</t>
  </si>
  <si>
    <t>Tax</t>
  </si>
  <si>
    <t>Cash flows</t>
  </si>
  <si>
    <t>Operating costs</t>
  </si>
  <si>
    <t>*deprec doesn’t go into actual flow</t>
  </si>
  <si>
    <t>Balance</t>
  </si>
  <si>
    <t>Princ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</si>
</sst>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000000000000000%"/>
    <numFmt numFmtId="165" formatCode="0.0000%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9" fontId="0" fillId="0" borderId="0" xfId="0" applyNumberForma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1" fillId="0" borderId="0" xfId="0" applyNumberFormat="1" applyFont="1"/>
    <xf numFmtId="0" fontId="0" fillId="2" borderId="0" xfId="0" applyFill="1"/>
    <xf numFmtId="8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6ED9-79EF-4253-803B-84B71E9731F1}">
  <dimension ref="A1:I39"/>
  <sheetViews>
    <sheetView topLeftCell="A14" workbookViewId="0">
      <selection activeCell="D31" sqref="D31"/>
    </sheetView>
  </sheetViews>
  <sheetFormatPr defaultRowHeight="14.5" x14ac:dyDescent="0.35"/>
  <cols>
    <col min="1" max="1" width="17.453125" customWidth="1"/>
    <col min="2" max="2" width="20.08984375" bestFit="1" customWidth="1"/>
    <col min="4" max="4" width="23.81640625" customWidth="1"/>
    <col min="5" max="5" width="20.1796875" customWidth="1"/>
  </cols>
  <sheetData>
    <row r="1" spans="1:9" x14ac:dyDescent="0.35">
      <c r="A1" s="3" t="s">
        <v>7</v>
      </c>
      <c r="D1" s="3" t="s">
        <v>17</v>
      </c>
    </row>
    <row r="2" spans="1:9" x14ac:dyDescent="0.35">
      <c r="A2" s="3" t="s">
        <v>1</v>
      </c>
      <c r="B2" s="1">
        <v>600000</v>
      </c>
      <c r="D2" s="3" t="s">
        <v>1</v>
      </c>
      <c r="E2">
        <f>B2*(1+$B$10)^1</f>
        <v>612000</v>
      </c>
    </row>
    <row r="3" spans="1:9" x14ac:dyDescent="0.35">
      <c r="A3" s="3" t="s">
        <v>3</v>
      </c>
      <c r="B3" s="1">
        <v>85000</v>
      </c>
    </row>
    <row r="4" spans="1:9" x14ac:dyDescent="0.35">
      <c r="A4" s="3" t="s">
        <v>2</v>
      </c>
      <c r="B4" s="1">
        <v>60000</v>
      </c>
    </row>
    <row r="5" spans="1:9" x14ac:dyDescent="0.35">
      <c r="A5" s="3" t="s">
        <v>4</v>
      </c>
      <c r="B5" s="2">
        <v>0.06</v>
      </c>
      <c r="D5" s="3" t="s">
        <v>4</v>
      </c>
      <c r="E5" s="4">
        <f>(1+$B$5)*(1+$B$10)-1</f>
        <v>8.1200000000000161E-2</v>
      </c>
    </row>
    <row r="6" spans="1:9" x14ac:dyDescent="0.35">
      <c r="A6" s="3" t="s">
        <v>5</v>
      </c>
      <c r="B6" s="1">
        <v>2</v>
      </c>
    </row>
    <row r="7" spans="1:9" x14ac:dyDescent="0.35">
      <c r="A7" s="3" t="s">
        <v>6</v>
      </c>
      <c r="B7" s="1">
        <v>2</v>
      </c>
    </row>
    <row r="8" spans="1:9" x14ac:dyDescent="0.35">
      <c r="A8" s="3" t="s">
        <v>8</v>
      </c>
      <c r="B8" s="1">
        <v>6</v>
      </c>
    </row>
    <row r="9" spans="1:9" x14ac:dyDescent="0.35">
      <c r="A9" s="3" t="s">
        <v>16</v>
      </c>
      <c r="B9" s="2">
        <v>0.1</v>
      </c>
      <c r="D9" s="3" t="s">
        <v>16</v>
      </c>
      <c r="E9" s="2">
        <f>(1+$B$9)*(1+$B$10)-1</f>
        <v>0.12200000000000011</v>
      </c>
    </row>
    <row r="10" spans="1:9" x14ac:dyDescent="0.35">
      <c r="A10" s="3" t="s">
        <v>15</v>
      </c>
      <c r="B10" s="2">
        <v>0.02</v>
      </c>
      <c r="D10" s="5"/>
      <c r="E10" s="6"/>
    </row>
    <row r="11" spans="1:9" x14ac:dyDescent="0.35">
      <c r="A11" s="3" t="s">
        <v>18</v>
      </c>
      <c r="B11" s="4">
        <f>(1+E11)/(1+B10)-1</f>
        <v>5.8823529411764719E-2</v>
      </c>
      <c r="D11" s="3" t="s">
        <v>18</v>
      </c>
      <c r="E11" s="2">
        <v>0.08</v>
      </c>
    </row>
    <row r="13" spans="1:9" x14ac:dyDescent="0.35">
      <c r="A13" s="9" t="s">
        <v>19</v>
      </c>
    </row>
    <row r="14" spans="1:9" x14ac:dyDescent="0.35">
      <c r="A14" s="3" t="s">
        <v>9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</row>
    <row r="15" spans="1:9" x14ac:dyDescent="0.35">
      <c r="A15" t="s">
        <v>10</v>
      </c>
      <c r="B15">
        <v>0</v>
      </c>
      <c r="C15" s="1">
        <v>0</v>
      </c>
      <c r="D15" s="1">
        <f>$B$3*(1+$B$10)^D14</f>
        <v>88434</v>
      </c>
      <c r="E15" s="1">
        <f t="shared" ref="E15:I15" si="0">$B$3*(1+$B$10)^E14</f>
        <v>90202.68</v>
      </c>
      <c r="F15" s="1">
        <f t="shared" si="0"/>
        <v>92006.733599999992</v>
      </c>
      <c r="G15" s="1">
        <f t="shared" si="0"/>
        <v>93846.868272000007</v>
      </c>
      <c r="H15" s="1">
        <f t="shared" si="0"/>
        <v>95723.805637440004</v>
      </c>
      <c r="I15" s="1">
        <f t="shared" si="0"/>
        <v>97638.281750188791</v>
      </c>
    </row>
    <row r="16" spans="1:9" x14ac:dyDescent="0.35">
      <c r="A16" t="s">
        <v>11</v>
      </c>
      <c r="B16">
        <v>0</v>
      </c>
      <c r="C16" s="1">
        <v>0</v>
      </c>
      <c r="D16">
        <f>$B$4*(1-$E$5)</f>
        <v>55127.999999999993</v>
      </c>
      <c r="E16">
        <f>D16*(1-$E$5)</f>
        <v>50651.606399999982</v>
      </c>
      <c r="F16">
        <f t="shared" ref="F16:H16" si="1">E16*(1-$E$5)</f>
        <v>46538.695960319972</v>
      </c>
      <c r="G16">
        <f t="shared" si="1"/>
        <v>42759.753848341985</v>
      </c>
      <c r="H16">
        <f t="shared" si="1"/>
        <v>39287.661835856612</v>
      </c>
      <c r="I16">
        <f>H16*(1-$E$5)</f>
        <v>36097.503694785046</v>
      </c>
    </row>
    <row r="17" spans="1:9" x14ac:dyDescent="0.35">
      <c r="A17" t="s">
        <v>12</v>
      </c>
      <c r="B17">
        <f>B16+B15</f>
        <v>0</v>
      </c>
      <c r="C17" s="1">
        <f>C16+C15</f>
        <v>0</v>
      </c>
      <c r="D17" s="1">
        <f>D16+D15</f>
        <v>143562</v>
      </c>
      <c r="E17">
        <f t="shared" ref="E17:I17" si="2">E16+E15</f>
        <v>140854.28639999998</v>
      </c>
      <c r="F17">
        <f t="shared" si="2"/>
        <v>138545.42956031996</v>
      </c>
      <c r="G17">
        <f t="shared" si="2"/>
        <v>136606.62212034198</v>
      </c>
      <c r="H17">
        <f t="shared" si="2"/>
        <v>135011.46747329662</v>
      </c>
      <c r="I17">
        <f t="shared" si="2"/>
        <v>133735.78544497385</v>
      </c>
    </row>
    <row r="19" spans="1:9" x14ac:dyDescent="0.35">
      <c r="A19" t="s">
        <v>13</v>
      </c>
      <c r="B19">
        <v>0</v>
      </c>
      <c r="C19" s="1">
        <f>E2</f>
        <v>612000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C20" s="1"/>
    </row>
    <row r="21" spans="1:9" x14ac:dyDescent="0.35">
      <c r="A21" t="s">
        <v>23</v>
      </c>
      <c r="B21">
        <f>B17-B19</f>
        <v>0</v>
      </c>
      <c r="C21">
        <f t="shared" ref="C21:I21" si="3">C17-C19</f>
        <v>-612000</v>
      </c>
      <c r="D21" s="1">
        <f>D17-D19</f>
        <v>143562</v>
      </c>
      <c r="E21">
        <f t="shared" si="3"/>
        <v>140854.28639999998</v>
      </c>
      <c r="F21">
        <f t="shared" si="3"/>
        <v>138545.42956031996</v>
      </c>
      <c r="G21">
        <f t="shared" si="3"/>
        <v>136606.62212034198</v>
      </c>
      <c r="H21">
        <f t="shared" si="3"/>
        <v>135011.46747329662</v>
      </c>
      <c r="I21">
        <f t="shared" si="3"/>
        <v>133735.78544497385</v>
      </c>
    </row>
    <row r="23" spans="1:9" x14ac:dyDescent="0.35">
      <c r="A23" s="7" t="s">
        <v>20</v>
      </c>
      <c r="B23" s="8">
        <f>-NPV(E9,C21:I21)</f>
        <v>40028.290110419599</v>
      </c>
    </row>
    <row r="24" spans="1:9" x14ac:dyDescent="0.35">
      <c r="A24" s="7" t="s">
        <v>21</v>
      </c>
      <c r="B24" s="2">
        <f>IRR(C21:I21)</f>
        <v>9.5263110246651017E-2</v>
      </c>
      <c r="D24" s="10" t="s">
        <v>25</v>
      </c>
    </row>
    <row r="25" spans="1:9" x14ac:dyDescent="0.35">
      <c r="A25" s="7" t="s">
        <v>22</v>
      </c>
      <c r="B25">
        <f>NPV(E9,C17:I17)/(NPV(E9,C19:I19))</f>
        <v>0.9266148014642307</v>
      </c>
      <c r="D25" s="10" t="s">
        <v>26</v>
      </c>
    </row>
    <row r="27" spans="1:9" x14ac:dyDescent="0.35">
      <c r="A27" s="9" t="s">
        <v>24</v>
      </c>
    </row>
    <row r="28" spans="1:9" x14ac:dyDescent="0.35">
      <c r="A28" s="3" t="s">
        <v>9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</row>
    <row r="29" spans="1:9" x14ac:dyDescent="0.35">
      <c r="A29" t="s">
        <v>10</v>
      </c>
      <c r="B29">
        <f>B15/(1+$B$10)^B28</f>
        <v>0</v>
      </c>
      <c r="C29">
        <f t="shared" ref="C29:H29" si="4">C15/(1+$B$10)^C28</f>
        <v>0</v>
      </c>
      <c r="D29">
        <f>D15/(1+$B$10)^D28</f>
        <v>85000</v>
      </c>
      <c r="E29">
        <f t="shared" si="4"/>
        <v>85000</v>
      </c>
      <c r="F29">
        <f t="shared" si="4"/>
        <v>85000</v>
      </c>
      <c r="G29">
        <f t="shared" si="4"/>
        <v>85000</v>
      </c>
      <c r="H29">
        <f t="shared" si="4"/>
        <v>85000</v>
      </c>
      <c r="I29">
        <f>I15/(1+$B$10)^I28</f>
        <v>85000</v>
      </c>
    </row>
    <row r="30" spans="1:9" x14ac:dyDescent="0.35">
      <c r="A30" t="s">
        <v>11</v>
      </c>
      <c r="B30">
        <f t="shared" ref="B30:I30" si="5">B16/(1+$B$10)^B28</f>
        <v>0</v>
      </c>
      <c r="C30">
        <f t="shared" si="5"/>
        <v>0</v>
      </c>
      <c r="D30">
        <f t="shared" si="5"/>
        <v>52987.312572087649</v>
      </c>
      <c r="E30">
        <f t="shared" si="5"/>
        <v>47730.139991406009</v>
      </c>
      <c r="F30">
        <f t="shared" si="5"/>
        <v>42994.561396180223</v>
      </c>
      <c r="G30">
        <f t="shared" si="5"/>
        <v>38728.826481186647</v>
      </c>
      <c r="H30">
        <f t="shared" si="5"/>
        <v>34886.319383249298</v>
      </c>
      <c r="I30">
        <f t="shared" si="5"/>
        <v>31425.049264048488</v>
      </c>
    </row>
    <row r="31" spans="1:9" x14ac:dyDescent="0.35">
      <c r="A31" t="s">
        <v>12</v>
      </c>
      <c r="B31">
        <f>B29+B30</f>
        <v>0</v>
      </c>
      <c r="C31">
        <f t="shared" ref="C31:I31" si="6">C29+C30</f>
        <v>0</v>
      </c>
      <c r="D31">
        <f>D29+D30</f>
        <v>137987.31257208766</v>
      </c>
      <c r="E31">
        <f t="shared" si="6"/>
        <v>132730.139991406</v>
      </c>
      <c r="F31">
        <f t="shared" si="6"/>
        <v>127994.56139618022</v>
      </c>
      <c r="G31">
        <f t="shared" si="6"/>
        <v>123728.82648118664</v>
      </c>
      <c r="H31">
        <f t="shared" si="6"/>
        <v>119886.3193832493</v>
      </c>
      <c r="I31">
        <f t="shared" si="6"/>
        <v>116425.04926404849</v>
      </c>
    </row>
    <row r="33" spans="1:9" x14ac:dyDescent="0.35">
      <c r="A33" t="s">
        <v>13</v>
      </c>
      <c r="B33">
        <f>B19/(1+$B$10)^B28</f>
        <v>0</v>
      </c>
      <c r="C33">
        <f>C19/(1+$B$10)^C28</f>
        <v>600000</v>
      </c>
      <c r="D33">
        <f t="shared" ref="D33:I33" si="7">D19/(1+$B$10)^D28</f>
        <v>0</v>
      </c>
      <c r="E33">
        <f t="shared" si="7"/>
        <v>0</v>
      </c>
      <c r="F33">
        <f t="shared" si="7"/>
        <v>0</v>
      </c>
      <c r="G33">
        <f t="shared" si="7"/>
        <v>0</v>
      </c>
      <c r="H33">
        <f t="shared" si="7"/>
        <v>0</v>
      </c>
      <c r="I33">
        <f t="shared" si="7"/>
        <v>0</v>
      </c>
    </row>
    <row r="35" spans="1:9" x14ac:dyDescent="0.35">
      <c r="A35" t="s">
        <v>23</v>
      </c>
      <c r="B35">
        <f>B31+B33</f>
        <v>0</v>
      </c>
      <c r="C35">
        <f>C31-C33</f>
        <v>-600000</v>
      </c>
      <c r="D35">
        <f>D31-D33</f>
        <v>137987.31257208766</v>
      </c>
      <c r="E35">
        <f t="shared" ref="E35:I35" si="8">E31-E33</f>
        <v>132730.139991406</v>
      </c>
      <c r="F35">
        <f t="shared" si="8"/>
        <v>127994.56139618022</v>
      </c>
      <c r="G35">
        <f t="shared" si="8"/>
        <v>123728.82648118664</v>
      </c>
      <c r="H35">
        <f t="shared" si="8"/>
        <v>119886.3193832493</v>
      </c>
      <c r="I35">
        <f t="shared" si="8"/>
        <v>116425.04926404849</v>
      </c>
    </row>
    <row r="37" spans="1:9" x14ac:dyDescent="0.35">
      <c r="A37" s="7" t="s">
        <v>20</v>
      </c>
      <c r="B37" s="8">
        <f>-NPV(B9,C35:I35)</f>
        <v>40028.290110419541</v>
      </c>
    </row>
    <row r="38" spans="1:9" x14ac:dyDescent="0.35">
      <c r="A38" s="7" t="s">
        <v>21</v>
      </c>
      <c r="B38" s="2">
        <f>IRR(C35:I35)</f>
        <v>7.3787362986912575E-2</v>
      </c>
      <c r="D38" s="10" t="s">
        <v>27</v>
      </c>
    </row>
    <row r="39" spans="1:9" x14ac:dyDescent="0.35">
      <c r="A39" s="7" t="s">
        <v>22</v>
      </c>
      <c r="B39">
        <f>NPV(B9,C17:I17)/NPV(B9,C19:I19)</f>
        <v>0.98633442236056368</v>
      </c>
      <c r="D39" s="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172F-F164-4645-8D15-D504DB889B9C}">
  <dimension ref="A1:O39"/>
  <sheetViews>
    <sheetView workbookViewId="0">
      <selection activeCell="I3" sqref="I3"/>
    </sheetView>
  </sheetViews>
  <sheetFormatPr defaultRowHeight="14.5" x14ac:dyDescent="0.35"/>
  <cols>
    <col min="1" max="1" width="17.453125" customWidth="1"/>
    <col min="2" max="2" width="20.08984375" bestFit="1" customWidth="1"/>
    <col min="4" max="4" width="23.81640625" customWidth="1"/>
    <col min="5" max="5" width="20.08984375" bestFit="1" customWidth="1"/>
    <col min="8" max="8" width="12.7265625" customWidth="1"/>
    <col min="9" max="9" width="11.54296875" bestFit="1" customWidth="1"/>
    <col min="10" max="10" width="12.1796875" bestFit="1" customWidth="1"/>
    <col min="11" max="15" width="11.54296875" bestFit="1" customWidth="1"/>
  </cols>
  <sheetData>
    <row r="1" spans="1:15" x14ac:dyDescent="0.35">
      <c r="A1" s="3" t="s">
        <v>7</v>
      </c>
      <c r="D1" s="3" t="s">
        <v>17</v>
      </c>
    </row>
    <row r="2" spans="1:15" x14ac:dyDescent="0.35">
      <c r="A2" s="3" t="s">
        <v>1</v>
      </c>
      <c r="B2" s="1">
        <v>600000</v>
      </c>
      <c r="D2" s="3" t="s">
        <v>1</v>
      </c>
      <c r="E2">
        <f>B2*(1+$B$10)^1</f>
        <v>612000</v>
      </c>
    </row>
    <row r="3" spans="1:15" x14ac:dyDescent="0.35">
      <c r="A3" s="3" t="s">
        <v>3</v>
      </c>
      <c r="B3" s="1">
        <v>85000</v>
      </c>
      <c r="H3" s="9" t="s">
        <v>28</v>
      </c>
      <c r="I3">
        <f>SUM(I6:O6)</f>
        <v>-40028.29011041957</v>
      </c>
    </row>
    <row r="4" spans="1:15" x14ac:dyDescent="0.35">
      <c r="A4" s="3" t="s">
        <v>2</v>
      </c>
      <c r="B4" s="1">
        <v>60000</v>
      </c>
      <c r="H4" s="3" t="s">
        <v>9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</row>
    <row r="5" spans="1:15" x14ac:dyDescent="0.35">
      <c r="A5" s="3" t="s">
        <v>4</v>
      </c>
      <c r="B5" s="2">
        <v>0.06</v>
      </c>
      <c r="D5" s="3" t="s">
        <v>4</v>
      </c>
      <c r="E5" s="4">
        <f>(1+$B$5)*(1+$B$10)-1</f>
        <v>8.1200000000000161E-2</v>
      </c>
      <c r="H5" t="s">
        <v>29</v>
      </c>
      <c r="I5" s="8">
        <f>NPV($E$9,B17)</f>
        <v>0</v>
      </c>
      <c r="J5" s="8">
        <f t="shared" ref="J5:O5" si="0">NPV($E$9,C17)</f>
        <v>0</v>
      </c>
      <c r="K5" s="8">
        <f>NPV($E$9,D17)</f>
        <v>127951.871657754</v>
      </c>
      <c r="L5" s="8">
        <f>NPV($E$9,E17)</f>
        <v>125538.57967914436</v>
      </c>
      <c r="M5" s="8">
        <f t="shared" si="0"/>
        <v>123480.77500919781</v>
      </c>
      <c r="N5" s="8">
        <f t="shared" si="0"/>
        <v>121752.78263845095</v>
      </c>
      <c r="O5" s="8">
        <f t="shared" si="0"/>
        <v>120331.07617940874</v>
      </c>
    </row>
    <row r="6" spans="1:15" x14ac:dyDescent="0.35">
      <c r="A6" s="3" t="s">
        <v>5</v>
      </c>
      <c r="B6" s="1">
        <v>2</v>
      </c>
      <c r="H6" t="s">
        <v>31</v>
      </c>
      <c r="I6">
        <f>(C17-C19)/(1+$E$9)^I4</f>
        <v>-545454.54545454541</v>
      </c>
      <c r="J6">
        <f t="shared" ref="J6:O6" si="1">D17/(1+$E$9)^J4</f>
        <v>114039.10129924597</v>
      </c>
      <c r="K6">
        <f t="shared" si="1"/>
        <v>99722.11870128171</v>
      </c>
      <c r="L6">
        <f t="shared" si="1"/>
        <v>87422.007647141683</v>
      </c>
      <c r="M6">
        <f t="shared" si="1"/>
        <v>76825.866639255008</v>
      </c>
      <c r="N6">
        <f t="shared" si="1"/>
        <v>67672.701861945039</v>
      </c>
      <c r="O6">
        <f t="shared" si="1"/>
        <v>59744.459195256401</v>
      </c>
    </row>
    <row r="7" spans="1:15" x14ac:dyDescent="0.35">
      <c r="A7" s="3" t="s">
        <v>6</v>
      </c>
      <c r="B7" s="1">
        <v>2</v>
      </c>
    </row>
    <row r="8" spans="1:15" x14ac:dyDescent="0.35">
      <c r="A8" s="3" t="s">
        <v>8</v>
      </c>
      <c r="B8" s="1">
        <v>6</v>
      </c>
    </row>
    <row r="9" spans="1:15" x14ac:dyDescent="0.35">
      <c r="A9" s="3" t="s">
        <v>16</v>
      </c>
      <c r="B9" s="2">
        <v>0.1</v>
      </c>
      <c r="D9" s="3" t="s">
        <v>16</v>
      </c>
      <c r="E9" s="2">
        <f>(1+$B$9)*(1+$B$10)-1</f>
        <v>0.12200000000000011</v>
      </c>
    </row>
    <row r="10" spans="1:15" x14ac:dyDescent="0.35">
      <c r="A10" s="3" t="s">
        <v>15</v>
      </c>
      <c r="B10" s="2">
        <v>0.02</v>
      </c>
      <c r="D10" s="5"/>
      <c r="E10" s="6"/>
    </row>
    <row r="11" spans="1:15" x14ac:dyDescent="0.35">
      <c r="A11" s="3" t="s">
        <v>18</v>
      </c>
      <c r="B11" s="4">
        <f>(1+E11)/(1+B10)-1</f>
        <v>5.8823529411764719E-2</v>
      </c>
      <c r="D11" s="3" t="s">
        <v>18</v>
      </c>
      <c r="E11" s="2">
        <v>0.08</v>
      </c>
    </row>
    <row r="13" spans="1:15" x14ac:dyDescent="0.35">
      <c r="A13" s="9" t="s">
        <v>19</v>
      </c>
    </row>
    <row r="14" spans="1:15" x14ac:dyDescent="0.35">
      <c r="A14" s="3" t="s">
        <v>9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</row>
    <row r="15" spans="1:15" x14ac:dyDescent="0.35">
      <c r="A15" t="s">
        <v>10</v>
      </c>
      <c r="B15">
        <v>0</v>
      </c>
      <c r="C15" s="1">
        <v>0</v>
      </c>
      <c r="D15" s="1">
        <f>$B$3*(1+$B$10)^D14</f>
        <v>88434</v>
      </c>
      <c r="E15" s="1">
        <f t="shared" ref="E15:I15" si="2">$B$3*(1+$B$10)^E14</f>
        <v>90202.68</v>
      </c>
      <c r="F15" s="1">
        <f t="shared" si="2"/>
        <v>92006.733599999992</v>
      </c>
      <c r="G15" s="1">
        <f t="shared" si="2"/>
        <v>93846.868272000007</v>
      </c>
      <c r="H15" s="1">
        <f t="shared" si="2"/>
        <v>95723.805637440004</v>
      </c>
      <c r="I15" s="1">
        <f t="shared" si="2"/>
        <v>97638.281750188791</v>
      </c>
    </row>
    <row r="16" spans="1:15" x14ac:dyDescent="0.35">
      <c r="A16" t="s">
        <v>11</v>
      </c>
      <c r="B16">
        <v>0</v>
      </c>
      <c r="C16" s="1">
        <v>0</v>
      </c>
      <c r="D16">
        <f>$B$4*(1-$E$5)</f>
        <v>55127.999999999993</v>
      </c>
      <c r="E16">
        <f>D16*(1-$E$5)</f>
        <v>50651.606399999982</v>
      </c>
      <c r="F16">
        <f t="shared" ref="F16:H16" si="3">E16*(1-$E$5)</f>
        <v>46538.695960319972</v>
      </c>
      <c r="G16">
        <f t="shared" si="3"/>
        <v>42759.753848341985</v>
      </c>
      <c r="H16">
        <f t="shared" si="3"/>
        <v>39287.661835856612</v>
      </c>
      <c r="I16">
        <f>H16*(1-$E$5)</f>
        <v>36097.503694785046</v>
      </c>
    </row>
    <row r="17" spans="1:9" x14ac:dyDescent="0.35">
      <c r="A17" t="s">
        <v>12</v>
      </c>
      <c r="B17">
        <f>B16+B15</f>
        <v>0</v>
      </c>
      <c r="C17" s="1">
        <f>C16+C15</f>
        <v>0</v>
      </c>
      <c r="D17" s="1">
        <f>D16+D15</f>
        <v>143562</v>
      </c>
      <c r="E17">
        <f t="shared" ref="E17:I17" si="4">E16+E15</f>
        <v>140854.28639999998</v>
      </c>
      <c r="F17">
        <f t="shared" si="4"/>
        <v>138545.42956031996</v>
      </c>
      <c r="G17">
        <f t="shared" si="4"/>
        <v>136606.62212034198</v>
      </c>
      <c r="H17">
        <f t="shared" si="4"/>
        <v>135011.46747329662</v>
      </c>
      <c r="I17">
        <f t="shared" si="4"/>
        <v>133735.78544497385</v>
      </c>
    </row>
    <row r="19" spans="1:9" x14ac:dyDescent="0.35">
      <c r="A19" t="s">
        <v>13</v>
      </c>
      <c r="B19">
        <v>0</v>
      </c>
      <c r="C19" s="1">
        <f>E2</f>
        <v>612000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C20" s="1"/>
    </row>
    <row r="21" spans="1:9" x14ac:dyDescent="0.35">
      <c r="A21" t="s">
        <v>23</v>
      </c>
      <c r="B21">
        <f>B17-B19</f>
        <v>0</v>
      </c>
      <c r="C21">
        <f t="shared" ref="C21:I21" si="5">C17-C19</f>
        <v>-612000</v>
      </c>
      <c r="D21" s="1">
        <f>D17-D19</f>
        <v>143562</v>
      </c>
      <c r="E21">
        <f t="shared" si="5"/>
        <v>140854.28639999998</v>
      </c>
      <c r="F21">
        <f t="shared" si="5"/>
        <v>138545.42956031996</v>
      </c>
      <c r="G21">
        <f t="shared" si="5"/>
        <v>136606.62212034198</v>
      </c>
      <c r="H21">
        <f t="shared" si="5"/>
        <v>135011.46747329662</v>
      </c>
      <c r="I21">
        <f t="shared" si="5"/>
        <v>133735.78544497385</v>
      </c>
    </row>
    <row r="23" spans="1:9" x14ac:dyDescent="0.35">
      <c r="A23" s="7" t="s">
        <v>20</v>
      </c>
      <c r="B23" s="8">
        <f>-NPV(E9,C21:I21)</f>
        <v>40028.290110419599</v>
      </c>
    </row>
    <row r="24" spans="1:9" x14ac:dyDescent="0.35">
      <c r="A24" s="7" t="s">
        <v>21</v>
      </c>
      <c r="B24" s="2">
        <f>IRR(C21:I21)</f>
        <v>9.5263110246651017E-2</v>
      </c>
      <c r="D24" t="s">
        <v>25</v>
      </c>
    </row>
    <row r="25" spans="1:9" x14ac:dyDescent="0.35">
      <c r="A25" s="7" t="s">
        <v>22</v>
      </c>
      <c r="B25">
        <f>NPV(E9,C17:I17)/(NPV(E9,C19:I19))</f>
        <v>0.9266148014642307</v>
      </c>
      <c r="D25" t="s">
        <v>26</v>
      </c>
    </row>
    <row r="27" spans="1:9" x14ac:dyDescent="0.35">
      <c r="A27" s="9" t="s">
        <v>24</v>
      </c>
    </row>
    <row r="28" spans="1:9" x14ac:dyDescent="0.35">
      <c r="A28" s="3" t="s">
        <v>9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</row>
    <row r="29" spans="1:9" x14ac:dyDescent="0.35">
      <c r="A29" t="s">
        <v>10</v>
      </c>
      <c r="B29">
        <f>B15/(1+$B$10)^B28</f>
        <v>0</v>
      </c>
      <c r="C29">
        <f t="shared" ref="C29:H29" si="6">C15/(1+$B$10)^C28</f>
        <v>0</v>
      </c>
      <c r="D29">
        <f>D15/(1+$B$10)^D28</f>
        <v>85000</v>
      </c>
      <c r="E29">
        <f t="shared" si="6"/>
        <v>85000</v>
      </c>
      <c r="F29">
        <f t="shared" si="6"/>
        <v>85000</v>
      </c>
      <c r="G29">
        <f t="shared" si="6"/>
        <v>85000</v>
      </c>
      <c r="H29">
        <f t="shared" si="6"/>
        <v>85000</v>
      </c>
      <c r="I29">
        <f>I15/(1+$B$10)^I28</f>
        <v>85000</v>
      </c>
    </row>
    <row r="30" spans="1:9" x14ac:dyDescent="0.35">
      <c r="A30" t="s">
        <v>11</v>
      </c>
      <c r="B30">
        <f t="shared" ref="B30:I30" si="7">B16/(1+$B$10)^B28</f>
        <v>0</v>
      </c>
      <c r="C30">
        <f t="shared" si="7"/>
        <v>0</v>
      </c>
      <c r="D30">
        <f t="shared" si="7"/>
        <v>52987.312572087649</v>
      </c>
      <c r="E30">
        <f t="shared" si="7"/>
        <v>47730.139991406009</v>
      </c>
      <c r="F30">
        <f t="shared" si="7"/>
        <v>42994.561396180223</v>
      </c>
      <c r="G30">
        <f t="shared" si="7"/>
        <v>38728.826481186647</v>
      </c>
      <c r="H30">
        <f t="shared" si="7"/>
        <v>34886.319383249298</v>
      </c>
      <c r="I30">
        <f t="shared" si="7"/>
        <v>31425.049264048488</v>
      </c>
    </row>
    <row r="31" spans="1:9" x14ac:dyDescent="0.35">
      <c r="A31" t="s">
        <v>12</v>
      </c>
      <c r="B31">
        <f>B29+B30</f>
        <v>0</v>
      </c>
      <c r="C31">
        <f t="shared" ref="C31:I31" si="8">C29+C30</f>
        <v>0</v>
      </c>
      <c r="D31">
        <f>D29+D30</f>
        <v>137987.31257208766</v>
      </c>
      <c r="E31">
        <f t="shared" si="8"/>
        <v>132730.139991406</v>
      </c>
      <c r="F31">
        <f t="shared" si="8"/>
        <v>127994.56139618022</v>
      </c>
      <c r="G31">
        <f t="shared" si="8"/>
        <v>123728.82648118664</v>
      </c>
      <c r="H31">
        <f t="shared" si="8"/>
        <v>119886.3193832493</v>
      </c>
      <c r="I31">
        <f t="shared" si="8"/>
        <v>116425.04926404849</v>
      </c>
    </row>
    <row r="33" spans="1:9" x14ac:dyDescent="0.35">
      <c r="A33" t="s">
        <v>13</v>
      </c>
      <c r="B33">
        <f>B19/(1+$B$10)^B28</f>
        <v>0</v>
      </c>
      <c r="C33">
        <f>C19/(1+$B$10)^C28</f>
        <v>600000</v>
      </c>
      <c r="D33">
        <f t="shared" ref="D33:I33" si="9">D19/(1+$B$10)^D28</f>
        <v>0</v>
      </c>
      <c r="E33">
        <f t="shared" si="9"/>
        <v>0</v>
      </c>
      <c r="F33">
        <f t="shared" si="9"/>
        <v>0</v>
      </c>
      <c r="G33">
        <f t="shared" si="9"/>
        <v>0</v>
      </c>
      <c r="H33">
        <f t="shared" si="9"/>
        <v>0</v>
      </c>
      <c r="I33">
        <f t="shared" si="9"/>
        <v>0</v>
      </c>
    </row>
    <row r="35" spans="1:9" x14ac:dyDescent="0.35">
      <c r="A35" t="s">
        <v>23</v>
      </c>
      <c r="B35">
        <f>B31+B33</f>
        <v>0</v>
      </c>
      <c r="C35">
        <f>C31-C33</f>
        <v>-600000</v>
      </c>
      <c r="D35">
        <f>D31-D33</f>
        <v>137987.31257208766</v>
      </c>
      <c r="E35">
        <f t="shared" ref="E35:I35" si="10">E31-E33</f>
        <v>132730.139991406</v>
      </c>
      <c r="F35">
        <f t="shared" si="10"/>
        <v>127994.56139618022</v>
      </c>
      <c r="G35">
        <f t="shared" si="10"/>
        <v>123728.82648118664</v>
      </c>
      <c r="H35">
        <f t="shared" si="10"/>
        <v>119886.3193832493</v>
      </c>
      <c r="I35">
        <f t="shared" si="10"/>
        <v>116425.04926404849</v>
      </c>
    </row>
    <row r="37" spans="1:9" x14ac:dyDescent="0.35">
      <c r="A37" s="7" t="s">
        <v>20</v>
      </c>
      <c r="B37" s="8">
        <f>-NPV(B9,C35:I35)</f>
        <v>40028.290110419541</v>
      </c>
    </row>
    <row r="38" spans="1:9" x14ac:dyDescent="0.35">
      <c r="A38" s="7" t="s">
        <v>21</v>
      </c>
      <c r="B38" s="2">
        <f>IRR(C35:I35)</f>
        <v>7.3787362986912575E-2</v>
      </c>
      <c r="D38" t="s">
        <v>27</v>
      </c>
    </row>
    <row r="39" spans="1:9" x14ac:dyDescent="0.35">
      <c r="A39" s="7" t="s">
        <v>22</v>
      </c>
      <c r="B39">
        <f>NPV(B9,C17:I17)/NPV(B9,C19:I19)</f>
        <v>0.98633442236056368</v>
      </c>
      <c r="D3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DBE6-6DEA-4759-AD92-24CB05A3749B}">
  <dimension ref="A1:O40"/>
  <sheetViews>
    <sheetView topLeftCell="A2" zoomScale="64" zoomScaleNormal="71" workbookViewId="0">
      <selection activeCell="F23" sqref="F23"/>
    </sheetView>
  </sheetViews>
  <sheetFormatPr defaultRowHeight="14.5" x14ac:dyDescent="0.35"/>
  <cols>
    <col min="1" max="1" width="14.1796875" customWidth="1"/>
    <col min="2" max="3" width="10.54296875" bestFit="1" customWidth="1"/>
    <col min="5" max="5" width="10.90625" customWidth="1"/>
    <col min="6" max="6" width="10.54296875" bestFit="1" customWidth="1"/>
    <col min="7" max="7" width="10.90625" bestFit="1" customWidth="1"/>
    <col min="8" max="8" width="10.90625" customWidth="1"/>
    <col min="9" max="9" width="12.54296875" customWidth="1"/>
    <col min="10" max="10" width="12.08984375" customWidth="1"/>
    <col min="11" max="11" width="10" customWidth="1"/>
    <col min="12" max="12" width="15.36328125" customWidth="1"/>
    <col min="13" max="13" width="12.36328125" customWidth="1"/>
    <col min="14" max="14" width="10.08984375" customWidth="1"/>
    <col min="15" max="15" width="11.26953125" customWidth="1"/>
  </cols>
  <sheetData>
    <row r="1" spans="1:15" x14ac:dyDescent="0.35">
      <c r="A1" s="3" t="s">
        <v>0</v>
      </c>
    </row>
    <row r="2" spans="1:15" x14ac:dyDescent="0.35">
      <c r="A2" s="3" t="s">
        <v>35</v>
      </c>
      <c r="B2">
        <f>SUM(C15:E15)*0.2</f>
        <v>2500</v>
      </c>
      <c r="D2" s="3" t="s">
        <v>14</v>
      </c>
      <c r="E2" s="2">
        <v>0.12</v>
      </c>
    </row>
    <row r="3" spans="1:15" x14ac:dyDescent="0.35">
      <c r="A3" s="3" t="s">
        <v>36</v>
      </c>
      <c r="B3">
        <f>SUM(C15:E15)*0.8</f>
        <v>10000</v>
      </c>
      <c r="C3" s="2"/>
      <c r="D3" s="3"/>
      <c r="E3" s="2"/>
    </row>
    <row r="4" spans="1:15" x14ac:dyDescent="0.35">
      <c r="A4" s="3" t="s">
        <v>37</v>
      </c>
      <c r="B4" s="2">
        <v>0.08</v>
      </c>
      <c r="D4" s="3" t="s">
        <v>44</v>
      </c>
      <c r="E4" s="2">
        <v>0.2</v>
      </c>
    </row>
    <row r="5" spans="1:15" x14ac:dyDescent="0.35">
      <c r="A5" s="3" t="s">
        <v>42</v>
      </c>
      <c r="B5" s="2">
        <v>0.02</v>
      </c>
    </row>
    <row r="6" spans="1:15" x14ac:dyDescent="0.35">
      <c r="A6" s="3"/>
      <c r="B6" s="2"/>
    </row>
    <row r="7" spans="1:15" x14ac:dyDescent="0.35">
      <c r="A7" s="3" t="s">
        <v>19</v>
      </c>
    </row>
    <row r="8" spans="1:15" x14ac:dyDescent="0.35">
      <c r="F8" t="s">
        <v>40</v>
      </c>
      <c r="G8" t="s">
        <v>40</v>
      </c>
      <c r="H8" t="s">
        <v>40</v>
      </c>
      <c r="I8" t="s">
        <v>40</v>
      </c>
      <c r="J8" t="s">
        <v>40</v>
      </c>
    </row>
    <row r="9" spans="1:15" x14ac:dyDescent="0.35">
      <c r="E9" s="10" t="s">
        <v>38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</row>
    <row r="10" spans="1:15" x14ac:dyDescent="0.35">
      <c r="C10" t="s">
        <v>32</v>
      </c>
      <c r="D10" t="s">
        <v>32</v>
      </c>
      <c r="E10" t="s">
        <v>32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</row>
    <row r="11" spans="1:15" x14ac:dyDescent="0.35">
      <c r="A11" s="3" t="s">
        <v>9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</row>
    <row r="12" spans="1:15" x14ac:dyDescent="0.35">
      <c r="A12" s="11" t="s">
        <v>30</v>
      </c>
      <c r="B12">
        <v>0</v>
      </c>
      <c r="C12">
        <v>0</v>
      </c>
      <c r="D12">
        <v>0</v>
      </c>
      <c r="E12">
        <v>0</v>
      </c>
      <c r="F12">
        <v>2800</v>
      </c>
      <c r="G12">
        <f>F12*(1+$B$5)</f>
        <v>2856</v>
      </c>
      <c r="H12">
        <f>G12*(1+$B$5)</f>
        <v>2913.12</v>
      </c>
      <c r="I12">
        <f>H12*(1+$B$5)</f>
        <v>2971.3824</v>
      </c>
      <c r="J12">
        <f>I12*(1+$B$5)</f>
        <v>3030.8100479999998</v>
      </c>
      <c r="K12">
        <f t="shared" ref="K12:N12" si="0">J12*(1+$B$5)</f>
        <v>3091.4262489600001</v>
      </c>
      <c r="L12">
        <f>K12*(1+$B$5)</f>
        <v>3153.2547739392003</v>
      </c>
      <c r="M12">
        <f t="shared" si="0"/>
        <v>3216.3198694179841</v>
      </c>
      <c r="N12">
        <f t="shared" si="0"/>
        <v>3280.6462668063441</v>
      </c>
      <c r="O12">
        <f>N12*(1+$B$5)</f>
        <v>3346.259192142471</v>
      </c>
    </row>
    <row r="14" spans="1:15" x14ac:dyDescent="0.35">
      <c r="A14" s="11" t="s">
        <v>13</v>
      </c>
    </row>
    <row r="15" spans="1:15" x14ac:dyDescent="0.35">
      <c r="A15" t="s">
        <v>34</v>
      </c>
      <c r="B15">
        <v>0</v>
      </c>
      <c r="C15">
        <v>3500</v>
      </c>
      <c r="D15">
        <v>5000</v>
      </c>
      <c r="E15">
        <v>4000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t="s">
        <v>41</v>
      </c>
      <c r="B16">
        <v>0</v>
      </c>
      <c r="C16">
        <v>0</v>
      </c>
      <c r="D16">
        <v>0</v>
      </c>
      <c r="E16">
        <v>0</v>
      </c>
      <c r="F16">
        <f>350</f>
        <v>350</v>
      </c>
      <c r="G16">
        <f>350</f>
        <v>350</v>
      </c>
      <c r="H16">
        <f>350</f>
        <v>350</v>
      </c>
      <c r="I16">
        <f>350</f>
        <v>350</v>
      </c>
      <c r="J16">
        <f>350</f>
        <v>350</v>
      </c>
      <c r="K16">
        <f>350</f>
        <v>350</v>
      </c>
      <c r="L16">
        <f>350</f>
        <v>350</v>
      </c>
      <c r="M16">
        <f>350</f>
        <v>350</v>
      </c>
      <c r="N16">
        <f>350</f>
        <v>350</v>
      </c>
      <c r="O16">
        <f>350</f>
        <v>350</v>
      </c>
    </row>
    <row r="17" spans="1:15" x14ac:dyDescent="0.35">
      <c r="A17" t="s">
        <v>43</v>
      </c>
      <c r="B17">
        <v>0</v>
      </c>
      <c r="C17">
        <f>C15</f>
        <v>3500</v>
      </c>
      <c r="D17">
        <f>C15+D15</f>
        <v>8500</v>
      </c>
      <c r="E17">
        <f>SUM(C15:E15)</f>
        <v>12500</v>
      </c>
      <c r="F17">
        <f>$E$17/5</f>
        <v>2500</v>
      </c>
      <c r="G17">
        <f>$E$17/5</f>
        <v>2500</v>
      </c>
      <c r="H17">
        <f>$E$17/5</f>
        <v>2500</v>
      </c>
      <c r="I17">
        <f>$E$17/5</f>
        <v>2500</v>
      </c>
      <c r="J17">
        <f>$E$17/5</f>
        <v>2500</v>
      </c>
      <c r="K17">
        <v>0</v>
      </c>
      <c r="L17">
        <v>0</v>
      </c>
      <c r="M17">
        <v>0</v>
      </c>
      <c r="N17">
        <v>0</v>
      </c>
      <c r="O17">
        <v>0</v>
      </c>
    </row>
    <row r="19" spans="1:15" x14ac:dyDescent="0.35">
      <c r="A19" s="3" t="s">
        <v>45</v>
      </c>
      <c r="B19">
        <v>0</v>
      </c>
      <c r="C19">
        <f>C15*(1+B4)^C11-1</f>
        <v>3779.0000000000005</v>
      </c>
      <c r="D19">
        <f>(C19+D15*(1+B4)^D11-1)</f>
        <v>9610.0000000000018</v>
      </c>
      <c r="E19">
        <f>(D19+E15*(1+B4)^(E11-1))</f>
        <v>14275.600000000002</v>
      </c>
      <c r="F19" s="8">
        <f>E19-F21</f>
        <v>12675.699226168585</v>
      </c>
      <c r="G19" s="8">
        <f t="shared" ref="G19:L19" si="1">F19-G21</f>
        <v>10947.806390430653</v>
      </c>
      <c r="H19" s="8">
        <f t="shared" si="1"/>
        <v>9081.6821278336865</v>
      </c>
      <c r="I19" s="8">
        <f t="shared" si="1"/>
        <v>7066.2679242289632</v>
      </c>
      <c r="J19" s="8">
        <f t="shared" si="1"/>
        <v>4889.6205843358621</v>
      </c>
      <c r="K19" s="8">
        <f>J19-K21</f>
        <v>2538.8414572513129</v>
      </c>
      <c r="L19" s="8">
        <f t="shared" si="1"/>
        <v>0</v>
      </c>
      <c r="M19">
        <v>0</v>
      </c>
      <c r="N19">
        <v>0</v>
      </c>
      <c r="O19">
        <v>0</v>
      </c>
    </row>
    <row r="20" spans="1:15" x14ac:dyDescent="0.35">
      <c r="A20" s="3" t="s">
        <v>47</v>
      </c>
      <c r="B20">
        <v>0</v>
      </c>
      <c r="C20">
        <v>0</v>
      </c>
      <c r="D20">
        <v>0</v>
      </c>
      <c r="E20">
        <v>0</v>
      </c>
      <c r="F20" s="8">
        <f>-IPMT($B$4,C11,7,$E$19)</f>
        <v>1142.0480000000002</v>
      </c>
      <c r="G20" s="8">
        <f>-IPMT($B$4,D11,7,$E$19)</f>
        <v>1014.0559380934868</v>
      </c>
      <c r="H20" s="8">
        <f>-IPMT($B$4,E11,7,$E$19)</f>
        <v>875.82451123445242</v>
      </c>
      <c r="I20" s="8">
        <f>-IPMT($B$4,F11,7,$E$19)</f>
        <v>726.53457022669488</v>
      </c>
      <c r="J20" s="8">
        <f>-IPMT($B$4,G11,7,$E$19)</f>
        <v>565.30143393831713</v>
      </c>
      <c r="K20" s="8">
        <f>-IPMT($B$4,H11,7,$E$19)</f>
        <v>391.16964674686903</v>
      </c>
      <c r="L20" s="8">
        <f>-IPMT($B$4,I11,7,$E$19)</f>
        <v>203.10731658010508</v>
      </c>
      <c r="M20">
        <v>0</v>
      </c>
      <c r="N20">
        <v>0</v>
      </c>
      <c r="O20">
        <v>0</v>
      </c>
    </row>
    <row r="21" spans="1:15" x14ac:dyDescent="0.35">
      <c r="A21" s="3" t="s">
        <v>48</v>
      </c>
      <c r="B21">
        <v>0</v>
      </c>
      <c r="C21">
        <v>0</v>
      </c>
      <c r="D21">
        <v>0</v>
      </c>
      <c r="E21">
        <v>0</v>
      </c>
      <c r="F21" s="8">
        <f>-PPMT($B$4,C11,7,$E$19)</f>
        <v>1599.9007738314183</v>
      </c>
      <c r="G21" s="8">
        <f>-PPMT($B$4,D11,7,$E$19)</f>
        <v>1727.8928357379318</v>
      </c>
      <c r="H21" s="8">
        <f>-PPMT($B$4,E11,7,$E$19)</f>
        <v>1866.124262596966</v>
      </c>
      <c r="I21" s="8">
        <f>-PPMT($B$4,F11,7,$E$19)</f>
        <v>2015.4142036047235</v>
      </c>
      <c r="J21" s="8">
        <f>-PPMT($B$4,G11,7,$E$19)</f>
        <v>2176.6473398931012</v>
      </c>
      <c r="K21" s="8">
        <f>-PPMT($B$4,H11,7,$E$19)</f>
        <v>2350.7791270845491</v>
      </c>
      <c r="L21" s="8">
        <f>-PPMT($B$4,I11,7,$E$19)</f>
        <v>2538.8414572513134</v>
      </c>
      <c r="M21">
        <v>0</v>
      </c>
      <c r="N21">
        <v>0</v>
      </c>
      <c r="O21">
        <v>0</v>
      </c>
    </row>
    <row r="22" spans="1:15" x14ac:dyDescent="0.35">
      <c r="A22" s="3" t="s">
        <v>46</v>
      </c>
      <c r="B22">
        <v>0</v>
      </c>
      <c r="C22">
        <f>SUM(C20:C21)</f>
        <v>0</v>
      </c>
      <c r="D22">
        <f t="shared" ref="D22:I22" si="2">SUM(D20:D21)</f>
        <v>0</v>
      </c>
      <c r="E22">
        <f t="shared" si="2"/>
        <v>0</v>
      </c>
      <c r="F22" s="8">
        <f>SUM(F20:F21)</f>
        <v>2741.9487738314183</v>
      </c>
      <c r="G22">
        <f t="shared" si="2"/>
        <v>2741.9487738314187</v>
      </c>
      <c r="H22">
        <f t="shared" si="2"/>
        <v>2741.9487738314183</v>
      </c>
      <c r="I22">
        <f t="shared" si="2"/>
        <v>2741.9487738314183</v>
      </c>
      <c r="J22">
        <f>SUM(J20:J21)</f>
        <v>2741.9487738314183</v>
      </c>
      <c r="K22">
        <f t="shared" ref="K22" si="3">SUM(K20:K21)</f>
        <v>2741.9487738314183</v>
      </c>
      <c r="L22">
        <f t="shared" ref="L22" si="4">SUM(L20:L21)</f>
        <v>2741.9487738314183</v>
      </c>
      <c r="M22">
        <v>0</v>
      </c>
      <c r="N22">
        <v>0</v>
      </c>
      <c r="O22">
        <v>0</v>
      </c>
    </row>
    <row r="23" spans="1:15" x14ac:dyDescent="0.35">
      <c r="A23" s="3"/>
      <c r="F23" s="8"/>
    </row>
    <row r="24" spans="1:15" x14ac:dyDescent="0.35">
      <c r="A24" s="3" t="s">
        <v>51</v>
      </c>
      <c r="B24">
        <v>0</v>
      </c>
      <c r="C24">
        <f>(C12-C16-C20)</f>
        <v>0</v>
      </c>
      <c r="D24">
        <f t="shared" ref="D24:O24" si="5">(D12-D16-D20)</f>
        <v>0</v>
      </c>
      <c r="E24">
        <f>(E12-E16-E20)</f>
        <v>0</v>
      </c>
      <c r="F24" s="8">
        <f>(F12-F16-F20-F17)</f>
        <v>-1192.0480000000002</v>
      </c>
      <c r="G24" s="8">
        <f t="shared" ref="G24:O24" si="6">(G12-G16-G20-G17)</f>
        <v>-1008.0559380934869</v>
      </c>
      <c r="H24" s="8">
        <f t="shared" si="6"/>
        <v>-812.70451123445264</v>
      </c>
      <c r="I24" s="8">
        <f t="shared" si="6"/>
        <v>-605.15217022669503</v>
      </c>
      <c r="J24" s="8">
        <f t="shared" si="6"/>
        <v>-384.49138593831731</v>
      </c>
      <c r="K24" s="8">
        <f t="shared" si="6"/>
        <v>2350.2566022131309</v>
      </c>
      <c r="L24" s="8">
        <f t="shared" si="6"/>
        <v>2600.1474573590954</v>
      </c>
      <c r="M24" s="8">
        <f t="shared" si="6"/>
        <v>2866.3198694179841</v>
      </c>
      <c r="N24" s="8">
        <f t="shared" si="6"/>
        <v>2930.6462668063441</v>
      </c>
      <c r="O24" s="8">
        <f t="shared" si="6"/>
        <v>2996.259192142471</v>
      </c>
    </row>
    <row r="25" spans="1:15" x14ac:dyDescent="0.35">
      <c r="A25" s="3"/>
      <c r="F25" s="8"/>
    </row>
    <row r="26" spans="1:15" x14ac:dyDescent="0.35">
      <c r="A26" s="3" t="s">
        <v>50</v>
      </c>
      <c r="B26">
        <v>0</v>
      </c>
      <c r="C26">
        <f>C12-C16-C22</f>
        <v>0</v>
      </c>
      <c r="D26">
        <f>D12-D16-D22</f>
        <v>0</v>
      </c>
      <c r="E26">
        <f>E12-E16-E22</f>
        <v>0</v>
      </c>
      <c r="F26" s="8">
        <f>F12-F24-F16-F22</f>
        <v>900.09922616858194</v>
      </c>
      <c r="G26" s="8">
        <f t="shared" ref="G26:O26" si="7">G12-G24-G16-G22</f>
        <v>772.10716426206818</v>
      </c>
      <c r="H26" s="8">
        <f t="shared" si="7"/>
        <v>633.87573740303424</v>
      </c>
      <c r="I26" s="8">
        <f t="shared" si="7"/>
        <v>484.5857963952767</v>
      </c>
      <c r="J26" s="8">
        <f t="shared" si="7"/>
        <v>323.35266010689884</v>
      </c>
      <c r="K26" s="8">
        <f t="shared" si="7"/>
        <v>-2350.7791270845491</v>
      </c>
      <c r="L26" s="8">
        <f t="shared" si="7"/>
        <v>-2538.8414572513134</v>
      </c>
      <c r="M26" s="8">
        <f>M12-M24-M16-M22</f>
        <v>0</v>
      </c>
      <c r="N26" s="8">
        <f t="shared" si="7"/>
        <v>0</v>
      </c>
      <c r="O26" s="8">
        <f t="shared" si="7"/>
        <v>0</v>
      </c>
    </row>
    <row r="27" spans="1:15" x14ac:dyDescent="0.35">
      <c r="A27" s="3"/>
    </row>
    <row r="28" spans="1:15" x14ac:dyDescent="0.35">
      <c r="A28" s="7" t="s">
        <v>20</v>
      </c>
      <c r="B28" s="8">
        <f>NPV(B4,C26:O26)</f>
        <v>-307.96892075411989</v>
      </c>
    </row>
    <row r="29" spans="1:15" x14ac:dyDescent="0.35">
      <c r="A29" s="7" t="s">
        <v>21</v>
      </c>
      <c r="B29" s="2">
        <f>IRR(C26:O26)</f>
        <v>0.1174300889365425</v>
      </c>
      <c r="E29" s="10"/>
    </row>
    <row r="30" spans="1:15" x14ac:dyDescent="0.35">
      <c r="A30" s="3"/>
    </row>
    <row r="31" spans="1:15" x14ac:dyDescent="0.35">
      <c r="A31" s="3"/>
    </row>
    <row r="35" spans="1:1" x14ac:dyDescent="0.35">
      <c r="A35" s="3"/>
    </row>
    <row r="36" spans="1:1" x14ac:dyDescent="0.35">
      <c r="A36" s="11"/>
    </row>
    <row r="40" spans="1:1" x14ac:dyDescent="0.35">
      <c r="A4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0BEF-0D06-4B98-92B3-2E5EA4901116}">
  <dimension ref="A1:R25"/>
  <sheetViews>
    <sheetView tabSelected="1" topLeftCell="A8" zoomScale="74" workbookViewId="0">
      <selection activeCell="O18" sqref="O18"/>
    </sheetView>
  </sheetViews>
  <sheetFormatPr defaultRowHeight="14.5" x14ac:dyDescent="0.35"/>
  <cols>
    <col min="6" max="6" width="10.54296875" bestFit="1" customWidth="1"/>
    <col min="7" max="8" width="9.54296875" bestFit="1" customWidth="1"/>
    <col min="11" max="11" width="10.453125" customWidth="1"/>
  </cols>
  <sheetData>
    <row r="1" spans="1:18" x14ac:dyDescent="0.35">
      <c r="A1" s="3" t="s">
        <v>0</v>
      </c>
    </row>
    <row r="2" spans="1:18" x14ac:dyDescent="0.35">
      <c r="A2" s="3" t="s">
        <v>35</v>
      </c>
      <c r="B2">
        <f>SUM(B10:B12)*0.2</f>
        <v>2500</v>
      </c>
      <c r="D2" s="3" t="s">
        <v>14</v>
      </c>
      <c r="E2" s="2">
        <v>0.12</v>
      </c>
    </row>
    <row r="3" spans="1:18" x14ac:dyDescent="0.35">
      <c r="A3" s="3" t="s">
        <v>36</v>
      </c>
      <c r="B3">
        <f>SUM(B10:B12)*0.8</f>
        <v>10000</v>
      </c>
      <c r="C3" s="2"/>
      <c r="D3" s="3"/>
      <c r="E3" s="2"/>
    </row>
    <row r="4" spans="1:18" x14ac:dyDescent="0.35">
      <c r="A4" s="3" t="s">
        <v>37</v>
      </c>
      <c r="B4" s="2">
        <v>0.08</v>
      </c>
      <c r="D4" s="3" t="s">
        <v>44</v>
      </c>
      <c r="E4" s="2">
        <v>0.2</v>
      </c>
    </row>
    <row r="5" spans="1:18" x14ac:dyDescent="0.35">
      <c r="A5" s="3" t="s">
        <v>42</v>
      </c>
      <c r="B5" s="2">
        <v>0.02</v>
      </c>
    </row>
    <row r="6" spans="1:18" x14ac:dyDescent="0.35">
      <c r="A6" s="3"/>
      <c r="B6" s="2"/>
    </row>
    <row r="9" spans="1:18" s="3" customFormat="1" x14ac:dyDescent="0.35">
      <c r="A9" s="3" t="s">
        <v>9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62</v>
      </c>
      <c r="G9" s="12" t="s">
        <v>63</v>
      </c>
      <c r="H9" s="12" t="s">
        <v>47</v>
      </c>
      <c r="I9" s="12" t="s">
        <v>46</v>
      </c>
      <c r="J9" s="3" t="s">
        <v>30</v>
      </c>
      <c r="K9" s="3" t="s">
        <v>60</v>
      </c>
      <c r="L9" s="3" t="s">
        <v>57</v>
      </c>
      <c r="M9" s="3" t="s">
        <v>51</v>
      </c>
      <c r="N9" s="3" t="s">
        <v>58</v>
      </c>
      <c r="O9" s="3" t="s">
        <v>59</v>
      </c>
    </row>
    <row r="10" spans="1:18" x14ac:dyDescent="0.35">
      <c r="A10">
        <v>1</v>
      </c>
      <c r="B10">
        <v>3500</v>
      </c>
      <c r="C10">
        <f>B10*0.2</f>
        <v>700</v>
      </c>
      <c r="D10">
        <f>B10*0.8</f>
        <v>2800</v>
      </c>
      <c r="E10">
        <f>D10*$B$4</f>
        <v>224</v>
      </c>
      <c r="F10">
        <f>B10+E10</f>
        <v>3724</v>
      </c>
      <c r="G10">
        <v>0</v>
      </c>
      <c r="H10">
        <v>0</v>
      </c>
      <c r="I10">
        <f>SUM(G10:H10)</f>
        <v>0</v>
      </c>
      <c r="J10">
        <v>0</v>
      </c>
      <c r="K10">
        <v>0</v>
      </c>
      <c r="L10">
        <v>0</v>
      </c>
      <c r="M10">
        <f>J10-K10-L10</f>
        <v>0</v>
      </c>
      <c r="N10">
        <f>M10*$E$4</f>
        <v>0</v>
      </c>
      <c r="O10">
        <v>0</v>
      </c>
    </row>
    <row r="11" spans="1:18" x14ac:dyDescent="0.35">
      <c r="A11">
        <v>2</v>
      </c>
      <c r="B11">
        <v>5000</v>
      </c>
      <c r="C11">
        <f>B11*0.2</f>
        <v>1000</v>
      </c>
      <c r="D11">
        <f t="shared" ref="D11:D12" si="0">B11*0.8</f>
        <v>4000</v>
      </c>
      <c r="E11">
        <f>E10+D11*$B$4</f>
        <v>544</v>
      </c>
      <c r="F11">
        <f>B11+E11+F10</f>
        <v>9268</v>
      </c>
      <c r="G11">
        <v>0</v>
      </c>
      <c r="H11">
        <v>0</v>
      </c>
      <c r="I11">
        <f t="shared" ref="I11:I25" si="1">SUM(G11:H11)</f>
        <v>0</v>
      </c>
      <c r="J11">
        <v>0</v>
      </c>
      <c r="K11">
        <v>0</v>
      </c>
      <c r="L11">
        <v>0</v>
      </c>
      <c r="M11">
        <f t="shared" ref="M11:M22" si="2">J11-K11-L11</f>
        <v>0</v>
      </c>
      <c r="N11">
        <f t="shared" ref="N11:N22" si="3">M11*$E$4</f>
        <v>0</v>
      </c>
      <c r="O11">
        <v>0</v>
      </c>
    </row>
    <row r="12" spans="1:18" x14ac:dyDescent="0.35">
      <c r="A12">
        <v>3</v>
      </c>
      <c r="B12">
        <v>4000</v>
      </c>
      <c r="C12">
        <f t="shared" ref="C12" si="4">B12*0.2</f>
        <v>800</v>
      </c>
      <c r="D12">
        <f t="shared" si="0"/>
        <v>3200</v>
      </c>
      <c r="E12">
        <f>E11+D12*$B$4</f>
        <v>800</v>
      </c>
      <c r="F12">
        <f>B12+E12+F11</f>
        <v>14068</v>
      </c>
      <c r="G12">
        <v>0</v>
      </c>
      <c r="H12">
        <v>0</v>
      </c>
      <c r="I12">
        <f t="shared" si="1"/>
        <v>0</v>
      </c>
      <c r="J12">
        <v>0</v>
      </c>
      <c r="K12">
        <v>0</v>
      </c>
      <c r="L12">
        <v>0</v>
      </c>
      <c r="M12">
        <f t="shared" si="2"/>
        <v>0</v>
      </c>
      <c r="N12">
        <f t="shared" si="3"/>
        <v>0</v>
      </c>
      <c r="O12">
        <v>0</v>
      </c>
    </row>
    <row r="13" spans="1:18" x14ac:dyDescent="0.35">
      <c r="A13">
        <v>4</v>
      </c>
      <c r="B13">
        <v>0</v>
      </c>
      <c r="C13">
        <v>0</v>
      </c>
      <c r="D13">
        <v>0</v>
      </c>
      <c r="E13">
        <v>0</v>
      </c>
      <c r="F13" s="8">
        <f>F12-G13</f>
        <v>12491.36545670512</v>
      </c>
      <c r="G13" s="8">
        <f>-PPMT($B$4,A10,7,$F$12)</f>
        <v>1576.6345432948799</v>
      </c>
      <c r="H13" s="8">
        <f>-IPMT($B$4,A10,7,F12)</f>
        <v>1125.44</v>
      </c>
      <c r="I13">
        <f t="shared" si="1"/>
        <v>2702.0745432948797</v>
      </c>
      <c r="J13">
        <f>2800</f>
        <v>2800</v>
      </c>
      <c r="K13">
        <v>350</v>
      </c>
      <c r="L13">
        <f>SUM($B$10:$B$12)/5</f>
        <v>2500</v>
      </c>
      <c r="M13">
        <f>J13-K13-L13</f>
        <v>-50</v>
      </c>
      <c r="N13">
        <f>M13*$E$4</f>
        <v>-10</v>
      </c>
      <c r="O13">
        <f>J13-K13-N13</f>
        <v>2460</v>
      </c>
      <c r="R13" t="s">
        <v>61</v>
      </c>
    </row>
    <row r="14" spans="1:18" x14ac:dyDescent="0.35">
      <c r="A14">
        <v>5</v>
      </c>
      <c r="B14">
        <v>0</v>
      </c>
      <c r="C14">
        <v>0</v>
      </c>
      <c r="D14">
        <v>0</v>
      </c>
      <c r="E14">
        <v>0</v>
      </c>
      <c r="F14" s="8">
        <f t="shared" ref="F14:F25" si="5">F13-G14</f>
        <v>10788.600149946649</v>
      </c>
      <c r="G14" s="8">
        <f t="shared" ref="G14:G20" si="6">-PPMT($B$4,A11,7,$F$12)</f>
        <v>1702.7653067584704</v>
      </c>
      <c r="H14" s="8">
        <f t="shared" ref="H14:H25" si="7">-IPMT($B$4,A11,7,F13)</f>
        <v>887.31425062818266</v>
      </c>
      <c r="I14">
        <f t="shared" si="1"/>
        <v>2590.0795573866531</v>
      </c>
      <c r="J14">
        <f>2800*(1+$B$5)^A10</f>
        <v>2856</v>
      </c>
      <c r="K14">
        <v>350</v>
      </c>
      <c r="L14">
        <f t="shared" ref="L14:L17" si="8">SUM($B$10:$B$12)/5</f>
        <v>2500</v>
      </c>
      <c r="M14">
        <f t="shared" si="2"/>
        <v>6</v>
      </c>
      <c r="N14">
        <f t="shared" si="3"/>
        <v>1.2000000000000002</v>
      </c>
      <c r="O14">
        <f t="shared" ref="O14:O22" si="9">J14-K14-N14</f>
        <v>2504.8000000000002</v>
      </c>
    </row>
    <row r="15" spans="1:18" x14ac:dyDescent="0.35">
      <c r="A15">
        <v>6</v>
      </c>
      <c r="B15">
        <v>0</v>
      </c>
      <c r="C15">
        <v>0</v>
      </c>
      <c r="D15">
        <v>0</v>
      </c>
      <c r="E15">
        <v>0</v>
      </c>
      <c r="F15" s="8">
        <f t="shared" si="5"/>
        <v>8949.6136186475014</v>
      </c>
      <c r="G15" s="8">
        <f t="shared" si="6"/>
        <v>1838.9865312991478</v>
      </c>
      <c r="H15" s="8">
        <f t="shared" si="7"/>
        <v>661.89305200698834</v>
      </c>
      <c r="I15">
        <f t="shared" si="1"/>
        <v>2500.8795833061363</v>
      </c>
      <c r="J15">
        <f>2800*(1+$B$5)^A11</f>
        <v>2913.12</v>
      </c>
      <c r="K15">
        <v>350</v>
      </c>
      <c r="L15">
        <f t="shared" si="8"/>
        <v>2500</v>
      </c>
      <c r="M15">
        <f t="shared" si="2"/>
        <v>63.119999999999891</v>
      </c>
      <c r="N15">
        <f t="shared" si="3"/>
        <v>12.623999999999979</v>
      </c>
      <c r="O15">
        <f t="shared" si="9"/>
        <v>2550.4960000000001</v>
      </c>
    </row>
    <row r="16" spans="1:18" x14ac:dyDescent="0.35">
      <c r="A16">
        <v>7</v>
      </c>
      <c r="B16">
        <v>0</v>
      </c>
      <c r="C16">
        <v>0</v>
      </c>
      <c r="D16">
        <v>0</v>
      </c>
      <c r="E16">
        <v>0</v>
      </c>
      <c r="F16" s="8">
        <f t="shared" si="5"/>
        <v>6963.508164844422</v>
      </c>
      <c r="G16" s="8">
        <f t="shared" si="6"/>
        <v>1986.1054538030794</v>
      </c>
      <c r="H16" s="8">
        <f t="shared" si="7"/>
        <v>455.47673541700783</v>
      </c>
      <c r="I16">
        <f t="shared" si="1"/>
        <v>2441.5821892200875</v>
      </c>
      <c r="J16">
        <f>2800*(1+$B$5)^A12</f>
        <v>2971.3824</v>
      </c>
      <c r="K16">
        <v>350</v>
      </c>
      <c r="L16">
        <f t="shared" si="8"/>
        <v>2500</v>
      </c>
      <c r="M16">
        <f t="shared" si="2"/>
        <v>121.38239999999996</v>
      </c>
      <c r="N16">
        <f t="shared" si="3"/>
        <v>24.276479999999992</v>
      </c>
      <c r="O16">
        <f t="shared" si="9"/>
        <v>2597.10592</v>
      </c>
    </row>
    <row r="17" spans="1:15" x14ac:dyDescent="0.35">
      <c r="A17">
        <v>8</v>
      </c>
      <c r="B17">
        <v>0</v>
      </c>
      <c r="C17">
        <v>0</v>
      </c>
      <c r="D17">
        <v>0</v>
      </c>
      <c r="E17">
        <v>0</v>
      </c>
      <c r="F17" s="8">
        <f t="shared" si="5"/>
        <v>4818.5142747370955</v>
      </c>
      <c r="G17" s="8">
        <f t="shared" si="6"/>
        <v>2144.993890107326</v>
      </c>
      <c r="H17" s="8">
        <f t="shared" si="7"/>
        <v>275.74891078677814</v>
      </c>
      <c r="I17">
        <f t="shared" si="1"/>
        <v>2420.7428008941042</v>
      </c>
      <c r="J17">
        <f>2800*(1+$B$5)^A13</f>
        <v>3030.8100479999998</v>
      </c>
      <c r="K17">
        <v>350</v>
      </c>
      <c r="L17">
        <f t="shared" si="8"/>
        <v>2500</v>
      </c>
      <c r="M17">
        <f t="shared" si="2"/>
        <v>180.81004799999982</v>
      </c>
      <c r="N17">
        <f t="shared" si="3"/>
        <v>36.162009599999969</v>
      </c>
      <c r="O17">
        <f t="shared" si="9"/>
        <v>2644.6480383999997</v>
      </c>
    </row>
    <row r="18" spans="1:15" x14ac:dyDescent="0.35">
      <c r="A18">
        <v>9</v>
      </c>
      <c r="B18">
        <v>0</v>
      </c>
      <c r="C18">
        <v>0</v>
      </c>
      <c r="D18">
        <v>0</v>
      </c>
      <c r="E18">
        <v>0</v>
      </c>
      <c r="F18" s="8">
        <f t="shared" si="5"/>
        <v>2501.9208734211834</v>
      </c>
      <c r="G18" s="8">
        <f t="shared" si="6"/>
        <v>2316.5934013159122</v>
      </c>
      <c r="H18" s="8">
        <f t="shared" si="7"/>
        <v>132.03343654162734</v>
      </c>
      <c r="I18">
        <f t="shared" si="1"/>
        <v>2448.6268378575396</v>
      </c>
      <c r="J18">
        <f>2800*(1+$B$5)^A14</f>
        <v>3091.4262489600001</v>
      </c>
      <c r="K18">
        <v>350</v>
      </c>
      <c r="L18">
        <v>0</v>
      </c>
      <c r="M18">
        <f t="shared" si="2"/>
        <v>2741.4262489600001</v>
      </c>
      <c r="N18">
        <f t="shared" si="3"/>
        <v>548.28524979200006</v>
      </c>
      <c r="O18">
        <f t="shared" si="9"/>
        <v>2193.1409991680002</v>
      </c>
    </row>
    <row r="19" spans="1:15" x14ac:dyDescent="0.35">
      <c r="A19">
        <v>10</v>
      </c>
      <c r="B19">
        <v>0</v>
      </c>
      <c r="C19">
        <v>0</v>
      </c>
      <c r="D19">
        <v>0</v>
      </c>
      <c r="E19">
        <v>0</v>
      </c>
      <c r="F19" s="8">
        <f t="shared" si="5"/>
        <v>0</v>
      </c>
      <c r="G19" s="8">
        <f t="shared" si="6"/>
        <v>2501.9208734211852</v>
      </c>
      <c r="H19" s="8">
        <f t="shared" si="7"/>
        <v>35.596292617916525</v>
      </c>
      <c r="I19">
        <f t="shared" si="1"/>
        <v>2537.5171660391015</v>
      </c>
      <c r="J19">
        <f>2800*(1+$B$5)^A15</f>
        <v>3153.2547739392003</v>
      </c>
      <c r="K19">
        <v>350</v>
      </c>
      <c r="L19">
        <v>0</v>
      </c>
      <c r="M19">
        <f t="shared" si="2"/>
        <v>2803.2547739392003</v>
      </c>
      <c r="N19">
        <f t="shared" si="3"/>
        <v>560.65095478784008</v>
      </c>
      <c r="O19">
        <f t="shared" si="9"/>
        <v>2242.6038191513603</v>
      </c>
    </row>
    <row r="20" spans="1:15" x14ac:dyDescent="0.35">
      <c r="A20">
        <v>11</v>
      </c>
      <c r="B20">
        <v>0</v>
      </c>
      <c r="C20">
        <v>0</v>
      </c>
      <c r="D20">
        <v>0</v>
      </c>
      <c r="E20">
        <v>0</v>
      </c>
      <c r="F20" s="8">
        <f t="shared" si="5"/>
        <v>0</v>
      </c>
      <c r="G20" s="8">
        <v>0</v>
      </c>
      <c r="H20" s="8">
        <v>0</v>
      </c>
      <c r="I20">
        <f t="shared" si="1"/>
        <v>0</v>
      </c>
      <c r="J20">
        <f>2800*(1+$B$5)^A16</f>
        <v>3216.3198694179837</v>
      </c>
      <c r="K20">
        <v>350</v>
      </c>
      <c r="L20">
        <v>0</v>
      </c>
      <c r="M20">
        <f t="shared" si="2"/>
        <v>2866.3198694179837</v>
      </c>
      <c r="N20">
        <f t="shared" si="3"/>
        <v>573.2639738835968</v>
      </c>
      <c r="O20">
        <f t="shared" si="9"/>
        <v>2293.0558955343868</v>
      </c>
    </row>
    <row r="21" spans="1:15" x14ac:dyDescent="0.35">
      <c r="A21">
        <v>12</v>
      </c>
      <c r="B21">
        <v>0</v>
      </c>
      <c r="C21">
        <v>0</v>
      </c>
      <c r="D21">
        <v>0</v>
      </c>
      <c r="E21">
        <v>0</v>
      </c>
      <c r="F21" s="8">
        <f t="shared" si="5"/>
        <v>0</v>
      </c>
      <c r="G21">
        <v>0</v>
      </c>
      <c r="H21" s="8">
        <v>0</v>
      </c>
      <c r="I21">
        <f t="shared" si="1"/>
        <v>0</v>
      </c>
      <c r="J21">
        <f>2800*(1+$B$5)^A17</f>
        <v>3280.6462668063436</v>
      </c>
      <c r="K21">
        <v>350</v>
      </c>
      <c r="L21">
        <v>0</v>
      </c>
      <c r="M21">
        <f t="shared" si="2"/>
        <v>2930.6462668063436</v>
      </c>
      <c r="N21">
        <f t="shared" si="3"/>
        <v>586.12925336126875</v>
      </c>
      <c r="O21">
        <f t="shared" si="9"/>
        <v>2344.517013445075</v>
      </c>
    </row>
    <row r="22" spans="1:15" x14ac:dyDescent="0.35">
      <c r="A22">
        <v>13</v>
      </c>
      <c r="B22">
        <v>0</v>
      </c>
      <c r="C22">
        <v>0</v>
      </c>
      <c r="D22">
        <v>0</v>
      </c>
      <c r="E22">
        <v>0</v>
      </c>
      <c r="F22" s="8">
        <f t="shared" si="5"/>
        <v>0</v>
      </c>
      <c r="G22">
        <v>0</v>
      </c>
      <c r="H22" s="8">
        <v>0</v>
      </c>
      <c r="I22">
        <f t="shared" si="1"/>
        <v>0</v>
      </c>
      <c r="J22">
        <f>2800*(1+$B$5)^A18</f>
        <v>3346.2591921424705</v>
      </c>
      <c r="K22">
        <v>350</v>
      </c>
      <c r="L22">
        <v>0</v>
      </c>
      <c r="M22">
        <f t="shared" si="2"/>
        <v>2996.2591921424705</v>
      </c>
      <c r="N22">
        <f t="shared" si="3"/>
        <v>599.25183842849412</v>
      </c>
      <c r="O22">
        <f t="shared" si="9"/>
        <v>2397.0073537139765</v>
      </c>
    </row>
    <row r="23" spans="1:15" x14ac:dyDescent="0.35">
      <c r="A23" t="s">
        <v>20</v>
      </c>
      <c r="F23" s="8"/>
      <c r="H23" s="8"/>
      <c r="K23" s="8">
        <f>NPV(E2,O10:O22)</f>
        <v>9842.9908780258738</v>
      </c>
    </row>
    <row r="24" spans="1:15" x14ac:dyDescent="0.35">
      <c r="A24" t="s">
        <v>21</v>
      </c>
      <c r="B24" s="2" t="e">
        <f>IRR(O10:O22)</f>
        <v>#NUM!</v>
      </c>
      <c r="F24" s="8"/>
      <c r="H24" s="8"/>
      <c r="K24" s="2" t="e">
        <f>IRR(O10:O22)</f>
        <v>#NUM!</v>
      </c>
    </row>
    <row r="25" spans="1:15" x14ac:dyDescent="0.35">
      <c r="F25" s="8"/>
      <c r="G25" t="s">
        <v>49</v>
      </c>
      <c r="H2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34C8-692F-40E2-BD07-D6CFE19D3643}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52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1 Breakeven</vt:lpstr>
      <vt:lpstr>delete</vt:lpstr>
      <vt:lpstr>Problem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Sophia Donnelly</dc:creator>
  <cp:lastModifiedBy>Emma Sophia Donnelly</cp:lastModifiedBy>
  <dcterms:created xsi:type="dcterms:W3CDTF">2025-02-08T17:05:42Z</dcterms:created>
  <dcterms:modified xsi:type="dcterms:W3CDTF">2025-02-12T15:44:13Z</dcterms:modified>
</cp:coreProperties>
</file>