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mma\Downloads\"/>
    </mc:Choice>
  </mc:AlternateContent>
  <xr:revisionPtr revIDLastSave="0" documentId="8_{609F3E17-9C3A-4BEB-9EC3-60285F31F8A7}" xr6:coauthVersionLast="47" xr6:coauthVersionMax="47" xr10:uidLastSave="{00000000-0000-0000-0000-000000000000}"/>
  <bookViews>
    <workbookView xWindow="-150" yWindow="800" windowWidth="17370" windowHeight="9340" firstSheet="2" activeTab="2" xr2:uid="{3D9CDADF-415B-42B7-BF7A-9C8D4EBFAFAF}"/>
  </bookViews>
  <sheets>
    <sheet name="Problem 1 Financial Analysis" sheetId="4" r:id="rId1"/>
    <sheet name="Problem 1 Economic Analysis" sheetId="5" r:id="rId2"/>
    <sheet name="Problem 2 FinEc Analysis" sheetId="7" r:id="rId3"/>
    <sheet name="Problem 3 Financial Analysis" sheetId="8" r:id="rId4"/>
    <sheet name="Problem 3 Economic Analysi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7" l="1"/>
  <c r="D5" i="7"/>
  <c r="C5" i="7"/>
  <c r="B36" i="7"/>
  <c r="B50" i="7"/>
  <c r="D65" i="7"/>
  <c r="D64" i="7"/>
  <c r="E62" i="7"/>
  <c r="F62" i="7"/>
  <c r="G62" i="7"/>
  <c r="H62" i="7"/>
  <c r="I62" i="7"/>
  <c r="J62" i="7"/>
  <c r="K62" i="7"/>
  <c r="L62" i="7"/>
  <c r="M62" i="7"/>
  <c r="D62" i="7"/>
  <c r="D12" i="7"/>
  <c r="T21" i="7"/>
  <c r="T20" i="7"/>
  <c r="R20" i="7"/>
  <c r="P20" i="7"/>
  <c r="T19" i="7"/>
  <c r="R19" i="7"/>
  <c r="N19" i="7"/>
  <c r="T18" i="7"/>
  <c r="R18" i="7"/>
  <c r="T16" i="7"/>
  <c r="R16" i="7"/>
  <c r="N16" i="7"/>
  <c r="Q15" i="7"/>
  <c r="Q14" i="7"/>
  <c r="O15" i="7"/>
  <c r="S15" i="7"/>
  <c r="U14" i="7"/>
  <c r="T14" i="7"/>
  <c r="S14" i="7"/>
  <c r="R14" i="7"/>
  <c r="N14" i="7"/>
  <c r="U13" i="7"/>
  <c r="T13" i="7"/>
  <c r="S13" i="7"/>
  <c r="R13" i="7"/>
  <c r="U11" i="7"/>
  <c r="T11" i="7"/>
  <c r="S11" i="7"/>
  <c r="R11" i="7"/>
  <c r="D46" i="7"/>
  <c r="O45" i="7"/>
  <c r="C48" i="7"/>
  <c r="D48" i="7"/>
  <c r="E48" i="7"/>
  <c r="F48" i="7"/>
  <c r="G48" i="7"/>
  <c r="H48" i="7"/>
  <c r="I48" i="7"/>
  <c r="J48" i="7"/>
  <c r="K48" i="7"/>
  <c r="L48" i="7"/>
  <c r="M48" i="7"/>
  <c r="B48" i="7"/>
  <c r="M46" i="7"/>
  <c r="C50" i="7"/>
  <c r="C51" i="7" s="1"/>
  <c r="C36" i="7"/>
  <c r="C37" i="7" s="1"/>
  <c r="B37" i="7"/>
  <c r="C30" i="11"/>
  <c r="C35" i="11"/>
  <c r="C43" i="11"/>
  <c r="C30" i="8"/>
  <c r="D30" i="11"/>
  <c r="E30" i="11"/>
  <c r="F30" i="11"/>
  <c r="G30" i="11"/>
  <c r="H30" i="11"/>
  <c r="I30" i="11"/>
  <c r="J30" i="11"/>
  <c r="K30" i="11"/>
  <c r="L30" i="11"/>
  <c r="M30" i="11"/>
  <c r="L8" i="11"/>
  <c r="K8" i="11"/>
  <c r="B61" i="11"/>
  <c r="O55" i="11"/>
  <c r="M44" i="11"/>
  <c r="M68" i="11" s="1"/>
  <c r="L44" i="11"/>
  <c r="L68" i="11" s="1"/>
  <c r="K44" i="11"/>
  <c r="K68" i="11" s="1"/>
  <c r="J44" i="11"/>
  <c r="J68" i="11" s="1"/>
  <c r="I44" i="11"/>
  <c r="I68" i="11" s="1"/>
  <c r="H44" i="11"/>
  <c r="H68" i="11" s="1"/>
  <c r="G44" i="11"/>
  <c r="G68" i="11" s="1"/>
  <c r="F44" i="11"/>
  <c r="F68" i="11" s="1"/>
  <c r="E44" i="11"/>
  <c r="E68" i="11" s="1"/>
  <c r="D44" i="11"/>
  <c r="D68" i="11" s="1"/>
  <c r="C44" i="11"/>
  <c r="C68" i="11" s="1"/>
  <c r="M43" i="11"/>
  <c r="M67" i="11" s="1"/>
  <c r="L43" i="11"/>
  <c r="L67" i="11" s="1"/>
  <c r="K43" i="11"/>
  <c r="K67" i="11" s="1"/>
  <c r="J43" i="11"/>
  <c r="J67" i="11" s="1"/>
  <c r="I43" i="11"/>
  <c r="I67" i="11" s="1"/>
  <c r="H43" i="11"/>
  <c r="H67" i="11" s="1"/>
  <c r="G43" i="11"/>
  <c r="G67" i="11" s="1"/>
  <c r="F43" i="11"/>
  <c r="F67" i="11" s="1"/>
  <c r="E43" i="11"/>
  <c r="E67" i="11" s="1"/>
  <c r="D43" i="11"/>
  <c r="D67" i="11" s="1"/>
  <c r="C67" i="11"/>
  <c r="M41" i="11"/>
  <c r="M65" i="11" s="1"/>
  <c r="K41" i="11"/>
  <c r="K65" i="11" s="1"/>
  <c r="J41" i="11"/>
  <c r="J65" i="11" s="1"/>
  <c r="E41" i="11"/>
  <c r="E65" i="11" s="1"/>
  <c r="C41" i="11"/>
  <c r="C65" i="11" s="1"/>
  <c r="M40" i="11"/>
  <c r="M64" i="11" s="1"/>
  <c r="H40" i="11"/>
  <c r="H64" i="11" s="1"/>
  <c r="F40" i="11"/>
  <c r="E40" i="11"/>
  <c r="E64" i="11" s="1"/>
  <c r="B37" i="11"/>
  <c r="B33" i="11"/>
  <c r="B34" i="11" s="1"/>
  <c r="H54" i="11"/>
  <c r="O28" i="11"/>
  <c r="B25" i="11"/>
  <c r="B24" i="11"/>
  <c r="F20" i="11"/>
  <c r="C13" i="11"/>
  <c r="L40" i="11" s="1"/>
  <c r="C12" i="11"/>
  <c r="K11" i="11"/>
  <c r="K12" i="11" s="1"/>
  <c r="K13" i="11" s="1"/>
  <c r="C10" i="11"/>
  <c r="F42" i="11" s="1"/>
  <c r="F66" i="11" s="1"/>
  <c r="K9" i="11"/>
  <c r="C9" i="11"/>
  <c r="I41" i="11" s="1"/>
  <c r="I65" i="11" s="1"/>
  <c r="K7" i="11"/>
  <c r="K13" i="8"/>
  <c r="B25" i="8"/>
  <c r="B24" i="8"/>
  <c r="D30" i="8"/>
  <c r="E30" i="8"/>
  <c r="F30" i="8"/>
  <c r="G30" i="8"/>
  <c r="H30" i="8"/>
  <c r="I30" i="8"/>
  <c r="J30" i="8"/>
  <c r="K30" i="8"/>
  <c r="L30" i="8"/>
  <c r="M30" i="8"/>
  <c r="C31" i="8"/>
  <c r="B61" i="8"/>
  <c r="O55" i="8"/>
  <c r="M44" i="8"/>
  <c r="M68" i="8" s="1"/>
  <c r="L44" i="8"/>
  <c r="L68" i="8" s="1"/>
  <c r="K44" i="8"/>
  <c r="K68" i="8" s="1"/>
  <c r="J44" i="8"/>
  <c r="J68" i="8" s="1"/>
  <c r="I44" i="8"/>
  <c r="I68" i="8" s="1"/>
  <c r="H44" i="8"/>
  <c r="H68" i="8" s="1"/>
  <c r="G44" i="8"/>
  <c r="G68" i="8" s="1"/>
  <c r="F44" i="8"/>
  <c r="F68" i="8" s="1"/>
  <c r="E44" i="8"/>
  <c r="E68" i="8" s="1"/>
  <c r="D44" i="8"/>
  <c r="D68" i="8" s="1"/>
  <c r="C44" i="8"/>
  <c r="C68" i="8" s="1"/>
  <c r="M43" i="8"/>
  <c r="M67" i="8" s="1"/>
  <c r="L43" i="8"/>
  <c r="L67" i="8" s="1"/>
  <c r="K43" i="8"/>
  <c r="K67" i="8" s="1"/>
  <c r="J43" i="8"/>
  <c r="J67" i="8" s="1"/>
  <c r="I43" i="8"/>
  <c r="I67" i="8" s="1"/>
  <c r="H43" i="8"/>
  <c r="H67" i="8" s="1"/>
  <c r="G43" i="8"/>
  <c r="G67" i="8" s="1"/>
  <c r="F43" i="8"/>
  <c r="F67" i="8" s="1"/>
  <c r="E43" i="8"/>
  <c r="E67" i="8" s="1"/>
  <c r="D43" i="8"/>
  <c r="D67" i="8" s="1"/>
  <c r="C43" i="8"/>
  <c r="C67" i="8" s="1"/>
  <c r="K42" i="8"/>
  <c r="K66" i="8" s="1"/>
  <c r="H42" i="8"/>
  <c r="H66" i="8" s="1"/>
  <c r="F42" i="8"/>
  <c r="F66" i="8" s="1"/>
  <c r="C42" i="8"/>
  <c r="C66" i="8" s="1"/>
  <c r="K41" i="8"/>
  <c r="K65" i="8" s="1"/>
  <c r="I41" i="8"/>
  <c r="I65" i="8" s="1"/>
  <c r="F41" i="8"/>
  <c r="F65" i="8" s="1"/>
  <c r="C41" i="8"/>
  <c r="C65" i="8" s="1"/>
  <c r="L40" i="8"/>
  <c r="L64" i="8" s="1"/>
  <c r="I40" i="8"/>
  <c r="I64" i="8" s="1"/>
  <c r="F40" i="8"/>
  <c r="F39" i="8" s="1"/>
  <c r="D40" i="8"/>
  <c r="D64" i="8" s="1"/>
  <c r="B37" i="8"/>
  <c r="B33" i="8"/>
  <c r="B34" i="8" s="1"/>
  <c r="O28" i="8"/>
  <c r="F20" i="8"/>
  <c r="C13" i="8"/>
  <c r="M40" i="8" s="1"/>
  <c r="C12" i="8"/>
  <c r="K11" i="8"/>
  <c r="C10" i="8"/>
  <c r="G42" i="8" s="1"/>
  <c r="G66" i="8" s="1"/>
  <c r="C9" i="8"/>
  <c r="J41" i="8" s="1"/>
  <c r="J65" i="8" s="1"/>
  <c r="K8" i="8"/>
  <c r="K7" i="8"/>
  <c r="M20" i="5"/>
  <c r="C32" i="4"/>
  <c r="E13" i="7"/>
  <c r="C26" i="5"/>
  <c r="E23" i="5"/>
  <c r="C22" i="5"/>
  <c r="D35" i="5"/>
  <c r="E35" i="5"/>
  <c r="F35" i="5"/>
  <c r="G35" i="5"/>
  <c r="H35" i="5"/>
  <c r="I35" i="5"/>
  <c r="J35" i="5"/>
  <c r="K35" i="5"/>
  <c r="C35" i="5"/>
  <c r="C34" i="5"/>
  <c r="B30" i="5"/>
  <c r="B28" i="5"/>
  <c r="B25" i="5"/>
  <c r="D22" i="5"/>
  <c r="E22" i="5"/>
  <c r="F22" i="5"/>
  <c r="G22" i="5"/>
  <c r="H22" i="5"/>
  <c r="I22" i="5"/>
  <c r="J22" i="5"/>
  <c r="K22" i="5"/>
  <c r="P16" i="7"/>
  <c r="L10" i="5"/>
  <c r="N4" i="5"/>
  <c r="N3" i="5"/>
  <c r="C17" i="7"/>
  <c r="E32" i="7" s="1"/>
  <c r="E10" i="7"/>
  <c r="E12" i="7" s="1"/>
  <c r="O27" i="7"/>
  <c r="P18" i="7"/>
  <c r="Q13" i="7"/>
  <c r="P13" i="7" s="1"/>
  <c r="Q11" i="7"/>
  <c r="N18" i="7"/>
  <c r="O13" i="7"/>
  <c r="N13" i="7" s="1"/>
  <c r="O11" i="7"/>
  <c r="H11" i="7"/>
  <c r="P11" i="7" s="1"/>
  <c r="F11" i="7"/>
  <c r="F13" i="7" s="1"/>
  <c r="H10" i="7"/>
  <c r="N11" i="7" s="1"/>
  <c r="F10" i="7"/>
  <c r="F12" i="7" s="1"/>
  <c r="H4" i="7"/>
  <c r="G4" i="7"/>
  <c r="F4" i="7"/>
  <c r="F6" i="7" s="1"/>
  <c r="E4" i="7"/>
  <c r="E6" i="7" s="1"/>
  <c r="D4" i="7"/>
  <c r="D6" i="7" s="1"/>
  <c r="H3" i="7"/>
  <c r="G3" i="7"/>
  <c r="F3" i="7"/>
  <c r="F5" i="7" s="1"/>
  <c r="E3" i="7"/>
  <c r="E5" i="7" s="1"/>
  <c r="D3" i="7"/>
  <c r="P21" i="4"/>
  <c r="P20" i="4"/>
  <c r="P19" i="4"/>
  <c r="J4" i="4"/>
  <c r="Q19" i="4" s="1"/>
  <c r="J3" i="4"/>
  <c r="Q21" i="4" s="1"/>
  <c r="Q16" i="4"/>
  <c r="Q14" i="4"/>
  <c r="Q17" i="4" s="1"/>
  <c r="P18" i="4" s="1"/>
  <c r="P22" i="4" s="1"/>
  <c r="P23" i="4" s="1"/>
  <c r="D16" i="5"/>
  <c r="F47" i="7" l="1"/>
  <c r="F46" i="7" s="1"/>
  <c r="C30" i="7"/>
  <c r="C39" i="7" s="1"/>
  <c r="B51" i="7"/>
  <c r="J47" i="7"/>
  <c r="J46" i="7" s="1"/>
  <c r="C53" i="7"/>
  <c r="D47" i="7"/>
  <c r="E47" i="7"/>
  <c r="E46" i="7" s="1"/>
  <c r="L47" i="7"/>
  <c r="K47" i="7"/>
  <c r="I47" i="7"/>
  <c r="I46" i="7" s="1"/>
  <c r="H47" i="7"/>
  <c r="G47" i="7"/>
  <c r="B53" i="7"/>
  <c r="B70" i="7"/>
  <c r="B30" i="7"/>
  <c r="B39" i="7" s="1"/>
  <c r="D32" i="7"/>
  <c r="L64" i="7"/>
  <c r="K64" i="7"/>
  <c r="M64" i="7"/>
  <c r="G64" i="7"/>
  <c r="C6" i="7"/>
  <c r="C69" i="7" s="1"/>
  <c r="C70" i="7" s="1"/>
  <c r="E64" i="7"/>
  <c r="F64" i="7"/>
  <c r="D13" i="7"/>
  <c r="I64" i="7"/>
  <c r="D31" i="7"/>
  <c r="H64" i="7"/>
  <c r="J64" i="7"/>
  <c r="G54" i="11"/>
  <c r="L64" i="11"/>
  <c r="L39" i="11"/>
  <c r="M63" i="11"/>
  <c r="I36" i="11"/>
  <c r="I60" i="11" s="1"/>
  <c r="L35" i="11"/>
  <c r="D35" i="11"/>
  <c r="B31" i="11"/>
  <c r="B45" i="11" s="1"/>
  <c r="M36" i="11"/>
  <c r="M60" i="11" s="1"/>
  <c r="M35" i="11"/>
  <c r="H36" i="11"/>
  <c r="H60" i="11" s="1"/>
  <c r="K35" i="11"/>
  <c r="E36" i="11"/>
  <c r="E60" i="11" s="1"/>
  <c r="K36" i="11"/>
  <c r="K60" i="11" s="1"/>
  <c r="G36" i="11"/>
  <c r="G60" i="11" s="1"/>
  <c r="J35" i="11"/>
  <c r="J36" i="11"/>
  <c r="J60" i="11" s="1"/>
  <c r="B58" i="11"/>
  <c r="B55" i="11" s="1"/>
  <c r="B69" i="11" s="1"/>
  <c r="F36" i="11"/>
  <c r="F60" i="11" s="1"/>
  <c r="I35" i="11"/>
  <c r="H35" i="11"/>
  <c r="C36" i="11"/>
  <c r="C60" i="11" s="1"/>
  <c r="L36" i="11"/>
  <c r="L60" i="11" s="1"/>
  <c r="D36" i="11"/>
  <c r="D60" i="11" s="1"/>
  <c r="G35" i="11"/>
  <c r="F35" i="11"/>
  <c r="E35" i="11"/>
  <c r="F64" i="11"/>
  <c r="G40" i="11"/>
  <c r="D41" i="11"/>
  <c r="D65" i="11" s="1"/>
  <c r="L41" i="11"/>
  <c r="L65" i="11" s="1"/>
  <c r="I42" i="11"/>
  <c r="I66" i="11" s="1"/>
  <c r="B57" i="11"/>
  <c r="H42" i="11"/>
  <c r="H66" i="11" s="1"/>
  <c r="I40" i="11"/>
  <c r="F41" i="11"/>
  <c r="F65" i="11" s="1"/>
  <c r="C42" i="11"/>
  <c r="C66" i="11" s="1"/>
  <c r="K42" i="11"/>
  <c r="K66" i="11" s="1"/>
  <c r="G42" i="11"/>
  <c r="G66" i="11" s="1"/>
  <c r="E39" i="11"/>
  <c r="J40" i="11"/>
  <c r="G41" i="11"/>
  <c r="G65" i="11" s="1"/>
  <c r="D42" i="11"/>
  <c r="D66" i="11" s="1"/>
  <c r="L42" i="11"/>
  <c r="L66" i="11" s="1"/>
  <c r="C40" i="11"/>
  <c r="K40" i="11"/>
  <c r="H41" i="11"/>
  <c r="E42" i="11"/>
  <c r="E66" i="11" s="1"/>
  <c r="E63" i="11" s="1"/>
  <c r="M42" i="11"/>
  <c r="M66" i="11" s="1"/>
  <c r="J42" i="11"/>
  <c r="J66" i="11" s="1"/>
  <c r="D40" i="11"/>
  <c r="J36" i="8"/>
  <c r="J60" i="8" s="1"/>
  <c r="M35" i="8"/>
  <c r="E35" i="8"/>
  <c r="I36" i="8"/>
  <c r="I60" i="8" s="1"/>
  <c r="L35" i="8"/>
  <c r="D35" i="8"/>
  <c r="B31" i="8"/>
  <c r="B45" i="8" s="1"/>
  <c r="H36" i="8"/>
  <c r="H60" i="8" s="1"/>
  <c r="K35" i="8"/>
  <c r="C35" i="8"/>
  <c r="F36" i="8"/>
  <c r="F60" i="8" s="1"/>
  <c r="G36" i="8"/>
  <c r="G60" i="8" s="1"/>
  <c r="J35" i="8"/>
  <c r="B58" i="8"/>
  <c r="B55" i="8" s="1"/>
  <c r="B69" i="8" s="1"/>
  <c r="I35" i="8"/>
  <c r="M36" i="8"/>
  <c r="M60" i="8" s="1"/>
  <c r="E36" i="8"/>
  <c r="E60" i="8" s="1"/>
  <c r="H35" i="8"/>
  <c r="K36" i="8"/>
  <c r="K60" i="8" s="1"/>
  <c r="F35" i="8"/>
  <c r="L36" i="8"/>
  <c r="L60" i="8" s="1"/>
  <c r="D36" i="8"/>
  <c r="D60" i="8" s="1"/>
  <c r="G35" i="8"/>
  <c r="C36" i="8"/>
  <c r="C60" i="8" s="1"/>
  <c r="H54" i="8"/>
  <c r="M64" i="8"/>
  <c r="M63" i="8" s="1"/>
  <c r="K9" i="8"/>
  <c r="K12" i="8" s="1"/>
  <c r="F64" i="8"/>
  <c r="F63" i="8" s="1"/>
  <c r="G40" i="8"/>
  <c r="D41" i="8"/>
  <c r="D65" i="8" s="1"/>
  <c r="D63" i="8" s="1"/>
  <c r="L41" i="8"/>
  <c r="L65" i="8" s="1"/>
  <c r="L63" i="8" s="1"/>
  <c r="I42" i="8"/>
  <c r="B57" i="8"/>
  <c r="H40" i="8"/>
  <c r="E41" i="8"/>
  <c r="E65" i="8" s="1"/>
  <c r="M41" i="8"/>
  <c r="M65" i="8" s="1"/>
  <c r="J42" i="8"/>
  <c r="J66" i="8" s="1"/>
  <c r="J40" i="8"/>
  <c r="G41" i="8"/>
  <c r="G65" i="8" s="1"/>
  <c r="D42" i="8"/>
  <c r="D66" i="8" s="1"/>
  <c r="L42" i="8"/>
  <c r="L66" i="8" s="1"/>
  <c r="C40" i="8"/>
  <c r="K40" i="8"/>
  <c r="H41" i="8"/>
  <c r="H65" i="8" s="1"/>
  <c r="E42" i="8"/>
  <c r="E66" i="8" s="1"/>
  <c r="M42" i="8"/>
  <c r="M66" i="8" s="1"/>
  <c r="E40" i="8"/>
  <c r="H22" i="4"/>
  <c r="I22" i="4"/>
  <c r="J22" i="4"/>
  <c r="C22" i="4"/>
  <c r="K22" i="4"/>
  <c r="G22" i="4"/>
  <c r="D22" i="4"/>
  <c r="F22" i="4"/>
  <c r="E22" i="4"/>
  <c r="E17" i="7"/>
  <c r="F17" i="7"/>
  <c r="M31" i="7"/>
  <c r="M32" i="7"/>
  <c r="L31" i="7"/>
  <c r="L32" i="7"/>
  <c r="K31" i="7"/>
  <c r="K32" i="7"/>
  <c r="J31" i="7"/>
  <c r="J32" i="7"/>
  <c r="I31" i="7"/>
  <c r="I32" i="7"/>
  <c r="H31" i="7"/>
  <c r="H32" i="7"/>
  <c r="G31" i="7"/>
  <c r="G32" i="7"/>
  <c r="F31" i="7"/>
  <c r="F32" i="7"/>
  <c r="E31" i="7"/>
  <c r="E30" i="7" s="1"/>
  <c r="O14" i="7"/>
  <c r="P14" i="7"/>
  <c r="P19" i="7" s="1"/>
  <c r="F7" i="5"/>
  <c r="F6" i="5"/>
  <c r="F5" i="5"/>
  <c r="M14" i="5"/>
  <c r="N14" i="5"/>
  <c r="O14" i="5" s="1"/>
  <c r="C23" i="5"/>
  <c r="C24" i="4"/>
  <c r="K26" i="5"/>
  <c r="K23" i="5" s="1"/>
  <c r="D26" i="5"/>
  <c r="D23" i="5" s="1"/>
  <c r="E26" i="5"/>
  <c r="F26" i="5"/>
  <c r="F23" i="5" s="1"/>
  <c r="G26" i="5"/>
  <c r="G23" i="5" s="1"/>
  <c r="H26" i="5"/>
  <c r="H23" i="5" s="1"/>
  <c r="I26" i="5"/>
  <c r="I23" i="5" s="1"/>
  <c r="J26" i="5"/>
  <c r="J23" i="5" s="1"/>
  <c r="C4" i="5"/>
  <c r="B12" i="5" s="1"/>
  <c r="B13" i="5" s="1"/>
  <c r="U5" i="5"/>
  <c r="U4" i="5"/>
  <c r="M18" i="5" s="1"/>
  <c r="U2" i="5"/>
  <c r="D32" i="4"/>
  <c r="D50" i="4" s="1"/>
  <c r="E32" i="4"/>
  <c r="E50" i="4" s="1"/>
  <c r="F32" i="4"/>
  <c r="F50" i="4" s="1"/>
  <c r="G32" i="4"/>
  <c r="G50" i="4" s="1"/>
  <c r="H32" i="4"/>
  <c r="H50" i="4" s="1"/>
  <c r="I32" i="4"/>
  <c r="J32" i="4"/>
  <c r="K32" i="4"/>
  <c r="K50" i="4" s="1"/>
  <c r="C50" i="4"/>
  <c r="I50" i="4"/>
  <c r="I5" i="4"/>
  <c r="P16" i="4" s="1"/>
  <c r="I7" i="4"/>
  <c r="D24" i="4"/>
  <c r="D42" i="4" s="1"/>
  <c r="L14" i="5"/>
  <c r="K10" i="5"/>
  <c r="C8" i="5"/>
  <c r="D7" i="5"/>
  <c r="L6" i="5"/>
  <c r="J6" i="5"/>
  <c r="D6" i="5"/>
  <c r="K5" i="5"/>
  <c r="N5" i="5" s="1"/>
  <c r="N7" i="5" s="1"/>
  <c r="J5" i="5"/>
  <c r="D5" i="5"/>
  <c r="L4" i="5"/>
  <c r="J4" i="5"/>
  <c r="L3" i="5"/>
  <c r="J3" i="5"/>
  <c r="O5" i="4"/>
  <c r="O4" i="4"/>
  <c r="M18" i="4" s="1"/>
  <c r="O2" i="4"/>
  <c r="I47" i="4"/>
  <c r="J47" i="4"/>
  <c r="K47" i="4"/>
  <c r="J46" i="4"/>
  <c r="K46" i="4"/>
  <c r="K48" i="4" s="1"/>
  <c r="I46" i="4"/>
  <c r="D16" i="4"/>
  <c r="B48" i="4"/>
  <c r="E24" i="4"/>
  <c r="G24" i="4"/>
  <c r="F24" i="4"/>
  <c r="H24" i="4"/>
  <c r="I24" i="4"/>
  <c r="J24" i="4"/>
  <c r="J42" i="4" s="1"/>
  <c r="K24" i="4"/>
  <c r="K42" i="4" s="1"/>
  <c r="K41" i="4" s="1"/>
  <c r="J50" i="4"/>
  <c r="I30" i="4"/>
  <c r="J30" i="4"/>
  <c r="K30" i="4"/>
  <c r="B30" i="4"/>
  <c r="K14" i="4"/>
  <c r="J14" i="4"/>
  <c r="I10" i="4"/>
  <c r="C8" i="4"/>
  <c r="B26" i="4" s="1"/>
  <c r="B31" i="4" s="1"/>
  <c r="D7" i="4"/>
  <c r="J6" i="4"/>
  <c r="Q20" i="4" s="1"/>
  <c r="H6" i="4"/>
  <c r="D6" i="4"/>
  <c r="H5" i="4"/>
  <c r="D5" i="4"/>
  <c r="H4" i="4"/>
  <c r="C4" i="4"/>
  <c r="B12" i="4" s="1"/>
  <c r="H3" i="4"/>
  <c r="G65" i="7" l="1"/>
  <c r="G63" i="7" s="1"/>
  <c r="G46" i="7"/>
  <c r="H46" i="7"/>
  <c r="K46" i="7"/>
  <c r="L46" i="7"/>
  <c r="E65" i="7"/>
  <c r="E63" i="7" s="1"/>
  <c r="N20" i="7"/>
  <c r="J65" i="7"/>
  <c r="J63" i="7" s="1"/>
  <c r="D30" i="7"/>
  <c r="L65" i="7"/>
  <c r="L63" i="7" s="1"/>
  <c r="K65" i="7"/>
  <c r="K63" i="7" s="1"/>
  <c r="F65" i="7"/>
  <c r="F63" i="7" s="1"/>
  <c r="H65" i="7"/>
  <c r="H63" i="7" s="1"/>
  <c r="D63" i="7"/>
  <c r="B63" i="7"/>
  <c r="B72" i="7" s="1"/>
  <c r="G30" i="7"/>
  <c r="K30" i="7"/>
  <c r="I65" i="7"/>
  <c r="I63" i="7" s="1"/>
  <c r="M65" i="7"/>
  <c r="M63" i="7" s="1"/>
  <c r="I30" i="7"/>
  <c r="M30" i="7"/>
  <c r="C63" i="7"/>
  <c r="C72" i="7" s="1"/>
  <c r="F30" i="7"/>
  <c r="J30" i="7"/>
  <c r="H30" i="7"/>
  <c r="L30" i="7"/>
  <c r="D64" i="11"/>
  <c r="D63" i="11" s="1"/>
  <c r="D39" i="11"/>
  <c r="D38" i="11" s="1"/>
  <c r="D62" i="11" s="1"/>
  <c r="G59" i="11"/>
  <c r="G61" i="11" s="1"/>
  <c r="G37" i="11"/>
  <c r="M54" i="11"/>
  <c r="I54" i="11"/>
  <c r="E54" i="11"/>
  <c r="C54" i="11"/>
  <c r="L63" i="11"/>
  <c r="F63" i="11"/>
  <c r="D59" i="11"/>
  <c r="D61" i="11" s="1"/>
  <c r="D37" i="11"/>
  <c r="D31" i="11" s="1"/>
  <c r="L54" i="11"/>
  <c r="H39" i="11"/>
  <c r="H65" i="11"/>
  <c r="H63" i="11" s="1"/>
  <c r="H59" i="11"/>
  <c r="H61" i="11" s="1"/>
  <c r="H37" i="11"/>
  <c r="L59" i="11"/>
  <c r="L61" i="11" s="1"/>
  <c r="L37" i="11"/>
  <c r="G39" i="11"/>
  <c r="G64" i="11"/>
  <c r="G63" i="11" s="1"/>
  <c r="J59" i="11"/>
  <c r="J61" i="11" s="1"/>
  <c r="J37" i="11"/>
  <c r="K39" i="11"/>
  <c r="K38" i="11" s="1"/>
  <c r="K62" i="11" s="1"/>
  <c r="K64" i="11"/>
  <c r="K63" i="11" s="1"/>
  <c r="I37" i="11"/>
  <c r="I59" i="11"/>
  <c r="I61" i="11" s="1"/>
  <c r="C59" i="11"/>
  <c r="C61" i="11" s="1"/>
  <c r="C37" i="11"/>
  <c r="C31" i="11" s="1"/>
  <c r="J54" i="11"/>
  <c r="C64" i="11"/>
  <c r="C63" i="11" s="1"/>
  <c r="C39" i="11"/>
  <c r="C38" i="11" s="1"/>
  <c r="C62" i="11" s="1"/>
  <c r="J64" i="11"/>
  <c r="J63" i="11" s="1"/>
  <c r="J39" i="11"/>
  <c r="E59" i="11"/>
  <c r="E61" i="11" s="1"/>
  <c r="E37" i="11"/>
  <c r="K59" i="11"/>
  <c r="K61" i="11" s="1"/>
  <c r="K37" i="11"/>
  <c r="M59" i="11"/>
  <c r="M61" i="11" s="1"/>
  <c r="M37" i="11"/>
  <c r="K54" i="11"/>
  <c r="D45" i="11"/>
  <c r="D54" i="11"/>
  <c r="F54" i="11"/>
  <c r="M39" i="11"/>
  <c r="M38" i="11" s="1"/>
  <c r="M62" i="11" s="1"/>
  <c r="I64" i="11"/>
  <c r="I63" i="11" s="1"/>
  <c r="I39" i="11"/>
  <c r="I38" i="11" s="1"/>
  <c r="I62" i="11" s="1"/>
  <c r="F59" i="11"/>
  <c r="F61" i="11" s="1"/>
  <c r="F37" i="11"/>
  <c r="F39" i="11"/>
  <c r="F38" i="11" s="1"/>
  <c r="F62" i="11" s="1"/>
  <c r="K64" i="8"/>
  <c r="K63" i="8" s="1"/>
  <c r="K39" i="8"/>
  <c r="J64" i="8"/>
  <c r="J63" i="8" s="1"/>
  <c r="J39" i="8"/>
  <c r="J38" i="8" s="1"/>
  <c r="J62" i="8" s="1"/>
  <c r="H39" i="8"/>
  <c r="H64" i="8"/>
  <c r="H63" i="8" s="1"/>
  <c r="J54" i="8"/>
  <c r="D59" i="8"/>
  <c r="D61" i="8" s="1"/>
  <c r="D37" i="8"/>
  <c r="L59" i="8"/>
  <c r="L61" i="8" s="1"/>
  <c r="L37" i="8"/>
  <c r="F54" i="8"/>
  <c r="E54" i="8"/>
  <c r="C54" i="8"/>
  <c r="F59" i="8"/>
  <c r="F61" i="8" s="1"/>
  <c r="F37" i="8"/>
  <c r="G59" i="8"/>
  <c r="G61" i="8" s="1"/>
  <c r="G37" i="8"/>
  <c r="M54" i="8"/>
  <c r="E64" i="8"/>
  <c r="E63" i="8" s="1"/>
  <c r="E39" i="8"/>
  <c r="E38" i="8" s="1"/>
  <c r="E62" i="8" s="1"/>
  <c r="L39" i="8"/>
  <c r="L38" i="8" s="1"/>
  <c r="L62" i="8" s="1"/>
  <c r="D39" i="8"/>
  <c r="I54" i="8"/>
  <c r="E59" i="8"/>
  <c r="E61" i="8" s="1"/>
  <c r="E37" i="8"/>
  <c r="K54" i="8"/>
  <c r="J59" i="8"/>
  <c r="J61" i="8" s="1"/>
  <c r="J55" i="8" s="1"/>
  <c r="J37" i="8"/>
  <c r="G54" i="8"/>
  <c r="D54" i="8"/>
  <c r="L54" i="8"/>
  <c r="I39" i="8"/>
  <c r="I38" i="8" s="1"/>
  <c r="I62" i="8" s="1"/>
  <c r="I66" i="8"/>
  <c r="I63" i="8" s="1"/>
  <c r="H59" i="8"/>
  <c r="H61" i="8" s="1"/>
  <c r="H37" i="8"/>
  <c r="C59" i="8"/>
  <c r="C61" i="8" s="1"/>
  <c r="C37" i="8"/>
  <c r="M59" i="8"/>
  <c r="M61" i="8" s="1"/>
  <c r="M37" i="8"/>
  <c r="M31" i="8" s="1"/>
  <c r="M45" i="8" s="1"/>
  <c r="G39" i="8"/>
  <c r="G64" i="8"/>
  <c r="G63" i="8" s="1"/>
  <c r="C64" i="8"/>
  <c r="C63" i="8" s="1"/>
  <c r="C39" i="8"/>
  <c r="K59" i="8"/>
  <c r="K61" i="8" s="1"/>
  <c r="K37" i="8"/>
  <c r="I59" i="8"/>
  <c r="I61" i="8" s="1"/>
  <c r="I37" i="8"/>
  <c r="I31" i="8" s="1"/>
  <c r="I45" i="8" s="1"/>
  <c r="M39" i="8"/>
  <c r="M38" i="8" s="1"/>
  <c r="M62" i="8" s="1"/>
  <c r="F38" i="5"/>
  <c r="H38" i="5"/>
  <c r="D38" i="5"/>
  <c r="F8" i="5"/>
  <c r="C38" i="5"/>
  <c r="I38" i="5"/>
  <c r="G38" i="5"/>
  <c r="E38" i="5"/>
  <c r="K38" i="5"/>
  <c r="J48" i="4"/>
  <c r="J41" i="4"/>
  <c r="I42" i="4"/>
  <c r="I23" i="4"/>
  <c r="G42" i="4"/>
  <c r="E42" i="4"/>
  <c r="F42" i="4"/>
  <c r="B23" i="4"/>
  <c r="B34" i="4" s="1"/>
  <c r="H42" i="4"/>
  <c r="L14" i="4"/>
  <c r="P14" i="4"/>
  <c r="K23" i="4"/>
  <c r="C42" i="4"/>
  <c r="J23" i="4"/>
  <c r="K34" i="5"/>
  <c r="E34" i="5"/>
  <c r="J34" i="5"/>
  <c r="K7" i="5"/>
  <c r="D4" i="5"/>
  <c r="D8" i="5"/>
  <c r="C13" i="5"/>
  <c r="J38" i="5"/>
  <c r="C12" i="5"/>
  <c r="I48" i="4"/>
  <c r="C40" i="4"/>
  <c r="K40" i="4"/>
  <c r="H40" i="4"/>
  <c r="F40" i="4"/>
  <c r="E40" i="4"/>
  <c r="D40" i="4"/>
  <c r="J40" i="4"/>
  <c r="I40" i="4"/>
  <c r="G40" i="4"/>
  <c r="D8" i="4"/>
  <c r="B13" i="4"/>
  <c r="C12" i="4"/>
  <c r="D4" i="4"/>
  <c r="P21" i="7" l="1"/>
  <c r="J53" i="7"/>
  <c r="L53" i="7"/>
  <c r="E53" i="7"/>
  <c r="M53" i="7"/>
  <c r="D29" i="7"/>
  <c r="D39" i="7" s="1"/>
  <c r="H53" i="7"/>
  <c r="G53" i="7"/>
  <c r="K53" i="7"/>
  <c r="F53" i="7"/>
  <c r="I53" i="7"/>
  <c r="F72" i="7"/>
  <c r="H72" i="7"/>
  <c r="G72" i="7"/>
  <c r="M72" i="7"/>
  <c r="E72" i="7"/>
  <c r="K72" i="7"/>
  <c r="J72" i="7"/>
  <c r="L72" i="7"/>
  <c r="I72" i="7"/>
  <c r="K31" i="11"/>
  <c r="K45" i="11" s="1"/>
  <c r="E38" i="11"/>
  <c r="E62" i="11" s="1"/>
  <c r="E55" i="11" s="1"/>
  <c r="D69" i="11"/>
  <c r="K55" i="11"/>
  <c r="K69" i="11" s="1"/>
  <c r="H38" i="11"/>
  <c r="H62" i="11" s="1"/>
  <c r="H55" i="11" s="1"/>
  <c r="H69" i="11" s="1"/>
  <c r="L38" i="11"/>
  <c r="L62" i="11" s="1"/>
  <c r="E31" i="11"/>
  <c r="E45" i="11" s="1"/>
  <c r="F55" i="11"/>
  <c r="F69" i="11" s="1"/>
  <c r="C55" i="11"/>
  <c r="G38" i="11"/>
  <c r="G62" i="11" s="1"/>
  <c r="C69" i="11"/>
  <c r="M69" i="11"/>
  <c r="J38" i="11"/>
  <c r="J62" i="11" s="1"/>
  <c r="J55" i="11" s="1"/>
  <c r="J69" i="11" s="1"/>
  <c r="I55" i="11"/>
  <c r="I69" i="11" s="1"/>
  <c r="C45" i="11"/>
  <c r="O32" i="11" s="1"/>
  <c r="M31" i="11"/>
  <c r="M45" i="11" s="1"/>
  <c r="I31" i="11"/>
  <c r="I45" i="11" s="1"/>
  <c r="L55" i="11"/>
  <c r="L69" i="11" s="1"/>
  <c r="G55" i="11"/>
  <c r="G69" i="11" s="1"/>
  <c r="F31" i="11"/>
  <c r="F45" i="11" s="1"/>
  <c r="M55" i="11"/>
  <c r="H31" i="11"/>
  <c r="H45" i="11" s="1"/>
  <c r="D55" i="11"/>
  <c r="F69" i="8"/>
  <c r="J69" i="8"/>
  <c r="J31" i="8"/>
  <c r="J45" i="8" s="1"/>
  <c r="D38" i="8"/>
  <c r="D62" i="8" s="1"/>
  <c r="D55" i="8" s="1"/>
  <c r="D69" i="8" s="1"/>
  <c r="L31" i="8"/>
  <c r="L45" i="8" s="1"/>
  <c r="L55" i="8"/>
  <c r="L69" i="8" s="1"/>
  <c r="K31" i="8"/>
  <c r="K45" i="8" s="1"/>
  <c r="M55" i="8"/>
  <c r="M69" i="8" s="1"/>
  <c r="G38" i="8"/>
  <c r="G62" i="8" s="1"/>
  <c r="G55" i="8" s="1"/>
  <c r="G69" i="8" s="1"/>
  <c r="F38" i="8"/>
  <c r="F62" i="8" s="1"/>
  <c r="F55" i="8"/>
  <c r="K55" i="8"/>
  <c r="E31" i="8"/>
  <c r="E45" i="8" s="1"/>
  <c r="E69" i="8"/>
  <c r="K38" i="8"/>
  <c r="K62" i="8" s="1"/>
  <c r="I55" i="8"/>
  <c r="I69" i="8" s="1"/>
  <c r="C55" i="8"/>
  <c r="C69" i="8" s="1"/>
  <c r="E55" i="8"/>
  <c r="H38" i="8"/>
  <c r="H62" i="8" s="1"/>
  <c r="H55" i="8" s="1"/>
  <c r="H69" i="8" s="1"/>
  <c r="K69" i="8"/>
  <c r="C38" i="8"/>
  <c r="C62" i="8" s="1"/>
  <c r="B23" i="5"/>
  <c r="I41" i="4"/>
  <c r="B27" i="4"/>
  <c r="D28" i="4" s="1"/>
  <c r="D46" i="4" s="1"/>
  <c r="E29" i="7"/>
  <c r="E39" i="7" s="1"/>
  <c r="F29" i="7"/>
  <c r="F39" i="7" s="1"/>
  <c r="G29" i="7"/>
  <c r="G39" i="7" s="1"/>
  <c r="H29" i="7"/>
  <c r="H39" i="7" s="1"/>
  <c r="I29" i="7"/>
  <c r="I39" i="7" s="1"/>
  <c r="J29" i="7"/>
  <c r="J39" i="7" s="1"/>
  <c r="K29" i="7"/>
  <c r="K39" i="7" s="1"/>
  <c r="L29" i="7"/>
  <c r="L39" i="7" s="1"/>
  <c r="M29" i="7"/>
  <c r="M39" i="7" s="1"/>
  <c r="F34" i="5"/>
  <c r="H34" i="5"/>
  <c r="D34" i="5"/>
  <c r="I34" i="5"/>
  <c r="G34" i="5"/>
  <c r="B44" i="4"/>
  <c r="C13" i="4"/>
  <c r="O46" i="7" l="1"/>
  <c r="D53" i="7"/>
  <c r="D72" i="7"/>
  <c r="O65" i="7" s="1"/>
  <c r="O66" i="7"/>
  <c r="O68" i="7"/>
  <c r="O29" i="7"/>
  <c r="E69" i="11"/>
  <c r="O57" i="11"/>
  <c r="O56" i="11"/>
  <c r="O59" i="11"/>
  <c r="J31" i="11"/>
  <c r="J45" i="11" s="1"/>
  <c r="G31" i="11"/>
  <c r="G45" i="11" s="1"/>
  <c r="L31" i="11"/>
  <c r="O59" i="8"/>
  <c r="O56" i="8"/>
  <c r="O57" i="8"/>
  <c r="H31" i="8"/>
  <c r="H45" i="8" s="1"/>
  <c r="G31" i="8"/>
  <c r="G45" i="8" s="1"/>
  <c r="D31" i="8"/>
  <c r="D45" i="8" s="1"/>
  <c r="F31" i="8"/>
  <c r="F45" i="8" s="1"/>
  <c r="B37" i="5"/>
  <c r="H29" i="4"/>
  <c r="H47" i="4" s="1"/>
  <c r="G29" i="4"/>
  <c r="G47" i="4" s="1"/>
  <c r="F29" i="4"/>
  <c r="F47" i="4" s="1"/>
  <c r="G28" i="4"/>
  <c r="G46" i="4" s="1"/>
  <c r="E28" i="4"/>
  <c r="E46" i="4" s="1"/>
  <c r="F28" i="4"/>
  <c r="F46" i="4" s="1"/>
  <c r="E29" i="4"/>
  <c r="E47" i="4" s="1"/>
  <c r="H28" i="4"/>
  <c r="H46" i="4" s="1"/>
  <c r="C28" i="4"/>
  <c r="C29" i="4"/>
  <c r="C47" i="4" s="1"/>
  <c r="D29" i="4"/>
  <c r="D47" i="4" s="1"/>
  <c r="D48" i="4" s="1"/>
  <c r="B45" i="4"/>
  <c r="D28" i="5"/>
  <c r="D30" i="5" s="1"/>
  <c r="D42" i="5"/>
  <c r="B35" i="5"/>
  <c r="C42" i="5"/>
  <c r="C40" i="5"/>
  <c r="K28" i="5"/>
  <c r="K30" i="5" s="1"/>
  <c r="G28" i="5"/>
  <c r="G30" i="5" s="1"/>
  <c r="H28" i="5"/>
  <c r="H30" i="5" s="1"/>
  <c r="F42" i="5"/>
  <c r="E28" i="5"/>
  <c r="E30" i="5" s="1"/>
  <c r="I28" i="5"/>
  <c r="I30" i="5" s="1"/>
  <c r="J28" i="5"/>
  <c r="J30" i="5" s="1"/>
  <c r="F28" i="5"/>
  <c r="F30" i="5" s="1"/>
  <c r="G48" i="4"/>
  <c r="I34" i="4"/>
  <c r="I36" i="4" s="1"/>
  <c r="I52" i="4"/>
  <c r="I54" i="4" s="1"/>
  <c r="K34" i="4"/>
  <c r="K36" i="4" s="1"/>
  <c r="K52" i="4"/>
  <c r="K54" i="4" s="1"/>
  <c r="J34" i="4"/>
  <c r="J36" i="4" s="1"/>
  <c r="J52" i="4"/>
  <c r="J54" i="4" s="1"/>
  <c r="B49" i="4"/>
  <c r="G30" i="4"/>
  <c r="O49" i="7" l="1"/>
  <c r="O31" i="7"/>
  <c r="O28" i="7"/>
  <c r="L45" i="11"/>
  <c r="O30" i="11"/>
  <c r="O30" i="8"/>
  <c r="C45" i="8"/>
  <c r="E48" i="4"/>
  <c r="E41" i="4" s="1"/>
  <c r="E52" i="4" s="1"/>
  <c r="E54" i="4" s="1"/>
  <c r="H48" i="4"/>
  <c r="F48" i="4"/>
  <c r="F41" i="4" s="1"/>
  <c r="D41" i="4"/>
  <c r="D52" i="4" s="1"/>
  <c r="D54" i="4" s="1"/>
  <c r="B41" i="4"/>
  <c r="B52" i="4" s="1"/>
  <c r="B54" i="4" s="1"/>
  <c r="F30" i="4"/>
  <c r="F23" i="4" s="1"/>
  <c r="F34" i="4" s="1"/>
  <c r="F36" i="4" s="1"/>
  <c r="H41" i="4"/>
  <c r="H52" i="4" s="1"/>
  <c r="H54" i="4" s="1"/>
  <c r="G41" i="4"/>
  <c r="G52" i="4" s="1"/>
  <c r="G54" i="4" s="1"/>
  <c r="H30" i="4"/>
  <c r="H23" i="4" s="1"/>
  <c r="H34" i="4" s="1"/>
  <c r="H36" i="4" s="1"/>
  <c r="E30" i="4"/>
  <c r="E23" i="4" s="1"/>
  <c r="E34" i="4" s="1"/>
  <c r="E36" i="4" s="1"/>
  <c r="D30" i="4"/>
  <c r="D23" i="4" s="1"/>
  <c r="D34" i="4" s="1"/>
  <c r="D36" i="4" s="1"/>
  <c r="G23" i="4"/>
  <c r="G34" i="4" s="1"/>
  <c r="G36" i="4" s="1"/>
  <c r="C30" i="4"/>
  <c r="C23" i="4" s="1"/>
  <c r="C46" i="4"/>
  <c r="C48" i="4" s="1"/>
  <c r="C28" i="5"/>
  <c r="C30" i="5" s="1"/>
  <c r="M19" i="5" s="1"/>
  <c r="D40" i="5"/>
  <c r="H42" i="5"/>
  <c r="B42" i="5"/>
  <c r="B40" i="5"/>
  <c r="G42" i="5"/>
  <c r="J42" i="5"/>
  <c r="K42" i="5"/>
  <c r="I42" i="5"/>
  <c r="F40" i="5"/>
  <c r="F52" i="4"/>
  <c r="F54" i="4" s="1"/>
  <c r="B36" i="4"/>
  <c r="O29" i="11" l="1"/>
  <c r="O29" i="8"/>
  <c r="O32" i="8"/>
  <c r="C41" i="4"/>
  <c r="C52" i="4" s="1"/>
  <c r="C54" i="4" s="1"/>
  <c r="M20" i="4"/>
  <c r="C34" i="4"/>
  <c r="C36" i="4" s="1"/>
  <c r="M19" i="4" s="1"/>
  <c r="M21" i="5"/>
  <c r="M32" i="5"/>
  <c r="J40" i="5"/>
  <c r="G40" i="5"/>
  <c r="H40" i="5"/>
  <c r="E42" i="5"/>
  <c r="M31" i="5" s="1"/>
  <c r="I40" i="5"/>
  <c r="K40" i="5"/>
  <c r="E40" i="5"/>
  <c r="M39" i="4" l="1"/>
  <c r="M38" i="4"/>
  <c r="M40" i="4"/>
  <c r="M21" i="4"/>
  <c r="M33" i="5"/>
</calcChain>
</file>

<file path=xl/sharedStrings.xml><?xml version="1.0" encoding="utf-8"?>
<sst xmlns="http://schemas.openxmlformats.org/spreadsheetml/2006/main" count="619" uniqueCount="183">
  <si>
    <t>Value</t>
  </si>
  <si>
    <t>years</t>
  </si>
  <si>
    <t>Investment Costs</t>
  </si>
  <si>
    <t>TOTAL</t>
  </si>
  <si>
    <t>No.</t>
  </si>
  <si>
    <t>(ii) Working capital</t>
  </si>
  <si>
    <t>Operating Costs</t>
  </si>
  <si>
    <t>Revenues</t>
  </si>
  <si>
    <t>Life (years)</t>
  </si>
  <si>
    <t>Financing</t>
  </si>
  <si>
    <t>Loan</t>
  </si>
  <si>
    <t>ITEM/YEAR</t>
  </si>
  <si>
    <t>NPV</t>
  </si>
  <si>
    <t>IRR</t>
  </si>
  <si>
    <t>Parameters</t>
  </si>
  <si>
    <t>Private Cash Flow</t>
  </si>
  <si>
    <t>PRIVATE/FINANCIAL ANALYSIS</t>
  </si>
  <si>
    <t>EFFICIENCY</t>
  </si>
  <si>
    <t>Price (LC)</t>
  </si>
  <si>
    <t>Cost (LC)</t>
  </si>
  <si>
    <t>Price (€)</t>
  </si>
  <si>
    <t>Cost (€)</t>
  </si>
  <si>
    <t>Fixed Investment</t>
  </si>
  <si>
    <t>Item</t>
  </si>
  <si>
    <t>Imported Equipment</t>
  </si>
  <si>
    <t>Unskilled Labor</t>
  </si>
  <si>
    <t>Other Domestic Costs</t>
  </si>
  <si>
    <t>Transport Costs (to port)</t>
  </si>
  <si>
    <t>Handling/Transit Charges</t>
  </si>
  <si>
    <t>Export Tax</t>
  </si>
  <si>
    <t>Working Capital</t>
  </si>
  <si>
    <t>(end of year 1)</t>
  </si>
  <si>
    <t>Amount (LC)</t>
  </si>
  <si>
    <t>Revenue (€)</t>
  </si>
  <si>
    <t>Cut Flowers (units)</t>
  </si>
  <si>
    <t>development</t>
  </si>
  <si>
    <t>repay investment</t>
  </si>
  <si>
    <t>production</t>
  </si>
  <si>
    <t>NOMINAL</t>
  </si>
  <si>
    <t>CIF PRICE= fob + freight charges + insurance + port charges @ import country</t>
  </si>
  <si>
    <t>Air Transport Costs</t>
  </si>
  <si>
    <t>Exchange rate (LC/€)</t>
  </si>
  <si>
    <r>
      <t xml:space="preserve">Capital Costs </t>
    </r>
    <r>
      <rPr>
        <b/>
        <sz val="11"/>
        <color theme="1"/>
        <rFont val="Aptos Narrow"/>
        <family val="2"/>
        <scheme val="minor"/>
      </rPr>
      <t>(TOTAL)</t>
    </r>
  </si>
  <si>
    <t>Total capital cost</t>
  </si>
  <si>
    <t>Amount (€)</t>
  </si>
  <si>
    <t>capital costs</t>
  </si>
  <si>
    <t>Financed Portion (loan) (80%)</t>
  </si>
  <si>
    <t>Interest (nominal)</t>
  </si>
  <si>
    <t>Inflation rate</t>
  </si>
  <si>
    <t>Discount rate (real)</t>
  </si>
  <si>
    <t>Priv disc rate (real)</t>
  </si>
  <si>
    <t xml:space="preserve">0.5 unskilled, 0.5 domestic costs </t>
  </si>
  <si>
    <t>Shadow Prices</t>
  </si>
  <si>
    <t>Foreign Exchange</t>
  </si>
  <si>
    <t>Labor</t>
  </si>
  <si>
    <t xml:space="preserve">No. </t>
  </si>
  <si>
    <t>BCR</t>
  </si>
  <si>
    <t>Revenue (LC)</t>
  </si>
  <si>
    <t>Costs</t>
  </si>
  <si>
    <t>*how often paid? Each year?</t>
  </si>
  <si>
    <t>Benefits</t>
  </si>
  <si>
    <t>Capital stock</t>
  </si>
  <si>
    <t>Loan balance</t>
  </si>
  <si>
    <t>Principal pd</t>
  </si>
  <si>
    <t>Interest pd</t>
  </si>
  <si>
    <t>Total debt pd</t>
  </si>
  <si>
    <t>Equity pd</t>
  </si>
  <si>
    <t>Taxes</t>
  </si>
  <si>
    <t>(i) Operating costs</t>
  </si>
  <si>
    <t>(iii) Financing cost</t>
  </si>
  <si>
    <t>Cash Flow Pre-Tax</t>
  </si>
  <si>
    <t>REAL</t>
  </si>
  <si>
    <t>Interest (real)</t>
  </si>
  <si>
    <t>Nominal</t>
  </si>
  <si>
    <t>ECONOMIC/EFFICIENCY ANALYSIS</t>
  </si>
  <si>
    <t>Efficiency Cash Flows</t>
  </si>
  <si>
    <t>(i) Financing costs</t>
  </si>
  <si>
    <t>(ii) Operating costs</t>
  </si>
  <si>
    <t>*adjust???</t>
  </si>
  <si>
    <t>dvlpmt</t>
  </si>
  <si>
    <t>Strawberries</t>
  </si>
  <si>
    <t>Transport (LC/mt)</t>
  </si>
  <si>
    <t>lease fee starts</t>
  </si>
  <si>
    <t>Discount rate (econ/govt)</t>
  </si>
  <si>
    <t>Discount rate (farmer)</t>
  </si>
  <si>
    <t>CIF Price</t>
  </si>
  <si>
    <t>Freight and insurance</t>
  </si>
  <si>
    <t>FOB Price</t>
  </si>
  <si>
    <t>Air Transport Cost</t>
  </si>
  <si>
    <t>€ to LC</t>
  </si>
  <si>
    <t>SA (LC/unit)</t>
  </si>
  <si>
    <t>Paris (€/unit)</t>
  </si>
  <si>
    <t>Farm-Gate Price (/unit)</t>
  </si>
  <si>
    <t>Farm-Gate Price (total)</t>
  </si>
  <si>
    <t>Farm-Gate Calculation</t>
  </si>
  <si>
    <t>Year</t>
  </si>
  <si>
    <t>Total Cost (LC)</t>
  </si>
  <si>
    <t>Unskilled Labor (40%)</t>
  </si>
  <si>
    <t>Domestic Costs (40%)</t>
  </si>
  <si>
    <t>Foreign Exchange (20%)</t>
  </si>
  <si>
    <t>Farmers' Share (20%)</t>
  </si>
  <si>
    <t>Govt. Share (80%)</t>
  </si>
  <si>
    <t>FINANCIAL</t>
  </si>
  <si>
    <t>Production &amp; Costs per Hectare</t>
  </si>
  <si>
    <t>Crop</t>
  </si>
  <si>
    <t>Yield (mt/ha)</t>
  </si>
  <si>
    <t>Production Cost (LC/mt)</t>
  </si>
  <si>
    <t>Foreign (LC/mt)</t>
  </si>
  <si>
    <t>Domestic (LC/mt)</t>
  </si>
  <si>
    <t>CIF Price (€/mt)</t>
  </si>
  <si>
    <t>CIF Price (LC)</t>
  </si>
  <si>
    <t>Freight (€/mt)</t>
  </si>
  <si>
    <t>Handling (LC/mt)</t>
  </si>
  <si>
    <t>Green Beans</t>
  </si>
  <si>
    <t>Total Production &amp; Revenue Calculation</t>
  </si>
  <si>
    <t>Total Hectares</t>
  </si>
  <si>
    <t>Total Farmers</t>
  </si>
  <si>
    <t>Strawberries (mt)</t>
  </si>
  <si>
    <t>Green Beans (mt)</t>
  </si>
  <si>
    <t>Freight</t>
  </si>
  <si>
    <t>Total</t>
  </si>
  <si>
    <t>Govt share</t>
  </si>
  <si>
    <t>(i) Annual land cost</t>
  </si>
  <si>
    <t>Land fee  (LC/ht)</t>
  </si>
  <si>
    <t>(ii) Production cost</t>
  </si>
  <si>
    <t>FARM GATE</t>
  </si>
  <si>
    <t>Category</t>
  </si>
  <si>
    <t>Unit</t>
  </si>
  <si>
    <t>Price Data</t>
  </si>
  <si>
    <t>Tomato price—CIF Paris</t>
  </si>
  <si>
    <t>$/kg</t>
  </si>
  <si>
    <t>Freight and insurance—Morocco to France</t>
  </si>
  <si>
    <t>$/mt</t>
  </si>
  <si>
    <t>Transport to Moroccan port</t>
  </si>
  <si>
    <t>Price Increases per Annum</t>
  </si>
  <si>
    <t>General inflation</t>
  </si>
  <si>
    <t>Production Data per Annum</t>
  </si>
  <si>
    <t>Yield</t>
  </si>
  <si>
    <t>kg/ha</t>
  </si>
  <si>
    <t>Hectares</t>
  </si>
  <si>
    <t>ha</t>
  </si>
  <si>
    <t>Operating Costs per Annum</t>
  </si>
  <si>
    <t>Seed cost</t>
  </si>
  <si>
    <t>$/ha</t>
  </si>
  <si>
    <t>Chemical cost</t>
  </si>
  <si>
    <t>Fertilizer cost</t>
  </si>
  <si>
    <t>Harvest cost</t>
  </si>
  <si>
    <t>Packaging cost</t>
  </si>
  <si>
    <t>Working capital factor</t>
  </si>
  <si>
    <t>Financing, Shadow Pricing, and Discount Rates</t>
  </si>
  <si>
    <t>Foreign exchange shadow price</t>
  </si>
  <si>
    <t>Loan term</t>
  </si>
  <si>
    <r>
      <rPr>
        <sz val="11"/>
        <color rgb="FF00B0F0"/>
        <rFont val="Aptos Narrow"/>
        <family val="2"/>
        <scheme val="minor"/>
      </rPr>
      <t>Nominal</t>
    </r>
    <r>
      <rPr>
        <sz val="11"/>
        <color theme="1"/>
        <rFont val="Aptos Narrow"/>
        <family val="2"/>
        <scheme val="minor"/>
      </rPr>
      <t xml:space="preserve"> debt interest rate</t>
    </r>
  </si>
  <si>
    <r>
      <rPr>
        <sz val="11"/>
        <color rgb="FF9933FF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social discount rate</t>
    </r>
  </si>
  <si>
    <r>
      <rPr>
        <sz val="11"/>
        <color rgb="FF9933FF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tomato price increase</t>
    </r>
  </si>
  <si>
    <r>
      <rPr>
        <sz val="11"/>
        <color rgb="FF9933FF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fertilizer price increase</t>
    </r>
  </si>
  <si>
    <r>
      <rPr>
        <sz val="11"/>
        <color rgb="FF9933FF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chemical price increase</t>
    </r>
  </si>
  <si>
    <r>
      <rPr>
        <sz val="11"/>
        <color rgb="FF9933FF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seed price increase</t>
    </r>
  </si>
  <si>
    <t>Morocco (LC/unit)</t>
  </si>
  <si>
    <t>France (€/unit)</t>
  </si>
  <si>
    <t>Financing Data</t>
  </si>
  <si>
    <t>Working capital share of operating costs</t>
  </si>
  <si>
    <t>* seed, chem, fert, harv, pack</t>
  </si>
  <si>
    <t>skip</t>
  </si>
  <si>
    <t>(i) Investment costs</t>
  </si>
  <si>
    <t>(iii) Operating costs</t>
  </si>
  <si>
    <t>Conversion</t>
  </si>
  <si>
    <t>mt</t>
  </si>
  <si>
    <t>kg</t>
  </si>
  <si>
    <r>
      <t xml:space="preserve">Initial investment </t>
    </r>
    <r>
      <rPr>
        <sz val="11"/>
        <color rgb="FF9933FF"/>
        <rFont val="Aptos Narrow"/>
        <family val="2"/>
        <scheme val="minor"/>
      </rPr>
      <t>Real</t>
    </r>
  </si>
  <si>
    <t>ANWERS:</t>
  </si>
  <si>
    <r>
      <rPr>
        <sz val="11"/>
        <color rgb="FFE058F2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debt interest rate</t>
    </r>
  </si>
  <si>
    <t>Seed</t>
  </si>
  <si>
    <t>Chemical</t>
  </si>
  <si>
    <t>* seems wrong…. Maybe I need to multiply bens by units to make higher??</t>
  </si>
  <si>
    <t>adjust for shadow??</t>
  </si>
  <si>
    <t>Efficiency adjustment</t>
  </si>
  <si>
    <t>Efficent Cash Flow</t>
  </si>
  <si>
    <t>FARMERS</t>
  </si>
  <si>
    <t>GOVERNMENT</t>
  </si>
  <si>
    <t>(i) Annual land Revenues</t>
  </si>
  <si>
    <t>Private</t>
  </si>
  <si>
    <t>*multiply by govt share?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</si>
</sst>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000000000000000%"/>
    <numFmt numFmtId="165" formatCode="0.000%"/>
  </numFmts>
  <fonts count="2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0" tint="-0.24997711111789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933FF"/>
      <name val="Aptos Narrow"/>
      <family val="2"/>
      <scheme val="minor"/>
    </font>
    <font>
      <i/>
      <sz val="11"/>
      <color theme="2" tint="-0.249977111117893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E058F2"/>
      <name val="Aptos Narrow"/>
      <family val="2"/>
      <scheme val="minor"/>
    </font>
    <font>
      <i/>
      <sz val="11"/>
      <color theme="2" tint="-9.9978637043366805E-2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FE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5" fillId="9" borderId="0" applyNumberFormat="0" applyBorder="0" applyAlignment="0" applyProtection="0"/>
  </cellStyleXfs>
  <cellXfs count="19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0" borderId="1" xfId="0" applyBorder="1"/>
    <xf numFmtId="8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9" fontId="0" fillId="0" borderId="6" xfId="0" applyNumberFormat="1" applyBorder="1"/>
    <xf numFmtId="9" fontId="0" fillId="0" borderId="9" xfId="0" applyNumberFormat="1" applyBorder="1"/>
    <xf numFmtId="0" fontId="3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9" fontId="0" fillId="0" borderId="6" xfId="0" applyNumberForma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9" fontId="0" fillId="0" borderId="9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5" fillId="6" borderId="1" xfId="0" applyFont="1" applyFill="1" applyBorder="1"/>
    <xf numFmtId="0" fontId="1" fillId="5" borderId="2" xfId="0" applyFont="1" applyFill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2" xfId="0" applyBorder="1"/>
    <xf numFmtId="9" fontId="1" fillId="0" borderId="4" xfId="0" applyNumberFormat="1" applyFont="1" applyBorder="1"/>
    <xf numFmtId="8" fontId="0" fillId="0" borderId="6" xfId="0" applyNumberFormat="1" applyBorder="1"/>
    <xf numFmtId="0" fontId="1" fillId="0" borderId="7" xfId="0" applyFont="1" applyBorder="1"/>
    <xf numFmtId="0" fontId="6" fillId="0" borderId="0" xfId="1"/>
    <xf numFmtId="0" fontId="6" fillId="0" borderId="0" xfId="1" applyAlignment="1">
      <alignment horizontal="right"/>
    </xf>
    <xf numFmtId="0" fontId="7" fillId="0" borderId="0" xfId="1" applyFont="1" applyAlignment="1">
      <alignment horizontal="right"/>
    </xf>
    <xf numFmtId="0" fontId="6" fillId="0" borderId="0" xfId="1" applyAlignment="1">
      <alignment horizontal="left"/>
    </xf>
    <xf numFmtId="2" fontId="0" fillId="0" borderId="0" xfId="0" applyNumberFormat="1"/>
    <xf numFmtId="0" fontId="8" fillId="0" borderId="0" xfId="1" applyFont="1" applyAlignment="1">
      <alignment horizontal="right"/>
    </xf>
    <xf numFmtId="0" fontId="1" fillId="0" borderId="12" xfId="0" applyFont="1" applyBorder="1"/>
    <xf numFmtId="0" fontId="0" fillId="0" borderId="12" xfId="0" applyBorder="1"/>
    <xf numFmtId="0" fontId="5" fillId="7" borderId="1" xfId="0" applyFont="1" applyFill="1" applyBorder="1"/>
    <xf numFmtId="0" fontId="0" fillId="2" borderId="0" xfId="0" applyFill="1"/>
    <xf numFmtId="164" fontId="0" fillId="0" borderId="0" xfId="0" applyNumberFormat="1" applyAlignment="1">
      <alignment horizontal="left" vertical="top"/>
    </xf>
    <xf numFmtId="3" fontId="0" fillId="0" borderId="12" xfId="0" applyNumberFormat="1" applyBorder="1"/>
    <xf numFmtId="9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8" borderId="1" xfId="0" applyFont="1" applyFill="1" applyBorder="1"/>
    <xf numFmtId="0" fontId="0" fillId="8" borderId="1" xfId="0" applyFill="1" applyBorder="1"/>
    <xf numFmtId="0" fontId="9" fillId="0" borderId="0" xfId="0" applyFont="1"/>
    <xf numFmtId="0" fontId="10" fillId="0" borderId="0" xfId="0" applyFont="1"/>
    <xf numFmtId="0" fontId="1" fillId="0" borderId="6" xfId="0" applyFon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1" fillId="0" borderId="5" xfId="0" applyNumberFormat="1" applyFont="1" applyBorder="1" applyAlignment="1">
      <alignment horizontal="left" vertical="top"/>
    </xf>
    <xf numFmtId="3" fontId="1" fillId="0" borderId="6" xfId="0" applyNumberFormat="1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3" fontId="1" fillId="0" borderId="7" xfId="0" applyNumberFormat="1" applyFont="1" applyBorder="1" applyAlignment="1">
      <alignment horizontal="left" vertical="top"/>
    </xf>
    <xf numFmtId="3" fontId="1" fillId="0" borderId="9" xfId="0" applyNumberFormat="1" applyFont="1" applyBorder="1" applyAlignment="1">
      <alignment horizontal="left" vertical="top"/>
    </xf>
    <xf numFmtId="0" fontId="1" fillId="5" borderId="13" xfId="0" applyFont="1" applyFill="1" applyBorder="1"/>
    <xf numFmtId="0" fontId="1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3" fontId="3" fillId="0" borderId="5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11" fillId="0" borderId="0" xfId="0" applyFont="1"/>
    <xf numFmtId="0" fontId="1" fillId="5" borderId="2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1" fillId="2" borderId="16" xfId="0" applyFont="1" applyFill="1" applyBorder="1" applyAlignment="1">
      <alignment vertical="top"/>
    </xf>
    <xf numFmtId="3" fontId="0" fillId="0" borderId="6" xfId="0" applyNumberFormat="1" applyBorder="1" applyAlignment="1">
      <alignment vertical="top" wrapText="1"/>
    </xf>
    <xf numFmtId="0" fontId="0" fillId="0" borderId="6" xfId="0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11" fillId="0" borderId="0" xfId="0" applyFont="1" applyAlignment="1">
      <alignment vertical="top"/>
    </xf>
    <xf numFmtId="0" fontId="0" fillId="0" borderId="6" xfId="0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5" borderId="4" xfId="0" applyFill="1" applyBorder="1" applyAlignment="1">
      <alignment vertical="top"/>
    </xf>
    <xf numFmtId="0" fontId="1" fillId="0" borderId="5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9" fontId="0" fillId="0" borderId="6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1" fillId="0" borderId="7" xfId="0" applyFont="1" applyBorder="1" applyAlignment="1">
      <alignment vertical="top"/>
    </xf>
    <xf numFmtId="9" fontId="0" fillId="0" borderId="9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11" fillId="0" borderId="5" xfId="0" applyFont="1" applyBorder="1" applyAlignment="1">
      <alignment horizontal="left" vertical="top"/>
    </xf>
    <xf numFmtId="0" fontId="2" fillId="7" borderId="3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0" fillId="8" borderId="4" xfId="0" applyFill="1" applyBorder="1" applyAlignment="1">
      <alignment vertical="top"/>
    </xf>
    <xf numFmtId="3" fontId="0" fillId="0" borderId="0" xfId="0" applyNumberFormat="1" applyAlignment="1">
      <alignment vertical="top"/>
    </xf>
    <xf numFmtId="3" fontId="0" fillId="0" borderId="6" xfId="0" applyNumberFormat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2" fillId="0" borderId="0" xfId="1" applyFont="1" applyAlignment="1">
      <alignment horizontal="right"/>
    </xf>
    <xf numFmtId="9" fontId="0" fillId="0" borderId="0" xfId="0" applyNumberFormat="1" applyAlignment="1">
      <alignment vertical="top"/>
    </xf>
    <xf numFmtId="0" fontId="14" fillId="0" borderId="6" xfId="0" applyFont="1" applyBorder="1" applyAlignment="1">
      <alignment horizontal="left" vertical="top" wrapText="1"/>
    </xf>
    <xf numFmtId="0" fontId="1" fillId="0" borderId="10" xfId="0" applyFont="1" applyBorder="1"/>
    <xf numFmtId="3" fontId="0" fillId="0" borderId="11" xfId="0" applyNumberForma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9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10" borderId="0" xfId="0" applyFill="1" applyAlignment="1">
      <alignment vertical="center"/>
    </xf>
    <xf numFmtId="0" fontId="1" fillId="4" borderId="7" xfId="0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6" fontId="0" fillId="0" borderId="6" xfId="0" applyNumberFormat="1" applyBorder="1"/>
    <xf numFmtId="0" fontId="17" fillId="0" borderId="0" xfId="1" applyFont="1" applyAlignment="1">
      <alignment horizontal="right"/>
    </xf>
    <xf numFmtId="6" fontId="0" fillId="0" borderId="0" xfId="0" applyNumberFormat="1"/>
    <xf numFmtId="0" fontId="2" fillId="0" borderId="12" xfId="0" applyFont="1" applyBorder="1"/>
    <xf numFmtId="0" fontId="0" fillId="0" borderId="17" xfId="0" applyBorder="1"/>
    <xf numFmtId="0" fontId="18" fillId="0" borderId="0" xfId="1" applyFont="1" applyAlignment="1">
      <alignment horizontal="right"/>
    </xf>
    <xf numFmtId="0" fontId="0" fillId="11" borderId="0" xfId="0" applyFill="1" applyAlignment="1">
      <alignment vertical="center"/>
    </xf>
    <xf numFmtId="3" fontId="0" fillId="0" borderId="8" xfId="0" applyNumberFormat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3" borderId="0" xfId="0" applyFill="1" applyAlignment="1">
      <alignment vertical="top"/>
    </xf>
    <xf numFmtId="0" fontId="3" fillId="0" borderId="0" xfId="1" applyFont="1" applyAlignment="1">
      <alignment horizontal="left"/>
    </xf>
    <xf numFmtId="0" fontId="19" fillId="0" borderId="0" xfId="0" applyFont="1"/>
    <xf numFmtId="0" fontId="0" fillId="4" borderId="2" xfId="0" applyFill="1" applyBorder="1"/>
    <xf numFmtId="9" fontId="1" fillId="4" borderId="4" xfId="0" applyNumberFormat="1" applyFont="1" applyFill="1" applyBorder="1"/>
    <xf numFmtId="0" fontId="1" fillId="4" borderId="5" xfId="0" applyFont="1" applyFill="1" applyBorder="1"/>
    <xf numFmtId="8" fontId="0" fillId="4" borderId="6" xfId="0" applyNumberFormat="1" applyFill="1" applyBorder="1"/>
    <xf numFmtId="0" fontId="0" fillId="4" borderId="6" xfId="0" applyFill="1" applyBorder="1"/>
    <xf numFmtId="0" fontId="1" fillId="4" borderId="7" xfId="0" applyFont="1" applyFill="1" applyBorder="1"/>
    <xf numFmtId="9" fontId="0" fillId="4" borderId="9" xfId="0" applyNumberFormat="1" applyFill="1" applyBorder="1"/>
    <xf numFmtId="0" fontId="1" fillId="4" borderId="0" xfId="0" applyFont="1" applyFill="1" applyAlignment="1">
      <alignment horizontal="left" vertical="top"/>
    </xf>
    <xf numFmtId="0" fontId="5" fillId="0" borderId="0" xfId="2" applyFont="1" applyFill="1"/>
    <xf numFmtId="0" fontId="6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6" fillId="0" borderId="0" xfId="0" applyNumberFormat="1" applyFont="1" applyAlignment="1">
      <alignment horizontal="left" vertical="top"/>
    </xf>
    <xf numFmtId="0" fontId="21" fillId="0" borderId="5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6" fillId="0" borderId="8" xfId="0" applyNumberFormat="1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2" fillId="12" borderId="0" xfId="0" applyFont="1" applyFill="1" applyAlignment="1">
      <alignment horizontal="left" vertical="top"/>
    </xf>
    <xf numFmtId="0" fontId="0" fillId="12" borderId="0" xfId="0" applyFill="1"/>
    <xf numFmtId="0" fontId="1" fillId="0" borderId="0" xfId="0" applyFont="1" applyBorder="1"/>
    <xf numFmtId="3" fontId="0" fillId="0" borderId="0" xfId="0" applyNumberFormat="1" applyBorder="1"/>
    <xf numFmtId="0" fontId="0" fillId="13" borderId="0" xfId="0" applyFill="1" applyAlignment="1">
      <alignment vertical="top"/>
    </xf>
    <xf numFmtId="0" fontId="0" fillId="14" borderId="0" xfId="0" applyFill="1" applyAlignment="1">
      <alignment vertical="top"/>
    </xf>
    <xf numFmtId="0" fontId="0" fillId="15" borderId="0" xfId="0" applyFill="1" applyAlignment="1">
      <alignment vertical="top"/>
    </xf>
    <xf numFmtId="0" fontId="2" fillId="7" borderId="2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3" fontId="0" fillId="0" borderId="5" xfId="0" applyNumberForma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1" fillId="16" borderId="2" xfId="0" applyFont="1" applyFill="1" applyBorder="1" applyAlignment="1">
      <alignment vertical="top"/>
    </xf>
    <xf numFmtId="0" fontId="0" fillId="16" borderId="0" xfId="0" applyFill="1" applyAlignment="1">
      <alignment vertical="top"/>
    </xf>
    <xf numFmtId="3" fontId="3" fillId="0" borderId="0" xfId="0" applyNumberFormat="1" applyFont="1"/>
  </cellXfs>
  <cellStyles count="3">
    <cellStyle name="Bad" xfId="2" builtinId="27"/>
    <cellStyle name="Normal" xfId="0" builtinId="0"/>
    <cellStyle name="Normal 2" xfId="1" xr:uid="{70989E48-B6AD-43B4-A367-FB49EFB97A9F}"/>
  </cellStyles>
  <dxfs count="0"/>
  <tableStyles count="0" defaultTableStyle="TableStyleMedium2" defaultPivotStyle="PivotStyleLight16"/>
  <colors>
    <mruColors>
      <color rgb="FF9933FF"/>
      <color rgb="FFCCFF99"/>
      <color rgb="FFFF9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E835-A550-442C-AE85-1BD2BBFE091E}">
  <dimension ref="A1:X62"/>
  <sheetViews>
    <sheetView zoomScale="72" zoomScaleNormal="100" workbookViewId="0">
      <selection activeCell="D13" sqref="D13"/>
    </sheetView>
  </sheetViews>
  <sheetFormatPr defaultColWidth="8.7265625" defaultRowHeight="14.5" x14ac:dyDescent="0.35"/>
  <cols>
    <col min="1" max="1" width="19" style="20" customWidth="1"/>
    <col min="2" max="2" width="9.453125" style="20" customWidth="1"/>
    <col min="3" max="3" width="11.08984375" style="20" customWidth="1"/>
    <col min="4" max="4" width="21.90625" style="20" customWidth="1"/>
    <col min="5" max="5" width="12.453125" style="20" customWidth="1"/>
    <col min="6" max="6" width="11.26953125" style="20" customWidth="1"/>
    <col min="7" max="7" width="16.90625" style="20" customWidth="1"/>
    <col min="8" max="8" width="12.90625" style="20" customWidth="1"/>
    <col min="9" max="9" width="13.36328125" style="20" customWidth="1"/>
    <col min="10" max="10" width="13.453125" style="20" customWidth="1"/>
    <col min="11" max="11" width="12.6328125" style="20" customWidth="1"/>
    <col min="12" max="12" width="13.36328125" style="20" customWidth="1"/>
    <col min="13" max="13" width="22" style="20" customWidth="1"/>
    <col min="14" max="14" width="10.90625" style="20" bestFit="1" customWidth="1"/>
    <col min="15" max="15" width="21.36328125" style="20" customWidth="1"/>
    <col min="16" max="16" width="8.7265625" style="20"/>
    <col min="17" max="17" width="13.26953125" style="20" customWidth="1"/>
    <col min="18" max="16384" width="8.7265625" style="20"/>
  </cols>
  <sheetData>
    <row r="1" spans="1:17" x14ac:dyDescent="0.35">
      <c r="A1" s="19" t="s">
        <v>2</v>
      </c>
      <c r="G1" s="19" t="s">
        <v>30</v>
      </c>
      <c r="I1" s="20" t="s">
        <v>31</v>
      </c>
      <c r="L1" s="26" t="s">
        <v>14</v>
      </c>
      <c r="M1" s="27"/>
      <c r="O1" s="20" t="s">
        <v>73</v>
      </c>
    </row>
    <row r="2" spans="1:17" x14ac:dyDescent="0.35">
      <c r="A2" s="18" t="s">
        <v>23</v>
      </c>
      <c r="B2" s="18" t="s">
        <v>4</v>
      </c>
      <c r="C2" s="18" t="s">
        <v>19</v>
      </c>
      <c r="D2" s="18" t="s">
        <v>21</v>
      </c>
      <c r="E2" s="18"/>
      <c r="G2" s="18" t="s">
        <v>23</v>
      </c>
      <c r="H2" s="18" t="s">
        <v>55</v>
      </c>
      <c r="I2" s="18" t="s">
        <v>19</v>
      </c>
      <c r="J2" s="18" t="s">
        <v>21</v>
      </c>
      <c r="K2" s="18"/>
      <c r="L2" s="28" t="s">
        <v>41</v>
      </c>
      <c r="M2" s="23">
        <v>10</v>
      </c>
      <c r="O2" s="20">
        <f>(1+M2)*(1+$M$3)-1</f>
        <v>10.220000000000001</v>
      </c>
    </row>
    <row r="3" spans="1:17" x14ac:dyDescent="0.35">
      <c r="A3" s="18" t="s">
        <v>22</v>
      </c>
      <c r="F3" s="40" t="s">
        <v>59</v>
      </c>
      <c r="G3" s="20" t="s">
        <v>27</v>
      </c>
      <c r="H3" s="21">
        <f>$H$14</f>
        <v>400</v>
      </c>
      <c r="I3" s="20">
        <v>2.5</v>
      </c>
      <c r="J3" s="20">
        <f>I3/M2</f>
        <v>0.25</v>
      </c>
      <c r="L3" s="28" t="s">
        <v>48</v>
      </c>
      <c r="M3" s="29">
        <v>0.02</v>
      </c>
    </row>
    <row r="4" spans="1:17" x14ac:dyDescent="0.35">
      <c r="A4" s="20" t="s">
        <v>42</v>
      </c>
      <c r="B4" s="20">
        <v>1</v>
      </c>
      <c r="C4" s="21">
        <f>SUM(C5:C7)</f>
        <v>50000</v>
      </c>
      <c r="D4" s="21">
        <f>C4/$M$2</f>
        <v>5000</v>
      </c>
      <c r="E4" s="21"/>
      <c r="G4" s="20" t="s">
        <v>28</v>
      </c>
      <c r="H4" s="21">
        <f t="shared" ref="H4:H6" si="0">$H$14</f>
        <v>400</v>
      </c>
      <c r="I4" s="20">
        <v>2</v>
      </c>
      <c r="J4" s="20">
        <f>I4/M2</f>
        <v>0.2</v>
      </c>
      <c r="K4" s="21"/>
      <c r="L4" s="28" t="s">
        <v>49</v>
      </c>
      <c r="M4" s="29">
        <v>0.1</v>
      </c>
      <c r="O4" s="58">
        <f>(1+M4)*(1+$M$3)-1</f>
        <v>0.12200000000000011</v>
      </c>
    </row>
    <row r="5" spans="1:17" ht="15" thickBot="1" x14ac:dyDescent="0.4">
      <c r="A5" s="20" t="s">
        <v>24</v>
      </c>
      <c r="B5" s="20">
        <v>1</v>
      </c>
      <c r="C5" s="21">
        <v>20000</v>
      </c>
      <c r="D5" s="21">
        <f>C5/$M$2</f>
        <v>2000</v>
      </c>
      <c r="E5" s="21"/>
      <c r="G5" s="20" t="s">
        <v>40</v>
      </c>
      <c r="H5" s="21">
        <f t="shared" si="0"/>
        <v>400</v>
      </c>
      <c r="I5" s="20">
        <f>J5*M2</f>
        <v>5</v>
      </c>
      <c r="J5" s="20">
        <v>0.5</v>
      </c>
      <c r="K5" s="21"/>
      <c r="L5" s="30" t="s">
        <v>50</v>
      </c>
      <c r="M5" s="31">
        <v>0.1</v>
      </c>
      <c r="O5" s="58">
        <f>(1+M5)*(1+$M$3)-1</f>
        <v>0.12200000000000011</v>
      </c>
    </row>
    <row r="6" spans="1:17" x14ac:dyDescent="0.35">
      <c r="A6" s="20" t="s">
        <v>25</v>
      </c>
      <c r="B6" s="20">
        <v>1</v>
      </c>
      <c r="C6" s="21">
        <v>15000</v>
      </c>
      <c r="D6" s="21">
        <f>C6/$M$2</f>
        <v>1500</v>
      </c>
      <c r="E6" s="21"/>
      <c r="G6" s="20" t="s">
        <v>29</v>
      </c>
      <c r="H6" s="21">
        <f t="shared" si="0"/>
        <v>400</v>
      </c>
      <c r="I6" s="20">
        <v>4</v>
      </c>
      <c r="J6" s="20">
        <f>I6/M2</f>
        <v>0.4</v>
      </c>
      <c r="K6" s="21"/>
      <c r="L6" s="21"/>
      <c r="M6" s="21"/>
    </row>
    <row r="7" spans="1:17" ht="15" thickBot="1" x14ac:dyDescent="0.4">
      <c r="A7" s="20" t="s">
        <v>26</v>
      </c>
      <c r="B7" s="20">
        <v>1</v>
      </c>
      <c r="C7" s="21">
        <v>15000</v>
      </c>
      <c r="D7" s="21">
        <f>C7/$M$2</f>
        <v>1500</v>
      </c>
      <c r="E7" s="21"/>
      <c r="G7" s="18" t="s">
        <v>3</v>
      </c>
      <c r="I7" s="21">
        <f>H6*SUM(I3:I5)</f>
        <v>3800</v>
      </c>
    </row>
    <row r="8" spans="1:17" x14ac:dyDescent="0.35">
      <c r="A8" s="18" t="s">
        <v>3</v>
      </c>
      <c r="C8" s="25">
        <f>SUM(C5:C7)</f>
        <v>50000</v>
      </c>
      <c r="D8" s="25">
        <f>SUM(D5:D7)</f>
        <v>5000</v>
      </c>
      <c r="E8" s="25"/>
      <c r="G8" s="21"/>
      <c r="H8" s="21"/>
      <c r="I8" s="21"/>
      <c r="J8" s="21"/>
      <c r="K8" s="21"/>
      <c r="L8" s="36" t="s">
        <v>17</v>
      </c>
      <c r="M8" s="24"/>
    </row>
    <row r="9" spans="1:17" x14ac:dyDescent="0.35">
      <c r="A9" s="18"/>
      <c r="D9" s="21"/>
      <c r="E9" s="21"/>
      <c r="F9" s="21"/>
      <c r="G9" s="19" t="s">
        <v>6</v>
      </c>
      <c r="H9" s="18" t="s">
        <v>19</v>
      </c>
      <c r="I9" s="18" t="s">
        <v>21</v>
      </c>
      <c r="L9" s="22" t="s">
        <v>52</v>
      </c>
      <c r="M9" s="23"/>
    </row>
    <row r="10" spans="1:17" x14ac:dyDescent="0.35">
      <c r="A10" s="19" t="s">
        <v>9</v>
      </c>
      <c r="B10" s="37"/>
      <c r="C10" s="38"/>
      <c r="G10" s="20" t="s">
        <v>51</v>
      </c>
      <c r="H10" s="20">
        <v>20</v>
      </c>
      <c r="I10" s="20">
        <f>H10/$M$2</f>
        <v>2</v>
      </c>
      <c r="L10" s="32" t="s">
        <v>53</v>
      </c>
      <c r="M10" s="23">
        <v>1.1499999999999999</v>
      </c>
    </row>
    <row r="11" spans="1:17" ht="15" thickBot="1" x14ac:dyDescent="0.4">
      <c r="A11" s="18" t="s">
        <v>23</v>
      </c>
      <c r="B11" s="18" t="s">
        <v>32</v>
      </c>
      <c r="C11" s="18" t="s">
        <v>44</v>
      </c>
      <c r="D11" s="18" t="s">
        <v>47</v>
      </c>
      <c r="E11" s="18" t="s">
        <v>8</v>
      </c>
      <c r="L11" s="33" t="s">
        <v>54</v>
      </c>
      <c r="M11" s="34">
        <v>0.75</v>
      </c>
    </row>
    <row r="12" spans="1:17" ht="15" thickBot="1" x14ac:dyDescent="0.4">
      <c r="A12" s="20" t="s">
        <v>43</v>
      </c>
      <c r="B12" s="21">
        <f>C4</f>
        <v>50000</v>
      </c>
      <c r="C12" s="21">
        <f>B12/$M$2</f>
        <v>5000</v>
      </c>
      <c r="D12" s="39"/>
      <c r="G12" s="19" t="s">
        <v>7</v>
      </c>
    </row>
    <row r="13" spans="1:17" ht="19.5" customHeight="1" x14ac:dyDescent="0.35">
      <c r="A13" s="20" t="s">
        <v>46</v>
      </c>
      <c r="B13" s="20">
        <f>B12*80%</f>
        <v>40000</v>
      </c>
      <c r="C13" s="21">
        <f>B13/$M$2</f>
        <v>4000</v>
      </c>
      <c r="D13" s="39">
        <v>0.08</v>
      </c>
      <c r="E13" s="20">
        <v>6</v>
      </c>
      <c r="G13" s="18" t="s">
        <v>23</v>
      </c>
      <c r="H13" s="18" t="s">
        <v>4</v>
      </c>
      <c r="I13" s="18" t="s">
        <v>20</v>
      </c>
      <c r="J13" s="18" t="s">
        <v>33</v>
      </c>
      <c r="K13" s="18" t="s">
        <v>18</v>
      </c>
      <c r="L13" s="18" t="s">
        <v>57</v>
      </c>
      <c r="M13" s="21"/>
      <c r="O13" s="78" t="s">
        <v>94</v>
      </c>
      <c r="P13" s="79" t="s">
        <v>90</v>
      </c>
      <c r="Q13" s="80" t="s">
        <v>91</v>
      </c>
    </row>
    <row r="14" spans="1:17" x14ac:dyDescent="0.35">
      <c r="G14" s="20" t="s">
        <v>34</v>
      </c>
      <c r="H14" s="21">
        <v>400</v>
      </c>
      <c r="I14" s="20">
        <v>6</v>
      </c>
      <c r="J14" s="21">
        <f>H14*I14</f>
        <v>2400</v>
      </c>
      <c r="K14" s="20">
        <f>I14*M2</f>
        <v>60</v>
      </c>
      <c r="L14" s="20">
        <f>K14*H14</f>
        <v>24000</v>
      </c>
      <c r="O14" s="32" t="s">
        <v>85</v>
      </c>
      <c r="P14" s="20">
        <f>K14</f>
        <v>60</v>
      </c>
      <c r="Q14" s="23">
        <f>I14</f>
        <v>6</v>
      </c>
    </row>
    <row r="15" spans="1:17" x14ac:dyDescent="0.35">
      <c r="D15" s="18" t="s">
        <v>72</v>
      </c>
      <c r="H15" s="21"/>
      <c r="J15" s="21"/>
      <c r="O15" s="32" t="s">
        <v>86</v>
      </c>
      <c r="Q15" s="23"/>
    </row>
    <row r="16" spans="1:17" ht="22" customHeight="1" x14ac:dyDescent="0.35">
      <c r="D16" s="55">
        <f>(1+D13)/(1+M3)-1</f>
        <v>5.8823529411764719E-2</v>
      </c>
      <c r="E16" s="18"/>
      <c r="F16" s="18"/>
      <c r="G16" s="20" t="s">
        <v>39</v>
      </c>
      <c r="L16" s="169" t="s">
        <v>170</v>
      </c>
      <c r="O16" s="81" t="s">
        <v>88</v>
      </c>
      <c r="P16" s="20">
        <f>I5</f>
        <v>5</v>
      </c>
      <c r="Q16" s="23">
        <f>J5</f>
        <v>0.5</v>
      </c>
    </row>
    <row r="17" spans="1:24" ht="15" thickBot="1" x14ac:dyDescent="0.4">
      <c r="A17"/>
      <c r="B17"/>
      <c r="C17"/>
      <c r="D17"/>
      <c r="O17" s="82" t="s">
        <v>87</v>
      </c>
      <c r="Q17" s="23">
        <f>Q14-Q16</f>
        <v>5.5</v>
      </c>
    </row>
    <row r="18" spans="1:24" x14ac:dyDescent="0.35">
      <c r="A18" s="35" t="s">
        <v>38</v>
      </c>
      <c r="B18" s="8" t="s">
        <v>16</v>
      </c>
      <c r="C18" s="7"/>
      <c r="D18" s="7"/>
      <c r="E18" s="5"/>
      <c r="F18" s="5"/>
      <c r="G18" s="5"/>
      <c r="H18" s="5"/>
      <c r="I18" s="5"/>
      <c r="J18" s="5"/>
      <c r="K18" s="5"/>
      <c r="L18" s="162"/>
      <c r="M18" s="163">
        <f>O4</f>
        <v>0.12200000000000011</v>
      </c>
      <c r="O18" s="32" t="s">
        <v>89</v>
      </c>
      <c r="P18" s="20">
        <f>Q17*M2</f>
        <v>55</v>
      </c>
      <c r="Q18" s="23"/>
    </row>
    <row r="19" spans="1:24" x14ac:dyDescent="0.35">
      <c r="A19"/>
      <c r="B19" t="s">
        <v>45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/>
      <c r="J19"/>
      <c r="K19"/>
      <c r="L19" s="164" t="s">
        <v>12</v>
      </c>
      <c r="M19" s="165">
        <f>NPV(O4,B36:K36)</f>
        <v>5870.3508163126744</v>
      </c>
      <c r="O19" s="81" t="s">
        <v>28</v>
      </c>
      <c r="P19" s="20">
        <f>I4</f>
        <v>2</v>
      </c>
      <c r="Q19" s="23">
        <f>J4</f>
        <v>0.2</v>
      </c>
    </row>
    <row r="20" spans="1:24" x14ac:dyDescent="0.35">
      <c r="A20"/>
      <c r="B20" t="s">
        <v>35</v>
      </c>
      <c r="C20" t="s">
        <v>37</v>
      </c>
      <c r="D20" t="s">
        <v>37</v>
      </c>
      <c r="E20" t="s">
        <v>37</v>
      </c>
      <c r="F20" t="s">
        <v>37</v>
      </c>
      <c r="G20" t="s">
        <v>37</v>
      </c>
      <c r="H20" t="s">
        <v>37</v>
      </c>
      <c r="I20" t="s">
        <v>37</v>
      </c>
      <c r="J20" t="s">
        <v>37</v>
      </c>
      <c r="K20" t="s">
        <v>37</v>
      </c>
      <c r="L20" s="164" t="s">
        <v>56</v>
      </c>
      <c r="M20" s="166">
        <f>NPV(O5,B22:K22)/NPV(O4,B23:K23)</f>
        <v>1.1713778705624001</v>
      </c>
      <c r="O20" s="81" t="s">
        <v>29</v>
      </c>
      <c r="P20" s="20">
        <f>I6</f>
        <v>4</v>
      </c>
      <c r="Q20" s="23">
        <f>J6</f>
        <v>0.4</v>
      </c>
    </row>
    <row r="21" spans="1:24" ht="15" thickBot="1" x14ac:dyDescent="0.4">
      <c r="A21" s="3" t="s">
        <v>11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167" t="s">
        <v>13</v>
      </c>
      <c r="M21" s="168">
        <f>IRR(B36:K36)</f>
        <v>0.20734805836674863</v>
      </c>
      <c r="O21" s="81" t="s">
        <v>27</v>
      </c>
      <c r="P21" s="20">
        <f>I3</f>
        <v>2.5</v>
      </c>
      <c r="Q21" s="23">
        <f>J3</f>
        <v>0.25</v>
      </c>
    </row>
    <row r="22" spans="1:24" x14ac:dyDescent="0.35">
      <c r="A22" s="45" t="s">
        <v>60</v>
      </c>
      <c r="B22">
        <v>0</v>
      </c>
      <c r="C22">
        <f>$P$23*(1+$M$3)^C21</f>
        <v>19351.439999999999</v>
      </c>
      <c r="D22">
        <f t="shared" ref="D22:K22" si="1">$P$23*(1+$M$3)^D21</f>
        <v>19738.468799999999</v>
      </c>
      <c r="E22">
        <f t="shared" si="1"/>
        <v>20133.238175999999</v>
      </c>
      <c r="F22">
        <f t="shared" si="1"/>
        <v>20535.902939520001</v>
      </c>
      <c r="G22">
        <f t="shared" si="1"/>
        <v>20946.620998310402</v>
      </c>
      <c r="H22">
        <f t="shared" si="1"/>
        <v>21365.553418276606</v>
      </c>
      <c r="I22">
        <f t="shared" si="1"/>
        <v>21792.864486642138</v>
      </c>
      <c r="J22">
        <f t="shared" si="1"/>
        <v>22228.721776374983</v>
      </c>
      <c r="K22">
        <f t="shared" si="1"/>
        <v>22673.296211902481</v>
      </c>
      <c r="L22" s="1"/>
      <c r="M22" s="4"/>
      <c r="O22" s="82" t="s">
        <v>92</v>
      </c>
      <c r="P22" s="20">
        <f>P18-P19-P20-P21</f>
        <v>46.5</v>
      </c>
      <c r="Q22" s="23"/>
    </row>
    <row r="23" spans="1:24" ht="15" thickBot="1" x14ac:dyDescent="0.4">
      <c r="A23" s="45" t="s">
        <v>58</v>
      </c>
      <c r="B23">
        <f t="shared" ref="B23:K23" si="2">B24+B30+B31</f>
        <v>10200</v>
      </c>
      <c r="C23" s="2">
        <f t="shared" si="2"/>
        <v>17148.867758143602</v>
      </c>
      <c r="D23">
        <f t="shared" si="2"/>
        <v>17315.331758143599</v>
      </c>
      <c r="E23">
        <f t="shared" si="2"/>
        <v>17485.125038143604</v>
      </c>
      <c r="F23">
        <f t="shared" si="2"/>
        <v>17658.314183743601</v>
      </c>
      <c r="G23">
        <f t="shared" si="2"/>
        <v>17834.967112255603</v>
      </c>
      <c r="H23">
        <f t="shared" si="2"/>
        <v>18015.15309933784</v>
      </c>
      <c r="I23">
        <f t="shared" si="2"/>
        <v>9373.2750480181239</v>
      </c>
      <c r="J23">
        <f t="shared" si="2"/>
        <v>9560.7405489784869</v>
      </c>
      <c r="K23">
        <f t="shared" si="2"/>
        <v>9751.9553599580577</v>
      </c>
      <c r="L23" s="1"/>
      <c r="M23" s="4"/>
      <c r="O23" s="83" t="s">
        <v>93</v>
      </c>
      <c r="P23" s="84">
        <f>P22*H14</f>
        <v>18600</v>
      </c>
      <c r="Q23" s="34"/>
    </row>
    <row r="24" spans="1:24" x14ac:dyDescent="0.35">
      <c r="A24" s="50" t="s">
        <v>68</v>
      </c>
      <c r="B24">
        <v>0</v>
      </c>
      <c r="C24">
        <f t="shared" ref="C24:K24" si="3">($H$10*$H$14)*(1+$M$3)^C21</f>
        <v>8323.2000000000007</v>
      </c>
      <c r="D24">
        <f t="shared" si="3"/>
        <v>8489.6639999999989</v>
      </c>
      <c r="E24">
        <f t="shared" si="3"/>
        <v>8659.4572800000005</v>
      </c>
      <c r="F24">
        <f t="shared" si="3"/>
        <v>8832.6464255999999</v>
      </c>
      <c r="G24">
        <f t="shared" si="3"/>
        <v>9009.2993541120013</v>
      </c>
      <c r="H24">
        <f t="shared" si="3"/>
        <v>9189.4853411942386</v>
      </c>
      <c r="I24">
        <f t="shared" si="3"/>
        <v>9373.2750480181239</v>
      </c>
      <c r="J24">
        <f t="shared" si="3"/>
        <v>9560.7405489784869</v>
      </c>
      <c r="K24">
        <f t="shared" si="3"/>
        <v>9751.9553599580577</v>
      </c>
      <c r="L24" s="1"/>
      <c r="M24" s="4"/>
    </row>
    <row r="25" spans="1:24" x14ac:dyDescent="0.35">
      <c r="A25" s="50" t="s">
        <v>69</v>
      </c>
      <c r="B25"/>
      <c r="C25"/>
      <c r="D25"/>
      <c r="E25"/>
      <c r="F25"/>
      <c r="G25"/>
      <c r="H25"/>
      <c r="I25"/>
      <c r="J25"/>
      <c r="K25"/>
      <c r="L25" s="1"/>
      <c r="M25" s="4"/>
    </row>
    <row r="26" spans="1:24" x14ac:dyDescent="0.35">
      <c r="A26" s="47" t="s">
        <v>61</v>
      </c>
      <c r="B26" s="2">
        <f>$C$8*(1+$M$3)^B21</f>
        <v>51000</v>
      </c>
      <c r="C26"/>
      <c r="D26"/>
      <c r="E26"/>
      <c r="F26"/>
      <c r="G26"/>
      <c r="H26"/>
      <c r="I26"/>
      <c r="J26"/>
      <c r="K26"/>
      <c r="L26" s="1"/>
      <c r="M26" s="4"/>
    </row>
    <row r="27" spans="1:24" x14ac:dyDescent="0.35">
      <c r="A27" s="47" t="s">
        <v>62</v>
      </c>
      <c r="B27">
        <f>$B$13*(1+$M$3)^B21</f>
        <v>40800</v>
      </c>
      <c r="C27"/>
      <c r="D27"/>
      <c r="E27"/>
      <c r="F27"/>
      <c r="G27"/>
      <c r="H27"/>
      <c r="I27"/>
      <c r="J27"/>
      <c r="K27"/>
      <c r="L27" s="1"/>
      <c r="M27" s="4"/>
    </row>
    <row r="28" spans="1:24" x14ac:dyDescent="0.35">
      <c r="A28" s="47" t="s">
        <v>63</v>
      </c>
      <c r="B28">
        <v>0</v>
      </c>
      <c r="C28" s="49">
        <f t="shared" ref="C28:H28" si="4">PPMT($D$13, B21, $E$13,-$B$27)</f>
        <v>5561.6677581436015</v>
      </c>
      <c r="D28" s="49">
        <f t="shared" si="4"/>
        <v>6006.6011787950893</v>
      </c>
      <c r="E28" s="49">
        <f t="shared" si="4"/>
        <v>6487.1292730986961</v>
      </c>
      <c r="F28" s="49">
        <f t="shared" si="4"/>
        <v>7006.0996149465918</v>
      </c>
      <c r="G28" s="49">
        <f t="shared" si="4"/>
        <v>7566.5875841423194</v>
      </c>
      <c r="H28" s="49">
        <f t="shared" si="4"/>
        <v>8171.9145908737055</v>
      </c>
      <c r="I28">
        <v>0</v>
      </c>
      <c r="J28">
        <v>0</v>
      </c>
      <c r="K28">
        <v>0</v>
      </c>
      <c r="L28" s="1"/>
      <c r="M28" s="4"/>
    </row>
    <row r="29" spans="1:24" x14ac:dyDescent="0.35">
      <c r="A29" s="47" t="s">
        <v>64</v>
      </c>
      <c r="B29">
        <v>0</v>
      </c>
      <c r="C29" s="6">
        <f t="shared" ref="C29:H29" si="5">IPMT($D$13,B21,$E$13,-$B$27)</f>
        <v>3264</v>
      </c>
      <c r="D29" s="6">
        <f t="shared" si="5"/>
        <v>2819.0665793485127</v>
      </c>
      <c r="E29" s="6">
        <f t="shared" si="5"/>
        <v>2338.538485044905</v>
      </c>
      <c r="F29" s="6">
        <f t="shared" si="5"/>
        <v>1819.5681431970095</v>
      </c>
      <c r="G29" s="6">
        <f t="shared" si="5"/>
        <v>1259.0801740012819</v>
      </c>
      <c r="H29" s="6">
        <f t="shared" si="5"/>
        <v>653.75316726989638</v>
      </c>
      <c r="I29">
        <v>0</v>
      </c>
      <c r="J29">
        <v>0</v>
      </c>
      <c r="K29">
        <v>0</v>
      </c>
      <c r="L29" s="1"/>
      <c r="M29" s="4"/>
    </row>
    <row r="30" spans="1:24" x14ac:dyDescent="0.35">
      <c r="A30" s="46" t="s">
        <v>65</v>
      </c>
      <c r="B30">
        <f>SUM(B28:B29)</f>
        <v>0</v>
      </c>
      <c r="C30" s="49">
        <f>SUM(C28:C29)</f>
        <v>8825.6677581436015</v>
      </c>
      <c r="D30">
        <f t="shared" ref="D30:K30" si="6">SUM(D28:D29)</f>
        <v>8825.6677581436015</v>
      </c>
      <c r="E30">
        <f t="shared" si="6"/>
        <v>8825.6677581436015</v>
      </c>
      <c r="F30">
        <f t="shared" si="6"/>
        <v>8825.6677581436015</v>
      </c>
      <c r="G30">
        <f t="shared" si="6"/>
        <v>8825.6677581436015</v>
      </c>
      <c r="H30">
        <f t="shared" si="6"/>
        <v>8825.6677581436015</v>
      </c>
      <c r="I30">
        <f t="shared" si="6"/>
        <v>0</v>
      </c>
      <c r="J30">
        <f t="shared" si="6"/>
        <v>0</v>
      </c>
      <c r="K30">
        <f t="shared" si="6"/>
        <v>0</v>
      </c>
      <c r="L30" s="1"/>
      <c r="M30" s="4"/>
    </row>
    <row r="31" spans="1:24" x14ac:dyDescent="0.35">
      <c r="A31" s="46" t="s">
        <v>66</v>
      </c>
      <c r="B31">
        <f>B26*20%</f>
        <v>10200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"/>
      <c r="M31" s="4"/>
      <c r="N31" s="50"/>
      <c r="O31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5">
      <c r="A32" s="160" t="s">
        <v>67</v>
      </c>
      <c r="B32" s="17">
        <v>0</v>
      </c>
      <c r="C32" s="17">
        <f>($H$14*$I$6)*(1+$M$3)^C21</f>
        <v>1664.6399999999999</v>
      </c>
      <c r="D32" s="17">
        <f t="shared" ref="D32:K32" si="7">($H$14*$I$6)*(1+$M$3)^D21</f>
        <v>1697.9327999999998</v>
      </c>
      <c r="E32" s="17">
        <f t="shared" si="7"/>
        <v>1731.8914560000001</v>
      </c>
      <c r="F32" s="17">
        <f t="shared" si="7"/>
        <v>1766.5292851199999</v>
      </c>
      <c r="G32" s="17">
        <f t="shared" si="7"/>
        <v>1801.8598708224001</v>
      </c>
      <c r="H32" s="17">
        <f t="shared" si="7"/>
        <v>1837.8970682388476</v>
      </c>
      <c r="I32" s="17">
        <f t="shared" si="7"/>
        <v>1874.6550096036249</v>
      </c>
      <c r="J32" s="17">
        <f t="shared" si="7"/>
        <v>1912.1481097956973</v>
      </c>
      <c r="K32" s="17">
        <f t="shared" si="7"/>
        <v>1950.3910719916114</v>
      </c>
      <c r="L32" s="161"/>
      <c r="M32" s="4"/>
    </row>
    <row r="33" spans="1:13" x14ac:dyDescent="0.35">
      <c r="A33" s="3"/>
      <c r="B33" s="2"/>
      <c r="C33"/>
      <c r="D33"/>
      <c r="E33"/>
      <c r="F33"/>
      <c r="G33"/>
      <c r="H33"/>
      <c r="I33"/>
      <c r="J33"/>
      <c r="K33"/>
      <c r="L33" s="1"/>
      <c r="M33" s="4"/>
    </row>
    <row r="34" spans="1:13" x14ac:dyDescent="0.35">
      <c r="A34" s="1" t="s">
        <v>70</v>
      </c>
      <c r="B34">
        <f t="shared" ref="B34:K34" si="8">B22-B23</f>
        <v>-10200</v>
      </c>
      <c r="C34">
        <f t="shared" si="8"/>
        <v>2202.5722418563964</v>
      </c>
      <c r="D34">
        <f t="shared" si="8"/>
        <v>2423.1370418564002</v>
      </c>
      <c r="E34">
        <f t="shared" si="8"/>
        <v>2648.113137856395</v>
      </c>
      <c r="F34">
        <f t="shared" si="8"/>
        <v>2877.5887557763999</v>
      </c>
      <c r="G34">
        <f t="shared" si="8"/>
        <v>3111.6538860547989</v>
      </c>
      <c r="H34">
        <f t="shared" si="8"/>
        <v>3350.4003189387658</v>
      </c>
      <c r="I34">
        <f t="shared" si="8"/>
        <v>12419.589438624014</v>
      </c>
      <c r="J34">
        <f t="shared" si="8"/>
        <v>12667.981227396496</v>
      </c>
      <c r="K34">
        <f t="shared" si="8"/>
        <v>12921.340851944424</v>
      </c>
      <c r="L34" s="1"/>
      <c r="M34" s="4"/>
    </row>
    <row r="35" spans="1:13" ht="16.5" customHeight="1" x14ac:dyDescent="0.35">
      <c r="L35" s="1"/>
      <c r="M35" s="4"/>
    </row>
    <row r="36" spans="1:13" ht="15" thickBot="1" x14ac:dyDescent="0.4">
      <c r="A36" s="51" t="s">
        <v>15</v>
      </c>
      <c r="B36" s="52">
        <f t="shared" ref="B36:K36" si="9">B34-B32</f>
        <v>-10200</v>
      </c>
      <c r="C36" s="52">
        <f t="shared" si="9"/>
        <v>537.93224185639656</v>
      </c>
      <c r="D36" s="52">
        <f t="shared" si="9"/>
        <v>725.20424185640036</v>
      </c>
      <c r="E36" s="52">
        <f t="shared" si="9"/>
        <v>916.22168185639498</v>
      </c>
      <c r="F36" s="52">
        <f t="shared" si="9"/>
        <v>1111.0594706564</v>
      </c>
      <c r="G36" s="52">
        <f t="shared" si="9"/>
        <v>1309.7940152323988</v>
      </c>
      <c r="H36" s="52">
        <f t="shared" si="9"/>
        <v>1512.5032506999182</v>
      </c>
      <c r="I36" s="52">
        <f t="shared" si="9"/>
        <v>10544.93442902039</v>
      </c>
      <c r="J36" s="52">
        <f t="shared" si="9"/>
        <v>10755.8331176008</v>
      </c>
      <c r="K36" s="52">
        <f t="shared" si="9"/>
        <v>10970.949779952813</v>
      </c>
      <c r="L36" s="1"/>
      <c r="M36" s="4"/>
    </row>
    <row r="37" spans="1:13" x14ac:dyDescent="0.35">
      <c r="A37" s="1"/>
      <c r="B37"/>
      <c r="C37"/>
      <c r="D37"/>
      <c r="E37"/>
      <c r="F37"/>
      <c r="G37"/>
      <c r="H37"/>
      <c r="I37"/>
      <c r="J37"/>
      <c r="K37"/>
      <c r="L37" s="162"/>
      <c r="M37" s="163">
        <v>0.1</v>
      </c>
    </row>
    <row r="38" spans="1:13" x14ac:dyDescent="0.35">
      <c r="A38" s="53" t="s">
        <v>71</v>
      </c>
      <c r="B38" s="8" t="s">
        <v>16</v>
      </c>
      <c r="C38" s="54"/>
      <c r="D38" s="54"/>
      <c r="E38"/>
      <c r="F38"/>
      <c r="G38"/>
      <c r="H38"/>
      <c r="I38"/>
      <c r="J38"/>
      <c r="K38"/>
      <c r="L38" s="164" t="s">
        <v>12</v>
      </c>
      <c r="M38" s="165">
        <f>NPV(M37,B54:K54)</f>
        <v>5870.3508163126744</v>
      </c>
    </row>
    <row r="39" spans="1:13" x14ac:dyDescent="0.35">
      <c r="A39" s="3" t="s">
        <v>11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 s="164" t="s">
        <v>56</v>
      </c>
      <c r="M39" s="166">
        <f>NPV(M37,B40:K40)/NPV(M37,B41:K41)</f>
        <v>1.1713778705624003</v>
      </c>
    </row>
    <row r="40" spans="1:13" ht="15" thickBot="1" x14ac:dyDescent="0.4">
      <c r="A40" s="45" t="s">
        <v>60</v>
      </c>
      <c r="B40">
        <v>0</v>
      </c>
      <c r="C40">
        <f t="shared" ref="C40:K40" si="10">C22/(1+$M$3)^C21</f>
        <v>18600</v>
      </c>
      <c r="D40">
        <f t="shared" si="10"/>
        <v>18600</v>
      </c>
      <c r="E40">
        <f t="shared" si="10"/>
        <v>18600</v>
      </c>
      <c r="F40">
        <f t="shared" si="10"/>
        <v>18600</v>
      </c>
      <c r="G40">
        <f t="shared" si="10"/>
        <v>18600</v>
      </c>
      <c r="H40">
        <f t="shared" si="10"/>
        <v>18600</v>
      </c>
      <c r="I40">
        <f t="shared" si="10"/>
        <v>18600</v>
      </c>
      <c r="J40">
        <f t="shared" si="10"/>
        <v>18600</v>
      </c>
      <c r="K40">
        <f t="shared" si="10"/>
        <v>18600</v>
      </c>
      <c r="L40" s="167" t="s">
        <v>13</v>
      </c>
      <c r="M40" s="168">
        <f>IRR(B54:K54)</f>
        <v>0.18367456702688689</v>
      </c>
    </row>
    <row r="41" spans="1:13" x14ac:dyDescent="0.35">
      <c r="A41" s="45" t="s">
        <v>58</v>
      </c>
      <c r="B41">
        <f t="shared" ref="B41:K41" si="11">B42+B48+B49</f>
        <v>10000</v>
      </c>
      <c r="C41" s="2">
        <f t="shared" si="11"/>
        <v>16482.956322706268</v>
      </c>
      <c r="D41" s="2">
        <f t="shared" si="11"/>
        <v>16316.623845790458</v>
      </c>
      <c r="E41" s="2">
        <f t="shared" si="11"/>
        <v>16153.552789990646</v>
      </c>
      <c r="F41" s="2">
        <f t="shared" si="11"/>
        <v>15993.679205873183</v>
      </c>
      <c r="G41" s="2">
        <f t="shared" si="11"/>
        <v>15836.940397914885</v>
      </c>
      <c r="H41" s="2">
        <f t="shared" si="11"/>
        <v>15683.274899916556</v>
      </c>
      <c r="I41" s="2">
        <f t="shared" si="11"/>
        <v>8000</v>
      </c>
      <c r="J41" s="2">
        <f t="shared" si="11"/>
        <v>8000</v>
      </c>
      <c r="K41">
        <f t="shared" si="11"/>
        <v>8000.0000000000009</v>
      </c>
    </row>
    <row r="42" spans="1:13" x14ac:dyDescent="0.35">
      <c r="A42" s="50" t="s">
        <v>68</v>
      </c>
      <c r="B42">
        <v>0</v>
      </c>
      <c r="C42">
        <f t="shared" ref="C42:K42" si="12">C24/(1+$M$3)^C39</f>
        <v>8000.0000000000009</v>
      </c>
      <c r="D42">
        <f t="shared" si="12"/>
        <v>7999.9999999999991</v>
      </c>
      <c r="E42">
        <f t="shared" si="12"/>
        <v>8000.0000000000009</v>
      </c>
      <c r="F42">
        <f t="shared" si="12"/>
        <v>8000</v>
      </c>
      <c r="G42">
        <f t="shared" si="12"/>
        <v>8000.0000000000009</v>
      </c>
      <c r="H42">
        <f t="shared" si="12"/>
        <v>8000</v>
      </c>
      <c r="I42">
        <f t="shared" si="12"/>
        <v>8000</v>
      </c>
      <c r="J42">
        <f t="shared" si="12"/>
        <v>8000</v>
      </c>
      <c r="K42">
        <f t="shared" si="12"/>
        <v>8000.0000000000009</v>
      </c>
    </row>
    <row r="43" spans="1:13" x14ac:dyDescent="0.35">
      <c r="A43" s="50" t="s">
        <v>69</v>
      </c>
      <c r="B43"/>
      <c r="C43"/>
      <c r="D43"/>
      <c r="E43"/>
      <c r="F43"/>
      <c r="G43"/>
      <c r="H43"/>
      <c r="I43"/>
      <c r="J43"/>
      <c r="K43"/>
    </row>
    <row r="44" spans="1:13" x14ac:dyDescent="0.35">
      <c r="A44" s="47" t="s">
        <v>61</v>
      </c>
      <c r="B44" s="2">
        <f>B26/(1+$M$3)^B39</f>
        <v>50000</v>
      </c>
      <c r="C44"/>
      <c r="D44"/>
      <c r="E44"/>
      <c r="F44"/>
      <c r="G44"/>
      <c r="H44"/>
      <c r="I44"/>
      <c r="J44"/>
      <c r="K44"/>
    </row>
    <row r="45" spans="1:13" x14ac:dyDescent="0.35">
      <c r="A45" s="47" t="s">
        <v>62</v>
      </c>
      <c r="B45">
        <f>B27/(1+$M$3)^B39</f>
        <v>40000</v>
      </c>
      <c r="C45"/>
      <c r="D45"/>
      <c r="E45"/>
      <c r="F45"/>
      <c r="G45"/>
      <c r="H45"/>
      <c r="I45"/>
      <c r="J45"/>
      <c r="K45"/>
    </row>
    <row r="46" spans="1:13" x14ac:dyDescent="0.35">
      <c r="A46" s="47" t="s">
        <v>63</v>
      </c>
      <c r="B46">
        <v>0</v>
      </c>
      <c r="C46" s="49">
        <f t="shared" ref="C46:K46" si="13">C28/(1+$M$3)^C39</f>
        <v>5345.701420745484</v>
      </c>
      <c r="D46" s="49">
        <f t="shared" si="13"/>
        <v>5660.1544454952182</v>
      </c>
      <c r="E46" s="49">
        <f t="shared" si="13"/>
        <v>5993.1047069949364</v>
      </c>
      <c r="F46" s="49">
        <f t="shared" si="13"/>
        <v>6345.6402779946384</v>
      </c>
      <c r="G46" s="49">
        <f t="shared" si="13"/>
        <v>6718.9132355237343</v>
      </c>
      <c r="H46" s="49">
        <f t="shared" si="13"/>
        <v>7114.1434258486624</v>
      </c>
      <c r="I46" s="49">
        <f t="shared" si="13"/>
        <v>0</v>
      </c>
      <c r="J46" s="49">
        <f t="shared" si="13"/>
        <v>0</v>
      </c>
      <c r="K46" s="49">
        <f t="shared" si="13"/>
        <v>0</v>
      </c>
    </row>
    <row r="47" spans="1:13" x14ac:dyDescent="0.35">
      <c r="A47" s="47" t="s">
        <v>64</v>
      </c>
      <c r="B47">
        <v>0</v>
      </c>
      <c r="C47" s="6">
        <f t="shared" ref="C47:K47" si="14">C29/(1+$M$3)^C39</f>
        <v>3137.2549019607845</v>
      </c>
      <c r="D47" s="6">
        <f t="shared" si="14"/>
        <v>2656.4694002952419</v>
      </c>
      <c r="E47" s="6">
        <f t="shared" si="14"/>
        <v>2160.4480829957092</v>
      </c>
      <c r="F47" s="6">
        <f t="shared" si="14"/>
        <v>1648.0389278785437</v>
      </c>
      <c r="G47" s="6">
        <f t="shared" si="14"/>
        <v>1118.0271623911494</v>
      </c>
      <c r="H47" s="6">
        <f t="shared" si="14"/>
        <v>569.1314740678929</v>
      </c>
      <c r="I47" s="6">
        <f t="shared" si="14"/>
        <v>0</v>
      </c>
      <c r="J47" s="6">
        <f t="shared" si="14"/>
        <v>0</v>
      </c>
      <c r="K47" s="6">
        <f t="shared" si="14"/>
        <v>0</v>
      </c>
    </row>
    <row r="48" spans="1:13" x14ac:dyDescent="0.35">
      <c r="A48" s="46" t="s">
        <v>65</v>
      </c>
      <c r="B48">
        <f>SUM(B46:B47)</f>
        <v>0</v>
      </c>
      <c r="C48" s="49">
        <f>SUM(C46:C47)</f>
        <v>8482.9563227062681</v>
      </c>
      <c r="D48">
        <f t="shared" ref="D48" si="15">SUM(D46:D47)</f>
        <v>8316.6238457904601</v>
      </c>
      <c r="E48">
        <f t="shared" ref="E48" si="16">SUM(E46:E47)</f>
        <v>8153.5527899906456</v>
      </c>
      <c r="F48" s="49">
        <f>SUM(F46:F47)</f>
        <v>7993.6792058731826</v>
      </c>
      <c r="G48" s="49">
        <f>SUM(G46:G47)</f>
        <v>7836.9403979148838</v>
      </c>
      <c r="H48">
        <f t="shared" ref="H48" si="17">SUM(H46:H47)</f>
        <v>7683.2748999165551</v>
      </c>
      <c r="I48">
        <f t="shared" ref="I48" si="18">SUM(I46:I47)</f>
        <v>0</v>
      </c>
      <c r="J48">
        <f t="shared" ref="J48" si="19">SUM(J46:J47)</f>
        <v>0</v>
      </c>
      <c r="K48">
        <f t="shared" ref="K48" si="20">SUM(K46:K47)</f>
        <v>0</v>
      </c>
    </row>
    <row r="49" spans="1:17" x14ac:dyDescent="0.35">
      <c r="A49" s="46" t="s">
        <v>66</v>
      </c>
      <c r="B49">
        <f>B31/(1+$M$3)^B39</f>
        <v>10000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7" x14ac:dyDescent="0.35">
      <c r="A50" s="48" t="s">
        <v>67</v>
      </c>
      <c r="B50">
        <v>0</v>
      </c>
      <c r="C50">
        <f t="shared" ref="C50:K50" si="21">C32/(1+$M$3)^C39</f>
        <v>1600</v>
      </c>
      <c r="D50">
        <f t="shared" si="21"/>
        <v>1600</v>
      </c>
      <c r="E50">
        <f t="shared" si="21"/>
        <v>1600</v>
      </c>
      <c r="F50">
        <f t="shared" si="21"/>
        <v>1600</v>
      </c>
      <c r="G50">
        <f t="shared" si="21"/>
        <v>1600</v>
      </c>
      <c r="H50">
        <f t="shared" si="21"/>
        <v>1600</v>
      </c>
      <c r="I50">
        <f t="shared" si="21"/>
        <v>1600</v>
      </c>
      <c r="J50">
        <f t="shared" si="21"/>
        <v>1600</v>
      </c>
      <c r="K50">
        <f t="shared" si="21"/>
        <v>1600</v>
      </c>
    </row>
    <row r="51" spans="1:17" x14ac:dyDescent="0.35">
      <c r="A51" s="3"/>
      <c r="B51" s="2"/>
      <c r="C51"/>
      <c r="D51"/>
      <c r="E51"/>
      <c r="F51"/>
      <c r="G51"/>
      <c r="H51"/>
      <c r="I51"/>
      <c r="J51"/>
      <c r="K51"/>
    </row>
    <row r="52" spans="1:17" x14ac:dyDescent="0.35">
      <c r="A52" s="1" t="s">
        <v>70</v>
      </c>
      <c r="B52">
        <f t="shared" ref="B52:K52" si="22">B40-B41</f>
        <v>-10000</v>
      </c>
      <c r="C52" s="2">
        <f t="shared" si="22"/>
        <v>2117.0436772937319</v>
      </c>
      <c r="D52" s="2">
        <f t="shared" si="22"/>
        <v>2283.3761542095417</v>
      </c>
      <c r="E52">
        <f t="shared" si="22"/>
        <v>2446.4472100093535</v>
      </c>
      <c r="F52">
        <f t="shared" si="22"/>
        <v>2606.3207941268174</v>
      </c>
      <c r="G52">
        <f t="shared" si="22"/>
        <v>2763.0596020851153</v>
      </c>
      <c r="H52">
        <f t="shared" si="22"/>
        <v>2916.725100083444</v>
      </c>
      <c r="I52">
        <f t="shared" si="22"/>
        <v>10600</v>
      </c>
      <c r="J52">
        <f t="shared" si="22"/>
        <v>10600</v>
      </c>
      <c r="K52">
        <f t="shared" si="22"/>
        <v>10600</v>
      </c>
      <c r="N52"/>
      <c r="O52"/>
      <c r="P52"/>
      <c r="Q52"/>
    </row>
    <row r="54" spans="1:17" x14ac:dyDescent="0.35">
      <c r="A54" s="51" t="s">
        <v>15</v>
      </c>
      <c r="B54" s="52">
        <f t="shared" ref="B54:K54" si="23">B52-B50</f>
        <v>-10000</v>
      </c>
      <c r="C54" s="52">
        <f t="shared" si="23"/>
        <v>517.04367729373189</v>
      </c>
      <c r="D54" s="56">
        <f t="shared" si="23"/>
        <v>683.37615420954171</v>
      </c>
      <c r="E54" s="52">
        <f t="shared" si="23"/>
        <v>846.44721000935351</v>
      </c>
      <c r="F54" s="52">
        <f t="shared" si="23"/>
        <v>1006.3207941268174</v>
      </c>
      <c r="G54" s="52">
        <f t="shared" si="23"/>
        <v>1163.0596020851153</v>
      </c>
      <c r="H54" s="52">
        <f t="shared" si="23"/>
        <v>1316.725100083444</v>
      </c>
      <c r="I54" s="52">
        <f t="shared" si="23"/>
        <v>9000</v>
      </c>
      <c r="J54" s="52">
        <f t="shared" si="23"/>
        <v>9000</v>
      </c>
      <c r="K54" s="52">
        <f t="shared" si="23"/>
        <v>9000</v>
      </c>
    </row>
    <row r="55" spans="1:17" x14ac:dyDescent="0.35">
      <c r="B55"/>
      <c r="C55"/>
      <c r="D55"/>
      <c r="E55"/>
      <c r="F55"/>
      <c r="G55"/>
      <c r="I55"/>
      <c r="L55"/>
    </row>
    <row r="56" spans="1:17" x14ac:dyDescent="0.35">
      <c r="N56"/>
      <c r="O56"/>
    </row>
    <row r="62" spans="1:17" x14ac:dyDescent="0.35">
      <c r="M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32C-4A65-4FC2-BE35-F9DA62EB6B4E}">
  <dimension ref="A1:U60"/>
  <sheetViews>
    <sheetView topLeftCell="C4" zoomScale="90" zoomScaleNormal="90" workbookViewId="0">
      <selection activeCell="R19" sqref="R19"/>
    </sheetView>
  </sheetViews>
  <sheetFormatPr defaultRowHeight="14.5" x14ac:dyDescent="0.35"/>
  <cols>
    <col min="4" max="4" width="14.08984375" customWidth="1"/>
    <col min="5" max="5" width="12.36328125" customWidth="1"/>
    <col min="12" max="12" width="11.453125" customWidth="1"/>
    <col min="13" max="13" width="10.36328125" customWidth="1"/>
  </cols>
  <sheetData>
    <row r="1" spans="1:21" x14ac:dyDescent="0.35">
      <c r="A1" s="19" t="s">
        <v>2</v>
      </c>
      <c r="B1" s="20"/>
      <c r="C1" s="20"/>
      <c r="D1" s="20"/>
      <c r="E1" s="20"/>
      <c r="F1" s="36" t="s">
        <v>17</v>
      </c>
      <c r="G1" s="24"/>
      <c r="H1" s="20"/>
      <c r="I1" s="19" t="s">
        <v>30</v>
      </c>
      <c r="J1" s="20"/>
      <c r="K1" s="20" t="s">
        <v>31</v>
      </c>
      <c r="L1" s="20"/>
      <c r="M1" s="20"/>
      <c r="N1" s="36" t="s">
        <v>17</v>
      </c>
      <c r="O1" s="24"/>
      <c r="P1" s="20"/>
      <c r="Q1" s="20"/>
      <c r="R1" s="26" t="s">
        <v>14</v>
      </c>
      <c r="S1" s="27"/>
      <c r="U1" s="20" t="s">
        <v>73</v>
      </c>
    </row>
    <row r="2" spans="1:21" x14ac:dyDescent="0.35">
      <c r="A2" s="18" t="s">
        <v>23</v>
      </c>
      <c r="B2" s="18" t="s">
        <v>4</v>
      </c>
      <c r="C2" s="18" t="s">
        <v>19</v>
      </c>
      <c r="D2" s="18" t="s">
        <v>21</v>
      </c>
      <c r="E2" s="18"/>
      <c r="F2" s="28" t="s">
        <v>19</v>
      </c>
      <c r="G2" s="63"/>
      <c r="H2" s="18"/>
      <c r="I2" s="18" t="s">
        <v>23</v>
      </c>
      <c r="J2" s="18" t="s">
        <v>55</v>
      </c>
      <c r="K2" s="18" t="s">
        <v>19</v>
      </c>
      <c r="L2" s="18" t="s">
        <v>21</v>
      </c>
      <c r="M2" s="18"/>
      <c r="N2" s="28" t="s">
        <v>19</v>
      </c>
      <c r="O2" s="63"/>
      <c r="P2" s="18"/>
      <c r="Q2" s="18"/>
      <c r="R2" s="28" t="s">
        <v>41</v>
      </c>
      <c r="S2" s="23">
        <v>10</v>
      </c>
      <c r="U2" s="20">
        <f>(1+S2)*(1+$S$3)-1</f>
        <v>10.220000000000001</v>
      </c>
    </row>
    <row r="3" spans="1:21" x14ac:dyDescent="0.35">
      <c r="A3" s="18" t="s">
        <v>22</v>
      </c>
      <c r="B3" s="20"/>
      <c r="C3" s="20"/>
      <c r="D3" s="20"/>
      <c r="E3" s="20"/>
      <c r="F3" s="32"/>
      <c r="G3" s="23"/>
      <c r="H3" s="20"/>
      <c r="I3" s="20" t="s">
        <v>27</v>
      </c>
      <c r="J3" s="21">
        <f>$J$14</f>
        <v>400</v>
      </c>
      <c r="K3" s="20">
        <v>2.5</v>
      </c>
      <c r="L3" s="20">
        <f>K3/S2</f>
        <v>0.25</v>
      </c>
      <c r="M3" s="74" t="s">
        <v>78</v>
      </c>
      <c r="N3" s="76">
        <f>K3</f>
        <v>2.5</v>
      </c>
      <c r="O3" s="23"/>
      <c r="P3" s="20"/>
      <c r="Q3" s="20"/>
      <c r="R3" s="28" t="s">
        <v>48</v>
      </c>
      <c r="S3" s="29">
        <v>0.02</v>
      </c>
      <c r="U3" s="20"/>
    </row>
    <row r="4" spans="1:21" x14ac:dyDescent="0.35">
      <c r="A4" s="20" t="s">
        <v>42</v>
      </c>
      <c r="B4" s="20">
        <v>1</v>
      </c>
      <c r="C4" s="21">
        <f>SUM(C5:C7)</f>
        <v>50000</v>
      </c>
      <c r="D4" s="21">
        <f>C4/$S$2</f>
        <v>5000</v>
      </c>
      <c r="E4" s="21"/>
      <c r="F4" s="64"/>
      <c r="G4" s="65"/>
      <c r="H4" s="21"/>
      <c r="I4" s="20" t="s">
        <v>28</v>
      </c>
      <c r="J4" s="21">
        <f t="shared" ref="J4:J6" si="0">$J$14</f>
        <v>400</v>
      </c>
      <c r="K4" s="20">
        <v>2</v>
      </c>
      <c r="L4" s="20">
        <f>K4/S2</f>
        <v>0.2</v>
      </c>
      <c r="M4" s="74" t="s">
        <v>78</v>
      </c>
      <c r="N4" s="32">
        <f>K4</f>
        <v>2</v>
      </c>
      <c r="O4" s="65"/>
      <c r="P4" s="21"/>
      <c r="Q4" s="21"/>
      <c r="R4" s="28" t="s">
        <v>49</v>
      </c>
      <c r="S4" s="29">
        <v>0.1</v>
      </c>
      <c r="U4" s="58">
        <f>(1+S4)*(1+$S$3)-1</f>
        <v>0.12200000000000011</v>
      </c>
    </row>
    <row r="5" spans="1:21" ht="15" thickBot="1" x14ac:dyDescent="0.4">
      <c r="A5" s="20" t="s">
        <v>24</v>
      </c>
      <c r="B5" s="20">
        <v>1</v>
      </c>
      <c r="C5" s="21">
        <v>20000</v>
      </c>
      <c r="D5" s="21">
        <f>C5/$S$2</f>
        <v>2000</v>
      </c>
      <c r="E5" s="21"/>
      <c r="F5" s="64">
        <f>C5*S10</f>
        <v>23000</v>
      </c>
      <c r="G5" s="65"/>
      <c r="H5" s="21"/>
      <c r="I5" s="20" t="s">
        <v>40</v>
      </c>
      <c r="J5" s="21">
        <f t="shared" si="0"/>
        <v>400</v>
      </c>
      <c r="K5" s="20">
        <f>L5*S2</f>
        <v>5</v>
      </c>
      <c r="L5" s="20">
        <v>0.5</v>
      </c>
      <c r="M5" s="21"/>
      <c r="N5" s="64">
        <f>K5*S10</f>
        <v>5.75</v>
      </c>
      <c r="O5" s="65"/>
      <c r="P5" s="21"/>
      <c r="Q5" s="21"/>
      <c r="R5" s="30" t="s">
        <v>50</v>
      </c>
      <c r="S5" s="31">
        <v>0.1</v>
      </c>
      <c r="U5" s="58">
        <f>(1+S5)*(1+$S$3)-1</f>
        <v>0.12200000000000011</v>
      </c>
    </row>
    <row r="6" spans="1:21" x14ac:dyDescent="0.35">
      <c r="A6" s="20" t="s">
        <v>25</v>
      </c>
      <c r="B6" s="20">
        <v>1</v>
      </c>
      <c r="C6" s="21">
        <v>15000</v>
      </c>
      <c r="D6" s="21">
        <f>C6/$S$2</f>
        <v>1500</v>
      </c>
      <c r="E6" s="21"/>
      <c r="F6" s="64">
        <f>C6*S11</f>
        <v>11250</v>
      </c>
      <c r="G6" s="65"/>
      <c r="H6" s="21"/>
      <c r="I6" s="20" t="s">
        <v>29</v>
      </c>
      <c r="J6" s="21">
        <f t="shared" si="0"/>
        <v>400</v>
      </c>
      <c r="K6" s="20">
        <v>4</v>
      </c>
      <c r="L6" s="20">
        <f>K6/S2</f>
        <v>0.4</v>
      </c>
      <c r="M6" s="21"/>
      <c r="N6" s="64"/>
      <c r="O6" s="65"/>
      <c r="P6" s="21"/>
      <c r="Q6" s="21"/>
      <c r="R6" s="21"/>
      <c r="S6" s="21"/>
    </row>
    <row r="7" spans="1:21" ht="15" thickBot="1" x14ac:dyDescent="0.4">
      <c r="A7" s="20" t="s">
        <v>26</v>
      </c>
      <c r="B7" s="20">
        <v>1</v>
      </c>
      <c r="C7" s="21">
        <v>15000</v>
      </c>
      <c r="D7" s="21">
        <f>C7/$S$2</f>
        <v>1500</v>
      </c>
      <c r="E7" s="74" t="s">
        <v>78</v>
      </c>
      <c r="F7" s="75">
        <f>C7</f>
        <v>15000</v>
      </c>
      <c r="G7" s="65"/>
      <c r="H7" s="21"/>
      <c r="I7" s="18" t="s">
        <v>3</v>
      </c>
      <c r="J7" s="20"/>
      <c r="K7" s="21">
        <f>J6*SUM(K3:K6)</f>
        <v>5400</v>
      </c>
      <c r="L7" s="20"/>
      <c r="M7" s="20"/>
      <c r="N7" s="64">
        <f>SUM(N3:N5)*400</f>
        <v>4100</v>
      </c>
      <c r="O7" s="65"/>
      <c r="P7" s="20"/>
      <c r="Q7" s="20"/>
      <c r="R7" s="20"/>
      <c r="S7" s="20"/>
    </row>
    <row r="8" spans="1:21" ht="15" thickBot="1" x14ac:dyDescent="0.4">
      <c r="A8" s="18" t="s">
        <v>3</v>
      </c>
      <c r="B8" s="20"/>
      <c r="C8" s="25">
        <f>SUM(C5:C7)</f>
        <v>50000</v>
      </c>
      <c r="D8" s="25">
        <f>SUM(D5:D7)</f>
        <v>5000</v>
      </c>
      <c r="E8" s="25"/>
      <c r="F8" s="66">
        <f>SUM(F5:F7)</f>
        <v>49250</v>
      </c>
      <c r="G8" s="67"/>
      <c r="H8" s="25"/>
      <c r="I8" s="21"/>
      <c r="J8" s="21"/>
      <c r="K8" s="21"/>
      <c r="L8" s="71" t="s">
        <v>17</v>
      </c>
      <c r="M8" s="20"/>
      <c r="N8" s="69"/>
      <c r="O8" s="70"/>
      <c r="P8" s="21"/>
      <c r="Q8" s="21"/>
      <c r="R8" s="36" t="s">
        <v>17</v>
      </c>
      <c r="S8" s="24"/>
    </row>
    <row r="9" spans="1:21" x14ac:dyDescent="0.35">
      <c r="A9" s="18"/>
      <c r="B9" s="20"/>
      <c r="C9" s="20"/>
      <c r="D9" s="21"/>
      <c r="E9" s="21"/>
      <c r="F9" s="64"/>
      <c r="G9" s="65"/>
      <c r="H9" s="21"/>
      <c r="I9" s="19" t="s">
        <v>6</v>
      </c>
      <c r="J9" s="18" t="s">
        <v>19</v>
      </c>
      <c r="K9" s="18" t="s">
        <v>21</v>
      </c>
      <c r="L9" s="72" t="s">
        <v>19</v>
      </c>
      <c r="M9" s="20"/>
      <c r="N9" s="21"/>
      <c r="O9" s="21"/>
      <c r="P9" s="20"/>
      <c r="Q9" s="20"/>
      <c r="R9" s="22" t="s">
        <v>52</v>
      </c>
      <c r="S9" s="23"/>
    </row>
    <row r="10" spans="1:21" ht="15" thickBot="1" x14ac:dyDescent="0.4">
      <c r="A10" s="19" t="s">
        <v>9</v>
      </c>
      <c r="B10" s="37"/>
      <c r="C10" s="38"/>
      <c r="D10" s="20"/>
      <c r="E10" s="20"/>
      <c r="F10" s="32"/>
      <c r="G10" s="23"/>
      <c r="H10" s="20"/>
      <c r="I10" s="20" t="s">
        <v>51</v>
      </c>
      <c r="J10" s="20">
        <v>20</v>
      </c>
      <c r="K10" s="20">
        <f>J10/$S$2</f>
        <v>2</v>
      </c>
      <c r="L10" s="77">
        <f>(0.5*J10)+(0.5*S11*J10)</f>
        <v>17.5</v>
      </c>
      <c r="M10" s="20"/>
      <c r="N10" s="20"/>
      <c r="O10" s="20"/>
      <c r="P10" s="20"/>
      <c r="Q10" s="20"/>
      <c r="R10" s="32" t="s">
        <v>53</v>
      </c>
      <c r="S10" s="23">
        <v>1.1499999999999999</v>
      </c>
    </row>
    <row r="11" spans="1:21" ht="15" thickBot="1" x14ac:dyDescent="0.4">
      <c r="A11" s="18" t="s">
        <v>23</v>
      </c>
      <c r="B11" s="18" t="s">
        <v>32</v>
      </c>
      <c r="C11" s="18" t="s">
        <v>44</v>
      </c>
      <c r="D11" s="18" t="s">
        <v>47</v>
      </c>
      <c r="E11" s="18" t="s">
        <v>8</v>
      </c>
      <c r="F11" s="28"/>
      <c r="G11" s="63"/>
      <c r="H11" s="18"/>
      <c r="I11" s="20"/>
      <c r="J11" s="20"/>
      <c r="K11" s="20"/>
      <c r="L11" s="20"/>
      <c r="M11" s="20"/>
      <c r="N11" s="18"/>
      <c r="O11" s="18"/>
      <c r="P11" s="20"/>
      <c r="Q11" s="20"/>
      <c r="R11" s="33" t="s">
        <v>54</v>
      </c>
      <c r="S11" s="34">
        <v>0.75</v>
      </c>
    </row>
    <row r="12" spans="1:21" x14ac:dyDescent="0.35">
      <c r="A12" s="20" t="s">
        <v>43</v>
      </c>
      <c r="B12" s="21">
        <f>C4</f>
        <v>50000</v>
      </c>
      <c r="C12" s="21">
        <f>B12/$S$2</f>
        <v>5000</v>
      </c>
      <c r="D12" s="39"/>
      <c r="E12" s="20"/>
      <c r="F12" s="32"/>
      <c r="G12" s="23"/>
      <c r="H12" s="20"/>
      <c r="I12" s="19" t="s">
        <v>7</v>
      </c>
      <c r="J12" s="20"/>
      <c r="K12" s="20"/>
      <c r="L12" s="20"/>
      <c r="M12" s="20"/>
      <c r="N12" s="20"/>
      <c r="O12" s="71" t="s">
        <v>17</v>
      </c>
      <c r="P12" s="20"/>
      <c r="Q12" s="20"/>
      <c r="R12" s="20"/>
      <c r="S12" s="20"/>
    </row>
    <row r="13" spans="1:21" x14ac:dyDescent="0.35">
      <c r="A13" s="20" t="s">
        <v>46</v>
      </c>
      <c r="B13" s="20">
        <f>B12*80%</f>
        <v>40000</v>
      </c>
      <c r="C13" s="21">
        <f>B13/$S$2</f>
        <v>4000</v>
      </c>
      <c r="D13" s="39">
        <v>0.08</v>
      </c>
      <c r="E13" s="20">
        <v>6</v>
      </c>
      <c r="F13" s="32"/>
      <c r="G13" s="23"/>
      <c r="H13" s="20"/>
      <c r="I13" s="18" t="s">
        <v>23</v>
      </c>
      <c r="J13" s="18" t="s">
        <v>4</v>
      </c>
      <c r="K13" s="18" t="s">
        <v>20</v>
      </c>
      <c r="L13" s="18" t="s">
        <v>33</v>
      </c>
      <c r="M13" s="18" t="s">
        <v>18</v>
      </c>
      <c r="N13" s="18" t="s">
        <v>57</v>
      </c>
      <c r="O13" s="18" t="s">
        <v>57</v>
      </c>
      <c r="P13" s="18"/>
      <c r="Q13" s="18"/>
      <c r="S13" s="21"/>
    </row>
    <row r="14" spans="1:21" ht="15" thickBot="1" x14ac:dyDescent="0.4">
      <c r="A14" s="20"/>
      <c r="B14" s="20"/>
      <c r="C14" s="20"/>
      <c r="D14" s="20"/>
      <c r="E14" s="20"/>
      <c r="F14" s="32"/>
      <c r="G14" s="23"/>
      <c r="H14" s="20"/>
      <c r="I14" s="20" t="s">
        <v>34</v>
      </c>
      <c r="J14" s="21">
        <v>400</v>
      </c>
      <c r="K14" s="20">
        <v>6</v>
      </c>
      <c r="L14" s="21">
        <f>J14*K14</f>
        <v>2400</v>
      </c>
      <c r="M14" s="20">
        <f>K14*S2</f>
        <v>60</v>
      </c>
      <c r="N14" s="20">
        <f>M14*J14</f>
        <v>24000</v>
      </c>
      <c r="O14" s="73">
        <f>N14*S10</f>
        <v>27599.999999999996</v>
      </c>
      <c r="P14" s="20"/>
      <c r="Q14" s="20"/>
      <c r="S14" s="20"/>
    </row>
    <row r="15" spans="1:21" x14ac:dyDescent="0.35">
      <c r="A15" s="20"/>
      <c r="B15" s="20"/>
      <c r="C15" s="20"/>
      <c r="D15" s="18" t="s">
        <v>72</v>
      </c>
      <c r="E15" s="20"/>
      <c r="F15" s="32"/>
      <c r="G15" s="23"/>
      <c r="H15" s="20"/>
      <c r="I15" s="20"/>
      <c r="J15" s="21"/>
      <c r="K15" s="20"/>
      <c r="L15" s="21"/>
      <c r="M15" s="20"/>
      <c r="N15" s="20"/>
      <c r="O15" s="20"/>
      <c r="P15" s="20"/>
      <c r="Q15" s="20"/>
      <c r="R15" s="20"/>
      <c r="S15" s="20"/>
    </row>
    <row r="16" spans="1:21" ht="15" thickBot="1" x14ac:dyDescent="0.4">
      <c r="A16" s="20"/>
      <c r="B16" s="20"/>
      <c r="C16" s="20"/>
      <c r="D16" s="55">
        <f>(1+D13)/(1+S3)-1</f>
        <v>5.8823529411764719E-2</v>
      </c>
      <c r="E16" s="18"/>
      <c r="F16" s="30"/>
      <c r="G16" s="68"/>
      <c r="H16" s="18"/>
      <c r="I16" s="20" t="s">
        <v>39</v>
      </c>
      <c r="J16" s="20"/>
      <c r="K16" s="20"/>
      <c r="L16" s="20"/>
      <c r="M16" s="20"/>
      <c r="N16" s="18"/>
      <c r="O16" s="18"/>
      <c r="P16" s="20"/>
      <c r="Q16" s="20"/>
      <c r="R16" s="20"/>
      <c r="S16" s="20"/>
    </row>
    <row r="17" spans="1:18" ht="15" thickBot="1" x14ac:dyDescent="0.4">
      <c r="E17" s="20"/>
      <c r="F17" s="20"/>
      <c r="G17" s="20"/>
      <c r="H17" s="20"/>
      <c r="I17" s="20"/>
      <c r="J17" s="20"/>
      <c r="K17" s="20"/>
      <c r="L17" s="169" t="s">
        <v>170</v>
      </c>
      <c r="M17" s="20"/>
      <c r="N17" s="20"/>
      <c r="O17" s="20"/>
      <c r="P17" s="20"/>
      <c r="Q17" s="20"/>
    </row>
    <row r="18" spans="1:18" x14ac:dyDescent="0.35">
      <c r="A18" s="35" t="s">
        <v>38</v>
      </c>
      <c r="B18" s="59" t="s">
        <v>74</v>
      </c>
      <c r="C18" s="60"/>
      <c r="D18" s="60"/>
      <c r="E18" s="60"/>
      <c r="F18" s="5"/>
      <c r="G18" s="5"/>
      <c r="H18" s="5"/>
      <c r="I18" s="5"/>
      <c r="J18" s="5"/>
      <c r="K18" s="5"/>
      <c r="L18" s="162"/>
      <c r="M18" s="163">
        <f>U4</f>
        <v>0.12200000000000011</v>
      </c>
      <c r="P18" s="78" t="s">
        <v>94</v>
      </c>
      <c r="Q18" s="79" t="s">
        <v>90</v>
      </c>
      <c r="R18" s="80" t="s">
        <v>91</v>
      </c>
    </row>
    <row r="19" spans="1:18" x14ac:dyDescent="0.35">
      <c r="B19" t="s">
        <v>45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L19" s="164" t="s">
        <v>12</v>
      </c>
      <c r="M19" s="165">
        <f>NPV(M18,B30:K30)</f>
        <v>15958.796607992468</v>
      </c>
      <c r="P19" s="32" t="s">
        <v>85</v>
      </c>
      <c r="Q19" s="20">
        <v>60</v>
      </c>
      <c r="R19" s="23">
        <v>6</v>
      </c>
    </row>
    <row r="20" spans="1:18" x14ac:dyDescent="0.35">
      <c r="B20" t="s">
        <v>35</v>
      </c>
      <c r="C20" t="s">
        <v>37</v>
      </c>
      <c r="D20" t="s">
        <v>37</v>
      </c>
      <c r="E20" t="s">
        <v>37</v>
      </c>
      <c r="F20" t="s">
        <v>37</v>
      </c>
      <c r="G20" t="s">
        <v>37</v>
      </c>
      <c r="H20" t="s">
        <v>37</v>
      </c>
      <c r="I20" t="s">
        <v>37</v>
      </c>
      <c r="J20" t="s">
        <v>37</v>
      </c>
      <c r="K20" t="s">
        <v>37</v>
      </c>
      <c r="L20" s="164" t="s">
        <v>56</v>
      </c>
      <c r="M20" s="166">
        <f>NPV(M18,B22:K22)/NPV(M18,B23:K23)</f>
        <v>-11.986107332855441</v>
      </c>
      <c r="P20" s="32" t="s">
        <v>86</v>
      </c>
      <c r="Q20" s="20"/>
      <c r="R20" s="23"/>
    </row>
    <row r="21" spans="1:18" ht="15" thickBot="1" x14ac:dyDescent="0.4">
      <c r="A21" s="3" t="s">
        <v>11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167" t="s">
        <v>13</v>
      </c>
      <c r="M21" s="168">
        <f>IRR(B30:K30)</f>
        <v>0.20771956112717538</v>
      </c>
      <c r="P21" s="81" t="s">
        <v>88</v>
      </c>
      <c r="Q21" s="20">
        <v>5</v>
      </c>
      <c r="R21" s="23">
        <v>0.5</v>
      </c>
    </row>
    <row r="22" spans="1:18" x14ac:dyDescent="0.35">
      <c r="A22" s="45" t="s">
        <v>60</v>
      </c>
      <c r="B22">
        <v>0</v>
      </c>
      <c r="C22">
        <f>($Q$28*(1+$S$3)^C21)</f>
        <v>19351.439999999999</v>
      </c>
      <c r="D22">
        <f t="shared" ref="D22:K22" si="1">($Q$28*(1+$S$3)^D21)</f>
        <v>19738.468799999999</v>
      </c>
      <c r="E22">
        <f t="shared" si="1"/>
        <v>20133.238175999999</v>
      </c>
      <c r="F22">
        <f t="shared" si="1"/>
        <v>20535.902939520001</v>
      </c>
      <c r="G22">
        <f t="shared" si="1"/>
        <v>20946.620998310402</v>
      </c>
      <c r="H22">
        <f t="shared" si="1"/>
        <v>21365.553418276606</v>
      </c>
      <c r="I22">
        <f t="shared" si="1"/>
        <v>21792.864486642138</v>
      </c>
      <c r="J22">
        <f t="shared" si="1"/>
        <v>22228.721776374983</v>
      </c>
      <c r="K22">
        <f t="shared" si="1"/>
        <v>22673.296211902481</v>
      </c>
      <c r="L22" s="1"/>
      <c r="M22" s="4"/>
      <c r="P22" s="82" t="s">
        <v>87</v>
      </c>
      <c r="Q22" s="20"/>
      <c r="R22" s="23">
        <v>5.5</v>
      </c>
    </row>
    <row r="23" spans="1:18" x14ac:dyDescent="0.35">
      <c r="A23" s="45" t="s">
        <v>58</v>
      </c>
      <c r="B23" s="2">
        <f>B26-B25</f>
        <v>-50235</v>
      </c>
      <c r="C23" s="2">
        <f>C26</f>
        <v>7282.8</v>
      </c>
      <c r="D23" s="2">
        <f t="shared" ref="D23:K23" si="2">D26</f>
        <v>7428.4559999999992</v>
      </c>
      <c r="E23" s="2">
        <f>E26</f>
        <v>7577.0251200000002</v>
      </c>
      <c r="F23" s="2">
        <f t="shared" si="2"/>
        <v>7728.5656224000004</v>
      </c>
      <c r="G23" s="2">
        <f t="shared" si="2"/>
        <v>7883.1369348480002</v>
      </c>
      <c r="H23" s="2">
        <f t="shared" si="2"/>
        <v>8040.7996735449588</v>
      </c>
      <c r="I23" s="2">
        <f t="shared" si="2"/>
        <v>8201.615667015858</v>
      </c>
      <c r="J23" s="2">
        <f t="shared" si="2"/>
        <v>8365.647980356176</v>
      </c>
      <c r="K23" s="2">
        <f t="shared" si="2"/>
        <v>8532.9609399632991</v>
      </c>
      <c r="L23" s="1"/>
      <c r="M23" s="4"/>
      <c r="P23" s="32" t="s">
        <v>89</v>
      </c>
      <c r="Q23" s="20">
        <v>55</v>
      </c>
      <c r="R23" s="23"/>
    </row>
    <row r="24" spans="1:18" s="20" customFormat="1" x14ac:dyDescent="0.35">
      <c r="A24" s="61" t="s">
        <v>76</v>
      </c>
      <c r="B24"/>
      <c r="C24"/>
      <c r="D24"/>
      <c r="E24"/>
      <c r="F24"/>
      <c r="G24"/>
      <c r="H24"/>
      <c r="I24"/>
      <c r="J24"/>
      <c r="K24"/>
      <c r="L24" s="1"/>
      <c r="M24" s="4"/>
      <c r="P24" s="81" t="s">
        <v>28</v>
      </c>
      <c r="Q24" s="20">
        <v>2</v>
      </c>
      <c r="R24" s="23">
        <v>0.2</v>
      </c>
    </row>
    <row r="25" spans="1:18" s="20" customFormat="1" x14ac:dyDescent="0.35">
      <c r="A25" s="62" t="s">
        <v>61</v>
      </c>
      <c r="B25" s="2">
        <f>$F$8*(1+$S$3)^B21</f>
        <v>50235</v>
      </c>
      <c r="C25"/>
      <c r="D25"/>
      <c r="E25"/>
      <c r="F25"/>
      <c r="G25"/>
      <c r="H25"/>
      <c r="I25"/>
      <c r="J25"/>
      <c r="K25"/>
      <c r="L25" s="1"/>
      <c r="M25" s="4"/>
      <c r="P25" s="81" t="s">
        <v>29</v>
      </c>
      <c r="Q25" s="20">
        <v>4</v>
      </c>
      <c r="R25" s="23">
        <v>0.4</v>
      </c>
    </row>
    <row r="26" spans="1:18" x14ac:dyDescent="0.35">
      <c r="A26" s="61" t="s">
        <v>68</v>
      </c>
      <c r="B26">
        <v>0</v>
      </c>
      <c r="C26">
        <f>($L$10*$J$14)*(1+$S$3)^C21</f>
        <v>7282.8</v>
      </c>
      <c r="D26">
        <f t="shared" ref="D26:J26" si="3">($L$10*$J$14)*(1+$S$3)^D21</f>
        <v>7428.4559999999992</v>
      </c>
      <c r="E26">
        <f t="shared" si="3"/>
        <v>7577.0251200000002</v>
      </c>
      <c r="F26">
        <f t="shared" si="3"/>
        <v>7728.5656224000004</v>
      </c>
      <c r="G26">
        <f t="shared" si="3"/>
        <v>7883.1369348480002</v>
      </c>
      <c r="H26">
        <f t="shared" si="3"/>
        <v>8040.7996735449588</v>
      </c>
      <c r="I26">
        <f t="shared" si="3"/>
        <v>8201.615667015858</v>
      </c>
      <c r="J26">
        <f t="shared" si="3"/>
        <v>8365.647980356176</v>
      </c>
      <c r="K26">
        <f>($L$10*$J$14)*(1+$S$3)^K21</f>
        <v>8532.9609399632991</v>
      </c>
      <c r="L26" s="1"/>
      <c r="M26" s="4"/>
      <c r="P26" s="81" t="s">
        <v>27</v>
      </c>
      <c r="Q26" s="20">
        <v>2.5</v>
      </c>
      <c r="R26" s="23">
        <v>0.25</v>
      </c>
    </row>
    <row r="27" spans="1:18" x14ac:dyDescent="0.35">
      <c r="A27" s="3"/>
      <c r="B27" s="2"/>
      <c r="L27" s="1"/>
      <c r="M27" s="4"/>
      <c r="P27" s="82" t="s">
        <v>92</v>
      </c>
      <c r="Q27" s="20">
        <v>46.5</v>
      </c>
      <c r="R27" s="23"/>
    </row>
    <row r="28" spans="1:18" ht="15" thickBot="1" x14ac:dyDescent="0.4">
      <c r="A28" s="1" t="s">
        <v>70</v>
      </c>
      <c r="B28" s="2">
        <f>B23</f>
        <v>-50235</v>
      </c>
      <c r="C28" s="2">
        <f t="shared" ref="C28:K28" si="4">C22-C23</f>
        <v>12068.64</v>
      </c>
      <c r="D28">
        <f t="shared" si="4"/>
        <v>12310.0128</v>
      </c>
      <c r="E28">
        <f t="shared" si="4"/>
        <v>12556.213055999999</v>
      </c>
      <c r="F28">
        <f t="shared" si="4"/>
        <v>12807.33731712</v>
      </c>
      <c r="G28">
        <f t="shared" si="4"/>
        <v>13063.484063462402</v>
      </c>
      <c r="H28">
        <f t="shared" si="4"/>
        <v>13324.753744731646</v>
      </c>
      <c r="I28">
        <f t="shared" si="4"/>
        <v>13591.24881962628</v>
      </c>
      <c r="J28">
        <f t="shared" si="4"/>
        <v>13863.073796018807</v>
      </c>
      <c r="K28">
        <f t="shared" si="4"/>
        <v>14140.335271939182</v>
      </c>
      <c r="L28" s="1"/>
      <c r="M28" s="4"/>
      <c r="P28" s="83" t="s">
        <v>93</v>
      </c>
      <c r="Q28" s="84">
        <v>18600</v>
      </c>
      <c r="R28" s="34"/>
    </row>
    <row r="29" spans="1:18" ht="15" thickBot="1" x14ac:dyDescent="0.4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1"/>
      <c r="M29" s="4"/>
    </row>
    <row r="30" spans="1:18" x14ac:dyDescent="0.35">
      <c r="A30" s="51" t="s">
        <v>75</v>
      </c>
      <c r="B30" s="56">
        <f>B28</f>
        <v>-50235</v>
      </c>
      <c r="C30" s="56">
        <f>C28</f>
        <v>12068.64</v>
      </c>
      <c r="D30" s="52">
        <f t="shared" ref="D30:K30" si="5">D28</f>
        <v>12310.0128</v>
      </c>
      <c r="E30" s="52">
        <f t="shared" si="5"/>
        <v>12556.213055999999</v>
      </c>
      <c r="F30" s="52">
        <f t="shared" si="5"/>
        <v>12807.33731712</v>
      </c>
      <c r="G30" s="52">
        <f t="shared" si="5"/>
        <v>13063.484063462402</v>
      </c>
      <c r="H30" s="52">
        <f t="shared" si="5"/>
        <v>13324.753744731646</v>
      </c>
      <c r="I30" s="52">
        <f t="shared" si="5"/>
        <v>13591.24881962628</v>
      </c>
      <c r="J30" s="52">
        <f t="shared" si="5"/>
        <v>13863.073796018807</v>
      </c>
      <c r="K30" s="52">
        <f t="shared" si="5"/>
        <v>14140.335271939182</v>
      </c>
      <c r="L30" s="162"/>
      <c r="M30" s="163">
        <v>0.1</v>
      </c>
    </row>
    <row r="31" spans="1:18" x14ac:dyDescent="0.35">
      <c r="A31" s="1"/>
      <c r="L31" s="164" t="s">
        <v>12</v>
      </c>
      <c r="M31" s="166">
        <f>NPV(M30,B42:K42)</f>
        <v>15958.796607992474</v>
      </c>
    </row>
    <row r="32" spans="1:18" x14ac:dyDescent="0.35">
      <c r="A32" s="53" t="s">
        <v>71</v>
      </c>
      <c r="B32" s="59" t="s">
        <v>74</v>
      </c>
      <c r="C32" s="60"/>
      <c r="D32" s="60"/>
      <c r="E32" s="60"/>
      <c r="L32" s="164" t="s">
        <v>56</v>
      </c>
      <c r="M32" s="166">
        <f>NPV(M30,B34:K34)/NPV(M30,B35:K35)</f>
        <v>-11.986107332855445</v>
      </c>
    </row>
    <row r="33" spans="1:13" ht="15" thickBot="1" x14ac:dyDescent="0.4">
      <c r="A33" s="3" t="s">
        <v>11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 s="167" t="s">
        <v>13</v>
      </c>
      <c r="M33" s="168">
        <f>IRR(B42:K42)</f>
        <v>0.18403878541880081</v>
      </c>
    </row>
    <row r="34" spans="1:13" x14ac:dyDescent="0.35">
      <c r="A34" s="45" t="s">
        <v>60</v>
      </c>
      <c r="B34">
        <v>0</v>
      </c>
      <c r="C34">
        <f t="shared" ref="C34:K34" si="6">C22/(1+$S$3)^C21</f>
        <v>18600</v>
      </c>
      <c r="D34">
        <f t="shared" si="6"/>
        <v>18600</v>
      </c>
      <c r="E34">
        <f t="shared" si="6"/>
        <v>18600</v>
      </c>
      <c r="F34">
        <f t="shared" si="6"/>
        <v>18600</v>
      </c>
      <c r="G34">
        <f t="shared" si="6"/>
        <v>18600</v>
      </c>
      <c r="H34">
        <f t="shared" si="6"/>
        <v>18600</v>
      </c>
      <c r="I34">
        <f t="shared" si="6"/>
        <v>18600</v>
      </c>
      <c r="J34">
        <f t="shared" si="6"/>
        <v>18600</v>
      </c>
      <c r="K34">
        <f t="shared" si="6"/>
        <v>18600</v>
      </c>
      <c r="L34" s="1"/>
      <c r="M34" s="4"/>
    </row>
    <row r="35" spans="1:13" x14ac:dyDescent="0.35">
      <c r="A35" s="45" t="s">
        <v>58</v>
      </c>
      <c r="B35" s="2">
        <f>B23/(1+$S$3)^B33</f>
        <v>-49250</v>
      </c>
      <c r="C35" s="2">
        <f>C23/(1+$S$3)^C21</f>
        <v>7000</v>
      </c>
      <c r="D35" s="2">
        <f t="shared" ref="D35:K35" si="7">D23/(1+$S$3)^D21</f>
        <v>7000</v>
      </c>
      <c r="E35" s="2">
        <f t="shared" si="7"/>
        <v>7000</v>
      </c>
      <c r="F35" s="2">
        <f t="shared" si="7"/>
        <v>7000</v>
      </c>
      <c r="G35" s="2">
        <f t="shared" si="7"/>
        <v>7000</v>
      </c>
      <c r="H35" s="2">
        <f t="shared" si="7"/>
        <v>7000</v>
      </c>
      <c r="I35" s="2">
        <f t="shared" si="7"/>
        <v>6999.9999999999991</v>
      </c>
      <c r="J35" s="2">
        <f t="shared" si="7"/>
        <v>7000</v>
      </c>
      <c r="K35" s="2">
        <f t="shared" si="7"/>
        <v>6999.9999999999991</v>
      </c>
      <c r="L35" s="1"/>
      <c r="M35" s="4"/>
    </row>
    <row r="36" spans="1:13" x14ac:dyDescent="0.35">
      <c r="A36" s="61" t="s">
        <v>76</v>
      </c>
      <c r="L36" s="1"/>
      <c r="M36" s="4"/>
    </row>
    <row r="37" spans="1:13" s="20" customFormat="1" x14ac:dyDescent="0.35">
      <c r="A37" s="62" t="s">
        <v>61</v>
      </c>
      <c r="B37" s="2">
        <f>B25/(1+$S$3)^B33</f>
        <v>49250</v>
      </c>
      <c r="C37"/>
      <c r="D37"/>
      <c r="E37"/>
      <c r="F37"/>
      <c r="G37"/>
      <c r="H37"/>
      <c r="I37"/>
      <c r="J37"/>
      <c r="K37"/>
      <c r="L37" s="1"/>
      <c r="M37" s="4"/>
    </row>
    <row r="38" spans="1:13" s="20" customFormat="1" x14ac:dyDescent="0.35">
      <c r="A38" s="61" t="s">
        <v>77</v>
      </c>
      <c r="B38">
        <v>0</v>
      </c>
      <c r="C38">
        <f t="shared" ref="C38:K38" si="8">C26/(1+$S$3)^C33</f>
        <v>7000</v>
      </c>
      <c r="D38">
        <f t="shared" si="8"/>
        <v>7000</v>
      </c>
      <c r="E38">
        <f t="shared" si="8"/>
        <v>7000</v>
      </c>
      <c r="F38">
        <f t="shared" si="8"/>
        <v>7000</v>
      </c>
      <c r="G38">
        <f t="shared" si="8"/>
        <v>7000</v>
      </c>
      <c r="H38">
        <f t="shared" si="8"/>
        <v>7000</v>
      </c>
      <c r="I38">
        <f t="shared" si="8"/>
        <v>6999.9999999999991</v>
      </c>
      <c r="J38">
        <f t="shared" si="8"/>
        <v>7000</v>
      </c>
      <c r="K38">
        <f t="shared" si="8"/>
        <v>6999.9999999999991</v>
      </c>
      <c r="L38" s="1"/>
      <c r="M38" s="4"/>
    </row>
    <row r="39" spans="1:13" x14ac:dyDescent="0.35">
      <c r="A39" s="3"/>
      <c r="B39" s="2"/>
      <c r="L39" s="1"/>
      <c r="M39" s="4"/>
    </row>
    <row r="40" spans="1:13" x14ac:dyDescent="0.35">
      <c r="A40" s="1" t="s">
        <v>70</v>
      </c>
      <c r="B40">
        <f t="shared" ref="B40:K40" si="9">B34-B35</f>
        <v>49250</v>
      </c>
      <c r="C40" s="2">
        <f t="shared" si="9"/>
        <v>11600</v>
      </c>
      <c r="D40" s="2">
        <f t="shared" si="9"/>
        <v>11600</v>
      </c>
      <c r="E40">
        <f t="shared" si="9"/>
        <v>11600</v>
      </c>
      <c r="F40">
        <f t="shared" si="9"/>
        <v>11600</v>
      </c>
      <c r="G40">
        <f t="shared" si="9"/>
        <v>11600</v>
      </c>
      <c r="H40">
        <f t="shared" si="9"/>
        <v>11600</v>
      </c>
      <c r="I40">
        <f t="shared" si="9"/>
        <v>11600</v>
      </c>
      <c r="J40">
        <f t="shared" si="9"/>
        <v>11600</v>
      </c>
      <c r="K40">
        <f t="shared" si="9"/>
        <v>11600</v>
      </c>
      <c r="L40" s="1"/>
      <c r="M40" s="4"/>
    </row>
    <row r="41" spans="1:13" x14ac:dyDescent="0.3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3" x14ac:dyDescent="0.35">
      <c r="A42" s="51" t="s">
        <v>75</v>
      </c>
      <c r="B42" s="56">
        <f>B35</f>
        <v>-49250</v>
      </c>
      <c r="C42" s="56">
        <f>C34-C35</f>
        <v>11600</v>
      </c>
      <c r="D42" s="56">
        <f t="shared" ref="D42:K42" si="10">D34-D35</f>
        <v>11600</v>
      </c>
      <c r="E42" s="56">
        <f t="shared" si="10"/>
        <v>11600</v>
      </c>
      <c r="F42" s="56">
        <f t="shared" si="10"/>
        <v>11600</v>
      </c>
      <c r="G42" s="56">
        <f t="shared" si="10"/>
        <v>11600</v>
      </c>
      <c r="H42" s="56">
        <f t="shared" si="10"/>
        <v>11600</v>
      </c>
      <c r="I42" s="56">
        <f t="shared" si="10"/>
        <v>11600</v>
      </c>
      <c r="J42" s="56">
        <f t="shared" si="10"/>
        <v>11600</v>
      </c>
      <c r="K42" s="56">
        <f t="shared" si="10"/>
        <v>11600</v>
      </c>
    </row>
    <row r="45" spans="1:13" x14ac:dyDescent="0.35">
      <c r="L45" s="20"/>
      <c r="M45" s="20"/>
    </row>
    <row r="46" spans="1:13" x14ac:dyDescent="0.35">
      <c r="L46" s="20"/>
      <c r="M46" s="20"/>
    </row>
    <row r="47" spans="1:13" x14ac:dyDescent="0.35">
      <c r="L47" s="20"/>
      <c r="M47" s="20"/>
    </row>
    <row r="48" spans="1:13" x14ac:dyDescent="0.35">
      <c r="L48" s="20"/>
      <c r="M48" s="20"/>
    </row>
    <row r="49" spans="12:13" x14ac:dyDescent="0.35">
      <c r="L49" s="20"/>
      <c r="M49" s="20"/>
    </row>
    <row r="50" spans="12:13" x14ac:dyDescent="0.35">
      <c r="L50" s="20"/>
      <c r="M50" s="20"/>
    </row>
    <row r="51" spans="12:13" x14ac:dyDescent="0.35">
      <c r="L51" s="20"/>
      <c r="M51" s="20"/>
    </row>
    <row r="52" spans="12:13" x14ac:dyDescent="0.35">
      <c r="L52" s="20"/>
      <c r="M52" s="20"/>
    </row>
    <row r="53" spans="12:13" x14ac:dyDescent="0.35">
      <c r="L53" s="20"/>
      <c r="M53" s="20"/>
    </row>
    <row r="54" spans="12:13" x14ac:dyDescent="0.35">
      <c r="L54" s="20"/>
      <c r="M54" s="20"/>
    </row>
    <row r="55" spans="12:13" x14ac:dyDescent="0.35">
      <c r="L55" s="20"/>
      <c r="M55" s="20"/>
    </row>
    <row r="56" spans="12:13" x14ac:dyDescent="0.35">
      <c r="L56" s="20"/>
      <c r="M56" s="20"/>
    </row>
    <row r="57" spans="12:13" x14ac:dyDescent="0.35">
      <c r="L57" s="20"/>
      <c r="M57" s="20"/>
    </row>
    <row r="58" spans="12:13" x14ac:dyDescent="0.35">
      <c r="L58" s="20"/>
      <c r="M58" s="20"/>
    </row>
    <row r="59" spans="12:13" x14ac:dyDescent="0.35">
      <c r="M59" s="20"/>
    </row>
    <row r="60" spans="12:13" x14ac:dyDescent="0.35">
      <c r="L60" s="20"/>
      <c r="M6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AAF9-CCF7-47AD-A405-61DFB4659ECB}">
  <dimension ref="A1:V76"/>
  <sheetViews>
    <sheetView tabSelected="1" topLeftCell="A51" zoomScale="57" zoomScaleNormal="80" workbookViewId="0">
      <selection activeCell="B70" sqref="B70"/>
    </sheetView>
  </sheetViews>
  <sheetFormatPr defaultColWidth="9" defaultRowHeight="14.5" x14ac:dyDescent="0.35"/>
  <cols>
    <col min="1" max="1" width="13.453125" style="87" customWidth="1"/>
    <col min="2" max="2" width="11.453125" style="87" customWidth="1"/>
    <col min="3" max="3" width="14.36328125" style="87" customWidth="1"/>
    <col min="4" max="4" width="14.6328125" style="87" customWidth="1"/>
    <col min="5" max="5" width="13.26953125" style="87" customWidth="1"/>
    <col min="6" max="6" width="16.36328125" style="87" customWidth="1"/>
    <col min="7" max="7" width="17.7265625" style="87" customWidth="1"/>
    <col min="8" max="8" width="14.453125" style="87" customWidth="1"/>
    <col min="9" max="9" width="15.90625" style="87" customWidth="1"/>
    <col min="10" max="10" width="14.7265625" style="87" customWidth="1"/>
    <col min="11" max="11" width="13.453125" style="87" customWidth="1"/>
    <col min="12" max="12" width="14.36328125" style="87" customWidth="1"/>
    <col min="13" max="13" width="17.90625" style="87" customWidth="1"/>
    <col min="14" max="14" width="9" style="87"/>
    <col min="15" max="15" width="22.08984375" style="87" customWidth="1"/>
    <col min="16" max="16" width="16.36328125" style="87" customWidth="1"/>
    <col min="17" max="17" width="18.453125" style="87" customWidth="1"/>
    <col min="18" max="16384" width="9" style="87"/>
  </cols>
  <sheetData>
    <row r="1" spans="1:21" ht="15" thickBot="1" x14ac:dyDescent="0.4">
      <c r="A1" s="98" t="s">
        <v>2</v>
      </c>
    </row>
    <row r="2" spans="1:21" ht="56.15" customHeight="1" x14ac:dyDescent="0.35">
      <c r="A2" s="88"/>
      <c r="B2" s="99" t="s">
        <v>95</v>
      </c>
      <c r="C2" s="99" t="s">
        <v>96</v>
      </c>
      <c r="D2" s="99" t="s">
        <v>97</v>
      </c>
      <c r="E2" s="99" t="s">
        <v>98</v>
      </c>
      <c r="F2" s="99" t="s">
        <v>99</v>
      </c>
      <c r="G2" s="99" t="s">
        <v>100</v>
      </c>
      <c r="H2" s="100" t="s">
        <v>101</v>
      </c>
      <c r="J2" s="87" t="s">
        <v>121</v>
      </c>
      <c r="N2" s="101" t="s">
        <v>14</v>
      </c>
      <c r="O2" s="102"/>
      <c r="P2" s="86" t="s">
        <v>17</v>
      </c>
      <c r="Q2" s="103"/>
    </row>
    <row r="3" spans="1:21" x14ac:dyDescent="0.35">
      <c r="A3" s="89" t="s">
        <v>102</v>
      </c>
      <c r="B3" s="157">
        <v>1</v>
      </c>
      <c r="C3" s="158">
        <v>45000000</v>
      </c>
      <c r="D3" s="158">
        <f>C3*40%</f>
        <v>18000000</v>
      </c>
      <c r="E3" s="158">
        <f>C3*40%</f>
        <v>18000000</v>
      </c>
      <c r="F3" s="158">
        <f>C3*20%</f>
        <v>9000000</v>
      </c>
      <c r="G3" s="158">
        <f>C3*20%</f>
        <v>9000000</v>
      </c>
      <c r="H3" s="90">
        <f>C3*80%</f>
        <v>36000000</v>
      </c>
      <c r="J3" s="127">
        <v>0.8</v>
      </c>
      <c r="N3" s="104" t="s">
        <v>41</v>
      </c>
      <c r="O3" s="91">
        <v>6</v>
      </c>
      <c r="P3" s="105" t="s">
        <v>52</v>
      </c>
      <c r="Q3" s="91"/>
    </row>
    <row r="4" spans="1:21" ht="15" thickBot="1" x14ac:dyDescent="0.4">
      <c r="A4" s="89" t="s">
        <v>102</v>
      </c>
      <c r="B4" s="157">
        <v>2</v>
      </c>
      <c r="C4" s="158">
        <v>30000000</v>
      </c>
      <c r="D4" s="158">
        <f>C4*40%</f>
        <v>12000000</v>
      </c>
      <c r="E4" s="158">
        <f>C4*40%</f>
        <v>12000000</v>
      </c>
      <c r="F4" s="158">
        <f>C4*20%</f>
        <v>6000000</v>
      </c>
      <c r="G4" s="158">
        <f>C4*20%</f>
        <v>6000000</v>
      </c>
      <c r="H4" s="90">
        <f>C4*80%</f>
        <v>24000000</v>
      </c>
      <c r="N4" s="104" t="s">
        <v>83</v>
      </c>
      <c r="O4" s="106">
        <v>0.1</v>
      </c>
      <c r="P4" s="107" t="s">
        <v>53</v>
      </c>
      <c r="Q4" s="91">
        <v>1.2</v>
      </c>
    </row>
    <row r="5" spans="1:21" ht="15" thickBot="1" x14ac:dyDescent="0.4">
      <c r="A5" s="86" t="s">
        <v>17</v>
      </c>
      <c r="B5" s="157">
        <v>1</v>
      </c>
      <c r="C5" s="159">
        <f>SUM(D5:F5)</f>
        <v>41400000</v>
      </c>
      <c r="D5" s="87">
        <f>D3*Q5</f>
        <v>12600000</v>
      </c>
      <c r="E5" s="122">
        <f>E3</f>
        <v>18000000</v>
      </c>
      <c r="F5" s="87">
        <f>F3*Q4</f>
        <v>10800000</v>
      </c>
      <c r="H5" s="91"/>
      <c r="N5" s="108" t="s">
        <v>84</v>
      </c>
      <c r="O5" s="109">
        <v>0.15</v>
      </c>
      <c r="P5" s="110" t="s">
        <v>54</v>
      </c>
      <c r="Q5" s="95">
        <v>0.7</v>
      </c>
    </row>
    <row r="6" spans="1:21" ht="15" thickBot="1" x14ac:dyDescent="0.4">
      <c r="A6" s="92" t="s">
        <v>17</v>
      </c>
      <c r="B6" s="93">
        <v>2</v>
      </c>
      <c r="C6" s="156">
        <f>SUM(D6:F6)</f>
        <v>27600000</v>
      </c>
      <c r="D6" s="94">
        <f>D4*Q5</f>
        <v>8400000</v>
      </c>
      <c r="E6" s="155">
        <f>E4</f>
        <v>12000000</v>
      </c>
      <c r="F6" s="94">
        <f>F4*Q4</f>
        <v>7200000</v>
      </c>
      <c r="G6" s="94"/>
      <c r="H6" s="95"/>
    </row>
    <row r="7" spans="1:21" ht="24.75" customHeight="1" thickBot="1" x14ac:dyDescent="0.4"/>
    <row r="8" spans="1:21" ht="15.75" customHeight="1" thickBot="1" x14ac:dyDescent="0.4">
      <c r="A8" s="96" t="s">
        <v>103</v>
      </c>
      <c r="N8" s="187" t="s">
        <v>181</v>
      </c>
      <c r="O8" s="187"/>
      <c r="P8" s="187"/>
      <c r="Q8" s="187"/>
      <c r="R8" s="192" t="s">
        <v>17</v>
      </c>
      <c r="S8" s="193"/>
      <c r="T8" s="193"/>
      <c r="U8" s="193"/>
    </row>
    <row r="9" spans="1:21" ht="29" x14ac:dyDescent="0.35">
      <c r="A9" s="88"/>
      <c r="B9" s="99" t="s">
        <v>104</v>
      </c>
      <c r="C9" s="99" t="s">
        <v>105</v>
      </c>
      <c r="D9" s="99" t="s">
        <v>106</v>
      </c>
      <c r="E9" s="99" t="s">
        <v>107</v>
      </c>
      <c r="F9" s="99" t="s">
        <v>108</v>
      </c>
      <c r="G9" s="99" t="s">
        <v>109</v>
      </c>
      <c r="H9" s="99" t="s">
        <v>110</v>
      </c>
      <c r="I9" s="99" t="s">
        <v>111</v>
      </c>
      <c r="J9" s="99" t="s">
        <v>81</v>
      </c>
      <c r="K9" s="100" t="s">
        <v>112</v>
      </c>
      <c r="M9" s="88"/>
      <c r="N9" s="119" t="s">
        <v>80</v>
      </c>
      <c r="O9" s="119"/>
      <c r="P9" s="120" t="s">
        <v>113</v>
      </c>
      <c r="Q9" s="121"/>
      <c r="R9" s="188" t="s">
        <v>80</v>
      </c>
      <c r="S9" s="119"/>
      <c r="T9" s="120" t="s">
        <v>113</v>
      </c>
      <c r="U9" s="121"/>
    </row>
    <row r="10" spans="1:21" x14ac:dyDescent="0.35">
      <c r="A10" s="89" t="s">
        <v>102</v>
      </c>
      <c r="B10" s="157" t="s">
        <v>80</v>
      </c>
      <c r="C10" s="157">
        <v>4</v>
      </c>
      <c r="D10" s="158">
        <v>2200</v>
      </c>
      <c r="E10" s="158">
        <f>D10/2</f>
        <v>1100</v>
      </c>
      <c r="F10" s="158">
        <f>D10/2</f>
        <v>1100</v>
      </c>
      <c r="G10" s="158">
        <v>2000</v>
      </c>
      <c r="H10" s="158">
        <f>G10*O3</f>
        <v>12000</v>
      </c>
      <c r="I10" s="157">
        <v>50</v>
      </c>
      <c r="J10" s="157">
        <v>150</v>
      </c>
      <c r="K10" s="97">
        <v>75</v>
      </c>
      <c r="M10" s="118" t="s">
        <v>94</v>
      </c>
      <c r="N10" s="18" t="s">
        <v>90</v>
      </c>
      <c r="O10" s="18" t="s">
        <v>91</v>
      </c>
      <c r="P10" s="18" t="s">
        <v>90</v>
      </c>
      <c r="Q10" s="63" t="s">
        <v>91</v>
      </c>
      <c r="R10" s="107"/>
      <c r="S10" s="189"/>
      <c r="T10" s="189"/>
      <c r="U10" s="91"/>
    </row>
    <row r="11" spans="1:21" ht="15" thickBot="1" x14ac:dyDescent="0.4">
      <c r="A11" s="89" t="s">
        <v>102</v>
      </c>
      <c r="B11" s="157" t="s">
        <v>113</v>
      </c>
      <c r="C11" s="157">
        <v>7</v>
      </c>
      <c r="D11" s="158">
        <v>1800</v>
      </c>
      <c r="E11" s="157">
        <v>600</v>
      </c>
      <c r="F11" s="158">
        <f>D11-E11</f>
        <v>1200</v>
      </c>
      <c r="G11" s="157">
        <v>700</v>
      </c>
      <c r="H11" s="158">
        <f>G11*O3</f>
        <v>4200</v>
      </c>
      <c r="I11" s="157">
        <v>50</v>
      </c>
      <c r="J11" s="157">
        <v>80</v>
      </c>
      <c r="K11" s="97">
        <v>40</v>
      </c>
      <c r="M11" s="32" t="s">
        <v>85</v>
      </c>
      <c r="N11" s="21">
        <f>H10</f>
        <v>12000</v>
      </c>
      <c r="O11" s="21">
        <f>G10</f>
        <v>2000</v>
      </c>
      <c r="P11" s="122">
        <f>H11</f>
        <v>4200</v>
      </c>
      <c r="Q11" s="123">
        <f>G11</f>
        <v>700</v>
      </c>
      <c r="R11" s="190">
        <f>N11</f>
        <v>12000</v>
      </c>
      <c r="S11" s="191">
        <f>O11</f>
        <v>2000</v>
      </c>
      <c r="T11" s="191">
        <f>P11</f>
        <v>4200</v>
      </c>
      <c r="U11" s="123">
        <f>Q11</f>
        <v>700</v>
      </c>
    </row>
    <row r="12" spans="1:21" ht="15" thickBot="1" x14ac:dyDescent="0.4">
      <c r="A12" s="86" t="s">
        <v>17</v>
      </c>
      <c r="D12" s="159">
        <f>SUM(E12:F12)</f>
        <v>2420</v>
      </c>
      <c r="E12" s="87">
        <f>E10*$Q$4</f>
        <v>1320</v>
      </c>
      <c r="F12" s="122">
        <f>F10</f>
        <v>1100</v>
      </c>
      <c r="K12" s="91"/>
      <c r="M12" s="32" t="s">
        <v>86</v>
      </c>
      <c r="N12" s="20"/>
      <c r="O12" s="20"/>
      <c r="Q12" s="91"/>
      <c r="R12" s="107"/>
      <c r="S12" s="189"/>
      <c r="T12" s="189"/>
      <c r="U12" s="91"/>
    </row>
    <row r="13" spans="1:21" ht="15" thickBot="1" x14ac:dyDescent="0.4">
      <c r="A13" s="92" t="s">
        <v>17</v>
      </c>
      <c r="B13" s="94"/>
      <c r="C13" s="94"/>
      <c r="D13" s="156">
        <f>SUM(E13:F13)</f>
        <v>1920</v>
      </c>
      <c r="E13" s="94">
        <f>E11*$Q$4</f>
        <v>720</v>
      </c>
      <c r="F13" s="155">
        <f>F11</f>
        <v>1200</v>
      </c>
      <c r="G13" s="94"/>
      <c r="H13" s="94"/>
      <c r="I13" s="94"/>
      <c r="J13" s="94"/>
      <c r="K13" s="95"/>
      <c r="M13" s="81" t="s">
        <v>119</v>
      </c>
      <c r="N13" s="20">
        <f>O13*O3</f>
        <v>300</v>
      </c>
      <c r="O13" s="20">
        <f>I10</f>
        <v>50</v>
      </c>
      <c r="P13" s="87">
        <f>Q13*O3</f>
        <v>300</v>
      </c>
      <c r="Q13" s="91">
        <f>I11</f>
        <v>50</v>
      </c>
      <c r="R13" s="107">
        <f>N13*Q4</f>
        <v>360</v>
      </c>
      <c r="S13" s="189">
        <f>O13*Q4</f>
        <v>60</v>
      </c>
      <c r="T13" s="189">
        <f>P13*Q4</f>
        <v>360</v>
      </c>
      <c r="U13" s="91">
        <f>Q13*Q4</f>
        <v>60</v>
      </c>
    </row>
    <row r="14" spans="1:21" x14ac:dyDescent="0.35">
      <c r="M14" s="82" t="s">
        <v>87</v>
      </c>
      <c r="N14" s="21">
        <f>N11-N13</f>
        <v>11700</v>
      </c>
      <c r="O14" s="21">
        <f>O11-O13</f>
        <v>1950</v>
      </c>
      <c r="P14" s="122">
        <f>P11-P13</f>
        <v>3900</v>
      </c>
      <c r="Q14" s="123">
        <f>Q11-Q13</f>
        <v>650</v>
      </c>
      <c r="R14" s="190">
        <f>R11-R13</f>
        <v>11640</v>
      </c>
      <c r="S14" s="191">
        <f>S11-S13</f>
        <v>1940</v>
      </c>
      <c r="T14" s="191">
        <f>T11-T13</f>
        <v>3840</v>
      </c>
      <c r="U14" s="123">
        <f>U11-U13</f>
        <v>640</v>
      </c>
    </row>
    <row r="15" spans="1:21" ht="15" thickBot="1" x14ac:dyDescent="0.4">
      <c r="A15" s="85" t="s">
        <v>114</v>
      </c>
      <c r="M15" s="32" t="s">
        <v>89</v>
      </c>
      <c r="N15" s="20"/>
      <c r="O15" s="20">
        <f>O14*O3</f>
        <v>11700</v>
      </c>
      <c r="Q15" s="91">
        <f>Q14*O3</f>
        <v>3900</v>
      </c>
      <c r="R15" s="107"/>
      <c r="S15" s="189">
        <f>S14*O3</f>
        <v>11640</v>
      </c>
      <c r="T15" s="189"/>
      <c r="U15" s="91"/>
    </row>
    <row r="16" spans="1:21" ht="29" x14ac:dyDescent="0.35">
      <c r="A16" s="88"/>
      <c r="B16" s="111" t="s">
        <v>95</v>
      </c>
      <c r="C16" s="111" t="s">
        <v>115</v>
      </c>
      <c r="D16" s="111" t="s">
        <v>116</v>
      </c>
      <c r="E16" s="111" t="s">
        <v>117</v>
      </c>
      <c r="F16" s="111" t="s">
        <v>118</v>
      </c>
      <c r="G16" s="112" t="s">
        <v>123</v>
      </c>
      <c r="M16" s="81" t="s">
        <v>28</v>
      </c>
      <c r="N16" s="20">
        <f>K10</f>
        <v>75</v>
      </c>
      <c r="O16" s="20"/>
      <c r="P16" s="87">
        <f>K11</f>
        <v>40</v>
      </c>
      <c r="Q16" s="91"/>
      <c r="R16" s="107">
        <f>N16</f>
        <v>75</v>
      </c>
      <c r="S16" s="189"/>
      <c r="T16" s="189">
        <f>P16</f>
        <v>40</v>
      </c>
      <c r="U16" s="91"/>
    </row>
    <row r="17" spans="1:21" ht="15" thickBot="1" x14ac:dyDescent="0.4">
      <c r="A17" s="89" t="s">
        <v>102</v>
      </c>
      <c r="B17" s="116">
        <v>3</v>
      </c>
      <c r="C17" s="116">
        <f>D17*6</f>
        <v>450</v>
      </c>
      <c r="D17" s="116">
        <v>75</v>
      </c>
      <c r="E17" s="117">
        <f>C10*C17</f>
        <v>1800</v>
      </c>
      <c r="F17" s="117">
        <f>C11*C17</f>
        <v>3150</v>
      </c>
      <c r="G17" s="128">
        <v>25000</v>
      </c>
      <c r="M17" s="81" t="s">
        <v>29</v>
      </c>
      <c r="N17" s="20">
        <v>0</v>
      </c>
      <c r="O17" s="20"/>
      <c r="P17" s="87">
        <v>0</v>
      </c>
      <c r="Q17" s="91"/>
      <c r="R17" s="107"/>
      <c r="S17" s="189"/>
      <c r="T17" s="189"/>
      <c r="U17" s="91"/>
    </row>
    <row r="18" spans="1:21" ht="15" thickBot="1" x14ac:dyDescent="0.4">
      <c r="A18" s="92" t="s">
        <v>17</v>
      </c>
      <c r="B18" s="113"/>
      <c r="C18" s="113"/>
      <c r="D18" s="113"/>
      <c r="E18" s="114"/>
      <c r="F18" s="114"/>
      <c r="G18" s="115"/>
      <c r="M18" s="81" t="s">
        <v>27</v>
      </c>
      <c r="N18" s="20">
        <f>J10</f>
        <v>150</v>
      </c>
      <c r="O18" s="20"/>
      <c r="P18" s="87">
        <f>J11</f>
        <v>80</v>
      </c>
      <c r="Q18" s="91"/>
      <c r="R18" s="107">
        <f>N18</f>
        <v>150</v>
      </c>
      <c r="S18" s="189"/>
      <c r="T18" s="189">
        <f>P18</f>
        <v>80</v>
      </c>
      <c r="U18" s="91"/>
    </row>
    <row r="19" spans="1:21" x14ac:dyDescent="0.35">
      <c r="M19" s="82" t="s">
        <v>92</v>
      </c>
      <c r="N19" s="21">
        <f>N14-N16-N17-N18</f>
        <v>11475</v>
      </c>
      <c r="O19" s="20"/>
      <c r="P19" s="122">
        <f>P14-P16-P18</f>
        <v>3780</v>
      </c>
      <c r="Q19" s="91"/>
      <c r="R19" s="190">
        <f>R14-R16-R18</f>
        <v>11415</v>
      </c>
      <c r="S19" s="189"/>
      <c r="T19" s="191">
        <f>T14-T16-T18</f>
        <v>3720</v>
      </c>
      <c r="U19" s="91"/>
    </row>
    <row r="20" spans="1:21" ht="15" thickBot="1" x14ac:dyDescent="0.4">
      <c r="M20" s="83" t="s">
        <v>93</v>
      </c>
      <c r="N20" s="84">
        <f>N19*E17</f>
        <v>20655000</v>
      </c>
      <c r="O20" s="84"/>
      <c r="P20" s="124">
        <f>P19*F17</f>
        <v>11907000</v>
      </c>
      <c r="Q20" s="125"/>
      <c r="R20" s="110">
        <f>R19*E17</f>
        <v>20547000</v>
      </c>
      <c r="S20" s="94"/>
      <c r="T20" s="94">
        <f>T19*F17</f>
        <v>11718000</v>
      </c>
      <c r="U20" s="95"/>
    </row>
    <row r="21" spans="1:21" x14ac:dyDescent="0.35">
      <c r="M21" s="87" t="s">
        <v>120</v>
      </c>
      <c r="P21" s="87">
        <f>N20+P20</f>
        <v>32562000</v>
      </c>
      <c r="T21" s="87">
        <f>R20+T20</f>
        <v>32265000</v>
      </c>
    </row>
    <row r="24" spans="1:21" x14ac:dyDescent="0.35">
      <c r="A24" s="185" t="s">
        <v>178</v>
      </c>
    </row>
    <row r="25" spans="1:21" customFormat="1" x14ac:dyDescent="0.35">
      <c r="A25" s="8" t="s">
        <v>16</v>
      </c>
      <c r="B25" s="7"/>
      <c r="C25" s="7"/>
      <c r="F25" s="18"/>
      <c r="G25" s="57"/>
    </row>
    <row r="26" spans="1:21" customFormat="1" ht="15" thickBot="1" x14ac:dyDescent="0.4">
      <c r="D26" t="s">
        <v>82</v>
      </c>
      <c r="N26" s="169" t="s">
        <v>170</v>
      </c>
    </row>
    <row r="27" spans="1:21" customFormat="1" x14ac:dyDescent="0.35">
      <c r="B27" t="s">
        <v>79</v>
      </c>
      <c r="C27" t="s">
        <v>79</v>
      </c>
      <c r="D27" t="s">
        <v>37</v>
      </c>
      <c r="E27" t="s">
        <v>37</v>
      </c>
      <c r="F27" t="s">
        <v>37</v>
      </c>
      <c r="G27" t="s">
        <v>37</v>
      </c>
      <c r="H27" t="s">
        <v>37</v>
      </c>
      <c r="I27" t="s">
        <v>37</v>
      </c>
      <c r="J27" t="s">
        <v>37</v>
      </c>
      <c r="K27" t="s">
        <v>37</v>
      </c>
      <c r="L27" s="170" t="s">
        <v>37</v>
      </c>
      <c r="M27" t="s">
        <v>37</v>
      </c>
      <c r="N27" s="41"/>
      <c r="O27" s="42">
        <f>O5</f>
        <v>0.15</v>
      </c>
    </row>
    <row r="28" spans="1:21" customFormat="1" x14ac:dyDescent="0.35">
      <c r="A28" s="151" t="s">
        <v>11</v>
      </c>
      <c r="B28" s="52">
        <v>1</v>
      </c>
      <c r="C28" s="52">
        <v>2</v>
      </c>
      <c r="D28" s="52">
        <v>3</v>
      </c>
      <c r="E28" s="52">
        <v>4</v>
      </c>
      <c r="F28" s="52">
        <v>5</v>
      </c>
      <c r="G28" s="52">
        <v>6</v>
      </c>
      <c r="H28" s="52">
        <v>7</v>
      </c>
      <c r="I28" s="52">
        <v>8</v>
      </c>
      <c r="J28" s="52">
        <v>9</v>
      </c>
      <c r="K28" s="52">
        <v>10</v>
      </c>
      <c r="L28" s="52">
        <v>11</v>
      </c>
      <c r="M28" s="152">
        <v>12</v>
      </c>
      <c r="N28" s="11" t="s">
        <v>12</v>
      </c>
      <c r="O28" s="43">
        <f>NPV(O27,B39:M39)</f>
        <v>31969190.992233749</v>
      </c>
      <c r="Q28" s="126"/>
    </row>
    <row r="29" spans="1:21" customFormat="1" x14ac:dyDescent="0.35">
      <c r="A29" s="45" t="s">
        <v>125</v>
      </c>
      <c r="B29">
        <v>0</v>
      </c>
      <c r="C29">
        <v>0</v>
      </c>
      <c r="D29">
        <f>$P$21</f>
        <v>32562000</v>
      </c>
      <c r="E29">
        <f t="shared" ref="E29:M29" si="0">$P$21</f>
        <v>32562000</v>
      </c>
      <c r="F29">
        <f t="shared" si="0"/>
        <v>32562000</v>
      </c>
      <c r="G29">
        <f t="shared" si="0"/>
        <v>32562000</v>
      </c>
      <c r="H29">
        <f t="shared" si="0"/>
        <v>32562000</v>
      </c>
      <c r="I29">
        <f t="shared" si="0"/>
        <v>32562000</v>
      </c>
      <c r="J29">
        <f t="shared" si="0"/>
        <v>32562000</v>
      </c>
      <c r="K29">
        <f t="shared" si="0"/>
        <v>32562000</v>
      </c>
      <c r="L29">
        <f t="shared" si="0"/>
        <v>32562000</v>
      </c>
      <c r="M29">
        <f t="shared" si="0"/>
        <v>32562000</v>
      </c>
      <c r="N29" s="11" t="s">
        <v>56</v>
      </c>
      <c r="O29" s="12">
        <f>NPV(O27,B29:M29)/NPV(O27,B30:M30)</f>
        <v>1.3490060743513321</v>
      </c>
      <c r="Q29" s="126"/>
    </row>
    <row r="30" spans="1:21" customFormat="1" x14ac:dyDescent="0.35">
      <c r="A30" s="45" t="s">
        <v>58</v>
      </c>
      <c r="B30" s="2">
        <f>B31+B32+B36</f>
        <v>8999999.9999999981</v>
      </c>
      <c r="C30" s="2">
        <f>C31+C32+C36</f>
        <v>5999999.9999999991</v>
      </c>
      <c r="D30" s="2">
        <f>D31+D32+D36</f>
        <v>20880000</v>
      </c>
      <c r="E30" s="2">
        <f t="shared" ref="E30:M30" si="1">E31+E32+E36</f>
        <v>20880000</v>
      </c>
      <c r="F30" s="2">
        <f t="shared" si="1"/>
        <v>20880000</v>
      </c>
      <c r="G30" s="2">
        <f t="shared" si="1"/>
        <v>20880000</v>
      </c>
      <c r="H30" s="2">
        <f t="shared" si="1"/>
        <v>20880000</v>
      </c>
      <c r="I30" s="2">
        <f t="shared" si="1"/>
        <v>20880000</v>
      </c>
      <c r="J30" s="2">
        <f t="shared" si="1"/>
        <v>20880000</v>
      </c>
      <c r="K30" s="2">
        <f t="shared" si="1"/>
        <v>20880000</v>
      </c>
      <c r="L30" s="2">
        <f t="shared" si="1"/>
        <v>20880000</v>
      </c>
      <c r="M30" s="2">
        <f t="shared" si="1"/>
        <v>20880000</v>
      </c>
      <c r="N30" s="11"/>
      <c r="O30" s="12"/>
      <c r="Q30" s="126"/>
    </row>
    <row r="31" spans="1:21" customFormat="1" ht="15" thickBot="1" x14ac:dyDescent="0.4">
      <c r="A31" s="126" t="s">
        <v>122</v>
      </c>
      <c r="B31">
        <v>0</v>
      </c>
      <c r="C31">
        <v>0</v>
      </c>
      <c r="D31">
        <f>$G$17*$C$17</f>
        <v>11250000</v>
      </c>
      <c r="E31">
        <f t="shared" ref="E31:M31" si="2">$G$17*$C$17</f>
        <v>11250000</v>
      </c>
      <c r="F31">
        <f t="shared" si="2"/>
        <v>11250000</v>
      </c>
      <c r="G31">
        <f t="shared" si="2"/>
        <v>11250000</v>
      </c>
      <c r="H31">
        <f t="shared" si="2"/>
        <v>11250000</v>
      </c>
      <c r="I31">
        <f t="shared" si="2"/>
        <v>11250000</v>
      </c>
      <c r="J31">
        <f t="shared" si="2"/>
        <v>11250000</v>
      </c>
      <c r="K31">
        <f t="shared" si="2"/>
        <v>11250000</v>
      </c>
      <c r="L31">
        <f t="shared" si="2"/>
        <v>11250000</v>
      </c>
      <c r="M31">
        <f t="shared" si="2"/>
        <v>11250000</v>
      </c>
      <c r="N31" s="44" t="s">
        <v>13</v>
      </c>
      <c r="O31" s="16">
        <f>IRR(B39:M39)</f>
        <v>0.57324799047893005</v>
      </c>
      <c r="Q31" s="126"/>
    </row>
    <row r="32" spans="1:21" customFormat="1" x14ac:dyDescent="0.35">
      <c r="A32" s="126" t="s">
        <v>124</v>
      </c>
      <c r="B32">
        <v>0</v>
      </c>
      <c r="C32">
        <v>0</v>
      </c>
      <c r="D32">
        <f>$C$17*(($D$10*$C$10)+($C$11*$D$11))</f>
        <v>9630000</v>
      </c>
      <c r="E32">
        <f t="shared" ref="E32:M32" si="3">$C$17*(($D$10*$C$10)+($C$11*$D$11))</f>
        <v>9630000</v>
      </c>
      <c r="F32">
        <f t="shared" si="3"/>
        <v>9630000</v>
      </c>
      <c r="G32">
        <f t="shared" si="3"/>
        <v>9630000</v>
      </c>
      <c r="H32">
        <f t="shared" si="3"/>
        <v>9630000</v>
      </c>
      <c r="I32">
        <f t="shared" si="3"/>
        <v>9630000</v>
      </c>
      <c r="J32">
        <f t="shared" si="3"/>
        <v>9630000</v>
      </c>
      <c r="K32">
        <f t="shared" si="3"/>
        <v>9630000</v>
      </c>
      <c r="L32">
        <f t="shared" si="3"/>
        <v>9630000</v>
      </c>
      <c r="M32">
        <f t="shared" si="3"/>
        <v>9630000</v>
      </c>
      <c r="N32" s="1"/>
      <c r="O32" s="4"/>
      <c r="Q32" s="50"/>
    </row>
    <row r="33" spans="1:22" customFormat="1" x14ac:dyDescent="0.35">
      <c r="A33" s="153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"/>
      <c r="O33" s="4"/>
    </row>
    <row r="34" spans="1:22" customFormat="1" x14ac:dyDescent="0.35">
      <c r="A34" s="153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"/>
      <c r="O34" s="4"/>
    </row>
    <row r="35" spans="1:22" customFormat="1" x14ac:dyDescent="0.35">
      <c r="A35" s="50" t="s">
        <v>69</v>
      </c>
      <c r="N35" s="1"/>
      <c r="O35" s="4"/>
    </row>
    <row r="36" spans="1:22" customFormat="1" x14ac:dyDescent="0.35">
      <c r="A36" s="47" t="s">
        <v>61</v>
      </c>
      <c r="B36" s="2">
        <f>C3*(1-$J$3)</f>
        <v>8999999.9999999981</v>
      </c>
      <c r="C36" s="2">
        <f>C4*(1-$J$3)</f>
        <v>5999999.9999999991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U36" s="19"/>
      <c r="V36" s="20"/>
    </row>
    <row r="37" spans="1:22" customFormat="1" x14ac:dyDescent="0.35">
      <c r="A37" s="47" t="s">
        <v>62</v>
      </c>
      <c r="B37">
        <f>B36*$J$3</f>
        <v>7199999.9999999991</v>
      </c>
      <c r="C37">
        <f>C36*$J$3</f>
        <v>4799999.9999999991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U37" s="20"/>
      <c r="V37" s="20"/>
    </row>
    <row r="38" spans="1:22" customFormat="1" ht="15" thickBot="1" x14ac:dyDescent="0.4">
      <c r="A38" s="20"/>
      <c r="U38" s="20"/>
      <c r="V38" s="20"/>
    </row>
    <row r="39" spans="1:22" customFormat="1" ht="15" thickBot="1" x14ac:dyDescent="0.4">
      <c r="A39" s="129" t="s">
        <v>15</v>
      </c>
      <c r="B39" s="130">
        <f>B29-B30</f>
        <v>-8999999.9999999981</v>
      </c>
      <c r="C39" s="130">
        <f>C29-C30</f>
        <v>-5999999.9999999991</v>
      </c>
      <c r="D39" s="130">
        <f>D29-D30</f>
        <v>11682000</v>
      </c>
      <c r="E39" s="130">
        <f t="shared" ref="E39:M39" si="4">E29-E30</f>
        <v>11682000</v>
      </c>
      <c r="F39" s="130">
        <f t="shared" si="4"/>
        <v>11682000</v>
      </c>
      <c r="G39" s="130">
        <f t="shared" si="4"/>
        <v>11682000</v>
      </c>
      <c r="H39" s="130">
        <f t="shared" si="4"/>
        <v>11682000</v>
      </c>
      <c r="I39" s="130">
        <f t="shared" si="4"/>
        <v>11682000</v>
      </c>
      <c r="J39" s="130">
        <f t="shared" si="4"/>
        <v>11682000</v>
      </c>
      <c r="K39" s="130">
        <f t="shared" si="4"/>
        <v>11682000</v>
      </c>
      <c r="L39" s="130">
        <f t="shared" si="4"/>
        <v>11682000</v>
      </c>
      <c r="M39" s="130">
        <f t="shared" si="4"/>
        <v>11682000</v>
      </c>
    </row>
    <row r="40" spans="1:22" customFormat="1" x14ac:dyDescent="0.35">
      <c r="A40" s="183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22" x14ac:dyDescent="0.35">
      <c r="A41" s="186" t="s">
        <v>179</v>
      </c>
    </row>
    <row r="42" spans="1:22" customFormat="1" x14ac:dyDescent="0.35">
      <c r="A42" s="8" t="s">
        <v>16</v>
      </c>
      <c r="B42" s="7"/>
      <c r="C42" s="7"/>
      <c r="F42" s="18"/>
      <c r="G42" s="57"/>
    </row>
    <row r="43" spans="1:22" customFormat="1" ht="15" thickBot="1" x14ac:dyDescent="0.4">
      <c r="D43" t="s">
        <v>82</v>
      </c>
      <c r="N43" s="169" t="s">
        <v>170</v>
      </c>
    </row>
    <row r="44" spans="1:22" customFormat="1" x14ac:dyDescent="0.35">
      <c r="B44" t="s">
        <v>79</v>
      </c>
      <c r="C44" t="s">
        <v>79</v>
      </c>
      <c r="D44" t="s">
        <v>37</v>
      </c>
      <c r="E44" t="s">
        <v>37</v>
      </c>
      <c r="F44" t="s">
        <v>37</v>
      </c>
      <c r="G44" t="s">
        <v>37</v>
      </c>
      <c r="H44" t="s">
        <v>37</v>
      </c>
      <c r="I44" t="s">
        <v>37</v>
      </c>
      <c r="J44" t="s">
        <v>37</v>
      </c>
      <c r="K44" t="s">
        <v>37</v>
      </c>
      <c r="L44" s="170" t="s">
        <v>37</v>
      </c>
      <c r="M44" t="s">
        <v>37</v>
      </c>
      <c r="N44" s="41"/>
      <c r="O44" s="42">
        <v>0.1</v>
      </c>
    </row>
    <row r="45" spans="1:22" customFormat="1" x14ac:dyDescent="0.35">
      <c r="A45" s="151" t="s">
        <v>11</v>
      </c>
      <c r="B45" s="52">
        <v>1</v>
      </c>
      <c r="C45" s="52">
        <v>2</v>
      </c>
      <c r="D45" s="52">
        <v>3</v>
      </c>
      <c r="E45" s="52">
        <v>4</v>
      </c>
      <c r="F45" s="52">
        <v>5</v>
      </c>
      <c r="G45" s="52">
        <v>6</v>
      </c>
      <c r="H45" s="52">
        <v>7</v>
      </c>
      <c r="I45" s="52">
        <v>8</v>
      </c>
      <c r="J45" s="52">
        <v>9</v>
      </c>
      <c r="K45" s="52">
        <v>10</v>
      </c>
      <c r="L45" s="52">
        <v>11</v>
      </c>
      <c r="M45" s="152">
        <v>12</v>
      </c>
      <c r="N45" s="11" t="s">
        <v>12</v>
      </c>
      <c r="O45" s="43">
        <f>NPV(O44,B53:M53)</f>
        <v>982659.44883918972</v>
      </c>
      <c r="Q45" s="126"/>
    </row>
    <row r="46" spans="1:22" customFormat="1" x14ac:dyDescent="0.35">
      <c r="A46" s="45" t="s">
        <v>60</v>
      </c>
      <c r="B46">
        <v>0</v>
      </c>
      <c r="C46">
        <v>0</v>
      </c>
      <c r="D46">
        <f>D47</f>
        <v>11250000</v>
      </c>
      <c r="E46">
        <f t="shared" ref="E46:M46" si="5">E47</f>
        <v>11250000</v>
      </c>
      <c r="F46">
        <f t="shared" si="5"/>
        <v>11250000</v>
      </c>
      <c r="G46">
        <f t="shared" si="5"/>
        <v>11250000</v>
      </c>
      <c r="H46">
        <f t="shared" si="5"/>
        <v>11250000</v>
      </c>
      <c r="I46">
        <f t="shared" si="5"/>
        <v>11250000</v>
      </c>
      <c r="J46">
        <f t="shared" si="5"/>
        <v>11250000</v>
      </c>
      <c r="K46">
        <f t="shared" si="5"/>
        <v>11250000</v>
      </c>
      <c r="L46">
        <f t="shared" si="5"/>
        <v>11250000</v>
      </c>
      <c r="M46">
        <f t="shared" si="5"/>
        <v>0</v>
      </c>
      <c r="N46" s="11" t="s">
        <v>56</v>
      </c>
      <c r="O46" s="12">
        <f>NPV(O44,B46:M46)/NPV(O44,B48:M48)</f>
        <v>1.0186952505203684</v>
      </c>
      <c r="Q46" s="126"/>
    </row>
    <row r="47" spans="1:22" customFormat="1" x14ac:dyDescent="0.35">
      <c r="A47" s="126" t="s">
        <v>180</v>
      </c>
      <c r="B47">
        <v>0</v>
      </c>
      <c r="C47">
        <v>0</v>
      </c>
      <c r="D47">
        <f>$G$17*$C$17</f>
        <v>11250000</v>
      </c>
      <c r="E47">
        <f t="shared" ref="E47:L47" si="6">$G$17*$C$17</f>
        <v>11250000</v>
      </c>
      <c r="F47">
        <f t="shared" si="6"/>
        <v>11250000</v>
      </c>
      <c r="G47">
        <f t="shared" si="6"/>
        <v>11250000</v>
      </c>
      <c r="H47">
        <f t="shared" si="6"/>
        <v>11250000</v>
      </c>
      <c r="I47">
        <f t="shared" si="6"/>
        <v>11250000</v>
      </c>
      <c r="J47">
        <f t="shared" si="6"/>
        <v>11250000</v>
      </c>
      <c r="K47">
        <f t="shared" si="6"/>
        <v>11250000</v>
      </c>
      <c r="L47">
        <f t="shared" si="6"/>
        <v>11250000</v>
      </c>
      <c r="N47" s="11"/>
      <c r="O47" s="12"/>
      <c r="Q47" s="126"/>
    </row>
    <row r="48" spans="1:22" customFormat="1" x14ac:dyDescent="0.35">
      <c r="A48" s="45" t="s">
        <v>58</v>
      </c>
      <c r="B48" s="2">
        <f>B50</f>
        <v>36000000</v>
      </c>
      <c r="C48" s="2">
        <f t="shared" ref="C48:M48" si="7">C50</f>
        <v>24000000</v>
      </c>
      <c r="D48" s="2">
        <f t="shared" si="7"/>
        <v>0</v>
      </c>
      <c r="E48" s="2">
        <f t="shared" si="7"/>
        <v>0</v>
      </c>
      <c r="F48" s="2">
        <f t="shared" si="7"/>
        <v>0</v>
      </c>
      <c r="G48" s="2">
        <f t="shared" si="7"/>
        <v>0</v>
      </c>
      <c r="H48" s="2">
        <f t="shared" si="7"/>
        <v>0</v>
      </c>
      <c r="I48" s="2">
        <f t="shared" si="7"/>
        <v>0</v>
      </c>
      <c r="J48" s="2">
        <f t="shared" si="7"/>
        <v>0</v>
      </c>
      <c r="K48" s="2">
        <f t="shared" si="7"/>
        <v>0</v>
      </c>
      <c r="L48" s="2">
        <f t="shared" si="7"/>
        <v>0</v>
      </c>
      <c r="M48" s="2">
        <f t="shared" si="7"/>
        <v>0</v>
      </c>
      <c r="N48" s="11"/>
      <c r="O48" s="12"/>
      <c r="Q48" s="126"/>
    </row>
    <row r="49" spans="1:22" customFormat="1" ht="15" thickBot="1" x14ac:dyDescent="0.4">
      <c r="A49" s="50" t="s">
        <v>69</v>
      </c>
      <c r="N49" s="44" t="s">
        <v>13</v>
      </c>
      <c r="O49" s="16">
        <f>IRR(B53:M53)</f>
        <v>0.10409608077133981</v>
      </c>
      <c r="Q49" s="126"/>
    </row>
    <row r="50" spans="1:22" customFormat="1" x14ac:dyDescent="0.35">
      <c r="A50" s="47" t="s">
        <v>61</v>
      </c>
      <c r="B50" s="2">
        <f>C3*$J$3</f>
        <v>36000000</v>
      </c>
      <c r="C50" s="2">
        <f>C4*$J$3</f>
        <v>24000000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1"/>
      <c r="O50" s="4"/>
      <c r="Q50" s="50"/>
    </row>
    <row r="51" spans="1:22" customFormat="1" x14ac:dyDescent="0.35">
      <c r="A51" s="47" t="s">
        <v>62</v>
      </c>
      <c r="B51">
        <f>B50*$J$3</f>
        <v>28800000</v>
      </c>
      <c r="C51">
        <f>C50*$J$3</f>
        <v>19200000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1"/>
      <c r="O51" s="4"/>
    </row>
    <row r="52" spans="1:22" customFormat="1" ht="15" thickBot="1" x14ac:dyDescent="0.4">
      <c r="A52" s="20"/>
      <c r="N52" s="1"/>
      <c r="O52" s="4"/>
    </row>
    <row r="53" spans="1:22" customFormat="1" ht="15" thickBot="1" x14ac:dyDescent="0.4">
      <c r="A53" s="129" t="s">
        <v>15</v>
      </c>
      <c r="B53" s="130">
        <f>B46-B48</f>
        <v>-36000000</v>
      </c>
      <c r="C53" s="130">
        <f>C46-C48</f>
        <v>-24000000</v>
      </c>
      <c r="D53" s="130">
        <f>D46-D48</f>
        <v>11250000</v>
      </c>
      <c r="E53" s="130">
        <f>E46-E48</f>
        <v>11250000</v>
      </c>
      <c r="F53" s="130">
        <f>F46-F48</f>
        <v>11250000</v>
      </c>
      <c r="G53" s="130">
        <f>G46-G48</f>
        <v>11250000</v>
      </c>
      <c r="H53" s="130">
        <f>H46-H48</f>
        <v>11250000</v>
      </c>
      <c r="I53" s="130">
        <f>I46-I48</f>
        <v>11250000</v>
      </c>
      <c r="J53" s="130">
        <f>J46-J48</f>
        <v>11250000</v>
      </c>
      <c r="K53" s="130">
        <f>K46-K48</f>
        <v>11250000</v>
      </c>
      <c r="L53" s="130">
        <f>L46-L48</f>
        <v>11250000</v>
      </c>
      <c r="M53" s="130">
        <f>M46-M48</f>
        <v>0</v>
      </c>
      <c r="N53" s="1"/>
      <c r="O53" s="4"/>
    </row>
    <row r="54" spans="1:22" customFormat="1" x14ac:dyDescent="0.35">
      <c r="A54" s="183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U54" s="19"/>
      <c r="V54" s="20"/>
    </row>
    <row r="55" spans="1:22" customFormat="1" x14ac:dyDescent="0.35">
      <c r="U55" s="20"/>
      <c r="V55" s="20"/>
    </row>
    <row r="56" spans="1:22" customFormat="1" x14ac:dyDescent="0.35">
      <c r="A56" s="87"/>
      <c r="U56" s="20"/>
      <c r="V56" s="20"/>
    </row>
    <row r="57" spans="1:22" customFormat="1" x14ac:dyDescent="0.35">
      <c r="A57" s="87"/>
    </row>
    <row r="58" spans="1:22" customFormat="1" x14ac:dyDescent="0.35">
      <c r="A58" s="59" t="s">
        <v>74</v>
      </c>
      <c r="B58" s="60"/>
      <c r="C58" s="60"/>
      <c r="F58" s="18"/>
      <c r="G58" s="57"/>
    </row>
    <row r="59" spans="1:22" customFormat="1" x14ac:dyDescent="0.35">
      <c r="D59" t="s">
        <v>82</v>
      </c>
    </row>
    <row r="60" spans="1:22" customFormat="1" x14ac:dyDescent="0.35">
      <c r="B60" t="s">
        <v>79</v>
      </c>
      <c r="C60" t="s">
        <v>79</v>
      </c>
      <c r="D60" t="s">
        <v>37</v>
      </c>
      <c r="E60" t="s">
        <v>37</v>
      </c>
      <c r="F60" t="s">
        <v>37</v>
      </c>
      <c r="G60" t="s">
        <v>37</v>
      </c>
      <c r="H60" t="s">
        <v>37</v>
      </c>
      <c r="I60" t="s">
        <v>37</v>
      </c>
      <c r="J60" t="s">
        <v>37</v>
      </c>
      <c r="K60" t="s">
        <v>37</v>
      </c>
      <c r="L60" t="s">
        <v>37</v>
      </c>
      <c r="M60" t="s">
        <v>37</v>
      </c>
    </row>
    <row r="61" spans="1:22" customFormat="1" x14ac:dyDescent="0.35">
      <c r="A61" s="151" t="s">
        <v>11</v>
      </c>
      <c r="B61" s="52">
        <v>1</v>
      </c>
      <c r="C61" s="52">
        <v>2</v>
      </c>
      <c r="D61" s="52">
        <v>3</v>
      </c>
      <c r="E61" s="52">
        <v>4</v>
      </c>
      <c r="F61" s="52">
        <v>5</v>
      </c>
      <c r="G61" s="52">
        <v>6</v>
      </c>
      <c r="H61" s="52">
        <v>7</v>
      </c>
      <c r="I61" s="52">
        <v>8</v>
      </c>
      <c r="J61" s="52">
        <v>9</v>
      </c>
      <c r="K61" s="52">
        <v>10</v>
      </c>
      <c r="L61" s="52">
        <v>11</v>
      </c>
      <c r="M61" s="152">
        <v>12</v>
      </c>
    </row>
    <row r="62" spans="1:22" customFormat="1" x14ac:dyDescent="0.35">
      <c r="A62" s="45" t="s">
        <v>125</v>
      </c>
      <c r="B62">
        <v>0</v>
      </c>
      <c r="C62">
        <v>0</v>
      </c>
      <c r="D62">
        <f>$T$21</f>
        <v>32265000</v>
      </c>
      <c r="E62">
        <f t="shared" ref="E62:M62" si="8">$T$21</f>
        <v>32265000</v>
      </c>
      <c r="F62">
        <f t="shared" si="8"/>
        <v>32265000</v>
      </c>
      <c r="G62">
        <f t="shared" si="8"/>
        <v>32265000</v>
      </c>
      <c r="H62">
        <f t="shared" si="8"/>
        <v>32265000</v>
      </c>
      <c r="I62">
        <f t="shared" si="8"/>
        <v>32265000</v>
      </c>
      <c r="J62">
        <f t="shared" si="8"/>
        <v>32265000</v>
      </c>
      <c r="K62">
        <f t="shared" si="8"/>
        <v>32265000</v>
      </c>
      <c r="L62">
        <f t="shared" si="8"/>
        <v>32265000</v>
      </c>
      <c r="M62">
        <f t="shared" si="8"/>
        <v>32265000</v>
      </c>
    </row>
    <row r="63" spans="1:22" ht="15" thickBot="1" x14ac:dyDescent="0.4">
      <c r="A63" s="45" t="s">
        <v>58</v>
      </c>
      <c r="B63" s="2">
        <f>B64+B65+B69</f>
        <v>41400000</v>
      </c>
      <c r="C63" s="2">
        <f>C64+C65+C69</f>
        <v>27600000</v>
      </c>
      <c r="D63" s="2">
        <f>D64+D65+D69</f>
        <v>21654000</v>
      </c>
      <c r="E63" s="2">
        <f t="shared" ref="E63" si="9">E64+E65+E69</f>
        <v>21654000</v>
      </c>
      <c r="F63" s="2">
        <f t="shared" ref="F63" si="10">F64+F65+F69</f>
        <v>21654000</v>
      </c>
      <c r="G63" s="2">
        <f t="shared" ref="G63" si="11">G64+G65+G69</f>
        <v>21654000</v>
      </c>
      <c r="H63" s="2">
        <f t="shared" ref="H63" si="12">H64+H65+H69</f>
        <v>21654000</v>
      </c>
      <c r="I63" s="2">
        <f t="shared" ref="I63" si="13">I64+I65+I69</f>
        <v>21654000</v>
      </c>
      <c r="J63" s="2">
        <f t="shared" ref="J63" si="14">J64+J65+J69</f>
        <v>21654000</v>
      </c>
      <c r="K63" s="2">
        <f t="shared" ref="K63" si="15">K64+K65+K69</f>
        <v>21654000</v>
      </c>
      <c r="L63" s="2">
        <f t="shared" ref="L63" si="16">L64+L65+L69</f>
        <v>21654000</v>
      </c>
      <c r="M63" s="2">
        <f t="shared" ref="M63" si="17">M64+M65+M69</f>
        <v>21654000</v>
      </c>
      <c r="N63"/>
      <c r="O63"/>
    </row>
    <row r="64" spans="1:22" x14ac:dyDescent="0.35">
      <c r="A64" s="126" t="s">
        <v>122</v>
      </c>
      <c r="B64">
        <v>0</v>
      </c>
      <c r="C64">
        <v>0</v>
      </c>
      <c r="D64">
        <f>$G$17*$C$17</f>
        <v>11250000</v>
      </c>
      <c r="E64">
        <f t="shared" ref="E64:M64" si="18">$G$17*$C$17</f>
        <v>11250000</v>
      </c>
      <c r="F64">
        <f t="shared" si="18"/>
        <v>11250000</v>
      </c>
      <c r="G64">
        <f t="shared" si="18"/>
        <v>11250000</v>
      </c>
      <c r="H64">
        <f t="shared" si="18"/>
        <v>11250000</v>
      </c>
      <c r="I64">
        <f t="shared" si="18"/>
        <v>11250000</v>
      </c>
      <c r="J64">
        <f t="shared" si="18"/>
        <v>11250000</v>
      </c>
      <c r="K64">
        <f t="shared" si="18"/>
        <v>11250000</v>
      </c>
      <c r="L64">
        <f t="shared" si="18"/>
        <v>11250000</v>
      </c>
      <c r="M64">
        <f t="shared" si="18"/>
        <v>11250000</v>
      </c>
      <c r="N64" s="41"/>
      <c r="O64" s="42">
        <v>0.1</v>
      </c>
    </row>
    <row r="65" spans="1:15" x14ac:dyDescent="0.35">
      <c r="A65" s="126" t="s">
        <v>124</v>
      </c>
      <c r="B65">
        <v>0</v>
      </c>
      <c r="C65">
        <v>0</v>
      </c>
      <c r="D65">
        <f>$C$17*(($D$12*$C$10)+($C$11*$D$13))</f>
        <v>10404000</v>
      </c>
      <c r="E65">
        <f t="shared" ref="E65:M65" si="19">$C$17*(($D$12*$C$10)+($C$11*$D$13))</f>
        <v>10404000</v>
      </c>
      <c r="F65">
        <f t="shared" si="19"/>
        <v>10404000</v>
      </c>
      <c r="G65">
        <f t="shared" si="19"/>
        <v>10404000</v>
      </c>
      <c r="H65">
        <f t="shared" si="19"/>
        <v>10404000</v>
      </c>
      <c r="I65">
        <f t="shared" si="19"/>
        <v>10404000</v>
      </c>
      <c r="J65">
        <f t="shared" si="19"/>
        <v>10404000</v>
      </c>
      <c r="K65">
        <f t="shared" si="19"/>
        <v>10404000</v>
      </c>
      <c r="L65">
        <f t="shared" si="19"/>
        <v>10404000</v>
      </c>
      <c r="M65">
        <f t="shared" si="19"/>
        <v>10404000</v>
      </c>
      <c r="N65" s="11" t="s">
        <v>12</v>
      </c>
      <c r="O65" s="43">
        <f>NPV(O64,B72:M72)</f>
        <v>-6561982.182948472</v>
      </c>
    </row>
    <row r="66" spans="1:15" x14ac:dyDescent="0.35">
      <c r="A66" s="153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1" t="s">
        <v>56</v>
      </c>
      <c r="O66" s="12">
        <f>NPV(O64,B62:M62)/NPV(O64,B63:M63)</f>
        <v>0.96149266769204444</v>
      </c>
    </row>
    <row r="67" spans="1:15" x14ac:dyDescent="0.35">
      <c r="A67" s="153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1"/>
      <c r="O67" s="12"/>
    </row>
    <row r="68" spans="1:15" ht="15" thickBot="1" x14ac:dyDescent="0.4">
      <c r="A68" s="50" t="s">
        <v>69</v>
      </c>
      <c r="B68"/>
      <c r="C68"/>
      <c r="D68"/>
      <c r="E68"/>
      <c r="F68"/>
      <c r="G68"/>
      <c r="H68"/>
      <c r="I68"/>
      <c r="J68"/>
      <c r="K68"/>
      <c r="L68"/>
      <c r="M68"/>
      <c r="N68" s="44" t="s">
        <v>13</v>
      </c>
      <c r="O68" s="16">
        <f>IRR(B72:M72)</f>
        <v>7.6963358141206584E-2</v>
      </c>
    </row>
    <row r="69" spans="1:15" x14ac:dyDescent="0.35">
      <c r="A69" s="47" t="s">
        <v>61</v>
      </c>
      <c r="B69" s="194">
        <f>C5</f>
        <v>41400000</v>
      </c>
      <c r="C69" s="194">
        <f>C6</f>
        <v>27600000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1"/>
      <c r="O69" s="4"/>
    </row>
    <row r="70" spans="1:15" x14ac:dyDescent="0.35">
      <c r="A70" s="47" t="s">
        <v>62</v>
      </c>
      <c r="B70" s="17">
        <f>B69*$J$3</f>
        <v>33120000</v>
      </c>
      <c r="C70" s="17">
        <f>C69*$J$3</f>
        <v>22080000</v>
      </c>
      <c r="N70" s="1"/>
      <c r="O70" s="4"/>
    </row>
    <row r="71" spans="1:15" ht="15" thickBot="1" x14ac:dyDescent="0.4">
      <c r="A71" s="20"/>
      <c r="B71"/>
      <c r="C71"/>
      <c r="D71"/>
      <c r="E71"/>
      <c r="F71"/>
      <c r="G71"/>
      <c r="H71"/>
      <c r="I71"/>
      <c r="J71"/>
      <c r="K71"/>
      <c r="L71"/>
      <c r="M71"/>
      <c r="N71" s="1"/>
      <c r="O71" s="4"/>
    </row>
    <row r="72" spans="1:15" ht="15" thickBot="1" x14ac:dyDescent="0.4">
      <c r="A72" s="129" t="s">
        <v>15</v>
      </c>
      <c r="B72" s="130">
        <f>B62-B63</f>
        <v>-41400000</v>
      </c>
      <c r="C72" s="130">
        <f>C62-C63</f>
        <v>-27600000</v>
      </c>
      <c r="D72" s="130">
        <f>D62-D63</f>
        <v>10611000</v>
      </c>
      <c r="E72" s="130">
        <f t="shared" ref="E72:M72" si="20">E62-E63</f>
        <v>10611000</v>
      </c>
      <c r="F72" s="130">
        <f t="shared" si="20"/>
        <v>10611000</v>
      </c>
      <c r="G72" s="130">
        <f t="shared" si="20"/>
        <v>10611000</v>
      </c>
      <c r="H72" s="130">
        <f t="shared" si="20"/>
        <v>10611000</v>
      </c>
      <c r="I72" s="130">
        <f t="shared" si="20"/>
        <v>10611000</v>
      </c>
      <c r="J72" s="130">
        <f t="shared" si="20"/>
        <v>10611000</v>
      </c>
      <c r="K72" s="130">
        <f t="shared" si="20"/>
        <v>10611000</v>
      </c>
      <c r="L72" s="130">
        <f t="shared" si="20"/>
        <v>10611000</v>
      </c>
      <c r="M72" s="130">
        <f t="shared" si="20"/>
        <v>10611000</v>
      </c>
      <c r="N72" s="1"/>
      <c r="O72" s="4"/>
    </row>
    <row r="73" spans="1:15" x14ac:dyDescent="0.35">
      <c r="N73"/>
      <c r="O73"/>
    </row>
    <row r="74" spans="1:15" x14ac:dyDescent="0.35">
      <c r="N74"/>
      <c r="O74"/>
    </row>
    <row r="75" spans="1:15" x14ac:dyDescent="0.35">
      <c r="B75" s="87" t="s">
        <v>182</v>
      </c>
      <c r="N75"/>
      <c r="O75"/>
    </row>
    <row r="76" spans="1:15" x14ac:dyDescent="0.35">
      <c r="N76"/>
      <c r="O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46C2-30FE-43AE-A694-2BA34C4EAA6B}">
  <dimension ref="A1:Q70"/>
  <sheetViews>
    <sheetView topLeftCell="A26" zoomScale="65" workbookViewId="0">
      <selection activeCell="G43" sqref="G43"/>
    </sheetView>
  </sheetViews>
  <sheetFormatPr defaultRowHeight="14.5" x14ac:dyDescent="0.35"/>
  <cols>
    <col min="1" max="1" width="24.90625" customWidth="1"/>
    <col min="2" max="2" width="20.26953125" customWidth="1"/>
    <col min="3" max="3" width="21.36328125" bestFit="1" customWidth="1"/>
    <col min="4" max="4" width="11.453125" bestFit="1" customWidth="1"/>
    <col min="5" max="5" width="19.7265625" customWidth="1"/>
    <col min="6" max="6" width="15.08984375" customWidth="1"/>
    <col min="7" max="7" width="16.90625" customWidth="1"/>
    <col min="8" max="8" width="11.453125" bestFit="1" customWidth="1"/>
    <col min="9" max="9" width="28" customWidth="1"/>
    <col min="10" max="10" width="20.6328125" customWidth="1"/>
    <col min="11" max="13" width="11.453125" bestFit="1" customWidth="1"/>
    <col min="15" max="15" width="16.6328125" bestFit="1" customWidth="1"/>
  </cols>
  <sheetData>
    <row r="1" spans="1:12" ht="15" thickBot="1" x14ac:dyDescent="0.4">
      <c r="A1" s="131" t="s">
        <v>126</v>
      </c>
      <c r="B1" s="131" t="s">
        <v>0</v>
      </c>
      <c r="C1" s="131" t="s">
        <v>127</v>
      </c>
      <c r="J1" t="s">
        <v>167</v>
      </c>
      <c r="K1" t="s">
        <v>168</v>
      </c>
    </row>
    <row r="2" spans="1:12" x14ac:dyDescent="0.35">
      <c r="A2" s="132" t="s">
        <v>128</v>
      </c>
      <c r="B2" s="9"/>
      <c r="C2" s="10"/>
      <c r="E2" s="132" t="s">
        <v>136</v>
      </c>
      <c r="F2" s="9"/>
      <c r="G2" s="10"/>
      <c r="I2" s="143" t="s">
        <v>166</v>
      </c>
      <c r="J2" s="37">
        <v>1</v>
      </c>
      <c r="K2" s="37">
        <v>1000</v>
      </c>
      <c r="L2" s="37"/>
    </row>
    <row r="3" spans="1:12" x14ac:dyDescent="0.35">
      <c r="A3" s="133" t="s">
        <v>129</v>
      </c>
      <c r="B3" s="37">
        <v>5</v>
      </c>
      <c r="C3" s="134" t="s">
        <v>130</v>
      </c>
      <c r="E3" s="13"/>
      <c r="F3" s="37" t="s">
        <v>138</v>
      </c>
      <c r="G3" s="134" t="s">
        <v>140</v>
      </c>
      <c r="I3" s="37"/>
      <c r="J3" s="171"/>
      <c r="K3" s="38"/>
      <c r="L3" s="37"/>
    </row>
    <row r="4" spans="1:12" x14ac:dyDescent="0.35">
      <c r="A4" s="133" t="s">
        <v>131</v>
      </c>
      <c r="B4" s="37">
        <v>300</v>
      </c>
      <c r="C4" s="134" t="s">
        <v>132</v>
      </c>
      <c r="E4" s="133" t="s">
        <v>137</v>
      </c>
      <c r="F4" s="37">
        <v>900</v>
      </c>
      <c r="G4" s="134"/>
    </row>
    <row r="5" spans="1:12" ht="15" thickBot="1" x14ac:dyDescent="0.4">
      <c r="A5" s="133" t="s">
        <v>133</v>
      </c>
      <c r="B5" s="37">
        <v>400</v>
      </c>
      <c r="C5" s="134" t="s">
        <v>132</v>
      </c>
      <c r="E5" s="14" t="s">
        <v>139</v>
      </c>
      <c r="F5" s="138"/>
      <c r="G5" s="137">
        <v>125</v>
      </c>
    </row>
    <row r="6" spans="1:12" ht="15" thickBot="1" x14ac:dyDescent="0.4">
      <c r="A6" s="172"/>
      <c r="B6" s="136"/>
      <c r="C6" s="137"/>
      <c r="D6" s="37"/>
      <c r="I6" s="26" t="s">
        <v>94</v>
      </c>
      <c r="J6" s="146" t="s">
        <v>158</v>
      </c>
      <c r="K6" s="147" t="s">
        <v>159</v>
      </c>
    </row>
    <row r="7" spans="1:12" ht="15" thickBot="1" x14ac:dyDescent="0.4">
      <c r="A7" s="37"/>
      <c r="B7" s="38"/>
      <c r="E7" s="132" t="s">
        <v>141</v>
      </c>
      <c r="F7" s="9"/>
      <c r="G7" s="139"/>
      <c r="I7" s="32" t="s">
        <v>85</v>
      </c>
      <c r="J7" s="20"/>
      <c r="K7" s="23">
        <f>(B3*1000)</f>
        <v>5000</v>
      </c>
    </row>
    <row r="8" spans="1:12" x14ac:dyDescent="0.35">
      <c r="A8" s="132" t="s">
        <v>134</v>
      </c>
      <c r="B8" s="9"/>
      <c r="C8" s="176" t="s">
        <v>73</v>
      </c>
      <c r="E8" s="133" t="s">
        <v>142</v>
      </c>
      <c r="F8" s="37">
        <v>140</v>
      </c>
      <c r="G8" s="134" t="s">
        <v>143</v>
      </c>
      <c r="I8" s="32" t="s">
        <v>86</v>
      </c>
      <c r="J8" s="20"/>
      <c r="K8" s="23">
        <f>B4</f>
        <v>300</v>
      </c>
    </row>
    <row r="9" spans="1:12" x14ac:dyDescent="0.35">
      <c r="A9" s="173" t="s">
        <v>156</v>
      </c>
      <c r="B9" s="38">
        <v>0.05</v>
      </c>
      <c r="C9" s="177">
        <f>(1+B9)/(1+$B$11)-1</f>
        <v>2.941176470588247E-2</v>
      </c>
      <c r="E9" s="133" t="s">
        <v>144</v>
      </c>
      <c r="F9" s="37">
        <v>120</v>
      </c>
      <c r="G9" s="134" t="s">
        <v>143</v>
      </c>
      <c r="I9" s="28" t="s">
        <v>87</v>
      </c>
      <c r="J9" s="20"/>
      <c r="K9" s="23">
        <f>K7-K8</f>
        <v>4700</v>
      </c>
    </row>
    <row r="10" spans="1:12" x14ac:dyDescent="0.35">
      <c r="A10" s="173" t="s">
        <v>155</v>
      </c>
      <c r="B10" s="38">
        <v>0.03</v>
      </c>
      <c r="C10" s="177">
        <f t="shared" ref="C10:C13" si="0">(1+B10)/(1+$B$11)-1</f>
        <v>9.8039215686274161E-3</v>
      </c>
      <c r="E10" s="133" t="s">
        <v>145</v>
      </c>
      <c r="F10" s="37">
        <v>450</v>
      </c>
      <c r="G10" s="134" t="s">
        <v>143</v>
      </c>
      <c r="I10" s="32" t="s">
        <v>89</v>
      </c>
      <c r="J10" s="20" t="s">
        <v>163</v>
      </c>
      <c r="K10" s="23"/>
    </row>
    <row r="11" spans="1:12" x14ac:dyDescent="0.35">
      <c r="A11" s="133" t="s">
        <v>135</v>
      </c>
      <c r="B11" s="38">
        <v>0.02</v>
      </c>
      <c r="C11" s="177"/>
      <c r="E11" s="133" t="s">
        <v>146</v>
      </c>
      <c r="F11" s="37">
        <v>500</v>
      </c>
      <c r="G11" s="134" t="s">
        <v>143</v>
      </c>
      <c r="I11" s="81" t="s">
        <v>28</v>
      </c>
      <c r="J11" s="20"/>
      <c r="K11" s="23">
        <f>B5</f>
        <v>400</v>
      </c>
    </row>
    <row r="12" spans="1:12" x14ac:dyDescent="0.35">
      <c r="A12" s="173" t="s">
        <v>154</v>
      </c>
      <c r="B12" s="38">
        <v>0.02</v>
      </c>
      <c r="C12" s="177">
        <f>(1+B12)/(1+$B$11)-1</f>
        <v>0</v>
      </c>
      <c r="E12" s="133" t="s">
        <v>147</v>
      </c>
      <c r="F12" s="37">
        <v>800</v>
      </c>
      <c r="G12" s="134" t="s">
        <v>132</v>
      </c>
      <c r="I12" s="28" t="s">
        <v>92</v>
      </c>
      <c r="J12" s="20"/>
      <c r="K12" s="23">
        <f>K9+K11</f>
        <v>5100</v>
      </c>
    </row>
    <row r="13" spans="1:12" ht="15" thickBot="1" x14ac:dyDescent="0.4">
      <c r="A13" s="172" t="s">
        <v>157</v>
      </c>
      <c r="B13" s="136">
        <v>-0.01</v>
      </c>
      <c r="C13" s="178">
        <f t="shared" si="0"/>
        <v>-2.9411764705882359E-2</v>
      </c>
      <c r="E13" s="135" t="s">
        <v>148</v>
      </c>
      <c r="F13" s="138">
        <v>0.3</v>
      </c>
      <c r="G13" s="137"/>
      <c r="I13" s="142" t="s">
        <v>93</v>
      </c>
      <c r="J13" s="145"/>
      <c r="K13" s="34">
        <f>K12*(F4*G5)</f>
        <v>573750000</v>
      </c>
    </row>
    <row r="14" spans="1:12" ht="15" thickBot="1" x14ac:dyDescent="0.4">
      <c r="I14" s="144"/>
      <c r="J14" s="20"/>
      <c r="K14" s="20"/>
    </row>
    <row r="15" spans="1:12" x14ac:dyDescent="0.35">
      <c r="A15" s="132" t="s">
        <v>160</v>
      </c>
      <c r="B15" s="10"/>
      <c r="E15" s="132" t="s">
        <v>149</v>
      </c>
      <c r="F15" s="140"/>
      <c r="G15" s="10"/>
      <c r="I15" s="18"/>
      <c r="J15" s="20"/>
      <c r="K15" s="20"/>
    </row>
    <row r="16" spans="1:12" x14ac:dyDescent="0.35">
      <c r="A16" s="133" t="s">
        <v>169</v>
      </c>
      <c r="B16" s="148">
        <v>1500000</v>
      </c>
      <c r="E16" s="133" t="s">
        <v>150</v>
      </c>
      <c r="F16" s="37">
        <v>1.3</v>
      </c>
      <c r="G16" s="12"/>
      <c r="I16" s="18"/>
      <c r="J16" s="20"/>
      <c r="K16" s="20"/>
    </row>
    <row r="17" spans="1:17" x14ac:dyDescent="0.35">
      <c r="A17" s="133" t="s">
        <v>10</v>
      </c>
      <c r="B17" s="15">
        <v>1</v>
      </c>
      <c r="E17" s="173" t="s">
        <v>153</v>
      </c>
      <c r="F17" s="38">
        <v>0.1</v>
      </c>
      <c r="G17" s="12"/>
    </row>
    <row r="18" spans="1:17" ht="15" thickBot="1" x14ac:dyDescent="0.4">
      <c r="A18" s="135" t="s">
        <v>161</v>
      </c>
      <c r="B18" s="16">
        <v>0.3</v>
      </c>
      <c r="C18" t="s">
        <v>162</v>
      </c>
      <c r="E18" s="133" t="s">
        <v>151</v>
      </c>
      <c r="F18" s="37">
        <v>5</v>
      </c>
      <c r="G18" s="134" t="s">
        <v>1</v>
      </c>
    </row>
    <row r="19" spans="1:17" x14ac:dyDescent="0.35">
      <c r="E19" s="173" t="s">
        <v>152</v>
      </c>
      <c r="F19" s="38">
        <v>0.11</v>
      </c>
      <c r="G19" s="12"/>
    </row>
    <row r="20" spans="1:17" ht="15" thickBot="1" x14ac:dyDescent="0.4">
      <c r="E20" s="135" t="s">
        <v>171</v>
      </c>
      <c r="F20" s="179">
        <f>(1+F19)/(1+B11)-1</f>
        <v>8.8235294117647189E-2</v>
      </c>
      <c r="G20" s="31"/>
      <c r="I20" s="37"/>
    </row>
    <row r="21" spans="1:17" x14ac:dyDescent="0.35">
      <c r="E21" s="37"/>
      <c r="F21" s="174"/>
      <c r="G21" s="57"/>
    </row>
    <row r="22" spans="1:17" x14ac:dyDescent="0.35">
      <c r="F22" s="37"/>
      <c r="G22" s="37"/>
    </row>
    <row r="24" spans="1:17" x14ac:dyDescent="0.35">
      <c r="B24">
        <f>(((5*1000) - 300 - 400) * (900 * 125) * (1 + 0.02 + 0)^2)</f>
        <v>503293500</v>
      </c>
    </row>
    <row r="25" spans="1:17" x14ac:dyDescent="0.35">
      <c r="A25" s="141" t="s">
        <v>38</v>
      </c>
      <c r="B25">
        <f>(((5*1000) - 300 - 400) * (112500) * (1.02)^2)</f>
        <v>503293500</v>
      </c>
    </row>
    <row r="26" spans="1:17" x14ac:dyDescent="0.35">
      <c r="A26" s="8" t="s">
        <v>16</v>
      </c>
      <c r="F26" s="18"/>
      <c r="G26" s="57"/>
    </row>
    <row r="27" spans="1:17" ht="15" thickBot="1" x14ac:dyDescent="0.4">
      <c r="F27" s="18"/>
      <c r="G27" s="57"/>
    </row>
    <row r="28" spans="1:17" ht="14.25" customHeight="1" x14ac:dyDescent="0.35">
      <c r="B28" t="s">
        <v>35</v>
      </c>
      <c r="C28" t="s">
        <v>37</v>
      </c>
      <c r="F28" s="18"/>
      <c r="G28" s="57"/>
      <c r="N28" s="162"/>
      <c r="O28" s="163">
        <f>(1+$F$17)*(1+$B$11)-1</f>
        <v>0.12200000000000011</v>
      </c>
    </row>
    <row r="29" spans="1:17" x14ac:dyDescent="0.35">
      <c r="A29" s="151" t="s">
        <v>11</v>
      </c>
      <c r="B29" s="52">
        <v>1</v>
      </c>
      <c r="C29" s="52">
        <v>2</v>
      </c>
      <c r="D29" s="52">
        <v>3</v>
      </c>
      <c r="E29" s="52">
        <v>4</v>
      </c>
      <c r="F29" s="52">
        <v>5</v>
      </c>
      <c r="G29" s="52">
        <v>6</v>
      </c>
      <c r="H29" s="52">
        <v>7</v>
      </c>
      <c r="I29" s="52">
        <v>8</v>
      </c>
      <c r="J29" s="52">
        <v>9</v>
      </c>
      <c r="K29" s="52">
        <v>10</v>
      </c>
      <c r="L29" s="52">
        <v>11</v>
      </c>
      <c r="M29" s="152">
        <v>12</v>
      </c>
      <c r="N29" s="164" t="s">
        <v>12</v>
      </c>
      <c r="O29" s="166">
        <f>NPV($O$28,B45:M45)</f>
        <v>2854882535.1826506</v>
      </c>
      <c r="Q29" t="s">
        <v>174</v>
      </c>
    </row>
    <row r="30" spans="1:17" x14ac:dyDescent="0.35">
      <c r="A30" s="45" t="s">
        <v>60</v>
      </c>
      <c r="B30">
        <v>0</v>
      </c>
      <c r="C30">
        <f>((($B$3*$K$2)-$K$8-$K$11)*($F$4*$G$5)*(1+$B$11+$C$12)^C29)</f>
        <v>503293500</v>
      </c>
      <c r="D30">
        <f t="shared" ref="D30:M30" si="1">((($B$3*$K$2)-$K$8-$K$11)*($F$4*$G$5)*(1+$B$11+$C$12)^D29)</f>
        <v>513359369.99999994</v>
      </c>
      <c r="E30">
        <f t="shared" si="1"/>
        <v>523626557.39999998</v>
      </c>
      <c r="F30">
        <f t="shared" si="1"/>
        <v>534099088.54799998</v>
      </c>
      <c r="G30">
        <f t="shared" si="1"/>
        <v>544781070.31896007</v>
      </c>
      <c r="H30">
        <f t="shared" si="1"/>
        <v>555676691.72533906</v>
      </c>
      <c r="I30">
        <f t="shared" si="1"/>
        <v>566790225.55984592</v>
      </c>
      <c r="J30">
        <f t="shared" si="1"/>
        <v>578126030.0710429</v>
      </c>
      <c r="K30">
        <f t="shared" si="1"/>
        <v>589688550.67246377</v>
      </c>
      <c r="L30">
        <f t="shared" si="1"/>
        <v>601482321.68591297</v>
      </c>
      <c r="M30">
        <f t="shared" si="1"/>
        <v>613511968.11963129</v>
      </c>
      <c r="N30" s="164" t="s">
        <v>56</v>
      </c>
      <c r="O30" s="166">
        <f>NPV(O28,B30:M30)/NPV(O28,B31:M31)</f>
        <v>1945.5350779762016</v>
      </c>
    </row>
    <row r="31" spans="1:17" x14ac:dyDescent="0.35">
      <c r="A31" s="45" t="s">
        <v>58</v>
      </c>
      <c r="B31" s="2">
        <f>-1*B34</f>
        <v>-1530000</v>
      </c>
      <c r="C31" s="2">
        <f>C37+C38+C39</f>
        <v>510668.30232307664</v>
      </c>
      <c r="D31" s="2">
        <f t="shared" ref="D31:M31" si="2">D37+D38+D39</f>
        <v>516530.84449770837</v>
      </c>
      <c r="E31" s="2">
        <f t="shared" si="2"/>
        <v>522557.3264558519</v>
      </c>
      <c r="F31" s="2">
        <f t="shared" si="2"/>
        <v>528752.71031960507</v>
      </c>
      <c r="G31" s="2">
        <f t="shared" si="2"/>
        <v>535122.13297674106</v>
      </c>
      <c r="H31" s="2">
        <f t="shared" si="2"/>
        <v>541670.91297675855</v>
      </c>
      <c r="I31" s="2">
        <f t="shared" si="2"/>
        <v>548404.5577239932</v>
      </c>
      <c r="J31" s="2">
        <f t="shared" si="2"/>
        <v>555328.77098132018</v>
      </c>
      <c r="K31" s="2">
        <f t="shared" si="2"/>
        <v>562449.46069861506</v>
      </c>
      <c r="L31" s="2">
        <f t="shared" si="2"/>
        <v>569772.74718081206</v>
      </c>
      <c r="M31" s="2">
        <f t="shared" si="2"/>
        <v>673546.0710641616</v>
      </c>
      <c r="N31" s="164"/>
      <c r="O31" s="166"/>
    </row>
    <row r="32" spans="1:17" ht="15" thickBot="1" x14ac:dyDescent="0.4">
      <c r="A32" s="1" t="s">
        <v>164</v>
      </c>
      <c r="N32" s="167" t="s">
        <v>13</v>
      </c>
      <c r="O32" s="168" t="e">
        <f>IRR(B45:M45)</f>
        <v>#NUM!</v>
      </c>
    </row>
    <row r="33" spans="1:13" x14ac:dyDescent="0.35">
      <c r="A33" s="47" t="s">
        <v>61</v>
      </c>
      <c r="B33" s="150">
        <f>$B$16*(1+$B$11)^$B$29</f>
        <v>1530000</v>
      </c>
    </row>
    <row r="34" spans="1:13" x14ac:dyDescent="0.35">
      <c r="A34" s="47" t="s">
        <v>62</v>
      </c>
      <c r="B34" s="150">
        <f>B33*B17</f>
        <v>1530000</v>
      </c>
    </row>
    <row r="35" spans="1:13" x14ac:dyDescent="0.35">
      <c r="A35" s="47" t="s">
        <v>63</v>
      </c>
      <c r="B35">
        <v>0</v>
      </c>
      <c r="C35" s="6">
        <f>PPMT($F$19,B29,$M$29-1,-$B$34)</f>
        <v>78215.140911718991</v>
      </c>
      <c r="D35" s="6">
        <f>PPMT($F$19,C29,$M$29-1,-$B$34)</f>
        <v>86818.806412008082</v>
      </c>
      <c r="E35" s="6">
        <f t="shared" ref="E35:J35" si="3">PPMT($F$19,D29,$M$29-1,-$B$34)</f>
        <v>96368.875117328978</v>
      </c>
      <c r="F35" s="6">
        <f t="shared" si="3"/>
        <v>106969.45138023516</v>
      </c>
      <c r="G35" s="6">
        <f t="shared" si="3"/>
        <v>118736.09103206103</v>
      </c>
      <c r="H35" s="6">
        <f>PPMT($F$19,G29,$M$29-1,-$B$34)</f>
        <v>131797.06104558776</v>
      </c>
      <c r="I35" s="6">
        <f t="shared" si="3"/>
        <v>146294.73776060238</v>
      </c>
      <c r="J35" s="6">
        <f t="shared" si="3"/>
        <v>162387.15891426866</v>
      </c>
      <c r="K35" s="6">
        <f>PPMT($F$19,J29,$M$29-1,-$B$34)</f>
        <v>180249.74639483821</v>
      </c>
      <c r="L35" s="6">
        <f>PPMT($F$19,K29,$M$29-1,-$B$34)</f>
        <v>200077.21849827041</v>
      </c>
      <c r="M35" s="6">
        <f>PPMT($F$19,L29,$M$29-1,-$B$34)</f>
        <v>222085.71253308016</v>
      </c>
    </row>
    <row r="36" spans="1:13" x14ac:dyDescent="0.35">
      <c r="A36" s="47" t="s">
        <v>64</v>
      </c>
      <c r="B36">
        <v>0</v>
      </c>
      <c r="C36" s="6">
        <f>IPMT($F$19,B29,$M$29-1,-$B$34)</f>
        <v>168300</v>
      </c>
      <c r="D36" s="6">
        <f>IPMT($F$19,C29,$M$29-1,-$B$34)</f>
        <v>159696.33449971088</v>
      </c>
      <c r="E36" s="6">
        <f t="shared" ref="E36:M36" si="4">IPMT($F$19,D29,$M$29-1,-$B$34)</f>
        <v>150146.26579439</v>
      </c>
      <c r="F36" s="6">
        <f t="shared" si="4"/>
        <v>139545.68953148383</v>
      </c>
      <c r="G36" s="6">
        <f t="shared" si="4"/>
        <v>127779.04987965796</v>
      </c>
      <c r="H36" s="6">
        <f t="shared" si="4"/>
        <v>114718.07986613124</v>
      </c>
      <c r="I36" s="6">
        <f t="shared" si="4"/>
        <v>100220.40315111658</v>
      </c>
      <c r="J36" s="6">
        <f t="shared" si="4"/>
        <v>84127.981997450319</v>
      </c>
      <c r="K36" s="6">
        <f t="shared" si="4"/>
        <v>66265.394516880755</v>
      </c>
      <c r="L36" s="6">
        <f t="shared" si="4"/>
        <v>46437.922413448563</v>
      </c>
      <c r="M36" s="6">
        <f t="shared" si="4"/>
        <v>24429.428378638815</v>
      </c>
    </row>
    <row r="37" spans="1:13" x14ac:dyDescent="0.35">
      <c r="A37" s="149" t="s">
        <v>65</v>
      </c>
      <c r="B37">
        <f>SUM(B35:B36)</f>
        <v>0</v>
      </c>
      <c r="C37">
        <f t="shared" ref="C37:M37" si="5">SUM(C35:C36)</f>
        <v>246515.14091171901</v>
      </c>
      <c r="D37">
        <f t="shared" si="5"/>
        <v>246515.14091171895</v>
      </c>
      <c r="E37">
        <f t="shared" si="5"/>
        <v>246515.14091171898</v>
      </c>
      <c r="F37">
        <f t="shared" si="5"/>
        <v>246515.14091171901</v>
      </c>
      <c r="G37">
        <f t="shared" si="5"/>
        <v>246515.14091171901</v>
      </c>
      <c r="H37">
        <f t="shared" si="5"/>
        <v>246515.14091171901</v>
      </c>
      <c r="I37">
        <f t="shared" si="5"/>
        <v>246515.14091171895</v>
      </c>
      <c r="J37">
        <f t="shared" si="5"/>
        <v>246515.14091171898</v>
      </c>
      <c r="K37">
        <f t="shared" si="5"/>
        <v>246515.14091171895</v>
      </c>
      <c r="L37">
        <f t="shared" si="5"/>
        <v>246515.14091171898</v>
      </c>
      <c r="M37">
        <f t="shared" si="5"/>
        <v>246515.14091171898</v>
      </c>
    </row>
    <row r="38" spans="1:13" x14ac:dyDescent="0.35">
      <c r="A38" s="143" t="s">
        <v>5</v>
      </c>
      <c r="B38">
        <v>0</v>
      </c>
      <c r="C38">
        <f>(ABS(C39-D39)*$F$13)</f>
        <v>1744.1406501119316</v>
      </c>
      <c r="D38">
        <f t="shared" ref="D38:M38" si="6">(ABS(D39-E39)*$F$13)</f>
        <v>1792.8806577039825</v>
      </c>
      <c r="E38">
        <f t="shared" si="6"/>
        <v>1843.0937568342138</v>
      </c>
      <c r="F38">
        <f t="shared" si="6"/>
        <v>1894.8317644732945</v>
      </c>
      <c r="G38">
        <f t="shared" si="6"/>
        <v>1948.1485400316305</v>
      </c>
      <c r="H38">
        <f t="shared" si="6"/>
        <v>2003.1000732770772</v>
      </c>
      <c r="I38">
        <f t="shared" si="6"/>
        <v>2059.7445762548709</v>
      </c>
      <c r="J38">
        <f t="shared" si="6"/>
        <v>2118.1425793988105</v>
      </c>
      <c r="K38">
        <f t="shared" si="6"/>
        <v>2178.3570320310769</v>
      </c>
      <c r="L38">
        <f t="shared" si="6"/>
        <v>2240.4534074577155</v>
      </c>
      <c r="M38">
        <f t="shared" si="6"/>
        <v>98545.599265948302</v>
      </c>
    </row>
    <row r="39" spans="1:13" x14ac:dyDescent="0.35">
      <c r="A39" s="1" t="s">
        <v>165</v>
      </c>
      <c r="B39">
        <v>0</v>
      </c>
      <c r="C39">
        <f>SUM(C40:C44)</f>
        <v>262409.02076124569</v>
      </c>
      <c r="D39">
        <f t="shared" ref="D39:M39" si="7">SUM(D40:D44)</f>
        <v>268222.82292828546</v>
      </c>
      <c r="E39">
        <f t="shared" si="7"/>
        <v>274199.09178729873</v>
      </c>
      <c r="F39">
        <f t="shared" si="7"/>
        <v>280342.73764341278</v>
      </c>
      <c r="G39">
        <f t="shared" si="7"/>
        <v>286658.84352499043</v>
      </c>
      <c r="H39">
        <f t="shared" si="7"/>
        <v>293152.67199176253</v>
      </c>
      <c r="I39">
        <f t="shared" si="7"/>
        <v>299829.67223601945</v>
      </c>
      <c r="J39">
        <f t="shared" si="7"/>
        <v>306695.48749020236</v>
      </c>
      <c r="K39">
        <f t="shared" si="7"/>
        <v>313755.96275486506</v>
      </c>
      <c r="L39">
        <f t="shared" si="7"/>
        <v>321017.15286163532</v>
      </c>
      <c r="M39">
        <f t="shared" si="7"/>
        <v>328485.33088649437</v>
      </c>
    </row>
    <row r="40" spans="1:13" x14ac:dyDescent="0.35">
      <c r="A40" s="47" t="s">
        <v>172</v>
      </c>
      <c r="B40">
        <v>0</v>
      </c>
      <c r="C40">
        <f>($F$8*$G$5)*(1+$B$11+$C$13)^C29</f>
        <v>17172.138408304498</v>
      </c>
      <c r="D40">
        <f t="shared" ref="D40:M40" si="8">($F$8*$G$5)*(1+$B$11+$C$13)^D29</f>
        <v>17010.518282108693</v>
      </c>
      <c r="E40">
        <f t="shared" si="8"/>
        <v>16850.419286512373</v>
      </c>
      <c r="F40">
        <f t="shared" si="8"/>
        <v>16691.827104992259</v>
      </c>
      <c r="G40">
        <f t="shared" si="8"/>
        <v>16534.727555768801</v>
      </c>
      <c r="H40">
        <f t="shared" si="8"/>
        <v>16379.106590538036</v>
      </c>
      <c r="I40">
        <f t="shared" si="8"/>
        <v>16224.950293215325</v>
      </c>
      <c r="J40">
        <f t="shared" si="8"/>
        <v>16072.244878690946</v>
      </c>
      <c r="K40">
        <f t="shared" si="8"/>
        <v>15920.976691597385</v>
      </c>
      <c r="L40">
        <f t="shared" si="8"/>
        <v>15771.132205088232</v>
      </c>
      <c r="M40">
        <f t="shared" si="8"/>
        <v>15622.698019628579</v>
      </c>
    </row>
    <row r="41" spans="1:13" x14ac:dyDescent="0.35">
      <c r="A41" s="47" t="s">
        <v>173</v>
      </c>
      <c r="B41">
        <v>0</v>
      </c>
      <c r="C41">
        <f>($F$9*$G$5)*(1+$B$11+$C$9)^C29</f>
        <v>16518.975778546715</v>
      </c>
      <c r="D41">
        <f t="shared" ref="D41:M41" si="9">($F$9*$G$5)*(1+$B$11+$C$9)^D29</f>
        <v>17335.207522898439</v>
      </c>
      <c r="E41">
        <f t="shared" si="9"/>
        <v>18191.770718147542</v>
      </c>
      <c r="F41">
        <f t="shared" si="9"/>
        <v>19090.658212456008</v>
      </c>
      <c r="G41">
        <f t="shared" si="9"/>
        <v>20033.961324130309</v>
      </c>
      <c r="H41">
        <f>($F$9*$G$5)*(1+$B$11+$C$9)^H29</f>
        <v>21023.874707204985</v>
      </c>
      <c r="I41">
        <f t="shared" si="9"/>
        <v>22062.701457443352</v>
      </c>
      <c r="J41">
        <f t="shared" si="9"/>
        <v>23152.858470634674</v>
      </c>
      <c r="K41">
        <f t="shared" si="9"/>
        <v>24296.882065654274</v>
      </c>
      <c r="L41">
        <f t="shared" si="9"/>
        <v>25497.433885368955</v>
      </c>
      <c r="M41">
        <f t="shared" si="9"/>
        <v>26757.307089116603</v>
      </c>
    </row>
    <row r="42" spans="1:13" x14ac:dyDescent="0.35">
      <c r="A42" s="175" t="s">
        <v>145</v>
      </c>
      <c r="B42">
        <v>0</v>
      </c>
      <c r="C42">
        <f>($F$10*$G$5)*(1+$B$11+$C$10)^C29</f>
        <v>59652.906574394459</v>
      </c>
      <c r="D42">
        <f>($F$10*$G$5)*(1+$B$11+$C$10)^D29</f>
        <v>61430.797123278375</v>
      </c>
      <c r="E42">
        <f t="shared" ref="E42:M42" si="10">($F$10*$G$5)*(1+$B$11+$C$10)^E29</f>
        <v>63261.675782638828</v>
      </c>
      <c r="F42">
        <f t="shared" si="10"/>
        <v>65147.121805964533</v>
      </c>
      <c r="G42">
        <f t="shared" si="10"/>
        <v>67088.761514691316</v>
      </c>
      <c r="H42">
        <f t="shared" si="10"/>
        <v>69088.269701011523</v>
      </c>
      <c r="I42">
        <f t="shared" si="10"/>
        <v>71147.37107249265</v>
      </c>
      <c r="J42">
        <f t="shared" si="10"/>
        <v>73267.841739751253</v>
      </c>
      <c r="K42">
        <f t="shared" si="10"/>
        <v>75451.510748465415</v>
      </c>
      <c r="L42">
        <f t="shared" si="10"/>
        <v>77700.261657047129</v>
      </c>
      <c r="M42">
        <f t="shared" si="10"/>
        <v>80016.034161335599</v>
      </c>
    </row>
    <row r="43" spans="1:13" x14ac:dyDescent="0.35">
      <c r="A43" s="175" t="s">
        <v>146</v>
      </c>
      <c r="B43">
        <v>0</v>
      </c>
      <c r="C43">
        <f>($F$11*$G$5)*(1+$B$11)^C29</f>
        <v>65025</v>
      </c>
      <c r="D43">
        <f t="shared" ref="D43:L43" si="11">($F$11*$G$5)*(1+$B$11)^D29</f>
        <v>66325.5</v>
      </c>
      <c r="E43">
        <f t="shared" si="11"/>
        <v>67652.009999999995</v>
      </c>
      <c r="F43">
        <f t="shared" si="11"/>
        <v>69005.050199999998</v>
      </c>
      <c r="G43">
        <f t="shared" si="11"/>
        <v>70385.151204000009</v>
      </c>
      <c r="H43">
        <f t="shared" si="11"/>
        <v>71792.854228079988</v>
      </c>
      <c r="I43">
        <f t="shared" si="11"/>
        <v>73228.711312641593</v>
      </c>
      <c r="J43">
        <f t="shared" si="11"/>
        <v>74693.28553889443</v>
      </c>
      <c r="K43">
        <f t="shared" si="11"/>
        <v>76187.151249672315</v>
      </c>
      <c r="L43">
        <f t="shared" si="11"/>
        <v>77710.894274665756</v>
      </c>
      <c r="M43">
        <f>($F$11*$G$5)*(1+$B$11)^M29</f>
        <v>79265.112160159086</v>
      </c>
    </row>
    <row r="44" spans="1:13" x14ac:dyDescent="0.35">
      <c r="A44" s="175" t="s">
        <v>147</v>
      </c>
      <c r="B44">
        <v>0</v>
      </c>
      <c r="C44">
        <f>($F$12*$G$5)*(1+$B$11)^C29</f>
        <v>104040</v>
      </c>
      <c r="D44">
        <f t="shared" ref="D44:M44" si="12">($F$12*$G$5)*(1+$B$11)^D29</f>
        <v>106120.79999999999</v>
      </c>
      <c r="E44">
        <f t="shared" si="12"/>
        <v>108243.216</v>
      </c>
      <c r="F44">
        <f t="shared" si="12"/>
        <v>110408.08032000001</v>
      </c>
      <c r="G44">
        <f t="shared" si="12"/>
        <v>112616.24192640001</v>
      </c>
      <c r="H44">
        <f t="shared" si="12"/>
        <v>114868.56676492798</v>
      </c>
      <c r="I44">
        <f t="shared" si="12"/>
        <v>117165.93810022656</v>
      </c>
      <c r="J44">
        <f>($F$12*$G$5)*(1+$B$11)^J29</f>
        <v>119509.25686223108</v>
      </c>
      <c r="K44">
        <f t="shared" si="12"/>
        <v>121899.4419994757</v>
      </c>
      <c r="L44">
        <f t="shared" si="12"/>
        <v>124337.4308394652</v>
      </c>
      <c r="M44">
        <f t="shared" si="12"/>
        <v>126824.17945625453</v>
      </c>
    </row>
    <row r="45" spans="1:13" x14ac:dyDescent="0.35">
      <c r="A45" s="52" t="s">
        <v>15</v>
      </c>
      <c r="B45" s="56">
        <f t="shared" ref="B45:M45" si="13">B30-B31</f>
        <v>1530000</v>
      </c>
      <c r="C45" s="56">
        <f t="shared" si="13"/>
        <v>502782831.6976769</v>
      </c>
      <c r="D45" s="56">
        <f t="shared" si="13"/>
        <v>512842839.15550226</v>
      </c>
      <c r="E45" s="56">
        <f t="shared" si="13"/>
        <v>523104000.07354414</v>
      </c>
      <c r="F45" s="56">
        <f t="shared" si="13"/>
        <v>533570335.8376804</v>
      </c>
      <c r="G45" s="56">
        <f t="shared" si="13"/>
        <v>544245948.1859833</v>
      </c>
      <c r="H45" s="56">
        <f t="shared" si="13"/>
        <v>555135020.81236231</v>
      </c>
      <c r="I45" s="56">
        <f t="shared" si="13"/>
        <v>566241821.00212193</v>
      </c>
      <c r="J45" s="56">
        <f t="shared" si="13"/>
        <v>577570701.30006158</v>
      </c>
      <c r="K45" s="56">
        <f t="shared" si="13"/>
        <v>589126101.21176517</v>
      </c>
      <c r="L45" s="56">
        <f t="shared" si="13"/>
        <v>600912548.93873215</v>
      </c>
      <c r="M45" s="56">
        <f t="shared" si="13"/>
        <v>612838422.04856718</v>
      </c>
    </row>
    <row r="46" spans="1:13" x14ac:dyDescent="0.35">
      <c r="A46" s="1"/>
    </row>
    <row r="48" spans="1:13" x14ac:dyDescent="0.35">
      <c r="A48" s="1"/>
    </row>
    <row r="49" spans="1:15" x14ac:dyDescent="0.35">
      <c r="A49" s="154" t="s">
        <v>71</v>
      </c>
    </row>
    <row r="50" spans="1:15" x14ac:dyDescent="0.35">
      <c r="A50" s="8" t="s">
        <v>16</v>
      </c>
      <c r="F50" s="18"/>
      <c r="G50" s="57"/>
    </row>
    <row r="51" spans="1:15" x14ac:dyDescent="0.35">
      <c r="F51" s="18"/>
      <c r="G51" s="57"/>
    </row>
    <row r="52" spans="1:15" x14ac:dyDescent="0.35">
      <c r="B52" t="s">
        <v>35</v>
      </c>
      <c r="C52" t="s">
        <v>37</v>
      </c>
      <c r="F52" s="18"/>
      <c r="G52" s="57"/>
    </row>
    <row r="53" spans="1:15" x14ac:dyDescent="0.35">
      <c r="A53" s="151" t="s">
        <v>11</v>
      </c>
      <c r="B53" s="52">
        <v>1</v>
      </c>
      <c r="C53" s="52">
        <v>2</v>
      </c>
      <c r="D53" s="52">
        <v>3</v>
      </c>
      <c r="E53" s="52">
        <v>4</v>
      </c>
      <c r="F53" s="52">
        <v>5</v>
      </c>
      <c r="G53" s="52">
        <v>6</v>
      </c>
      <c r="H53" s="52">
        <v>7</v>
      </c>
      <c r="I53" s="52">
        <v>8</v>
      </c>
      <c r="J53" s="52">
        <v>9</v>
      </c>
      <c r="K53" s="52">
        <v>10</v>
      </c>
      <c r="L53" s="52">
        <v>11</v>
      </c>
      <c r="M53" s="152">
        <v>12</v>
      </c>
    </row>
    <row r="54" spans="1:15" ht="15" thickBot="1" x14ac:dyDescent="0.4">
      <c r="A54" s="45" t="s">
        <v>60</v>
      </c>
      <c r="B54">
        <v>0</v>
      </c>
      <c r="C54">
        <f>C30/(1+$B$11)^C53</f>
        <v>483750000</v>
      </c>
      <c r="D54">
        <f t="shared" ref="D54:M54" si="14">D30/(1+$B$11)^D53</f>
        <v>483750000</v>
      </c>
      <c r="E54">
        <f t="shared" si="14"/>
        <v>483750000</v>
      </c>
      <c r="F54">
        <f t="shared" si="14"/>
        <v>483750000</v>
      </c>
      <c r="G54">
        <f t="shared" si="14"/>
        <v>483750000.00000006</v>
      </c>
      <c r="H54">
        <f t="shared" si="14"/>
        <v>483749999.99999994</v>
      </c>
      <c r="I54">
        <f t="shared" si="14"/>
        <v>483750000</v>
      </c>
      <c r="J54">
        <f t="shared" si="14"/>
        <v>483750000</v>
      </c>
      <c r="K54">
        <f t="shared" si="14"/>
        <v>483750000</v>
      </c>
      <c r="L54">
        <f t="shared" si="14"/>
        <v>483750000.00000006</v>
      </c>
      <c r="M54">
        <f t="shared" si="14"/>
        <v>483750000</v>
      </c>
      <c r="N54" s="169" t="s">
        <v>170</v>
      </c>
    </row>
    <row r="55" spans="1:15" x14ac:dyDescent="0.35">
      <c r="A55" s="45" t="s">
        <v>58</v>
      </c>
      <c r="B55" s="2">
        <f>-1*B58</f>
        <v>-1500000</v>
      </c>
      <c r="C55" s="2">
        <f>C61+C62+C63</f>
        <v>490838.42976074258</v>
      </c>
      <c r="D55" s="2">
        <f>D61+D62+D63</f>
        <v>486738.55125263706</v>
      </c>
      <c r="E55" s="2">
        <f>E61+E62+E63</f>
        <v>482762.19588288281</v>
      </c>
      <c r="F55" s="2">
        <f t="shared" ref="F55:M55" si="15">F61+F62+F63</f>
        <v>478907.62051753886</v>
      </c>
      <c r="G55" s="2">
        <f t="shared" si="15"/>
        <v>475173.14005777996</v>
      </c>
      <c r="H55" s="2">
        <f t="shared" si="15"/>
        <v>471557.12675100879</v>
      </c>
      <c r="I55" s="2">
        <f>I61+I62+I63</f>
        <v>468058.00953420001</v>
      </c>
      <c r="J55" s="2">
        <f t="shared" si="15"/>
        <v>464674.27340921119</v>
      </c>
      <c r="K55" s="2">
        <f t="shared" si="15"/>
        <v>461404.45884980692</v>
      </c>
      <c r="L55" s="2">
        <f t="shared" si="15"/>
        <v>458247.16124017246</v>
      </c>
      <c r="M55" s="2">
        <f t="shared" si="15"/>
        <v>531086.48047392885</v>
      </c>
      <c r="N55" s="162"/>
      <c r="O55" s="163">
        <f>F17</f>
        <v>0.1</v>
      </c>
    </row>
    <row r="56" spans="1:15" x14ac:dyDescent="0.35">
      <c r="A56" s="1" t="s">
        <v>164</v>
      </c>
      <c r="N56" s="164" t="s">
        <v>12</v>
      </c>
      <c r="O56" s="165">
        <f>NPV($O$55,B69:M69)</f>
        <v>2854882535.1826506</v>
      </c>
    </row>
    <row r="57" spans="1:15" x14ac:dyDescent="0.35">
      <c r="A57" s="47" t="s">
        <v>61</v>
      </c>
      <c r="B57" s="150">
        <f>B33/(1+$B$11)^B29</f>
        <v>1500000</v>
      </c>
      <c r="N57" s="164" t="s">
        <v>56</v>
      </c>
      <c r="O57" s="166">
        <f>NPV(O55,B54:M54)/NPV(O55,B55:M55)</f>
        <v>1945.535077976202</v>
      </c>
    </row>
    <row r="58" spans="1:15" x14ac:dyDescent="0.35">
      <c r="A58" s="47" t="s">
        <v>62</v>
      </c>
      <c r="B58" s="150">
        <f>B34/(1+$B$11)^B29</f>
        <v>1500000</v>
      </c>
      <c r="N58" s="164"/>
      <c r="O58" s="166"/>
    </row>
    <row r="59" spans="1:15" ht="15" thickBot="1" x14ac:dyDescent="0.4">
      <c r="A59" s="47" t="s">
        <v>63</v>
      </c>
      <c r="B59">
        <v>0</v>
      </c>
      <c r="C59" s="6">
        <f>C35/(1+$B$11)^C53</f>
        <v>75177.951664474225</v>
      </c>
      <c r="D59" s="6">
        <f t="shared" ref="D59:M59" si="16">D35/(1+$B$11)^D53</f>
        <v>81811.300340751375</v>
      </c>
      <c r="E59" s="6">
        <f t="shared" si="16"/>
        <v>89029.944488464738</v>
      </c>
      <c r="F59" s="6">
        <f t="shared" si="16"/>
        <v>96885.527825682206</v>
      </c>
      <c r="G59" s="6">
        <f t="shared" si="16"/>
        <v>105434.25086912475</v>
      </c>
      <c r="H59" s="6">
        <f t="shared" si="16"/>
        <v>114737.2730046358</v>
      </c>
      <c r="I59" s="6">
        <f t="shared" si="16"/>
        <v>124861.15003445656</v>
      </c>
      <c r="J59" s="6">
        <f t="shared" si="16"/>
        <v>135878.31033161451</v>
      </c>
      <c r="K59" s="6">
        <f t="shared" si="16"/>
        <v>147867.57300793342</v>
      </c>
      <c r="L59" s="6">
        <f t="shared" si="16"/>
        <v>160914.71180275112</v>
      </c>
      <c r="M59" s="6">
        <f t="shared" si="16"/>
        <v>175113.06872652326</v>
      </c>
      <c r="N59" s="167" t="s">
        <v>13</v>
      </c>
      <c r="O59" s="168" t="e">
        <f>IRR(B69:M69)</f>
        <v>#NUM!</v>
      </c>
    </row>
    <row r="60" spans="1:15" x14ac:dyDescent="0.35">
      <c r="A60" s="47" t="s">
        <v>64</v>
      </c>
      <c r="B60">
        <v>0</v>
      </c>
      <c r="C60" s="6">
        <f>C36/(1+$B$11)^C53</f>
        <v>161764.70588235295</v>
      </c>
      <c r="D60" s="6">
        <f>D36/(1+$B$11)^D53</f>
        <v>150485.4227443733</v>
      </c>
      <c r="E60" s="6">
        <f t="shared" ref="E60:M60" si="17">E36/(1+$B$11)^E53</f>
        <v>138711.94088910846</v>
      </c>
      <c r="F60" s="6">
        <f t="shared" si="17"/>
        <v>126390.83038762487</v>
      </c>
      <c r="G60" s="6">
        <f t="shared" si="17"/>
        <v>113464.13953607825</v>
      </c>
      <c r="H60" s="6">
        <f t="shared" si="17"/>
        <v>99868.992098504459</v>
      </c>
      <c r="I60" s="6">
        <f t="shared" si="17"/>
        <v>85537.149086269128</v>
      </c>
      <c r="J60" s="6">
        <f t="shared" si="17"/>
        <v>70394.531943606766</v>
      </c>
      <c r="K60" s="6">
        <f t="shared" si="17"/>
        <v>54360.703732479567</v>
      </c>
      <c r="L60" s="6">
        <f t="shared" si="17"/>
        <v>37348.304609418534</v>
      </c>
      <c r="M60" s="6">
        <f t="shared" si="17"/>
        <v>19262.437559917555</v>
      </c>
    </row>
    <row r="61" spans="1:15" x14ac:dyDescent="0.35">
      <c r="A61" s="149" t="s">
        <v>65</v>
      </c>
      <c r="B61">
        <f>SUM(B59:B60)</f>
        <v>0</v>
      </c>
      <c r="C61" s="6">
        <f>SUM(C59:C60)</f>
        <v>236942.65754682716</v>
      </c>
      <c r="D61">
        <f t="shared" ref="D61:M61" si="18">SUM(D59:D60)</f>
        <v>232296.72308512469</v>
      </c>
      <c r="E61">
        <f t="shared" si="18"/>
        <v>227741.8853775732</v>
      </c>
      <c r="F61">
        <f t="shared" si="18"/>
        <v>223276.35821330707</v>
      </c>
      <c r="G61">
        <f t="shared" si="18"/>
        <v>218898.39040520298</v>
      </c>
      <c r="H61">
        <f t="shared" si="18"/>
        <v>214606.26510314026</v>
      </c>
      <c r="I61">
        <f t="shared" si="18"/>
        <v>210398.29912072569</v>
      </c>
      <c r="J61">
        <f t="shared" si="18"/>
        <v>206272.84227522128</v>
      </c>
      <c r="K61">
        <f t="shared" si="18"/>
        <v>202228.27674041298</v>
      </c>
      <c r="L61">
        <f t="shared" si="18"/>
        <v>198263.01641216964</v>
      </c>
      <c r="M61">
        <f t="shared" si="18"/>
        <v>194375.50628644082</v>
      </c>
    </row>
    <row r="62" spans="1:15" x14ac:dyDescent="0.35">
      <c r="A62" s="143" t="s">
        <v>5</v>
      </c>
      <c r="B62">
        <v>0</v>
      </c>
      <c r="C62">
        <f>C38/(1+$B$11)^C53</f>
        <v>1676.4135429757127</v>
      </c>
      <c r="D62">
        <f>D38/(1+$B$11)^D53</f>
        <v>1689.4714869318575</v>
      </c>
      <c r="E62">
        <f t="shared" ref="E62:M62" si="19">E38/(1+$B$11)^E53</f>
        <v>1702.7337369893128</v>
      </c>
      <c r="F62">
        <f t="shared" si="19"/>
        <v>1716.2075085278454</v>
      </c>
      <c r="G62">
        <f t="shared" si="19"/>
        <v>1729.9001517958989</v>
      </c>
      <c r="H62">
        <f t="shared" si="19"/>
        <v>1743.8191575736364</v>
      </c>
      <c r="I62">
        <f t="shared" si="19"/>
        <v>1757.9721629445889</v>
      </c>
      <c r="J62">
        <f t="shared" si="19"/>
        <v>1772.3669571810503</v>
      </c>
      <c r="K62">
        <f t="shared" si="19"/>
        <v>1787.0114877477831</v>
      </c>
      <c r="L62">
        <f t="shared" si="19"/>
        <v>1801.9138664288587</v>
      </c>
      <c r="M62">
        <f t="shared" si="19"/>
        <v>77702.532504804927</v>
      </c>
    </row>
    <row r="63" spans="1:15" x14ac:dyDescent="0.35">
      <c r="A63" s="1" t="s">
        <v>165</v>
      </c>
      <c r="B63">
        <v>0</v>
      </c>
      <c r="C63">
        <f>SUM(C64:C68)</f>
        <v>252219.35867093969</v>
      </c>
      <c r="D63">
        <f t="shared" ref="D63:M63" si="20">SUM(D64:D68)</f>
        <v>252752.35668058053</v>
      </c>
      <c r="E63">
        <f t="shared" si="20"/>
        <v>253317.57676832029</v>
      </c>
      <c r="F63">
        <f t="shared" si="20"/>
        <v>253915.05479570391</v>
      </c>
      <c r="G63">
        <f t="shared" si="20"/>
        <v>254544.8495007811</v>
      </c>
      <c r="H63">
        <f t="shared" si="20"/>
        <v>255207.0424902949</v>
      </c>
      <c r="I63">
        <f t="shared" si="20"/>
        <v>255901.73825052974</v>
      </c>
      <c r="J63">
        <f t="shared" si="20"/>
        <v>256629.06417680887</v>
      </c>
      <c r="K63">
        <f t="shared" si="20"/>
        <v>257389.17062164613</v>
      </c>
      <c r="L63">
        <f t="shared" si="20"/>
        <v>258182.23096157392</v>
      </c>
      <c r="M63">
        <f t="shared" si="20"/>
        <v>259008.44168268313</v>
      </c>
    </row>
    <row r="64" spans="1:15" x14ac:dyDescent="0.35">
      <c r="A64" s="47" t="s">
        <v>172</v>
      </c>
      <c r="B64">
        <v>0</v>
      </c>
      <c r="C64">
        <f>C40/(1+$B$11)^C53</f>
        <v>16505.323345160032</v>
      </c>
      <c r="D64">
        <f t="shared" ref="D64:M64" si="21">D40/(1+$B$11)^D53</f>
        <v>16029.391299451845</v>
      </c>
      <c r="E64">
        <f t="shared" si="21"/>
        <v>15567.182784473416</v>
      </c>
      <c r="F64">
        <f t="shared" si="21"/>
        <v>15118.302081345579</v>
      </c>
      <c r="G64">
        <f t="shared" si="21"/>
        <v>14682.364881768139</v>
      </c>
      <c r="H64">
        <f t="shared" si="21"/>
        <v>14258.997958995127</v>
      </c>
      <c r="I64">
        <f t="shared" si="21"/>
        <v>13847.838848297457</v>
      </c>
      <c r="J64">
        <f t="shared" si="21"/>
        <v>13448.535536639516</v>
      </c>
      <c r="K64">
        <f t="shared" si="21"/>
        <v>13060.746161303889</v>
      </c>
      <c r="L64">
        <f t="shared" si="21"/>
        <v>12684.138717206317</v>
      </c>
      <c r="M64">
        <f t="shared" si="21"/>
        <v>12318.390772650193</v>
      </c>
    </row>
    <row r="65" spans="1:13" x14ac:dyDescent="0.35">
      <c r="A65" s="47" t="s">
        <v>173</v>
      </c>
      <c r="B65">
        <v>0</v>
      </c>
      <c r="C65">
        <f>C41/(1+$B$11)^C53</f>
        <v>15877.523816365547</v>
      </c>
      <c r="D65">
        <f t="shared" ref="D65:M65" si="22">D41/(1+$B$11)^D53</f>
        <v>16335.353222835147</v>
      </c>
      <c r="E65">
        <f t="shared" si="22"/>
        <v>16806.384169283683</v>
      </c>
      <c r="F65">
        <f t="shared" si="22"/>
        <v>17290.997322953914</v>
      </c>
      <c r="G65">
        <f t="shared" si="22"/>
        <v>17789.584327652705</v>
      </c>
      <c r="H65">
        <f t="shared" si="22"/>
        <v>18302.548120260919</v>
      </c>
      <c r="I65">
        <f t="shared" si="22"/>
        <v>18830.303256369942</v>
      </c>
      <c r="J65">
        <f t="shared" si="22"/>
        <v>19373.276245307949</v>
      </c>
      <c r="K65">
        <f t="shared" si="22"/>
        <v>19931.905894826636</v>
      </c>
      <c r="L65">
        <f t="shared" si="22"/>
        <v>20506.643665727061</v>
      </c>
      <c r="M65">
        <f t="shared" si="22"/>
        <v>21097.954036711115</v>
      </c>
    </row>
    <row r="66" spans="1:13" x14ac:dyDescent="0.35">
      <c r="A66" s="175" t="s">
        <v>145</v>
      </c>
      <c r="B66">
        <v>0</v>
      </c>
      <c r="C66">
        <f>C42/(1+$B$11)^C53</f>
        <v>57336.511509414129</v>
      </c>
      <c r="D66">
        <f t="shared" ref="D66:M66" si="23">D42/(1+$B$11)^D53</f>
        <v>57887.612158293545</v>
      </c>
      <c r="E66">
        <f t="shared" si="23"/>
        <v>58444.009814563186</v>
      </c>
      <c r="F66">
        <f t="shared" si="23"/>
        <v>59005.755391404426</v>
      </c>
      <c r="G66">
        <f t="shared" si="23"/>
        <v>59572.900291360253</v>
      </c>
      <c r="H66">
        <f t="shared" si="23"/>
        <v>60145.496411038846</v>
      </c>
      <c r="I66">
        <f t="shared" si="23"/>
        <v>60723.596145862357</v>
      </c>
      <c r="J66">
        <f t="shared" si="23"/>
        <v>61307.252394861418</v>
      </c>
      <c r="K66">
        <f t="shared" si="23"/>
        <v>61896.518565515609</v>
      </c>
      <c r="L66">
        <f t="shared" si="23"/>
        <v>62491.448578640528</v>
      </c>
      <c r="M66">
        <f t="shared" si="23"/>
        <v>63092.096873321803</v>
      </c>
    </row>
    <row r="67" spans="1:13" x14ac:dyDescent="0.35">
      <c r="A67" s="175" t="s">
        <v>146</v>
      </c>
      <c r="B67">
        <v>0</v>
      </c>
      <c r="C67">
        <f>C43/(1+$B$11)^C53</f>
        <v>62500</v>
      </c>
      <c r="D67">
        <f t="shared" ref="D67:M67" si="24">D43/(1+$B$11)^D53</f>
        <v>62500.000000000007</v>
      </c>
      <c r="E67">
        <f t="shared" si="24"/>
        <v>62500</v>
      </c>
      <c r="F67">
        <f t="shared" si="24"/>
        <v>62500</v>
      </c>
      <c r="G67">
        <f t="shared" si="24"/>
        <v>62500.000000000007</v>
      </c>
      <c r="H67">
        <f t="shared" si="24"/>
        <v>62500</v>
      </c>
      <c r="I67">
        <f t="shared" si="24"/>
        <v>62500</v>
      </c>
      <c r="J67">
        <f t="shared" si="24"/>
        <v>62500</v>
      </c>
      <c r="K67">
        <f t="shared" si="24"/>
        <v>62500</v>
      </c>
      <c r="L67">
        <f t="shared" si="24"/>
        <v>62500.000000000007</v>
      </c>
      <c r="M67">
        <f t="shared" si="24"/>
        <v>62500.000000000007</v>
      </c>
    </row>
    <row r="68" spans="1:13" x14ac:dyDescent="0.35">
      <c r="A68" s="175" t="s">
        <v>147</v>
      </c>
      <c r="B68">
        <v>0</v>
      </c>
      <c r="C68">
        <f>C44/(1+$B$11)^C53</f>
        <v>100000</v>
      </c>
      <c r="D68">
        <f>D44/(1+$B$11)^D53</f>
        <v>100000</v>
      </c>
      <c r="E68">
        <f t="shared" ref="E68:M68" si="25">E44/(1+$B$11)^E53</f>
        <v>100000</v>
      </c>
      <c r="F68">
        <f t="shared" si="25"/>
        <v>100000</v>
      </c>
      <c r="G68">
        <f t="shared" si="25"/>
        <v>100000</v>
      </c>
      <c r="H68">
        <f t="shared" si="25"/>
        <v>100000</v>
      </c>
      <c r="I68">
        <f t="shared" si="25"/>
        <v>100000</v>
      </c>
      <c r="J68">
        <f t="shared" si="25"/>
        <v>100000</v>
      </c>
      <c r="K68">
        <f t="shared" si="25"/>
        <v>100000</v>
      </c>
      <c r="L68">
        <f t="shared" si="25"/>
        <v>100000</v>
      </c>
      <c r="M68">
        <f t="shared" si="25"/>
        <v>100000</v>
      </c>
    </row>
    <row r="69" spans="1:13" x14ac:dyDescent="0.35">
      <c r="A69" s="52" t="s">
        <v>15</v>
      </c>
      <c r="B69" s="56">
        <f>B54-B55</f>
        <v>1500000</v>
      </c>
      <c r="C69" s="56">
        <f>C54-C55</f>
        <v>483259161.57023925</v>
      </c>
      <c r="D69" s="56">
        <f t="shared" ref="D69:M69" si="26">D54-D55</f>
        <v>483263261.44874734</v>
      </c>
      <c r="E69" s="56">
        <f t="shared" si="26"/>
        <v>483267237.80411714</v>
      </c>
      <c r="F69" s="56">
        <f t="shared" si="26"/>
        <v>483271092.37948245</v>
      </c>
      <c r="G69" s="56">
        <f t="shared" si="26"/>
        <v>483274826.85994226</v>
      </c>
      <c r="H69" s="56">
        <f t="shared" si="26"/>
        <v>483278442.87324893</v>
      </c>
      <c r="I69" s="56">
        <f t="shared" si="26"/>
        <v>483281941.99046582</v>
      </c>
      <c r="J69" s="56">
        <f t="shared" si="26"/>
        <v>483285325.72659081</v>
      </c>
      <c r="K69" s="56">
        <f t="shared" si="26"/>
        <v>483288595.54115021</v>
      </c>
      <c r="L69" s="56">
        <f t="shared" si="26"/>
        <v>483291752.8387599</v>
      </c>
      <c r="M69" s="56">
        <f t="shared" si="26"/>
        <v>483218913.51952606</v>
      </c>
    </row>
    <row r="70" spans="1:13" x14ac:dyDescent="0.35">
      <c r="A7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8F75-1F09-44EE-A134-F62EF703DE42}">
  <dimension ref="A1:Q70"/>
  <sheetViews>
    <sheetView topLeftCell="A9" zoomScale="72" workbookViewId="0">
      <selection activeCell="C31" sqref="C31"/>
    </sheetView>
  </sheetViews>
  <sheetFormatPr defaultRowHeight="14.5" x14ac:dyDescent="0.35"/>
  <cols>
    <col min="1" max="1" width="24.90625" customWidth="1"/>
    <col min="2" max="2" width="20.26953125" customWidth="1"/>
    <col min="3" max="3" width="21.36328125" bestFit="1" customWidth="1"/>
    <col min="4" max="4" width="11.453125" bestFit="1" customWidth="1"/>
    <col min="5" max="5" width="19.7265625" customWidth="1"/>
    <col min="6" max="6" width="15.08984375" customWidth="1"/>
    <col min="7" max="7" width="16.90625" customWidth="1"/>
    <col min="8" max="8" width="11.453125" bestFit="1" customWidth="1"/>
    <col min="9" max="9" width="28" customWidth="1"/>
    <col min="10" max="10" width="20.6328125" customWidth="1"/>
    <col min="11" max="13" width="11.453125" bestFit="1" customWidth="1"/>
    <col min="15" max="15" width="16.6328125" bestFit="1" customWidth="1"/>
  </cols>
  <sheetData>
    <row r="1" spans="1:13" ht="15" thickBot="1" x14ac:dyDescent="0.4">
      <c r="A1" s="131" t="s">
        <v>126</v>
      </c>
      <c r="B1" s="131" t="s">
        <v>0</v>
      </c>
      <c r="C1" s="131" t="s">
        <v>127</v>
      </c>
      <c r="J1" t="s">
        <v>167</v>
      </c>
      <c r="K1" t="s">
        <v>168</v>
      </c>
    </row>
    <row r="2" spans="1:13" x14ac:dyDescent="0.35">
      <c r="A2" s="132" t="s">
        <v>128</v>
      </c>
      <c r="B2" s="9"/>
      <c r="C2" s="10"/>
      <c r="E2" s="132" t="s">
        <v>136</v>
      </c>
      <c r="F2" s="9"/>
      <c r="G2" s="10"/>
      <c r="I2" s="143" t="s">
        <v>166</v>
      </c>
      <c r="J2" s="37">
        <v>1</v>
      </c>
      <c r="K2" s="37">
        <v>1000</v>
      </c>
      <c r="L2" s="37"/>
    </row>
    <row r="3" spans="1:13" x14ac:dyDescent="0.35">
      <c r="A3" s="133" t="s">
        <v>129</v>
      </c>
      <c r="B3" s="37">
        <v>5</v>
      </c>
      <c r="C3" s="134" t="s">
        <v>130</v>
      </c>
      <c r="E3" s="13"/>
      <c r="F3" s="37" t="s">
        <v>138</v>
      </c>
      <c r="G3" s="134" t="s">
        <v>140</v>
      </c>
      <c r="I3" s="37"/>
      <c r="J3" s="171"/>
      <c r="K3" s="38"/>
      <c r="L3" s="37"/>
    </row>
    <row r="4" spans="1:13" x14ac:dyDescent="0.35">
      <c r="A4" s="133" t="s">
        <v>131</v>
      </c>
      <c r="B4" s="37">
        <v>300</v>
      </c>
      <c r="C4" s="134" t="s">
        <v>132</v>
      </c>
      <c r="E4" s="133" t="s">
        <v>137</v>
      </c>
      <c r="F4" s="37">
        <v>900</v>
      </c>
      <c r="G4" s="134"/>
    </row>
    <row r="5" spans="1:13" ht="15" thickBot="1" x14ac:dyDescent="0.4">
      <c r="A5" s="133" t="s">
        <v>133</v>
      </c>
      <c r="B5" s="37">
        <v>400</v>
      </c>
      <c r="C5" s="134" t="s">
        <v>132</v>
      </c>
      <c r="E5" s="14" t="s">
        <v>139</v>
      </c>
      <c r="F5" s="138"/>
      <c r="G5" s="137">
        <v>125</v>
      </c>
    </row>
    <row r="6" spans="1:13" ht="15" thickBot="1" x14ac:dyDescent="0.4">
      <c r="A6" s="172"/>
      <c r="B6" s="136"/>
      <c r="C6" s="137"/>
      <c r="D6" s="37"/>
      <c r="I6" s="26" t="s">
        <v>94</v>
      </c>
      <c r="J6" s="146" t="s">
        <v>158</v>
      </c>
      <c r="K6" s="147" t="s">
        <v>159</v>
      </c>
      <c r="L6" s="181" t="s">
        <v>176</v>
      </c>
      <c r="M6" s="182"/>
    </row>
    <row r="7" spans="1:13" ht="15" thickBot="1" x14ac:dyDescent="0.4">
      <c r="A7" s="37"/>
      <c r="B7" s="38"/>
      <c r="E7" s="132" t="s">
        <v>141</v>
      </c>
      <c r="F7" s="9"/>
      <c r="G7" s="139"/>
      <c r="I7" s="32" t="s">
        <v>85</v>
      </c>
      <c r="J7" s="20"/>
      <c r="K7" s="180">
        <f>(B3*1000)</f>
        <v>5000</v>
      </c>
      <c r="L7" s="17" t="s">
        <v>175</v>
      </c>
    </row>
    <row r="8" spans="1:13" x14ac:dyDescent="0.35">
      <c r="A8" s="132" t="s">
        <v>134</v>
      </c>
      <c r="B8" s="9"/>
      <c r="C8" s="176" t="s">
        <v>73</v>
      </c>
      <c r="E8" s="133" t="s">
        <v>142</v>
      </c>
      <c r="F8" s="37">
        <v>140</v>
      </c>
      <c r="G8" s="134" t="s">
        <v>143</v>
      </c>
      <c r="I8" s="32" t="s">
        <v>86</v>
      </c>
      <c r="J8" s="20"/>
      <c r="K8" s="23">
        <f>B4</f>
        <v>300</v>
      </c>
      <c r="L8">
        <f>K8*F16</f>
        <v>390</v>
      </c>
    </row>
    <row r="9" spans="1:13" x14ac:dyDescent="0.35">
      <c r="A9" s="173" t="s">
        <v>156</v>
      </c>
      <c r="B9" s="38">
        <v>0.05</v>
      </c>
      <c r="C9" s="177">
        <f>(1+B9)/(1+$B$11)-1</f>
        <v>2.941176470588247E-2</v>
      </c>
      <c r="E9" s="133" t="s">
        <v>144</v>
      </c>
      <c r="F9" s="37">
        <v>120</v>
      </c>
      <c r="G9" s="134" t="s">
        <v>143</v>
      </c>
      <c r="I9" s="28" t="s">
        <v>87</v>
      </c>
      <c r="J9" s="20"/>
      <c r="K9" s="23">
        <f>K7-K8</f>
        <v>4700</v>
      </c>
    </row>
    <row r="10" spans="1:13" x14ac:dyDescent="0.35">
      <c r="A10" s="173" t="s">
        <v>155</v>
      </c>
      <c r="B10" s="38">
        <v>0.03</v>
      </c>
      <c r="C10" s="177">
        <f t="shared" ref="C10:C13" si="0">(1+B10)/(1+$B$11)-1</f>
        <v>9.8039215686274161E-3</v>
      </c>
      <c r="E10" s="133" t="s">
        <v>145</v>
      </c>
      <c r="F10" s="37">
        <v>450</v>
      </c>
      <c r="G10" s="134" t="s">
        <v>143</v>
      </c>
      <c r="I10" s="32" t="s">
        <v>89</v>
      </c>
      <c r="J10" s="20" t="s">
        <v>163</v>
      </c>
      <c r="K10" s="23"/>
    </row>
    <row r="11" spans="1:13" x14ac:dyDescent="0.35">
      <c r="A11" s="133" t="s">
        <v>135</v>
      </c>
      <c r="B11" s="38">
        <v>0.02</v>
      </c>
      <c r="C11" s="177"/>
      <c r="E11" s="133" t="s">
        <v>146</v>
      </c>
      <c r="F11" s="37">
        <v>500</v>
      </c>
      <c r="G11" s="134" t="s">
        <v>143</v>
      </c>
      <c r="I11" s="81" t="s">
        <v>28</v>
      </c>
      <c r="J11" s="20"/>
      <c r="K11" s="23">
        <f>B5</f>
        <v>400</v>
      </c>
    </row>
    <row r="12" spans="1:13" x14ac:dyDescent="0.35">
      <c r="A12" s="173" t="s">
        <v>154</v>
      </c>
      <c r="B12" s="38">
        <v>0.02</v>
      </c>
      <c r="C12" s="177">
        <f>(1+B12)/(1+$B$11)-1</f>
        <v>0</v>
      </c>
      <c r="E12" s="133" t="s">
        <v>147</v>
      </c>
      <c r="F12" s="37">
        <v>800</v>
      </c>
      <c r="G12" s="134" t="s">
        <v>132</v>
      </c>
      <c r="I12" s="28" t="s">
        <v>92</v>
      </c>
      <c r="J12" s="20"/>
      <c r="K12" s="23">
        <f>K9+K11</f>
        <v>5100</v>
      </c>
    </row>
    <row r="13" spans="1:13" ht="15" thickBot="1" x14ac:dyDescent="0.4">
      <c r="A13" s="172" t="s">
        <v>157</v>
      </c>
      <c r="B13" s="136">
        <v>-0.01</v>
      </c>
      <c r="C13" s="178">
        <f t="shared" si="0"/>
        <v>-2.9411764705882359E-2</v>
      </c>
      <c r="E13" s="135" t="s">
        <v>148</v>
      </c>
      <c r="F13" s="138">
        <v>0.3</v>
      </c>
      <c r="G13" s="137"/>
      <c r="I13" s="142" t="s">
        <v>93</v>
      </c>
      <c r="J13" s="145"/>
      <c r="K13" s="34">
        <f>K12*(F4*G5)</f>
        <v>573750000</v>
      </c>
    </row>
    <row r="14" spans="1:13" ht="15" thickBot="1" x14ac:dyDescent="0.4">
      <c r="I14" s="144"/>
      <c r="J14" s="20"/>
      <c r="K14" s="20"/>
    </row>
    <row r="15" spans="1:13" x14ac:dyDescent="0.35">
      <c r="A15" s="132" t="s">
        <v>160</v>
      </c>
      <c r="B15" s="10"/>
      <c r="E15" s="132" t="s">
        <v>149</v>
      </c>
      <c r="F15" s="140"/>
      <c r="G15" s="10"/>
      <c r="I15" s="18"/>
      <c r="J15" s="20"/>
      <c r="K15" s="20"/>
    </row>
    <row r="16" spans="1:13" x14ac:dyDescent="0.35">
      <c r="A16" s="133" t="s">
        <v>169</v>
      </c>
      <c r="B16" s="148">
        <v>1500000</v>
      </c>
      <c r="E16" s="133" t="s">
        <v>150</v>
      </c>
      <c r="F16" s="37">
        <v>1.3</v>
      </c>
      <c r="G16" s="12"/>
      <c r="I16" s="18"/>
      <c r="J16" s="20"/>
      <c r="K16" s="20"/>
    </row>
    <row r="17" spans="1:17" x14ac:dyDescent="0.35">
      <c r="A17" s="133" t="s">
        <v>10</v>
      </c>
      <c r="B17" s="15">
        <v>1</v>
      </c>
      <c r="E17" s="173" t="s">
        <v>153</v>
      </c>
      <c r="F17" s="38">
        <v>0.1</v>
      </c>
      <c r="G17" s="12"/>
    </row>
    <row r="18" spans="1:17" ht="15" thickBot="1" x14ac:dyDescent="0.4">
      <c r="A18" s="135" t="s">
        <v>161</v>
      </c>
      <c r="B18" s="16">
        <v>0.3</v>
      </c>
      <c r="C18" t="s">
        <v>162</v>
      </c>
      <c r="E18" s="133" t="s">
        <v>151</v>
      </c>
      <c r="F18" s="37">
        <v>5</v>
      </c>
      <c r="G18" s="134" t="s">
        <v>1</v>
      </c>
    </row>
    <row r="19" spans="1:17" x14ac:dyDescent="0.35">
      <c r="E19" s="173" t="s">
        <v>152</v>
      </c>
      <c r="F19" s="38">
        <v>0.11</v>
      </c>
      <c r="G19" s="12"/>
    </row>
    <row r="20" spans="1:17" ht="15" thickBot="1" x14ac:dyDescent="0.4">
      <c r="E20" s="135" t="s">
        <v>171</v>
      </c>
      <c r="F20" s="179">
        <f>(1+F19)/(1+B11)-1</f>
        <v>8.8235294117647189E-2</v>
      </c>
      <c r="G20" s="31"/>
      <c r="I20" s="37"/>
    </row>
    <row r="21" spans="1:17" x14ac:dyDescent="0.35">
      <c r="E21" s="37"/>
      <c r="F21" s="174"/>
      <c r="G21" s="57"/>
    </row>
    <row r="22" spans="1:17" x14ac:dyDescent="0.35">
      <c r="F22" s="37"/>
      <c r="G22" s="37"/>
    </row>
    <row r="24" spans="1:17" x14ac:dyDescent="0.35">
      <c r="B24">
        <f>(((5*1000) - 300 - 400) * (900 * 125) * (1 + 0.02 + 0)^2)</f>
        <v>503293500</v>
      </c>
    </row>
    <row r="25" spans="1:17" x14ac:dyDescent="0.35">
      <c r="A25" s="141" t="s">
        <v>38</v>
      </c>
      <c r="B25">
        <f>(((5*1000) - 300 - 400) * (112500) * (1.02)^2)</f>
        <v>503293500</v>
      </c>
    </row>
    <row r="26" spans="1:17" x14ac:dyDescent="0.35">
      <c r="A26" s="8" t="s">
        <v>16</v>
      </c>
      <c r="F26" s="18"/>
      <c r="G26" s="57"/>
    </row>
    <row r="27" spans="1:17" ht="15" thickBot="1" x14ac:dyDescent="0.4">
      <c r="F27" s="18"/>
      <c r="G27" s="57"/>
    </row>
    <row r="28" spans="1:17" ht="14.25" customHeight="1" x14ac:dyDescent="0.35">
      <c r="B28" t="s">
        <v>35</v>
      </c>
      <c r="C28" t="s">
        <v>37</v>
      </c>
      <c r="F28" s="18"/>
      <c r="G28" s="57"/>
      <c r="N28" s="162"/>
      <c r="O28" s="163">
        <f>(1+$F$17)*(1+$B$11)-1</f>
        <v>0.12200000000000011</v>
      </c>
    </row>
    <row r="29" spans="1:17" x14ac:dyDescent="0.35">
      <c r="A29" s="151" t="s">
        <v>11</v>
      </c>
      <c r="B29" s="52">
        <v>1</v>
      </c>
      <c r="C29" s="52">
        <v>2</v>
      </c>
      <c r="D29" s="52">
        <v>3</v>
      </c>
      <c r="E29" s="52">
        <v>4</v>
      </c>
      <c r="F29" s="52">
        <v>5</v>
      </c>
      <c r="G29" s="52">
        <v>6</v>
      </c>
      <c r="H29" s="52">
        <v>7</v>
      </c>
      <c r="I29" s="52">
        <v>8</v>
      </c>
      <c r="J29" s="52">
        <v>9</v>
      </c>
      <c r="K29" s="52">
        <v>10</v>
      </c>
      <c r="L29" s="52">
        <v>11</v>
      </c>
      <c r="M29" s="152">
        <v>12</v>
      </c>
      <c r="N29" s="164" t="s">
        <v>12</v>
      </c>
      <c r="O29" s="166">
        <f>NPV($O$28,B45:M45)</f>
        <v>2795098450.9303694</v>
      </c>
      <c r="Q29" t="s">
        <v>174</v>
      </c>
    </row>
    <row r="30" spans="1:17" x14ac:dyDescent="0.35">
      <c r="A30" s="45" t="s">
        <v>60</v>
      </c>
      <c r="B30">
        <v>0</v>
      </c>
      <c r="C30">
        <f>((($B$3*$K$2)-$L$8-$K$11)*($F$4*$G$5)*(1+$B$11+$C$12)^C29)</f>
        <v>492759450</v>
      </c>
      <c r="D30">
        <f t="shared" ref="D30:M30" si="1">((($B$3*$K$2)-$L$8-$K$11)*($F$4*$G$5)*(1+$B$11+$C$12)^D29)</f>
        <v>502614638.99999994</v>
      </c>
      <c r="E30">
        <f t="shared" si="1"/>
        <v>512666931.77999997</v>
      </c>
      <c r="F30">
        <f t="shared" si="1"/>
        <v>522920270.4156</v>
      </c>
      <c r="G30">
        <f t="shared" si="1"/>
        <v>533378675.82391202</v>
      </c>
      <c r="H30">
        <f t="shared" si="1"/>
        <v>544046249.34039021</v>
      </c>
      <c r="I30">
        <f t="shared" si="1"/>
        <v>554927174.32719803</v>
      </c>
      <c r="J30">
        <f t="shared" si="1"/>
        <v>566025717.81374192</v>
      </c>
      <c r="K30">
        <f t="shared" si="1"/>
        <v>577346232.17001688</v>
      </c>
      <c r="L30">
        <f t="shared" si="1"/>
        <v>588893156.81341708</v>
      </c>
      <c r="M30">
        <f t="shared" si="1"/>
        <v>600671019.94968545</v>
      </c>
      <c r="N30" s="164" t="s">
        <v>56</v>
      </c>
      <c r="O30" s="166">
        <f>NPV(O28,B30:M30)/NPV(O28,B31:M31)</f>
        <v>1904.8145763441416</v>
      </c>
    </row>
    <row r="31" spans="1:17" x14ac:dyDescent="0.35">
      <c r="A31" s="45" t="s">
        <v>58</v>
      </c>
      <c r="B31" s="2">
        <f>-1*B34</f>
        <v>-1530000</v>
      </c>
      <c r="C31" s="2">
        <f>C37+C38+C39</f>
        <v>510668.30232307664</v>
      </c>
      <c r="D31" s="2">
        <f t="shared" ref="D31:M31" si="2">D37+D38+D39</f>
        <v>516530.84449770837</v>
      </c>
      <c r="E31" s="2">
        <f t="shared" si="2"/>
        <v>522557.3264558519</v>
      </c>
      <c r="F31" s="2">
        <f t="shared" si="2"/>
        <v>528752.71031960507</v>
      </c>
      <c r="G31" s="2">
        <f t="shared" si="2"/>
        <v>535122.13297674106</v>
      </c>
      <c r="H31" s="2">
        <f t="shared" si="2"/>
        <v>541670.91297675855</v>
      </c>
      <c r="I31" s="2">
        <f t="shared" si="2"/>
        <v>548404.5577239932</v>
      </c>
      <c r="J31" s="2">
        <f t="shared" si="2"/>
        <v>555328.77098132018</v>
      </c>
      <c r="K31" s="2">
        <f t="shared" si="2"/>
        <v>562449.46069861506</v>
      </c>
      <c r="L31" s="2">
        <f t="shared" si="2"/>
        <v>569772.74718081206</v>
      </c>
      <c r="M31" s="2">
        <f t="shared" si="2"/>
        <v>673546.0710641616</v>
      </c>
      <c r="N31" s="164"/>
      <c r="O31" s="166"/>
    </row>
    <row r="32" spans="1:17" ht="15" thickBot="1" x14ac:dyDescent="0.4">
      <c r="A32" s="1" t="s">
        <v>164</v>
      </c>
      <c r="N32" s="167" t="s">
        <v>13</v>
      </c>
      <c r="O32" s="168" t="e">
        <f>IRR(B45:M45)</f>
        <v>#NUM!</v>
      </c>
    </row>
    <row r="33" spans="1:13" x14ac:dyDescent="0.35">
      <c r="A33" s="47" t="s">
        <v>61</v>
      </c>
      <c r="B33" s="150">
        <f>$B$16*(1+$B$11)^$B$29</f>
        <v>1530000</v>
      </c>
    </row>
    <row r="34" spans="1:13" x14ac:dyDescent="0.35">
      <c r="A34" s="47" t="s">
        <v>62</v>
      </c>
      <c r="B34" s="150">
        <f>B33*B17</f>
        <v>1530000</v>
      </c>
    </row>
    <row r="35" spans="1:13" x14ac:dyDescent="0.35">
      <c r="A35" s="47" t="s">
        <v>63</v>
      </c>
      <c r="B35">
        <v>0</v>
      </c>
      <c r="C35" s="6">
        <f>PPMT($F$19,B29,$M$29-1,-$B$34)</f>
        <v>78215.140911718991</v>
      </c>
      <c r="D35" s="6">
        <f>PPMT($F$19,C29,$M$29-1,-$B$34)</f>
        <v>86818.806412008082</v>
      </c>
      <c r="E35" s="6">
        <f t="shared" ref="E35:J35" si="3">PPMT($F$19,D29,$M$29-1,-$B$34)</f>
        <v>96368.875117328978</v>
      </c>
      <c r="F35" s="6">
        <f t="shared" si="3"/>
        <v>106969.45138023516</v>
      </c>
      <c r="G35" s="6">
        <f t="shared" si="3"/>
        <v>118736.09103206103</v>
      </c>
      <c r="H35" s="6">
        <f>PPMT($F$19,G29,$M$29-1,-$B$34)</f>
        <v>131797.06104558776</v>
      </c>
      <c r="I35" s="6">
        <f t="shared" si="3"/>
        <v>146294.73776060238</v>
      </c>
      <c r="J35" s="6">
        <f t="shared" si="3"/>
        <v>162387.15891426866</v>
      </c>
      <c r="K35" s="6">
        <f>PPMT($F$19,J29,$M$29-1,-$B$34)</f>
        <v>180249.74639483821</v>
      </c>
      <c r="L35" s="6">
        <f>PPMT($F$19,K29,$M$29-1,-$B$34)</f>
        <v>200077.21849827041</v>
      </c>
      <c r="M35" s="6">
        <f>PPMT($F$19,L29,$M$29-1,-$B$34)</f>
        <v>222085.71253308016</v>
      </c>
    </row>
    <row r="36" spans="1:13" x14ac:dyDescent="0.35">
      <c r="A36" s="47" t="s">
        <v>64</v>
      </c>
      <c r="B36">
        <v>0</v>
      </c>
      <c r="C36" s="6">
        <f>IPMT($F$19,B29,$M$29-1,-$B$34)</f>
        <v>168300</v>
      </c>
      <c r="D36" s="6">
        <f>IPMT($F$19,C29,$M$29-1,-$B$34)</f>
        <v>159696.33449971088</v>
      </c>
      <c r="E36" s="6">
        <f t="shared" ref="E36:M36" si="4">IPMT($F$19,D29,$M$29-1,-$B$34)</f>
        <v>150146.26579439</v>
      </c>
      <c r="F36" s="6">
        <f t="shared" si="4"/>
        <v>139545.68953148383</v>
      </c>
      <c r="G36" s="6">
        <f t="shared" si="4"/>
        <v>127779.04987965796</v>
      </c>
      <c r="H36" s="6">
        <f t="shared" si="4"/>
        <v>114718.07986613124</v>
      </c>
      <c r="I36" s="6">
        <f t="shared" si="4"/>
        <v>100220.40315111658</v>
      </c>
      <c r="J36" s="6">
        <f t="shared" si="4"/>
        <v>84127.981997450319</v>
      </c>
      <c r="K36" s="6">
        <f t="shared" si="4"/>
        <v>66265.394516880755</v>
      </c>
      <c r="L36" s="6">
        <f t="shared" si="4"/>
        <v>46437.922413448563</v>
      </c>
      <c r="M36" s="6">
        <f t="shared" si="4"/>
        <v>24429.428378638815</v>
      </c>
    </row>
    <row r="37" spans="1:13" x14ac:dyDescent="0.35">
      <c r="A37" s="149" t="s">
        <v>65</v>
      </c>
      <c r="B37">
        <f>SUM(B35:B36)</f>
        <v>0</v>
      </c>
      <c r="C37">
        <f t="shared" ref="C37:M37" si="5">SUM(C35:C36)</f>
        <v>246515.14091171901</v>
      </c>
      <c r="D37">
        <f t="shared" si="5"/>
        <v>246515.14091171895</v>
      </c>
      <c r="E37">
        <f t="shared" si="5"/>
        <v>246515.14091171898</v>
      </c>
      <c r="F37">
        <f t="shared" si="5"/>
        <v>246515.14091171901</v>
      </c>
      <c r="G37">
        <f t="shared" si="5"/>
        <v>246515.14091171901</v>
      </c>
      <c r="H37">
        <f t="shared" si="5"/>
        <v>246515.14091171901</v>
      </c>
      <c r="I37">
        <f t="shared" si="5"/>
        <v>246515.14091171895</v>
      </c>
      <c r="J37">
        <f t="shared" si="5"/>
        <v>246515.14091171898</v>
      </c>
      <c r="K37">
        <f t="shared" si="5"/>
        <v>246515.14091171895</v>
      </c>
      <c r="L37">
        <f t="shared" si="5"/>
        <v>246515.14091171898</v>
      </c>
      <c r="M37">
        <f t="shared" si="5"/>
        <v>246515.14091171898</v>
      </c>
    </row>
    <row r="38" spans="1:13" x14ac:dyDescent="0.35">
      <c r="A38" s="143" t="s">
        <v>5</v>
      </c>
      <c r="B38">
        <v>0</v>
      </c>
      <c r="C38">
        <f>(ABS(C39-D39)*$F$13)</f>
        <v>1744.1406501119316</v>
      </c>
      <c r="D38">
        <f t="shared" ref="D38:M38" si="6">(ABS(D39-E39)*$F$13)</f>
        <v>1792.8806577039825</v>
      </c>
      <c r="E38">
        <f t="shared" si="6"/>
        <v>1843.0937568342138</v>
      </c>
      <c r="F38">
        <f t="shared" si="6"/>
        <v>1894.8317644732945</v>
      </c>
      <c r="G38">
        <f t="shared" si="6"/>
        <v>1948.1485400316305</v>
      </c>
      <c r="H38">
        <f t="shared" si="6"/>
        <v>2003.1000732770772</v>
      </c>
      <c r="I38">
        <f t="shared" si="6"/>
        <v>2059.7445762548709</v>
      </c>
      <c r="J38">
        <f t="shared" si="6"/>
        <v>2118.1425793988105</v>
      </c>
      <c r="K38">
        <f t="shared" si="6"/>
        <v>2178.3570320310769</v>
      </c>
      <c r="L38">
        <f t="shared" si="6"/>
        <v>2240.4534074577155</v>
      </c>
      <c r="M38">
        <f t="shared" si="6"/>
        <v>98545.599265948302</v>
      </c>
    </row>
    <row r="39" spans="1:13" x14ac:dyDescent="0.35">
      <c r="A39" s="1" t="s">
        <v>165</v>
      </c>
      <c r="B39">
        <v>0</v>
      </c>
      <c r="C39">
        <f>SUM(C40:C44)</f>
        <v>262409.02076124569</v>
      </c>
      <c r="D39">
        <f t="shared" ref="D39:M39" si="7">SUM(D40:D44)</f>
        <v>268222.82292828546</v>
      </c>
      <c r="E39">
        <f t="shared" si="7"/>
        <v>274199.09178729873</v>
      </c>
      <c r="F39">
        <f t="shared" si="7"/>
        <v>280342.73764341278</v>
      </c>
      <c r="G39">
        <f t="shared" si="7"/>
        <v>286658.84352499043</v>
      </c>
      <c r="H39">
        <f t="shared" si="7"/>
        <v>293152.67199176253</v>
      </c>
      <c r="I39">
        <f t="shared" si="7"/>
        <v>299829.67223601945</v>
      </c>
      <c r="J39">
        <f t="shared" si="7"/>
        <v>306695.48749020236</v>
      </c>
      <c r="K39">
        <f t="shared" si="7"/>
        <v>313755.96275486506</v>
      </c>
      <c r="L39">
        <f t="shared" si="7"/>
        <v>321017.15286163532</v>
      </c>
      <c r="M39">
        <f t="shared" si="7"/>
        <v>328485.33088649437</v>
      </c>
    </row>
    <row r="40" spans="1:13" x14ac:dyDescent="0.35">
      <c r="A40" s="47" t="s">
        <v>172</v>
      </c>
      <c r="B40">
        <v>0</v>
      </c>
      <c r="C40">
        <f>($F$8*$G$5)*(1+$B$11+$C$13)^C29</f>
        <v>17172.138408304498</v>
      </c>
      <c r="D40">
        <f t="shared" ref="D40:M40" si="8">($F$8*$G$5)*(1+$B$11+$C$13)^D29</f>
        <v>17010.518282108693</v>
      </c>
      <c r="E40">
        <f t="shared" si="8"/>
        <v>16850.419286512373</v>
      </c>
      <c r="F40">
        <f t="shared" si="8"/>
        <v>16691.827104992259</v>
      </c>
      <c r="G40">
        <f t="shared" si="8"/>
        <v>16534.727555768801</v>
      </c>
      <c r="H40">
        <f t="shared" si="8"/>
        <v>16379.106590538036</v>
      </c>
      <c r="I40">
        <f t="shared" si="8"/>
        <v>16224.950293215325</v>
      </c>
      <c r="J40">
        <f t="shared" si="8"/>
        <v>16072.244878690946</v>
      </c>
      <c r="K40">
        <f t="shared" si="8"/>
        <v>15920.976691597385</v>
      </c>
      <c r="L40">
        <f t="shared" si="8"/>
        <v>15771.132205088232</v>
      </c>
      <c r="M40">
        <f t="shared" si="8"/>
        <v>15622.698019628579</v>
      </c>
    </row>
    <row r="41" spans="1:13" x14ac:dyDescent="0.35">
      <c r="A41" s="47" t="s">
        <v>173</v>
      </c>
      <c r="B41">
        <v>0</v>
      </c>
      <c r="C41">
        <f>($F$9*$G$5)*(1+$B$11+$C$9)^C29</f>
        <v>16518.975778546715</v>
      </c>
      <c r="D41">
        <f t="shared" ref="D41:M41" si="9">($F$9*$G$5)*(1+$B$11+$C$9)^D29</f>
        <v>17335.207522898439</v>
      </c>
      <c r="E41">
        <f t="shared" si="9"/>
        <v>18191.770718147542</v>
      </c>
      <c r="F41">
        <f t="shared" si="9"/>
        <v>19090.658212456008</v>
      </c>
      <c r="G41">
        <f t="shared" si="9"/>
        <v>20033.961324130309</v>
      </c>
      <c r="H41">
        <f>($F$9*$G$5)*(1+$B$11+$C$9)^H29</f>
        <v>21023.874707204985</v>
      </c>
      <c r="I41">
        <f t="shared" si="9"/>
        <v>22062.701457443352</v>
      </c>
      <c r="J41">
        <f t="shared" si="9"/>
        <v>23152.858470634674</v>
      </c>
      <c r="K41">
        <f t="shared" si="9"/>
        <v>24296.882065654274</v>
      </c>
      <c r="L41">
        <f t="shared" si="9"/>
        <v>25497.433885368955</v>
      </c>
      <c r="M41">
        <f t="shared" si="9"/>
        <v>26757.307089116603</v>
      </c>
    </row>
    <row r="42" spans="1:13" x14ac:dyDescent="0.35">
      <c r="A42" s="175" t="s">
        <v>145</v>
      </c>
      <c r="B42">
        <v>0</v>
      </c>
      <c r="C42">
        <f>($F$10*$G$5)*(1+$B$11+$C$10)^C29</f>
        <v>59652.906574394459</v>
      </c>
      <c r="D42">
        <f>($F$10*$G$5)*(1+$B$11+$C$10)^D29</f>
        <v>61430.797123278375</v>
      </c>
      <c r="E42">
        <f t="shared" ref="E42:M42" si="10">($F$10*$G$5)*(1+$B$11+$C$10)^E29</f>
        <v>63261.675782638828</v>
      </c>
      <c r="F42">
        <f t="shared" si="10"/>
        <v>65147.121805964533</v>
      </c>
      <c r="G42">
        <f t="shared" si="10"/>
        <v>67088.761514691316</v>
      </c>
      <c r="H42">
        <f t="shared" si="10"/>
        <v>69088.269701011523</v>
      </c>
      <c r="I42">
        <f t="shared" si="10"/>
        <v>71147.37107249265</v>
      </c>
      <c r="J42">
        <f t="shared" si="10"/>
        <v>73267.841739751253</v>
      </c>
      <c r="K42">
        <f t="shared" si="10"/>
        <v>75451.510748465415</v>
      </c>
      <c r="L42">
        <f t="shared" si="10"/>
        <v>77700.261657047129</v>
      </c>
      <c r="M42">
        <f t="shared" si="10"/>
        <v>80016.034161335599</v>
      </c>
    </row>
    <row r="43" spans="1:13" x14ac:dyDescent="0.35">
      <c r="A43" s="175" t="s">
        <v>146</v>
      </c>
      <c r="B43">
        <v>0</v>
      </c>
      <c r="C43">
        <f>($F$11*$G$5)*(1+$B$11)^C29</f>
        <v>65025</v>
      </c>
      <c r="D43">
        <f t="shared" ref="D43:L43" si="11">($F$11*$G$5)*(1+$B$11)^D29</f>
        <v>66325.5</v>
      </c>
      <c r="E43">
        <f t="shared" si="11"/>
        <v>67652.009999999995</v>
      </c>
      <c r="F43">
        <f t="shared" si="11"/>
        <v>69005.050199999998</v>
      </c>
      <c r="G43">
        <f t="shared" si="11"/>
        <v>70385.151204000009</v>
      </c>
      <c r="H43">
        <f t="shared" si="11"/>
        <v>71792.854228079988</v>
      </c>
      <c r="I43">
        <f t="shared" si="11"/>
        <v>73228.711312641593</v>
      </c>
      <c r="J43">
        <f t="shared" si="11"/>
        <v>74693.28553889443</v>
      </c>
      <c r="K43">
        <f t="shared" si="11"/>
        <v>76187.151249672315</v>
      </c>
      <c r="L43">
        <f t="shared" si="11"/>
        <v>77710.894274665756</v>
      </c>
      <c r="M43">
        <f>($F$11*$G$5)*(1+$B$11)^M29</f>
        <v>79265.112160159086</v>
      </c>
    </row>
    <row r="44" spans="1:13" x14ac:dyDescent="0.35">
      <c r="A44" s="175" t="s">
        <v>147</v>
      </c>
      <c r="B44">
        <v>0</v>
      </c>
      <c r="C44">
        <f>($F$12*$G$5)*(1+$B$11)^C29</f>
        <v>104040</v>
      </c>
      <c r="D44">
        <f t="shared" ref="D44:M44" si="12">($F$12*$G$5)*(1+$B$11)^D29</f>
        <v>106120.79999999999</v>
      </c>
      <c r="E44">
        <f t="shared" si="12"/>
        <v>108243.216</v>
      </c>
      <c r="F44">
        <f t="shared" si="12"/>
        <v>110408.08032000001</v>
      </c>
      <c r="G44">
        <f t="shared" si="12"/>
        <v>112616.24192640001</v>
      </c>
      <c r="H44">
        <f t="shared" si="12"/>
        <v>114868.56676492798</v>
      </c>
      <c r="I44">
        <f t="shared" si="12"/>
        <v>117165.93810022656</v>
      </c>
      <c r="J44">
        <f>($F$12*$G$5)*(1+$B$11)^J29</f>
        <v>119509.25686223108</v>
      </c>
      <c r="K44">
        <f t="shared" si="12"/>
        <v>121899.4419994757</v>
      </c>
      <c r="L44">
        <f t="shared" si="12"/>
        <v>124337.4308394652</v>
      </c>
      <c r="M44">
        <f t="shared" si="12"/>
        <v>126824.17945625453</v>
      </c>
    </row>
    <row r="45" spans="1:13" x14ac:dyDescent="0.35">
      <c r="A45" s="52" t="s">
        <v>177</v>
      </c>
      <c r="B45" s="56">
        <f t="shared" ref="B45:M45" si="13">B30-B31</f>
        <v>1530000</v>
      </c>
      <c r="C45" s="56">
        <f t="shared" si="13"/>
        <v>492248781.6976769</v>
      </c>
      <c r="D45" s="56">
        <f t="shared" si="13"/>
        <v>502098108.15550226</v>
      </c>
      <c r="E45" s="56">
        <f t="shared" si="13"/>
        <v>512144374.45354414</v>
      </c>
      <c r="F45" s="56">
        <f t="shared" si="13"/>
        <v>522391517.70528042</v>
      </c>
      <c r="G45" s="56">
        <f t="shared" si="13"/>
        <v>532843553.69093525</v>
      </c>
      <c r="H45" s="56">
        <f t="shared" si="13"/>
        <v>543504578.42741346</v>
      </c>
      <c r="I45" s="56">
        <f t="shared" si="13"/>
        <v>554378769.76947403</v>
      </c>
      <c r="J45" s="56">
        <f t="shared" si="13"/>
        <v>565470389.04276061</v>
      </c>
      <c r="K45" s="56">
        <f t="shared" si="13"/>
        <v>576783782.70931828</v>
      </c>
      <c r="L45" s="56">
        <f t="shared" si="13"/>
        <v>588323384.06623626</v>
      </c>
      <c r="M45" s="56">
        <f t="shared" si="13"/>
        <v>599997473.87862134</v>
      </c>
    </row>
    <row r="46" spans="1:13" x14ac:dyDescent="0.35">
      <c r="A46" s="1"/>
    </row>
    <row r="48" spans="1:13" x14ac:dyDescent="0.35">
      <c r="A48" s="1"/>
    </row>
    <row r="49" spans="1:15" x14ac:dyDescent="0.35">
      <c r="A49" s="154" t="s">
        <v>71</v>
      </c>
    </row>
    <row r="50" spans="1:15" x14ac:dyDescent="0.35">
      <c r="A50" s="8" t="s">
        <v>16</v>
      </c>
      <c r="F50" s="18"/>
      <c r="G50" s="57"/>
    </row>
    <row r="51" spans="1:15" x14ac:dyDescent="0.35">
      <c r="F51" s="18"/>
      <c r="G51" s="57"/>
    </row>
    <row r="52" spans="1:15" x14ac:dyDescent="0.35">
      <c r="B52" t="s">
        <v>35</v>
      </c>
      <c r="C52" t="s">
        <v>37</v>
      </c>
      <c r="F52" s="18"/>
      <c r="G52" s="57"/>
    </row>
    <row r="53" spans="1:15" x14ac:dyDescent="0.35">
      <c r="A53" s="151" t="s">
        <v>11</v>
      </c>
      <c r="B53" s="52">
        <v>1</v>
      </c>
      <c r="C53" s="52">
        <v>2</v>
      </c>
      <c r="D53" s="52">
        <v>3</v>
      </c>
      <c r="E53" s="52">
        <v>4</v>
      </c>
      <c r="F53" s="52">
        <v>5</v>
      </c>
      <c r="G53" s="52">
        <v>6</v>
      </c>
      <c r="H53" s="52">
        <v>7</v>
      </c>
      <c r="I53" s="52">
        <v>8</v>
      </c>
      <c r="J53" s="52">
        <v>9</v>
      </c>
      <c r="K53" s="52">
        <v>10</v>
      </c>
      <c r="L53" s="52">
        <v>11</v>
      </c>
      <c r="M53" s="152">
        <v>12</v>
      </c>
    </row>
    <row r="54" spans="1:15" ht="15" thickBot="1" x14ac:dyDescent="0.4">
      <c r="A54" s="45" t="s">
        <v>60</v>
      </c>
      <c r="B54">
        <v>0</v>
      </c>
      <c r="C54">
        <f>C30/(1+$B$11)^C53</f>
        <v>473625000</v>
      </c>
      <c r="D54">
        <f t="shared" ref="D54:M54" si="14">D30/(1+$B$11)^D53</f>
        <v>473625000</v>
      </c>
      <c r="E54">
        <f t="shared" si="14"/>
        <v>473625000</v>
      </c>
      <c r="F54">
        <f t="shared" si="14"/>
        <v>473625000</v>
      </c>
      <c r="G54">
        <f t="shared" si="14"/>
        <v>473625000</v>
      </c>
      <c r="H54">
        <f t="shared" si="14"/>
        <v>473625000.00000006</v>
      </c>
      <c r="I54">
        <f t="shared" si="14"/>
        <v>473625000</v>
      </c>
      <c r="J54">
        <f t="shared" si="14"/>
        <v>473624999.99999994</v>
      </c>
      <c r="K54">
        <f t="shared" si="14"/>
        <v>473625000.00000006</v>
      </c>
      <c r="L54">
        <f t="shared" si="14"/>
        <v>473625000</v>
      </c>
      <c r="M54">
        <f t="shared" si="14"/>
        <v>473624999.99999994</v>
      </c>
      <c r="N54" s="169" t="s">
        <v>170</v>
      </c>
    </row>
    <row r="55" spans="1:15" x14ac:dyDescent="0.35">
      <c r="A55" s="45" t="s">
        <v>58</v>
      </c>
      <c r="B55" s="2">
        <f>-1*B58</f>
        <v>-1500000</v>
      </c>
      <c r="C55" s="2">
        <f>C61+C62+C63</f>
        <v>490838.42976074258</v>
      </c>
      <c r="D55" s="2">
        <f>D61+D62+D63</f>
        <v>486738.55125263706</v>
      </c>
      <c r="E55" s="2">
        <f>E61+E62+E63</f>
        <v>482762.19588288281</v>
      </c>
      <c r="F55" s="2">
        <f t="shared" ref="F55:M55" si="15">F61+F62+F63</f>
        <v>478907.62051753886</v>
      </c>
      <c r="G55" s="2">
        <f t="shared" si="15"/>
        <v>475173.14005777996</v>
      </c>
      <c r="H55" s="2">
        <f t="shared" si="15"/>
        <v>471557.12675100879</v>
      </c>
      <c r="I55" s="2">
        <f>I61+I62+I63</f>
        <v>468058.00953420001</v>
      </c>
      <c r="J55" s="2">
        <f t="shared" si="15"/>
        <v>464674.27340921119</v>
      </c>
      <c r="K55" s="2">
        <f t="shared" si="15"/>
        <v>461404.45884980692</v>
      </c>
      <c r="L55" s="2">
        <f t="shared" si="15"/>
        <v>458247.16124017246</v>
      </c>
      <c r="M55" s="2">
        <f t="shared" si="15"/>
        <v>531086.48047392885</v>
      </c>
      <c r="N55" s="162"/>
      <c r="O55" s="163">
        <f>F17</f>
        <v>0.1</v>
      </c>
    </row>
    <row r="56" spans="1:15" x14ac:dyDescent="0.35">
      <c r="A56" s="1" t="s">
        <v>164</v>
      </c>
      <c r="N56" s="164" t="s">
        <v>12</v>
      </c>
      <c r="O56" s="165">
        <f>NPV($O$55,B69:M69)</f>
        <v>2795098450.9303703</v>
      </c>
    </row>
    <row r="57" spans="1:15" x14ac:dyDescent="0.35">
      <c r="A57" s="47" t="s">
        <v>61</v>
      </c>
      <c r="B57" s="150">
        <f>B33/(1+$B$11)^B29</f>
        <v>1500000</v>
      </c>
      <c r="N57" s="164" t="s">
        <v>56</v>
      </c>
      <c r="O57" s="166">
        <f>NPV(O55,B54:M54)/NPV(O55,B55:M55)</f>
        <v>1904.8145763441416</v>
      </c>
    </row>
    <row r="58" spans="1:15" x14ac:dyDescent="0.35">
      <c r="A58" s="47" t="s">
        <v>62</v>
      </c>
      <c r="B58" s="150">
        <f>B34/(1+$B$11)^B29</f>
        <v>1500000</v>
      </c>
      <c r="N58" s="164"/>
      <c r="O58" s="166"/>
    </row>
    <row r="59" spans="1:15" ht="15" thickBot="1" x14ac:dyDescent="0.4">
      <c r="A59" s="47" t="s">
        <v>63</v>
      </c>
      <c r="B59">
        <v>0</v>
      </c>
      <c r="C59" s="6">
        <f>C35/(1+$B$11)^C53</f>
        <v>75177.951664474225</v>
      </c>
      <c r="D59" s="6">
        <f t="shared" ref="D59:M59" si="16">D35/(1+$B$11)^D53</f>
        <v>81811.300340751375</v>
      </c>
      <c r="E59" s="6">
        <f t="shared" si="16"/>
        <v>89029.944488464738</v>
      </c>
      <c r="F59" s="6">
        <f t="shared" si="16"/>
        <v>96885.527825682206</v>
      </c>
      <c r="G59" s="6">
        <f t="shared" si="16"/>
        <v>105434.25086912475</v>
      </c>
      <c r="H59" s="6">
        <f t="shared" si="16"/>
        <v>114737.2730046358</v>
      </c>
      <c r="I59" s="6">
        <f t="shared" si="16"/>
        <v>124861.15003445656</v>
      </c>
      <c r="J59" s="6">
        <f t="shared" si="16"/>
        <v>135878.31033161451</v>
      </c>
      <c r="K59" s="6">
        <f t="shared" si="16"/>
        <v>147867.57300793342</v>
      </c>
      <c r="L59" s="6">
        <f t="shared" si="16"/>
        <v>160914.71180275112</v>
      </c>
      <c r="M59" s="6">
        <f t="shared" si="16"/>
        <v>175113.06872652326</v>
      </c>
      <c r="N59" s="167" t="s">
        <v>13</v>
      </c>
      <c r="O59" s="168" t="e">
        <f>IRR(B69:M69)</f>
        <v>#NUM!</v>
      </c>
    </row>
    <row r="60" spans="1:15" x14ac:dyDescent="0.35">
      <c r="A60" s="47" t="s">
        <v>64</v>
      </c>
      <c r="B60">
        <v>0</v>
      </c>
      <c r="C60" s="6">
        <f>C36/(1+$B$11)^C53</f>
        <v>161764.70588235295</v>
      </c>
      <c r="D60" s="6">
        <f>D36/(1+$B$11)^D53</f>
        <v>150485.4227443733</v>
      </c>
      <c r="E60" s="6">
        <f t="shared" ref="E60:M60" si="17">E36/(1+$B$11)^E53</f>
        <v>138711.94088910846</v>
      </c>
      <c r="F60" s="6">
        <f t="shared" si="17"/>
        <v>126390.83038762487</v>
      </c>
      <c r="G60" s="6">
        <f t="shared" si="17"/>
        <v>113464.13953607825</v>
      </c>
      <c r="H60" s="6">
        <f t="shared" si="17"/>
        <v>99868.992098504459</v>
      </c>
      <c r="I60" s="6">
        <f t="shared" si="17"/>
        <v>85537.149086269128</v>
      </c>
      <c r="J60" s="6">
        <f t="shared" si="17"/>
        <v>70394.531943606766</v>
      </c>
      <c r="K60" s="6">
        <f t="shared" si="17"/>
        <v>54360.703732479567</v>
      </c>
      <c r="L60" s="6">
        <f t="shared" si="17"/>
        <v>37348.304609418534</v>
      </c>
      <c r="M60" s="6">
        <f t="shared" si="17"/>
        <v>19262.437559917555</v>
      </c>
    </row>
    <row r="61" spans="1:15" x14ac:dyDescent="0.35">
      <c r="A61" s="149" t="s">
        <v>65</v>
      </c>
      <c r="B61">
        <f>SUM(B59:B60)</f>
        <v>0</v>
      </c>
      <c r="C61" s="6">
        <f>SUM(C59:C60)</f>
        <v>236942.65754682716</v>
      </c>
      <c r="D61">
        <f t="shared" ref="D61:M61" si="18">SUM(D59:D60)</f>
        <v>232296.72308512469</v>
      </c>
      <c r="E61">
        <f t="shared" si="18"/>
        <v>227741.8853775732</v>
      </c>
      <c r="F61">
        <f t="shared" si="18"/>
        <v>223276.35821330707</v>
      </c>
      <c r="G61">
        <f t="shared" si="18"/>
        <v>218898.39040520298</v>
      </c>
      <c r="H61">
        <f t="shared" si="18"/>
        <v>214606.26510314026</v>
      </c>
      <c r="I61">
        <f t="shared" si="18"/>
        <v>210398.29912072569</v>
      </c>
      <c r="J61">
        <f t="shared" si="18"/>
        <v>206272.84227522128</v>
      </c>
      <c r="K61">
        <f t="shared" si="18"/>
        <v>202228.27674041298</v>
      </c>
      <c r="L61">
        <f t="shared" si="18"/>
        <v>198263.01641216964</v>
      </c>
      <c r="M61">
        <f t="shared" si="18"/>
        <v>194375.50628644082</v>
      </c>
    </row>
    <row r="62" spans="1:15" x14ac:dyDescent="0.35">
      <c r="A62" s="143" t="s">
        <v>5</v>
      </c>
      <c r="B62">
        <v>0</v>
      </c>
      <c r="C62">
        <f>C38/(1+$B$11)^C53</f>
        <v>1676.4135429757127</v>
      </c>
      <c r="D62">
        <f>D38/(1+$B$11)^D53</f>
        <v>1689.4714869318575</v>
      </c>
      <c r="E62">
        <f t="shared" ref="E62:M62" si="19">E38/(1+$B$11)^E53</f>
        <v>1702.7337369893128</v>
      </c>
      <c r="F62">
        <f t="shared" si="19"/>
        <v>1716.2075085278454</v>
      </c>
      <c r="G62">
        <f t="shared" si="19"/>
        <v>1729.9001517958989</v>
      </c>
      <c r="H62">
        <f t="shared" si="19"/>
        <v>1743.8191575736364</v>
      </c>
      <c r="I62">
        <f t="shared" si="19"/>
        <v>1757.9721629445889</v>
      </c>
      <c r="J62">
        <f t="shared" si="19"/>
        <v>1772.3669571810503</v>
      </c>
      <c r="K62">
        <f t="shared" si="19"/>
        <v>1787.0114877477831</v>
      </c>
      <c r="L62">
        <f t="shared" si="19"/>
        <v>1801.9138664288587</v>
      </c>
      <c r="M62">
        <f t="shared" si="19"/>
        <v>77702.532504804927</v>
      </c>
    </row>
    <row r="63" spans="1:15" x14ac:dyDescent="0.35">
      <c r="A63" s="1" t="s">
        <v>165</v>
      </c>
      <c r="B63">
        <v>0</v>
      </c>
      <c r="C63">
        <f>SUM(C64:C68)</f>
        <v>252219.35867093969</v>
      </c>
      <c r="D63">
        <f t="shared" ref="D63:M63" si="20">SUM(D64:D68)</f>
        <v>252752.35668058053</v>
      </c>
      <c r="E63">
        <f t="shared" si="20"/>
        <v>253317.57676832029</v>
      </c>
      <c r="F63">
        <f t="shared" si="20"/>
        <v>253915.05479570391</v>
      </c>
      <c r="G63">
        <f t="shared" si="20"/>
        <v>254544.8495007811</v>
      </c>
      <c r="H63">
        <f t="shared" si="20"/>
        <v>255207.0424902949</v>
      </c>
      <c r="I63">
        <f t="shared" si="20"/>
        <v>255901.73825052974</v>
      </c>
      <c r="J63">
        <f t="shared" si="20"/>
        <v>256629.06417680887</v>
      </c>
      <c r="K63">
        <f t="shared" si="20"/>
        <v>257389.17062164613</v>
      </c>
      <c r="L63">
        <f t="shared" si="20"/>
        <v>258182.23096157392</v>
      </c>
      <c r="M63">
        <f t="shared" si="20"/>
        <v>259008.44168268313</v>
      </c>
    </row>
    <row r="64" spans="1:15" x14ac:dyDescent="0.35">
      <c r="A64" s="47" t="s">
        <v>172</v>
      </c>
      <c r="B64">
        <v>0</v>
      </c>
      <c r="C64">
        <f>C40/(1+$B$11)^C53</f>
        <v>16505.323345160032</v>
      </c>
      <c r="D64">
        <f t="shared" ref="D64:M64" si="21">D40/(1+$B$11)^D53</f>
        <v>16029.391299451845</v>
      </c>
      <c r="E64">
        <f t="shared" si="21"/>
        <v>15567.182784473416</v>
      </c>
      <c r="F64">
        <f t="shared" si="21"/>
        <v>15118.302081345579</v>
      </c>
      <c r="G64">
        <f t="shared" si="21"/>
        <v>14682.364881768139</v>
      </c>
      <c r="H64">
        <f t="shared" si="21"/>
        <v>14258.997958995127</v>
      </c>
      <c r="I64">
        <f t="shared" si="21"/>
        <v>13847.838848297457</v>
      </c>
      <c r="J64">
        <f t="shared" si="21"/>
        <v>13448.535536639516</v>
      </c>
      <c r="K64">
        <f t="shared" si="21"/>
        <v>13060.746161303889</v>
      </c>
      <c r="L64">
        <f t="shared" si="21"/>
        <v>12684.138717206317</v>
      </c>
      <c r="M64">
        <f t="shared" si="21"/>
        <v>12318.390772650193</v>
      </c>
    </row>
    <row r="65" spans="1:13" x14ac:dyDescent="0.35">
      <c r="A65" s="47" t="s">
        <v>173</v>
      </c>
      <c r="B65">
        <v>0</v>
      </c>
      <c r="C65">
        <f>C41/(1+$B$11)^C53</f>
        <v>15877.523816365547</v>
      </c>
      <c r="D65">
        <f t="shared" ref="D65:M65" si="22">D41/(1+$B$11)^D53</f>
        <v>16335.353222835147</v>
      </c>
      <c r="E65">
        <f t="shared" si="22"/>
        <v>16806.384169283683</v>
      </c>
      <c r="F65">
        <f t="shared" si="22"/>
        <v>17290.997322953914</v>
      </c>
      <c r="G65">
        <f t="shared" si="22"/>
        <v>17789.584327652705</v>
      </c>
      <c r="H65">
        <f t="shared" si="22"/>
        <v>18302.548120260919</v>
      </c>
      <c r="I65">
        <f t="shared" si="22"/>
        <v>18830.303256369942</v>
      </c>
      <c r="J65">
        <f t="shared" si="22"/>
        <v>19373.276245307949</v>
      </c>
      <c r="K65">
        <f t="shared" si="22"/>
        <v>19931.905894826636</v>
      </c>
      <c r="L65">
        <f t="shared" si="22"/>
        <v>20506.643665727061</v>
      </c>
      <c r="M65">
        <f t="shared" si="22"/>
        <v>21097.954036711115</v>
      </c>
    </row>
    <row r="66" spans="1:13" x14ac:dyDescent="0.35">
      <c r="A66" s="175" t="s">
        <v>145</v>
      </c>
      <c r="B66">
        <v>0</v>
      </c>
      <c r="C66">
        <f>C42/(1+$B$11)^C53</f>
        <v>57336.511509414129</v>
      </c>
      <c r="D66">
        <f t="shared" ref="D66:M66" si="23">D42/(1+$B$11)^D53</f>
        <v>57887.612158293545</v>
      </c>
      <c r="E66">
        <f t="shared" si="23"/>
        <v>58444.009814563186</v>
      </c>
      <c r="F66">
        <f t="shared" si="23"/>
        <v>59005.755391404426</v>
      </c>
      <c r="G66">
        <f t="shared" si="23"/>
        <v>59572.900291360253</v>
      </c>
      <c r="H66">
        <f t="shared" si="23"/>
        <v>60145.496411038846</v>
      </c>
      <c r="I66">
        <f t="shared" si="23"/>
        <v>60723.596145862357</v>
      </c>
      <c r="J66">
        <f t="shared" si="23"/>
        <v>61307.252394861418</v>
      </c>
      <c r="K66">
        <f t="shared" si="23"/>
        <v>61896.518565515609</v>
      </c>
      <c r="L66">
        <f t="shared" si="23"/>
        <v>62491.448578640528</v>
      </c>
      <c r="M66">
        <f t="shared" si="23"/>
        <v>63092.096873321803</v>
      </c>
    </row>
    <row r="67" spans="1:13" x14ac:dyDescent="0.35">
      <c r="A67" s="175" t="s">
        <v>146</v>
      </c>
      <c r="B67">
        <v>0</v>
      </c>
      <c r="C67">
        <f>C43/(1+$B$11)^C53</f>
        <v>62500</v>
      </c>
      <c r="D67">
        <f t="shared" ref="D67:M67" si="24">D43/(1+$B$11)^D53</f>
        <v>62500.000000000007</v>
      </c>
      <c r="E67">
        <f t="shared" si="24"/>
        <v>62500</v>
      </c>
      <c r="F67">
        <f t="shared" si="24"/>
        <v>62500</v>
      </c>
      <c r="G67">
        <f t="shared" si="24"/>
        <v>62500.000000000007</v>
      </c>
      <c r="H67">
        <f t="shared" si="24"/>
        <v>62500</v>
      </c>
      <c r="I67">
        <f t="shared" si="24"/>
        <v>62500</v>
      </c>
      <c r="J67">
        <f t="shared" si="24"/>
        <v>62500</v>
      </c>
      <c r="K67">
        <f t="shared" si="24"/>
        <v>62500</v>
      </c>
      <c r="L67">
        <f t="shared" si="24"/>
        <v>62500.000000000007</v>
      </c>
      <c r="M67">
        <f t="shared" si="24"/>
        <v>62500.000000000007</v>
      </c>
    </row>
    <row r="68" spans="1:13" x14ac:dyDescent="0.35">
      <c r="A68" s="175" t="s">
        <v>147</v>
      </c>
      <c r="B68">
        <v>0</v>
      </c>
      <c r="C68">
        <f>C44/(1+$B$11)^C53</f>
        <v>100000</v>
      </c>
      <c r="D68">
        <f>D44/(1+$B$11)^D53</f>
        <v>100000</v>
      </c>
      <c r="E68">
        <f t="shared" ref="E68:M68" si="25">E44/(1+$B$11)^E53</f>
        <v>100000</v>
      </c>
      <c r="F68">
        <f t="shared" si="25"/>
        <v>100000</v>
      </c>
      <c r="G68">
        <f t="shared" si="25"/>
        <v>100000</v>
      </c>
      <c r="H68">
        <f t="shared" si="25"/>
        <v>100000</v>
      </c>
      <c r="I68">
        <f t="shared" si="25"/>
        <v>100000</v>
      </c>
      <c r="J68">
        <f t="shared" si="25"/>
        <v>100000</v>
      </c>
      <c r="K68">
        <f t="shared" si="25"/>
        <v>100000</v>
      </c>
      <c r="L68">
        <f t="shared" si="25"/>
        <v>100000</v>
      </c>
      <c r="M68">
        <f t="shared" si="25"/>
        <v>100000</v>
      </c>
    </row>
    <row r="69" spans="1:13" x14ac:dyDescent="0.35">
      <c r="A69" s="52" t="s">
        <v>177</v>
      </c>
      <c r="B69" s="56">
        <f>B54-B55</f>
        <v>1500000</v>
      </c>
      <c r="C69" s="56">
        <f>C54-C55</f>
        <v>473134161.57023925</v>
      </c>
      <c r="D69" s="56">
        <f t="shared" ref="D69:M69" si="26">D54-D55</f>
        <v>473138261.44874734</v>
      </c>
      <c r="E69" s="56">
        <f t="shared" si="26"/>
        <v>473142237.80411714</v>
      </c>
      <c r="F69" s="56">
        <f t="shared" si="26"/>
        <v>473146092.37948245</v>
      </c>
      <c r="G69" s="56">
        <f t="shared" si="26"/>
        <v>473149826.8599422</v>
      </c>
      <c r="H69" s="56">
        <f t="shared" si="26"/>
        <v>473153442.87324905</v>
      </c>
      <c r="I69" s="56">
        <f t="shared" si="26"/>
        <v>473156941.99046582</v>
      </c>
      <c r="J69" s="56">
        <f t="shared" si="26"/>
        <v>473160325.72659075</v>
      </c>
      <c r="K69" s="56">
        <f t="shared" si="26"/>
        <v>473163595.54115027</v>
      </c>
      <c r="L69" s="56">
        <f t="shared" si="26"/>
        <v>473166752.83875984</v>
      </c>
      <c r="M69" s="56">
        <f t="shared" si="26"/>
        <v>473093913.519526</v>
      </c>
    </row>
    <row r="70" spans="1:13" x14ac:dyDescent="0.35">
      <c r="A7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90183F06D724C83DE71489E552D5A" ma:contentTypeVersion="16" ma:contentTypeDescription="Create a new document." ma:contentTypeScope="" ma:versionID="0329eb1172e3e2bb210cc0d14101b948">
  <xsd:schema xmlns:xsd="http://www.w3.org/2001/XMLSchema" xmlns:xs="http://www.w3.org/2001/XMLSchema" xmlns:p="http://schemas.microsoft.com/office/2006/metadata/properties" xmlns:ns3="81c8d946-e74e-4658-82bc-01095f10b832" xmlns:ns4="af7da3fd-bd7d-4b07-a26d-5c4edd2bac1d" targetNamespace="http://schemas.microsoft.com/office/2006/metadata/properties" ma:root="true" ma:fieldsID="742184678c46a89a3d824c3c7a548713" ns3:_="" ns4:_="">
    <xsd:import namespace="81c8d946-e74e-4658-82bc-01095f10b832"/>
    <xsd:import namespace="af7da3fd-bd7d-4b07-a26d-5c4edd2ba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d946-e74e-4658-82bc-01095f10b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a3fd-bd7d-4b07-a26d-5c4edd2bac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c8d946-e74e-4658-82bc-01095f10b832" xsi:nil="true"/>
  </documentManagement>
</p:properties>
</file>

<file path=customXml/itemProps1.xml><?xml version="1.0" encoding="utf-8"?>
<ds:datastoreItem xmlns:ds="http://schemas.openxmlformats.org/officeDocument/2006/customXml" ds:itemID="{6B5D269A-F902-4BB8-9353-AD90D8C89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d946-e74e-4658-82bc-01095f10b832"/>
    <ds:schemaRef ds:uri="af7da3fd-bd7d-4b07-a26d-5c4edd2ba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938BAF-8B73-4EF6-B007-DD17E20F45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B8D604-7AA4-4EF4-B03B-AF1A6311066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1c8d946-e74e-4658-82bc-01095f10b832"/>
    <ds:schemaRef ds:uri="af7da3fd-bd7d-4b07-a26d-5c4edd2bac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 Financial Analysis</vt:lpstr>
      <vt:lpstr>Problem 1 Economic Analysis</vt:lpstr>
      <vt:lpstr>Problem 2 FinEc Analysis</vt:lpstr>
      <vt:lpstr>Problem 3 Financial Analysis</vt:lpstr>
      <vt:lpstr>Problem 3 Economic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cp:lastPrinted>2025-02-23T21:05:32Z</cp:lastPrinted>
  <dcterms:created xsi:type="dcterms:W3CDTF">2025-02-23T04:20:16Z</dcterms:created>
  <dcterms:modified xsi:type="dcterms:W3CDTF">2025-03-03T17:49:48Z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0x01010064390183F06D724C83DE71489E552D5A</vt:lpwstr>
  </property>
</Properties>
</file>