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donnel26\Downloads\"/>
    </mc:Choice>
  </mc:AlternateContent>
  <xr:revisionPtr revIDLastSave="0" documentId="13_ncr:1_{2BACF5E8-BA51-415E-96B2-F99058B41C21}" xr6:coauthVersionLast="47" xr6:coauthVersionMax="47" xr10:uidLastSave="{00000000-0000-0000-0000-000000000000}"/>
  <bookViews>
    <workbookView xWindow="-120" yWindow="-120" windowWidth="29040" windowHeight="15720" activeTab="4" xr2:uid="{61B41BEC-A4E3-45DF-A8B2-636DF7572DB2}"/>
  </bookViews>
  <sheets>
    <sheet name="Problem 1" sheetId="1" r:id="rId1"/>
    <sheet name="Problem 1 Breakeven" sheetId="11" r:id="rId2"/>
    <sheet name="Problem 2" sheetId="6" r:id="rId3"/>
    <sheet name="Problem 3" sheetId="5" r:id="rId4"/>
    <sheet name="Problem 3 part 3" sheetId="1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65" i="12" l="1"/>
  <c r="R62" i="12"/>
  <c r="R63" i="12"/>
  <c r="R64" i="12"/>
  <c r="R61" i="12"/>
  <c r="Q65" i="12"/>
  <c r="Q62" i="12"/>
  <c r="Q63" i="12"/>
  <c r="Q64" i="12"/>
  <c r="Q61" i="12"/>
  <c r="F65" i="12"/>
  <c r="G65" i="12"/>
  <c r="H65" i="12"/>
  <c r="I65" i="12"/>
  <c r="J65" i="12"/>
  <c r="K65" i="12"/>
  <c r="L65" i="12"/>
  <c r="M65" i="12"/>
  <c r="N65" i="12"/>
  <c r="O65" i="12"/>
  <c r="P65" i="12"/>
  <c r="F64" i="12"/>
  <c r="G64" i="12"/>
  <c r="H64" i="12"/>
  <c r="I64" i="12"/>
  <c r="J64" i="12"/>
  <c r="K64" i="12"/>
  <c r="L64" i="12"/>
  <c r="M64" i="12"/>
  <c r="N64" i="12"/>
  <c r="O64" i="12"/>
  <c r="P64" i="12"/>
  <c r="F63" i="12"/>
  <c r="G63" i="12"/>
  <c r="H63" i="12"/>
  <c r="I63" i="12"/>
  <c r="J63" i="12"/>
  <c r="K63" i="12"/>
  <c r="L63" i="12"/>
  <c r="M63" i="12"/>
  <c r="N63" i="12"/>
  <c r="O63" i="12"/>
  <c r="P63" i="12"/>
  <c r="F62" i="12"/>
  <c r="G62" i="12"/>
  <c r="H62" i="12"/>
  <c r="I62" i="12"/>
  <c r="J62" i="12"/>
  <c r="K62" i="12"/>
  <c r="L62" i="12"/>
  <c r="M62" i="12"/>
  <c r="N62" i="12"/>
  <c r="O62" i="12"/>
  <c r="P62" i="12"/>
  <c r="E65" i="12"/>
  <c r="E64" i="12"/>
  <c r="E63" i="12"/>
  <c r="E62" i="12"/>
  <c r="L61" i="12"/>
  <c r="F61" i="12"/>
  <c r="G61" i="12"/>
  <c r="H61" i="12"/>
  <c r="I61" i="12"/>
  <c r="J61" i="12"/>
  <c r="K61" i="12"/>
  <c r="M61" i="12"/>
  <c r="N61" i="12"/>
  <c r="O61" i="12"/>
  <c r="P61" i="12"/>
  <c r="E61" i="12"/>
  <c r="C57" i="12"/>
  <c r="D57" i="12"/>
  <c r="E57" i="12"/>
  <c r="F57" i="12"/>
  <c r="B57" i="12"/>
  <c r="F56" i="12"/>
  <c r="F55" i="12"/>
  <c r="F54" i="12"/>
  <c r="D55" i="12"/>
  <c r="E56" i="12"/>
  <c r="E55" i="12"/>
  <c r="E54" i="12"/>
  <c r="D56" i="12"/>
  <c r="D54" i="12"/>
  <c r="C56" i="12"/>
  <c r="C55" i="12"/>
  <c r="C54" i="12"/>
  <c r="B55" i="12"/>
  <c r="B56" i="12"/>
  <c r="B54" i="12"/>
  <c r="H42" i="12"/>
  <c r="C37" i="12"/>
  <c r="M35" i="12"/>
  <c r="M42" i="12" s="1"/>
  <c r="E37" i="12"/>
  <c r="D37" i="12"/>
  <c r="F27" i="12"/>
  <c r="F26" i="12"/>
  <c r="F25" i="12"/>
  <c r="G25" i="12" s="1"/>
  <c r="H25" i="12" s="1"/>
  <c r="I25" i="12" s="1"/>
  <c r="J25" i="12" s="1"/>
  <c r="K25" i="12" s="1"/>
  <c r="L25" i="12" s="1"/>
  <c r="M25" i="12" s="1"/>
  <c r="N25" i="12" s="1"/>
  <c r="O25" i="12" s="1"/>
  <c r="P25" i="12" s="1"/>
  <c r="Q25" i="12" s="1"/>
  <c r="G26" i="5"/>
  <c r="F24" i="12"/>
  <c r="F23" i="12"/>
  <c r="Q34" i="12"/>
  <c r="P34" i="12"/>
  <c r="O34" i="12"/>
  <c r="N34" i="12"/>
  <c r="M34" i="12"/>
  <c r="L34" i="12"/>
  <c r="K34" i="12"/>
  <c r="J34" i="12"/>
  <c r="I34" i="12"/>
  <c r="H34" i="12"/>
  <c r="G34" i="12"/>
  <c r="F34" i="12"/>
  <c r="Q33" i="12"/>
  <c r="P33" i="12"/>
  <c r="O33" i="12"/>
  <c r="N33" i="12"/>
  <c r="M33" i="12"/>
  <c r="L33" i="12"/>
  <c r="K33" i="12"/>
  <c r="J33" i="12"/>
  <c r="I33" i="12"/>
  <c r="H33" i="12"/>
  <c r="G33" i="12"/>
  <c r="F33" i="12"/>
  <c r="Q32" i="12"/>
  <c r="P32" i="12"/>
  <c r="O32" i="12"/>
  <c r="N32" i="12"/>
  <c r="M32" i="12"/>
  <c r="L32" i="12"/>
  <c r="K32" i="12"/>
  <c r="J32" i="12"/>
  <c r="I32" i="12"/>
  <c r="H32" i="12"/>
  <c r="G32" i="12"/>
  <c r="F32" i="12"/>
  <c r="F31" i="12"/>
  <c r="Q28" i="12"/>
  <c r="P28" i="12"/>
  <c r="O28" i="12"/>
  <c r="N28" i="12"/>
  <c r="M28" i="12"/>
  <c r="L28" i="12"/>
  <c r="K28" i="12"/>
  <c r="J28" i="12"/>
  <c r="I28" i="12"/>
  <c r="H28" i="12"/>
  <c r="G28" i="12"/>
  <c r="F28" i="12"/>
  <c r="Q27" i="12"/>
  <c r="P27" i="12"/>
  <c r="O27" i="12"/>
  <c r="N27" i="12"/>
  <c r="M27" i="12"/>
  <c r="L27" i="12"/>
  <c r="K27" i="12"/>
  <c r="J27" i="12"/>
  <c r="I27" i="12"/>
  <c r="H27" i="12"/>
  <c r="G27" i="12"/>
  <c r="Q26" i="12"/>
  <c r="P26" i="12"/>
  <c r="O26" i="12"/>
  <c r="N26" i="12"/>
  <c r="M26" i="12"/>
  <c r="L26" i="12"/>
  <c r="K26" i="12"/>
  <c r="J26" i="12"/>
  <c r="I26" i="12"/>
  <c r="H26" i="12"/>
  <c r="G26" i="12"/>
  <c r="Q24" i="12"/>
  <c r="P24" i="12"/>
  <c r="O24" i="12"/>
  <c r="N24" i="12"/>
  <c r="M24" i="12"/>
  <c r="L24" i="12"/>
  <c r="K24" i="12"/>
  <c r="J24" i="12"/>
  <c r="I24" i="12"/>
  <c r="H24" i="12"/>
  <c r="G24" i="12"/>
  <c r="Q35" i="12"/>
  <c r="P35" i="12"/>
  <c r="O35" i="12"/>
  <c r="N35" i="12"/>
  <c r="L35" i="12"/>
  <c r="L42" i="12" s="1"/>
  <c r="K35" i="12"/>
  <c r="K42" i="12" s="1"/>
  <c r="J35" i="12"/>
  <c r="I35" i="12"/>
  <c r="H35" i="12"/>
  <c r="G35" i="12"/>
  <c r="F35" i="12"/>
  <c r="Q23" i="12"/>
  <c r="P23" i="12"/>
  <c r="O23" i="12"/>
  <c r="N23" i="12"/>
  <c r="N42" i="12" s="1"/>
  <c r="M23" i="12"/>
  <c r="L23" i="12"/>
  <c r="K23" i="12"/>
  <c r="J23" i="12"/>
  <c r="I23" i="12"/>
  <c r="H23" i="12"/>
  <c r="G23" i="12"/>
  <c r="F11" i="12"/>
  <c r="E42" i="12" s="1"/>
  <c r="E11" i="12"/>
  <c r="D42" i="12" s="1"/>
  <c r="D11" i="12"/>
  <c r="C42" i="12" s="1"/>
  <c r="F10" i="12"/>
  <c r="E41" i="12" s="1"/>
  <c r="E10" i="12"/>
  <c r="D41" i="12" s="1"/>
  <c r="D10" i="12"/>
  <c r="C41" i="12" s="1"/>
  <c r="F9" i="12"/>
  <c r="E40" i="12" s="1"/>
  <c r="E9" i="12"/>
  <c r="D40" i="12" s="1"/>
  <c r="D9" i="12"/>
  <c r="C40" i="12" s="1"/>
  <c r="F8" i="12"/>
  <c r="E39" i="12" s="1"/>
  <c r="E8" i="12"/>
  <c r="D39" i="12" s="1"/>
  <c r="D8" i="12"/>
  <c r="C39" i="12" s="1"/>
  <c r="F7" i="12"/>
  <c r="E38" i="12" s="1"/>
  <c r="E7" i="12"/>
  <c r="D38" i="12" s="1"/>
  <c r="D7" i="12"/>
  <c r="C38" i="12" s="1"/>
  <c r="F4" i="12"/>
  <c r="E4" i="12"/>
  <c r="D4" i="12"/>
  <c r="M14" i="6"/>
  <c r="B2" i="6"/>
  <c r="B23" i="6"/>
  <c r="I20" i="11"/>
  <c r="D25" i="11"/>
  <c r="B27" i="11"/>
  <c r="H38" i="11"/>
  <c r="G38" i="11"/>
  <c r="F38" i="11"/>
  <c r="E38" i="11"/>
  <c r="D38" i="11"/>
  <c r="B38" i="11"/>
  <c r="C34" i="11"/>
  <c r="B34" i="11"/>
  <c r="C33" i="11"/>
  <c r="C36" i="11" s="1"/>
  <c r="C40" i="11" s="1"/>
  <c r="B33" i="11"/>
  <c r="B36" i="11" s="1"/>
  <c r="B40" i="11" s="1"/>
  <c r="B25" i="11"/>
  <c r="I23" i="11"/>
  <c r="I38" i="11" s="1"/>
  <c r="C21" i="11"/>
  <c r="B21" i="11"/>
  <c r="I35" i="11"/>
  <c r="D19" i="11"/>
  <c r="E19" i="11" s="1"/>
  <c r="I18" i="11"/>
  <c r="I33" i="11" s="1"/>
  <c r="H18" i="11"/>
  <c r="H33" i="11" s="1"/>
  <c r="G18" i="11"/>
  <c r="G33" i="11" s="1"/>
  <c r="F18" i="11"/>
  <c r="F33" i="11" s="1"/>
  <c r="E18" i="11"/>
  <c r="E33" i="11" s="1"/>
  <c r="D18" i="11"/>
  <c r="D21" i="11" s="1"/>
  <c r="E8" i="11"/>
  <c r="E2" i="11"/>
  <c r="C23" i="11" s="1"/>
  <c r="C38" i="11" s="1"/>
  <c r="I35" i="1"/>
  <c r="I20" i="1"/>
  <c r="B42" i="1"/>
  <c r="I40" i="1"/>
  <c r="D40" i="1"/>
  <c r="C40" i="1"/>
  <c r="C38" i="1"/>
  <c r="I36" i="1"/>
  <c r="H36" i="1"/>
  <c r="G36" i="1"/>
  <c r="F36" i="1"/>
  <c r="E36" i="1"/>
  <c r="D36" i="1"/>
  <c r="C36" i="1"/>
  <c r="B36" i="1"/>
  <c r="I34" i="1"/>
  <c r="H34" i="1"/>
  <c r="G33" i="1"/>
  <c r="E34" i="1"/>
  <c r="D34" i="1"/>
  <c r="D33" i="1"/>
  <c r="I23" i="1"/>
  <c r="C21" i="1"/>
  <c r="B21" i="1"/>
  <c r="E2" i="1"/>
  <c r="C23" i="1" s="1"/>
  <c r="D19" i="1"/>
  <c r="E19" i="1" s="1"/>
  <c r="F19" i="1" s="1"/>
  <c r="G19" i="1" s="1"/>
  <c r="H19" i="1" s="1"/>
  <c r="I19" i="1" s="1"/>
  <c r="I18" i="1"/>
  <c r="H18" i="1"/>
  <c r="G18" i="1"/>
  <c r="F18" i="1"/>
  <c r="E18" i="1"/>
  <c r="E33" i="1" s="1"/>
  <c r="D18" i="1"/>
  <c r="R37" i="5"/>
  <c r="F24" i="5"/>
  <c r="F23" i="5"/>
  <c r="D10" i="5"/>
  <c r="C41" i="5"/>
  <c r="G35" i="5"/>
  <c r="H35" i="5"/>
  <c r="I35" i="5"/>
  <c r="J35" i="5"/>
  <c r="K35" i="5"/>
  <c r="L35" i="5"/>
  <c r="M35" i="5"/>
  <c r="N35" i="5"/>
  <c r="O35" i="5"/>
  <c r="P35" i="5"/>
  <c r="Q35" i="5"/>
  <c r="F35" i="5"/>
  <c r="F41" i="5" s="1"/>
  <c r="G29" i="5"/>
  <c r="H29" i="5"/>
  <c r="I29" i="5"/>
  <c r="J29" i="5"/>
  <c r="K29" i="5"/>
  <c r="L29" i="5"/>
  <c r="M29" i="5"/>
  <c r="N29" i="5"/>
  <c r="O29" i="5"/>
  <c r="P29" i="5"/>
  <c r="Q29" i="5"/>
  <c r="F29" i="5"/>
  <c r="H14" i="6"/>
  <c r="H15" i="6"/>
  <c r="H16" i="6"/>
  <c r="H17" i="6"/>
  <c r="H18" i="6"/>
  <c r="H19" i="6"/>
  <c r="I15" i="6"/>
  <c r="M21" i="6"/>
  <c r="H13" i="6"/>
  <c r="I14" i="6"/>
  <c r="I13" i="6"/>
  <c r="G13" i="6"/>
  <c r="M13" i="6"/>
  <c r="N13" i="6" s="1"/>
  <c r="M20" i="6"/>
  <c r="M22" i="6"/>
  <c r="O12" i="6"/>
  <c r="O11" i="6"/>
  <c r="O10" i="6"/>
  <c r="M11" i="6"/>
  <c r="M12" i="6"/>
  <c r="M10" i="6"/>
  <c r="F13" i="6"/>
  <c r="N14" i="6" s="1"/>
  <c r="F12" i="6"/>
  <c r="F11" i="6"/>
  <c r="Q42" i="12" l="1"/>
  <c r="J40" i="12"/>
  <c r="I38" i="12"/>
  <c r="D49" i="12"/>
  <c r="E47" i="12"/>
  <c r="E48" i="12"/>
  <c r="F37" i="12"/>
  <c r="F41" i="12"/>
  <c r="C47" i="12"/>
  <c r="G38" i="12"/>
  <c r="C49" i="12"/>
  <c r="J38" i="12"/>
  <c r="G42" i="12"/>
  <c r="I42" i="12"/>
  <c r="F42" i="12"/>
  <c r="D46" i="12"/>
  <c r="H38" i="12"/>
  <c r="E46" i="12"/>
  <c r="E49" i="12"/>
  <c r="K38" i="12"/>
  <c r="C50" i="12"/>
  <c r="C48" i="12"/>
  <c r="D50" i="12"/>
  <c r="H41" i="12"/>
  <c r="J42" i="12"/>
  <c r="L38" i="12"/>
  <c r="M38" i="12"/>
  <c r="D48" i="12"/>
  <c r="O42" i="12"/>
  <c r="D47" i="12"/>
  <c r="C46" i="12"/>
  <c r="P42" i="12"/>
  <c r="F39" i="12"/>
  <c r="E50" i="12"/>
  <c r="F38" i="12"/>
  <c r="F40" i="12"/>
  <c r="K40" i="12"/>
  <c r="L41" i="12"/>
  <c r="L40" i="12"/>
  <c r="I40" i="12"/>
  <c r="H40" i="12"/>
  <c r="M40" i="12"/>
  <c r="M41" i="12"/>
  <c r="Q38" i="12"/>
  <c r="G40" i="12"/>
  <c r="G41" i="12"/>
  <c r="K41" i="12"/>
  <c r="I41" i="12"/>
  <c r="N38" i="12"/>
  <c r="N40" i="12"/>
  <c r="N41" i="12"/>
  <c r="O38" i="12"/>
  <c r="O40" i="12"/>
  <c r="O41" i="12"/>
  <c r="P38" i="12"/>
  <c r="P40" i="12"/>
  <c r="P41" i="12"/>
  <c r="J41" i="12"/>
  <c r="Q40" i="12"/>
  <c r="Q41" i="12"/>
  <c r="G31" i="12"/>
  <c r="E21" i="11"/>
  <c r="E25" i="11" s="1"/>
  <c r="E34" i="11"/>
  <c r="F19" i="11"/>
  <c r="E36" i="11"/>
  <c r="E40" i="11" s="1"/>
  <c r="D34" i="11"/>
  <c r="C25" i="11"/>
  <c r="D33" i="11"/>
  <c r="D36" i="11" s="1"/>
  <c r="D40" i="11" s="1"/>
  <c r="I21" i="1"/>
  <c r="I25" i="1" s="1"/>
  <c r="D21" i="1"/>
  <c r="E21" i="1"/>
  <c r="C25" i="1"/>
  <c r="F21" i="1"/>
  <c r="H21" i="1"/>
  <c r="G21" i="1"/>
  <c r="E12" i="6"/>
  <c r="E11" i="6"/>
  <c r="D10" i="6"/>
  <c r="C10" i="6"/>
  <c r="D11" i="6"/>
  <c r="F10" i="6"/>
  <c r="D12" i="6"/>
  <c r="J22" i="6"/>
  <c r="J16" i="6"/>
  <c r="J17" i="6" s="1"/>
  <c r="J18" i="6" s="1"/>
  <c r="J19" i="6" s="1"/>
  <c r="J20" i="6" s="1"/>
  <c r="J21" i="6" s="1"/>
  <c r="J15" i="6"/>
  <c r="J14" i="6"/>
  <c r="F26" i="5"/>
  <c r="F25" i="5"/>
  <c r="G24" i="5"/>
  <c r="D11" i="5"/>
  <c r="D9" i="5"/>
  <c r="D8" i="5"/>
  <c r="D7" i="5"/>
  <c r="S41" i="12" l="1"/>
  <c r="R42" i="12"/>
  <c r="R41" i="12"/>
  <c r="R38" i="12"/>
  <c r="R40" i="12"/>
  <c r="G39" i="12"/>
  <c r="G37" i="12"/>
  <c r="G11" i="12"/>
  <c r="S42" i="12"/>
  <c r="S40" i="12"/>
  <c r="G9" i="12"/>
  <c r="G10" i="12"/>
  <c r="H31" i="12"/>
  <c r="F34" i="11"/>
  <c r="F36" i="11" s="1"/>
  <c r="F40" i="11" s="1"/>
  <c r="G19" i="11"/>
  <c r="F21" i="11"/>
  <c r="H39" i="12" l="1"/>
  <c r="H37" i="12"/>
  <c r="I31" i="12"/>
  <c r="F25" i="11"/>
  <c r="G34" i="11"/>
  <c r="G36" i="11" s="1"/>
  <c r="G40" i="11" s="1"/>
  <c r="H19" i="11"/>
  <c r="G21" i="11"/>
  <c r="I37" i="12" l="1"/>
  <c r="I39" i="12"/>
  <c r="J31" i="12"/>
  <c r="G25" i="11"/>
  <c r="H34" i="11"/>
  <c r="H36" i="11" s="1"/>
  <c r="H40" i="11" s="1"/>
  <c r="I19" i="11"/>
  <c r="H21" i="11"/>
  <c r="H25" i="11" s="1"/>
  <c r="J37" i="12" l="1"/>
  <c r="J39" i="12"/>
  <c r="K31" i="12"/>
  <c r="I34" i="11"/>
  <c r="I36" i="11" s="1"/>
  <c r="I40" i="11" s="1"/>
  <c r="B43" i="11" s="1"/>
  <c r="I21" i="11"/>
  <c r="K37" i="12" l="1"/>
  <c r="K39" i="12"/>
  <c r="L31" i="12"/>
  <c r="I25" i="11"/>
  <c r="B44" i="11"/>
  <c r="B29" i="11"/>
  <c r="B42" i="11"/>
  <c r="L39" i="12" l="1"/>
  <c r="L37" i="12"/>
  <c r="M31" i="12"/>
  <c r="B28" i="11"/>
  <c r="M39" i="12" l="1"/>
  <c r="M37" i="12"/>
  <c r="N31" i="12"/>
  <c r="G28" i="5"/>
  <c r="F34" i="5"/>
  <c r="F28" i="5"/>
  <c r="F40" i="5" s="1"/>
  <c r="H26" i="5"/>
  <c r="I26" i="5" s="1"/>
  <c r="J26" i="5" s="1"/>
  <c r="K26" i="5" s="1"/>
  <c r="L26" i="5" s="1"/>
  <c r="M26" i="5" s="1"/>
  <c r="N26" i="5" s="1"/>
  <c r="O26" i="5" s="1"/>
  <c r="P26" i="5" s="1"/>
  <c r="Q26" i="5" s="1"/>
  <c r="H25" i="5"/>
  <c r="H24" i="5"/>
  <c r="D42" i="5"/>
  <c r="H23" i="5"/>
  <c r="E37" i="5"/>
  <c r="D37" i="5"/>
  <c r="C37" i="5"/>
  <c r="F32" i="5"/>
  <c r="F7" i="5"/>
  <c r="E38" i="5" s="1"/>
  <c r="I24" i="5"/>
  <c r="J24" i="5"/>
  <c r="K24" i="5"/>
  <c r="L24" i="5"/>
  <c r="M24" i="5"/>
  <c r="N24" i="5"/>
  <c r="O24" i="5"/>
  <c r="P24" i="5"/>
  <c r="Q24" i="5"/>
  <c r="Q23" i="5"/>
  <c r="P23" i="5"/>
  <c r="O23" i="5"/>
  <c r="N23" i="5"/>
  <c r="M23" i="5"/>
  <c r="L23" i="5"/>
  <c r="K23" i="5"/>
  <c r="J23" i="5"/>
  <c r="I23" i="5"/>
  <c r="G23" i="5"/>
  <c r="M41" i="5"/>
  <c r="O41" i="5"/>
  <c r="P41" i="5"/>
  <c r="Q25" i="5"/>
  <c r="H28" i="5"/>
  <c r="I28" i="5"/>
  <c r="J28" i="5"/>
  <c r="K28" i="5"/>
  <c r="L28" i="5"/>
  <c r="M28" i="5"/>
  <c r="N28" i="5"/>
  <c r="O28" i="5"/>
  <c r="P28" i="5"/>
  <c r="Q28" i="5"/>
  <c r="G34" i="5"/>
  <c r="G40" i="5" s="1"/>
  <c r="H34" i="5"/>
  <c r="I34" i="5"/>
  <c r="J34" i="5"/>
  <c r="K34" i="5"/>
  <c r="L34" i="5"/>
  <c r="M34" i="5"/>
  <c r="N34" i="5"/>
  <c r="O34" i="5"/>
  <c r="P34" i="5"/>
  <c r="Q34" i="5"/>
  <c r="G27" i="5"/>
  <c r="H27" i="5"/>
  <c r="I27" i="5"/>
  <c r="J27" i="5"/>
  <c r="K27" i="5"/>
  <c r="L27" i="5"/>
  <c r="M27" i="5"/>
  <c r="N27" i="5"/>
  <c r="O27" i="5"/>
  <c r="P27" i="5"/>
  <c r="Q27" i="5"/>
  <c r="Q38" i="5" s="1"/>
  <c r="F27" i="5"/>
  <c r="G25" i="5"/>
  <c r="I25" i="5"/>
  <c r="J25" i="5"/>
  <c r="K25" i="5"/>
  <c r="L25" i="5"/>
  <c r="M25" i="5"/>
  <c r="N25" i="5"/>
  <c r="O25" i="5"/>
  <c r="P25" i="5"/>
  <c r="G33" i="5"/>
  <c r="H33" i="5"/>
  <c r="I33" i="5"/>
  <c r="J33" i="5"/>
  <c r="K33" i="5"/>
  <c r="L33" i="5"/>
  <c r="M33" i="5"/>
  <c r="N33" i="5"/>
  <c r="O33" i="5"/>
  <c r="P33" i="5"/>
  <c r="Q33" i="5"/>
  <c r="F33" i="5"/>
  <c r="D4" i="5"/>
  <c r="F4" i="5"/>
  <c r="E4" i="5"/>
  <c r="F8" i="5"/>
  <c r="E39" i="5" s="1"/>
  <c r="F9" i="5"/>
  <c r="E40" i="5" s="1"/>
  <c r="F10" i="5"/>
  <c r="E41" i="5" s="1"/>
  <c r="F11" i="5"/>
  <c r="E42" i="5" s="1"/>
  <c r="E8" i="5"/>
  <c r="D39" i="5" s="1"/>
  <c r="E9" i="5"/>
  <c r="D40" i="5" s="1"/>
  <c r="E10" i="5"/>
  <c r="D41" i="5" s="1"/>
  <c r="E11" i="5"/>
  <c r="E7" i="5"/>
  <c r="C39" i="5"/>
  <c r="C40" i="5"/>
  <c r="C42" i="5"/>
  <c r="C38" i="5"/>
  <c r="N39" i="12" l="1"/>
  <c r="N37" i="12"/>
  <c r="O31" i="12"/>
  <c r="J42" i="5"/>
  <c r="K42" i="5"/>
  <c r="D38" i="5"/>
  <c r="M40" i="5"/>
  <c r="O38" i="5"/>
  <c r="N38" i="5"/>
  <c r="O42" i="5"/>
  <c r="H42" i="5"/>
  <c r="H38" i="5"/>
  <c r="L42" i="5"/>
  <c r="J41" i="5"/>
  <c r="I42" i="5"/>
  <c r="M38" i="5"/>
  <c r="J40" i="5"/>
  <c r="G42" i="5"/>
  <c r="O40" i="5"/>
  <c r="P40" i="5"/>
  <c r="F38" i="5"/>
  <c r="N40" i="5"/>
  <c r="K41" i="5"/>
  <c r="G38" i="5"/>
  <c r="G7" i="5" s="1"/>
  <c r="P38" i="5"/>
  <c r="Q40" i="5"/>
  <c r="L40" i="5"/>
  <c r="K40" i="5"/>
  <c r="I40" i="5"/>
  <c r="H40" i="5"/>
  <c r="Q41" i="5"/>
  <c r="P42" i="5"/>
  <c r="J38" i="5"/>
  <c r="I41" i="5"/>
  <c r="M42" i="5"/>
  <c r="I38" i="5"/>
  <c r="H41" i="5"/>
  <c r="N42" i="5"/>
  <c r="G41" i="5"/>
  <c r="L41" i="5"/>
  <c r="K38" i="5"/>
  <c r="F42" i="5"/>
  <c r="L38" i="5"/>
  <c r="N41" i="5"/>
  <c r="Q42" i="5"/>
  <c r="F39" i="5"/>
  <c r="G32" i="5"/>
  <c r="F37" i="5"/>
  <c r="O39" i="12" l="1"/>
  <c r="O37" i="12"/>
  <c r="P31" i="12"/>
  <c r="P37" i="12" s="1"/>
  <c r="R41" i="5"/>
  <c r="G9" i="5"/>
  <c r="G11" i="5"/>
  <c r="S38" i="5"/>
  <c r="T40" i="5"/>
  <c r="R38" i="5"/>
  <c r="G10" i="5"/>
  <c r="R42" i="5"/>
  <c r="T41" i="5"/>
  <c r="T38" i="5"/>
  <c r="T42" i="5"/>
  <c r="R40" i="5"/>
  <c r="H32" i="5"/>
  <c r="I32" i="5" s="1"/>
  <c r="I37" i="5" s="1"/>
  <c r="G39" i="5"/>
  <c r="G37" i="5"/>
  <c r="P39" i="12" l="1"/>
  <c r="Q31" i="12"/>
  <c r="H39" i="5"/>
  <c r="H37" i="5"/>
  <c r="J32" i="5"/>
  <c r="I39" i="5"/>
  <c r="Q39" i="12" l="1"/>
  <c r="R39" i="12" s="1"/>
  <c r="Q37" i="12"/>
  <c r="S37" i="12" s="1"/>
  <c r="K32" i="5"/>
  <c r="J39" i="5"/>
  <c r="J37" i="5"/>
  <c r="R37" i="12" l="1"/>
  <c r="G8" i="12"/>
  <c r="S39" i="12"/>
  <c r="L32" i="5"/>
  <c r="K39" i="5"/>
  <c r="K37" i="5"/>
  <c r="M32" i="5" l="1"/>
  <c r="L39" i="5"/>
  <c r="L37" i="5"/>
  <c r="L16" i="6"/>
  <c r="L13" i="6"/>
  <c r="N32" i="5" l="1"/>
  <c r="M39" i="5"/>
  <c r="M37" i="5"/>
  <c r="O32" i="5" l="1"/>
  <c r="N39" i="5"/>
  <c r="N37" i="5"/>
  <c r="P32" i="5" l="1"/>
  <c r="O39" i="5"/>
  <c r="O37" i="5"/>
  <c r="Q32" i="5" l="1"/>
  <c r="P37" i="5"/>
  <c r="P39" i="5"/>
  <c r="Q39" i="5" l="1"/>
  <c r="Q37" i="5"/>
  <c r="T37" i="5" l="1"/>
  <c r="R39" i="5"/>
  <c r="G8" i="5"/>
  <c r="T39" i="5"/>
  <c r="B3" i="6"/>
  <c r="I11" i="6"/>
  <c r="I12" i="6"/>
  <c r="I20" i="6"/>
  <c r="I21" i="6"/>
  <c r="I22" i="6"/>
  <c r="I10" i="6"/>
  <c r="N11" i="6"/>
  <c r="N12" i="6"/>
  <c r="N10" i="6"/>
  <c r="L14" i="6"/>
  <c r="L15" i="6"/>
  <c r="L17" i="6"/>
  <c r="N20" i="6"/>
  <c r="O20" i="6" s="1"/>
  <c r="N21" i="6"/>
  <c r="N22" i="6"/>
  <c r="J13" i="6"/>
  <c r="C11" i="6"/>
  <c r="C12" i="6"/>
  <c r="O22" i="6" l="1"/>
  <c r="O21" i="6"/>
  <c r="G12" i="5"/>
  <c r="H8" i="5"/>
  <c r="H11" i="5" l="1"/>
  <c r="H10" i="5"/>
  <c r="H9" i="5"/>
  <c r="H7" i="5"/>
  <c r="G19" i="6" l="1"/>
  <c r="G16" i="6"/>
  <c r="G14" i="6"/>
  <c r="G17" i="6"/>
  <c r="G18" i="6"/>
  <c r="G15" i="6"/>
  <c r="O13" i="6" l="1"/>
  <c r="F14" i="6" l="1"/>
  <c r="O14" i="6"/>
  <c r="F15" i="6" l="1"/>
  <c r="M15" i="6" l="1"/>
  <c r="N15" i="6" s="1"/>
  <c r="F16" i="6"/>
  <c r="I16" i="6" l="1"/>
  <c r="M16" i="6"/>
  <c r="N16" i="6" s="1"/>
  <c r="O15" i="6"/>
  <c r="F17" i="6"/>
  <c r="D38" i="1"/>
  <c r="E38" i="1"/>
  <c r="F38" i="1"/>
  <c r="G38" i="1"/>
  <c r="H38" i="1"/>
  <c r="I38" i="1"/>
  <c r="B38" i="1"/>
  <c r="B33" i="1"/>
  <c r="C34" i="1"/>
  <c r="B34" i="1"/>
  <c r="F33" i="1"/>
  <c r="E8" i="1"/>
  <c r="B25" i="1"/>
  <c r="B29" i="1" l="1"/>
  <c r="B40" i="1"/>
  <c r="I17" i="6"/>
  <c r="M17" i="6"/>
  <c r="N17" i="6" s="1"/>
  <c r="O16" i="6"/>
  <c r="F18" i="6"/>
  <c r="C33" i="1"/>
  <c r="H33" i="1"/>
  <c r="I33" i="1"/>
  <c r="E40" i="1"/>
  <c r="I18" i="6" l="1"/>
  <c r="M18" i="6"/>
  <c r="N18" i="6" s="1"/>
  <c r="O17" i="6"/>
  <c r="F19" i="6"/>
  <c r="F20" i="6" s="1"/>
  <c r="F21" i="6" s="1"/>
  <c r="F22" i="6" s="1"/>
  <c r="D25" i="1"/>
  <c r="I19" i="6" l="1"/>
  <c r="M19" i="6"/>
  <c r="N19" i="6" s="1"/>
  <c r="O18" i="6"/>
  <c r="G25" i="1"/>
  <c r="F34" i="1"/>
  <c r="F40" i="1" s="1"/>
  <c r="E25" i="1"/>
  <c r="F25" i="1"/>
  <c r="O19" i="6" l="1"/>
  <c r="G34" i="1"/>
  <c r="G40" i="1" s="1"/>
  <c r="B24" i="6" l="1"/>
  <c r="H40" i="1"/>
  <c r="H25" i="1" l="1"/>
  <c r="B28" i="1" l="1"/>
  <c r="B27" i="1"/>
  <c r="B44" i="1"/>
  <c r="B43" i="1"/>
  <c r="S38" i="12" l="1"/>
  <c r="G7" i="12"/>
  <c r="G12" i="12" s="1"/>
  <c r="H8" i="12" l="1"/>
  <c r="H10" i="12"/>
  <c r="H11" i="12"/>
  <c r="H9" i="12"/>
  <c r="H7" i="12"/>
</calcChain>
</file>

<file path=xl/sharedStrings.xml><?xml version="1.0" encoding="utf-8"?>
<sst xmlns="http://schemas.openxmlformats.org/spreadsheetml/2006/main" count="279" uniqueCount="105">
  <si>
    <t>Parameters</t>
  </si>
  <si>
    <t>Fixed cost</t>
  </si>
  <si>
    <t>Benefits (annual)</t>
  </si>
  <si>
    <t>Avoided costs (annual)</t>
  </si>
  <si>
    <t>Benefits decline rate (deprec)</t>
  </si>
  <si>
    <t>Bens decline start year</t>
  </si>
  <si>
    <t>First use year</t>
  </si>
  <si>
    <t>Parameters (real terms)</t>
  </si>
  <si>
    <t>Useful life (years)</t>
  </si>
  <si>
    <t>Year</t>
  </si>
  <si>
    <t>Benefits_a</t>
  </si>
  <si>
    <t>Benefits_b</t>
  </si>
  <si>
    <t>Benefits_sum</t>
  </si>
  <si>
    <t>Costs</t>
  </si>
  <si>
    <t>Discount rate</t>
  </si>
  <si>
    <t>Inflation rate</t>
  </si>
  <si>
    <t>Discount rate (center)</t>
  </si>
  <si>
    <t>Parameters (nominal terms)</t>
  </si>
  <si>
    <t>Medical inflation rate (uncertain)</t>
  </si>
  <si>
    <t>Nominal</t>
  </si>
  <si>
    <t>NPV</t>
  </si>
  <si>
    <t>IRR</t>
  </si>
  <si>
    <t>BCR</t>
  </si>
  <si>
    <t>Cash flow</t>
  </si>
  <si>
    <t>Real</t>
  </si>
  <si>
    <t>Bens</t>
  </si>
  <si>
    <t>Downpayment</t>
  </si>
  <si>
    <t>Financing</t>
  </si>
  <si>
    <t>Loan interest rate</t>
  </si>
  <si>
    <t>ben growth</t>
  </si>
  <si>
    <t xml:space="preserve">Tax Rate </t>
  </si>
  <si>
    <t>Total pd</t>
  </si>
  <si>
    <t>Interest pd</t>
  </si>
  <si>
    <t>Taxable profits</t>
  </si>
  <si>
    <t>Investment</t>
  </si>
  <si>
    <t>Equity</t>
  </si>
  <si>
    <t>Loan</t>
  </si>
  <si>
    <t>Loan interest</t>
  </si>
  <si>
    <t>Depreciation</t>
  </si>
  <si>
    <t>Tax</t>
  </si>
  <si>
    <t>Cash flows</t>
  </si>
  <si>
    <t>Operating costs</t>
  </si>
  <si>
    <t>*deprec doesn’t go into actual flow</t>
  </si>
  <si>
    <t>Balance</t>
  </si>
  <si>
    <t>Princ pd</t>
  </si>
  <si>
    <t>Water</t>
  </si>
  <si>
    <t>Years</t>
  </si>
  <si>
    <t>Social discount rate</t>
  </si>
  <si>
    <t>Cost allocation</t>
  </si>
  <si>
    <t>Flood</t>
  </si>
  <si>
    <t>Recreation</t>
  </si>
  <si>
    <t>Power</t>
  </si>
  <si>
    <t>Direct cost share</t>
  </si>
  <si>
    <t>DC_Year1</t>
  </si>
  <si>
    <t>DC_Year2</t>
  </si>
  <si>
    <t>DC_Year3</t>
  </si>
  <si>
    <t>Indirect costs</t>
  </si>
  <si>
    <t>IC_Year1</t>
  </si>
  <si>
    <t>IC_Year2</t>
  </si>
  <si>
    <t>IC_Year3</t>
  </si>
  <si>
    <t>Item</t>
  </si>
  <si>
    <t>Value</t>
  </si>
  <si>
    <t>Electricity generation/year (KWH)</t>
  </si>
  <si>
    <t>Electricity operating cost ($/KWH)</t>
  </si>
  <si>
    <t>Alternative cost of generating electricity ($/KWH)</t>
  </si>
  <si>
    <t>Recreation days (starting year 4)</t>
  </si>
  <si>
    <t>Growth in recreation days (after year 4; %)</t>
  </si>
  <si>
    <t>Recreation day value ($/day)</t>
  </si>
  <si>
    <t>Recreation fixed operating cost ($/year)</t>
  </si>
  <si>
    <t>Recreation variable operating cost ($/rec day)</t>
  </si>
  <si>
    <t>Flood control benefits ($/year)</t>
  </si>
  <si>
    <t>Flood control operating cost ($/year)</t>
  </si>
  <si>
    <t>Irrigation area (acres)</t>
  </si>
  <si>
    <t>Irrigation benefits ($/acre)</t>
  </si>
  <si>
    <t>Irrigation cost ($/acre)</t>
  </si>
  <si>
    <t>Water quantity produced (gallons)</t>
  </si>
  <si>
    <t>Water value ($/gallon)</t>
  </si>
  <si>
    <t>Water cost ($/gallon)</t>
  </si>
  <si>
    <t>x</t>
  </si>
  <si>
    <t>?</t>
  </si>
  <si>
    <t>Benefits</t>
  </si>
  <si>
    <t>Operating power</t>
  </si>
  <si>
    <t>Operating rec fixed</t>
  </si>
  <si>
    <t>Operating rec variable</t>
  </si>
  <si>
    <t>Operating flood</t>
  </si>
  <si>
    <t>Irrigation</t>
  </si>
  <si>
    <t>Net Benefits</t>
  </si>
  <si>
    <t>Alt energy</t>
  </si>
  <si>
    <t>Benefit</t>
  </si>
  <si>
    <t>Total</t>
  </si>
  <si>
    <t>Weights</t>
  </si>
  <si>
    <t xml:space="preserve">Investment </t>
  </si>
  <si>
    <t>Salvage value</t>
  </si>
  <si>
    <t>Salvage Value</t>
  </si>
  <si>
    <t>* this is more than DR 12% ==&gt; yes!</t>
  </si>
  <si>
    <t>* this is more than 1 ==&gt; yes!</t>
  </si>
  <si>
    <t>* this is more than DR 10% ==&gt; yes!</t>
  </si>
  <si>
    <t>* this is more than cost 60000 ==&gt; yes!</t>
  </si>
  <si>
    <t>* this is more than cost 612000 ==&gt; yes!</t>
  </si>
  <si>
    <t>Purchase? YES</t>
  </si>
  <si>
    <t>&lt;- Answer</t>
  </si>
  <si>
    <t>PART B</t>
  </si>
  <si>
    <t>PART A</t>
  </si>
  <si>
    <t>Check</t>
  </si>
  <si>
    <t>Answer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</si>
</sst>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164" formatCode="0.0000000000000000%"/>
    <numFmt numFmtId="165" formatCode="0.0000%"/>
  </numFmts>
  <fonts count="9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b/>
      <u/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sz val="11"/>
      <color theme="1"/>
      <name val="Aptos Narrow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3" fontId="0" fillId="0" borderId="0" xfId="0" applyNumberFormat="1"/>
    <xf numFmtId="9" fontId="0" fillId="0" borderId="0" xfId="0" applyNumberFormat="1"/>
    <xf numFmtId="0" fontId="2" fillId="0" borderId="0" xfId="0" applyFont="1"/>
    <xf numFmtId="164" fontId="0" fillId="0" borderId="0" xfId="0" applyNumberFormat="1"/>
    <xf numFmtId="0" fontId="3" fillId="0" borderId="0" xfId="0" applyFont="1"/>
    <xf numFmtId="165" fontId="1" fillId="0" borderId="0" xfId="0" applyNumberFormat="1" applyFont="1"/>
    <xf numFmtId="0" fontId="0" fillId="2" borderId="0" xfId="0" applyFill="1"/>
    <xf numFmtId="8" fontId="0" fillId="0" borderId="0" xfId="0" applyNumberFormat="1"/>
    <xf numFmtId="0" fontId="4" fillId="0" borderId="0" xfId="0" applyFont="1"/>
    <xf numFmtId="0" fontId="1" fillId="0" borderId="0" xfId="0" applyFont="1"/>
    <xf numFmtId="2" fontId="0" fillId="0" borderId="0" xfId="0" applyNumberFormat="1"/>
    <xf numFmtId="2" fontId="5" fillId="0" borderId="0" xfId="0" applyNumberFormat="1" applyFont="1"/>
    <xf numFmtId="2" fontId="6" fillId="0" borderId="0" xfId="0" applyNumberFormat="1" applyFont="1"/>
    <xf numFmtId="2" fontId="5" fillId="0" borderId="1" xfId="0" applyNumberFormat="1" applyFont="1" applyBorder="1"/>
    <xf numFmtId="2" fontId="0" fillId="0" borderId="1" xfId="0" applyNumberFormat="1" applyBorder="1"/>
    <xf numFmtId="2" fontId="5" fillId="0" borderId="2" xfId="0" applyNumberFormat="1" applyFont="1" applyBorder="1"/>
    <xf numFmtId="2" fontId="0" fillId="0" borderId="2" xfId="0" applyNumberFormat="1" applyBorder="1"/>
    <xf numFmtId="2" fontId="7" fillId="0" borderId="0" xfId="0" applyNumberFormat="1" applyFont="1"/>
    <xf numFmtId="2" fontId="0" fillId="2" borderId="0" xfId="0" applyNumberFormat="1" applyFill="1"/>
    <xf numFmtId="2" fontId="0" fillId="2" borderId="1" xfId="0" applyNumberFormat="1" applyFill="1" applyBorder="1"/>
    <xf numFmtId="10" fontId="0" fillId="0" borderId="0" xfId="0" applyNumberFormat="1"/>
    <xf numFmtId="0" fontId="0" fillId="0" borderId="0" xfId="0" applyNumberFormat="1"/>
    <xf numFmtId="0" fontId="2" fillId="0" borderId="0" xfId="0" applyNumberFormat="1" applyFont="1"/>
    <xf numFmtId="0" fontId="0" fillId="3" borderId="0" xfId="0" applyFill="1"/>
    <xf numFmtId="9" fontId="0" fillId="2" borderId="0" xfId="0" applyNumberFormat="1" applyFill="1"/>
    <xf numFmtId="2" fontId="0" fillId="2" borderId="3" xfId="0" applyNumberFormat="1" applyFill="1" applyBorder="1"/>
    <xf numFmtId="2" fontId="2" fillId="0" borderId="0" xfId="0" applyNumberFormat="1" applyFont="1"/>
    <xf numFmtId="0" fontId="0" fillId="0" borderId="1" xfId="0" applyNumberFormat="1" applyBorder="1"/>
    <xf numFmtId="2" fontId="8" fillId="0" borderId="0" xfId="0" applyNumberFormat="1" applyFont="1"/>
    <xf numFmtId="0" fontId="8" fillId="0" borderId="0" xfId="0" applyNumberFormat="1" applyFont="1"/>
    <xf numFmtId="2" fontId="6" fillId="0" borderId="1" xfId="0" applyNumberFormat="1" applyFont="1" applyBorder="1"/>
    <xf numFmtId="2" fontId="0" fillId="2" borderId="4" xfId="0" applyNumberFormat="1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96ED9-79EF-4253-803B-84B71E9731F1}">
  <dimension ref="A1:I44"/>
  <sheetViews>
    <sheetView zoomScale="79" workbookViewId="0">
      <selection activeCell="B43" sqref="B43"/>
    </sheetView>
  </sheetViews>
  <sheetFormatPr defaultRowHeight="14.25"/>
  <cols>
    <col min="1" max="1" width="17.5" customWidth="1"/>
    <col min="2" max="2" width="22.625" customWidth="1"/>
    <col min="4" max="4" width="23.875" customWidth="1"/>
    <col min="5" max="5" width="22.625" customWidth="1"/>
  </cols>
  <sheetData>
    <row r="1" spans="1:5" ht="15">
      <c r="A1" s="3" t="s">
        <v>7</v>
      </c>
      <c r="D1" s="3" t="s">
        <v>17</v>
      </c>
    </row>
    <row r="2" spans="1:5" ht="15">
      <c r="A2" s="3" t="s">
        <v>1</v>
      </c>
      <c r="B2" s="1">
        <v>600000</v>
      </c>
      <c r="D2" s="3" t="s">
        <v>1</v>
      </c>
      <c r="E2">
        <f>B2*(1+$B$11)^1</f>
        <v>612000</v>
      </c>
    </row>
    <row r="3" spans="1:5" ht="15">
      <c r="A3" s="3" t="s">
        <v>3</v>
      </c>
      <c r="B3" s="1">
        <v>85000</v>
      </c>
    </row>
    <row r="4" spans="1:5" ht="15">
      <c r="A4" s="3" t="s">
        <v>2</v>
      </c>
      <c r="B4" s="1">
        <v>60000</v>
      </c>
    </row>
    <row r="5" spans="1:5" ht="15">
      <c r="A5" s="3" t="s">
        <v>16</v>
      </c>
      <c r="B5" s="2">
        <v>0.1</v>
      </c>
    </row>
    <row r="6" spans="1:5" ht="15">
      <c r="A6" s="3"/>
      <c r="B6" s="1"/>
    </row>
    <row r="7" spans="1:5" ht="15">
      <c r="A7" s="3" t="s">
        <v>4</v>
      </c>
      <c r="B7" s="2">
        <v>0.06</v>
      </c>
      <c r="D7" s="3" t="s">
        <v>4</v>
      </c>
      <c r="E7" s="4"/>
    </row>
    <row r="8" spans="1:5" ht="15">
      <c r="A8" s="3" t="s">
        <v>5</v>
      </c>
      <c r="B8" s="1">
        <v>2</v>
      </c>
      <c r="D8" s="3" t="s">
        <v>16</v>
      </c>
      <c r="E8" s="2">
        <f>(1+$B$5)*(1+$B$11)-1</f>
        <v>0.12200000000000011</v>
      </c>
    </row>
    <row r="9" spans="1:5" ht="15">
      <c r="A9" s="3" t="s">
        <v>6</v>
      </c>
      <c r="B9" s="1">
        <v>2</v>
      </c>
      <c r="D9" s="3" t="s">
        <v>18</v>
      </c>
      <c r="E9" s="2">
        <v>0.08</v>
      </c>
    </row>
    <row r="10" spans="1:5" ht="15">
      <c r="A10" s="3" t="s">
        <v>8</v>
      </c>
      <c r="B10" s="1">
        <v>6</v>
      </c>
    </row>
    <row r="11" spans="1:5" ht="15">
      <c r="A11" s="3" t="s">
        <v>15</v>
      </c>
      <c r="B11" s="2">
        <v>0.02</v>
      </c>
      <c r="D11" s="3" t="s">
        <v>92</v>
      </c>
      <c r="E11" s="4">
        <v>0.15</v>
      </c>
    </row>
    <row r="12" spans="1:5" ht="15">
      <c r="D12" s="5"/>
      <c r="E12" s="6"/>
    </row>
    <row r="13" spans="1:5" ht="15">
      <c r="A13" s="3"/>
      <c r="B13" s="4"/>
    </row>
    <row r="14" spans="1:5" ht="15">
      <c r="D14" s="3"/>
      <c r="E14" s="2"/>
    </row>
    <row r="16" spans="1:5" ht="15">
      <c r="A16" s="9" t="s">
        <v>19</v>
      </c>
    </row>
    <row r="17" spans="1:9" ht="15">
      <c r="A17" s="3" t="s">
        <v>9</v>
      </c>
      <c r="B17">
        <v>0</v>
      </c>
      <c r="C17">
        <v>1</v>
      </c>
      <c r="D17">
        <v>2</v>
      </c>
      <c r="E17">
        <v>3</v>
      </c>
      <c r="F17">
        <v>4</v>
      </c>
      <c r="G17">
        <v>5</v>
      </c>
      <c r="H17">
        <v>6</v>
      </c>
      <c r="I17">
        <v>7</v>
      </c>
    </row>
    <row r="18" spans="1:9">
      <c r="A18" t="s">
        <v>10</v>
      </c>
      <c r="B18">
        <v>0</v>
      </c>
      <c r="C18" s="1">
        <v>0</v>
      </c>
      <c r="D18" s="1">
        <f t="shared" ref="D18:I18" si="0">$B$3*(1+$E$9)^D17</f>
        <v>99144.000000000015</v>
      </c>
      <c r="E18" s="1">
        <f t="shared" si="0"/>
        <v>107075.52000000002</v>
      </c>
      <c r="F18" s="1">
        <f t="shared" si="0"/>
        <v>115641.56160000003</v>
      </c>
      <c r="G18" s="1">
        <f t="shared" si="0"/>
        <v>124892.88652800003</v>
      </c>
      <c r="H18" s="1">
        <f t="shared" si="0"/>
        <v>134884.31745024005</v>
      </c>
      <c r="I18" s="1">
        <f t="shared" si="0"/>
        <v>145675.06284625924</v>
      </c>
    </row>
    <row r="19" spans="1:9">
      <c r="A19" t="s">
        <v>11</v>
      </c>
      <c r="B19">
        <v>0</v>
      </c>
      <c r="C19" s="1">
        <v>0</v>
      </c>
      <c r="D19">
        <f>$B$4*(1-$B$7)</f>
        <v>56400</v>
      </c>
      <c r="E19">
        <f>D19*(1-$B$7)</f>
        <v>53016</v>
      </c>
      <c r="F19">
        <f>E19*(1-$B$7)</f>
        <v>49835.039999999994</v>
      </c>
      <c r="G19">
        <f>F19*(1-$B$7)</f>
        <v>46844.93759999999</v>
      </c>
      <c r="H19">
        <f>G19*(1-$B$7)</f>
        <v>44034.241343999987</v>
      </c>
      <c r="I19">
        <f>H19*(1-$B$7)</f>
        <v>41392.186863359988</v>
      </c>
    </row>
    <row r="20" spans="1:9">
      <c r="A20" t="s">
        <v>93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 s="24">
        <f>(B2*(1+B11)^I17)*E11</f>
        <v>103381.71008843517</v>
      </c>
    </row>
    <row r="21" spans="1:9">
      <c r="A21" t="s">
        <v>12</v>
      </c>
      <c r="B21">
        <f t="shared" ref="B21:I21" si="1">B19+B18+B20</f>
        <v>0</v>
      </c>
      <c r="C21">
        <f t="shared" si="1"/>
        <v>0</v>
      </c>
      <c r="D21">
        <f t="shared" si="1"/>
        <v>155544</v>
      </c>
      <c r="E21">
        <f t="shared" si="1"/>
        <v>160091.52000000002</v>
      </c>
      <c r="F21">
        <f t="shared" si="1"/>
        <v>165476.60160000002</v>
      </c>
      <c r="G21">
        <f t="shared" si="1"/>
        <v>171737.82412800001</v>
      </c>
      <c r="H21">
        <f t="shared" si="1"/>
        <v>178918.55879424003</v>
      </c>
      <c r="I21" s="1">
        <f t="shared" si="1"/>
        <v>290448.95979805442</v>
      </c>
    </row>
    <row r="23" spans="1:9">
      <c r="A23" t="s">
        <v>13</v>
      </c>
      <c r="B23">
        <v>0</v>
      </c>
      <c r="C23" s="1">
        <f>E2</f>
        <v>612000</v>
      </c>
      <c r="D23">
        <v>0</v>
      </c>
      <c r="E23">
        <v>0</v>
      </c>
      <c r="F23">
        <v>0</v>
      </c>
      <c r="G23">
        <v>0</v>
      </c>
      <c r="H23">
        <v>0</v>
      </c>
      <c r="I23">
        <f>0</f>
        <v>0</v>
      </c>
    </row>
    <row r="24" spans="1:9">
      <c r="C24" s="1"/>
    </row>
    <row r="25" spans="1:9">
      <c r="A25" t="s">
        <v>23</v>
      </c>
      <c r="B25">
        <f t="shared" ref="B25:I25" si="2">B21-B23</f>
        <v>0</v>
      </c>
      <c r="C25" s="1">
        <f t="shared" si="2"/>
        <v>-612000</v>
      </c>
      <c r="D25" s="1">
        <f t="shared" si="2"/>
        <v>155544</v>
      </c>
      <c r="E25">
        <f t="shared" si="2"/>
        <v>160091.52000000002</v>
      </c>
      <c r="F25">
        <f t="shared" si="2"/>
        <v>165476.60160000002</v>
      </c>
      <c r="G25">
        <f t="shared" si="2"/>
        <v>171737.82412800001</v>
      </c>
      <c r="H25">
        <f t="shared" si="2"/>
        <v>178918.55879424003</v>
      </c>
      <c r="I25" s="1">
        <f t="shared" si="2"/>
        <v>290448.95979805442</v>
      </c>
    </row>
    <row r="27" spans="1:9">
      <c r="A27" s="7" t="s">
        <v>20</v>
      </c>
      <c r="B27" s="8">
        <f>NPV(E8,C25:I25)</f>
        <v>111877.25345686279</v>
      </c>
      <c r="D27" s="10" t="s">
        <v>98</v>
      </c>
    </row>
    <row r="28" spans="1:9">
      <c r="A28" s="7" t="s">
        <v>21</v>
      </c>
      <c r="B28" s="2">
        <f>IRR(C25:I25)</f>
        <v>0.18574950890900821</v>
      </c>
      <c r="D28" s="10" t="s">
        <v>94</v>
      </c>
      <c r="F28" s="7" t="s">
        <v>99</v>
      </c>
      <c r="G28" s="7"/>
    </row>
    <row r="29" spans="1:9">
      <c r="A29" s="7" t="s">
        <v>22</v>
      </c>
      <c r="B29">
        <f>NPV(E8,C21:I21)/(NPV(E8,C23:I23))</f>
        <v>1.2051082980042487</v>
      </c>
      <c r="D29" s="10" t="s">
        <v>95</v>
      </c>
    </row>
    <row r="31" spans="1:9" ht="15">
      <c r="A31" s="9" t="s">
        <v>24</v>
      </c>
    </row>
    <row r="32" spans="1:9" ht="15">
      <c r="A32" s="3" t="s">
        <v>9</v>
      </c>
      <c r="B32">
        <v>0</v>
      </c>
      <c r="C32">
        <v>1</v>
      </c>
      <c r="D32">
        <v>2</v>
      </c>
      <c r="E32">
        <v>3</v>
      </c>
      <c r="F32">
        <v>4</v>
      </c>
      <c r="G32">
        <v>5</v>
      </c>
      <c r="H32">
        <v>6</v>
      </c>
      <c r="I32">
        <v>7</v>
      </c>
    </row>
    <row r="33" spans="1:9">
      <c r="A33" t="s">
        <v>10</v>
      </c>
      <c r="B33">
        <f t="shared" ref="B33:I33" si="3">B18/(1+$B$11)^B32</f>
        <v>0</v>
      </c>
      <c r="C33">
        <f t="shared" si="3"/>
        <v>0</v>
      </c>
      <c r="D33">
        <f t="shared" si="3"/>
        <v>95294.11764705884</v>
      </c>
      <c r="E33">
        <f t="shared" si="3"/>
        <v>100899.65397923878</v>
      </c>
      <c r="F33">
        <f t="shared" si="3"/>
        <v>106834.92774272342</v>
      </c>
      <c r="G33">
        <f t="shared" si="3"/>
        <v>113119.33525700126</v>
      </c>
      <c r="H33">
        <f t="shared" si="3"/>
        <v>119773.41380153075</v>
      </c>
      <c r="I33">
        <f t="shared" si="3"/>
        <v>126818.90873103258</v>
      </c>
    </row>
    <row r="34" spans="1:9">
      <c r="A34" t="s">
        <v>11</v>
      </c>
      <c r="B34">
        <f t="shared" ref="B34:I34" si="4">B19/(1+$B$11)^B32</f>
        <v>0</v>
      </c>
      <c r="C34">
        <f t="shared" si="4"/>
        <v>0</v>
      </c>
      <c r="D34">
        <f t="shared" si="4"/>
        <v>54209.919261822375</v>
      </c>
      <c r="E34">
        <f t="shared" si="4"/>
        <v>49958.160888346116</v>
      </c>
      <c r="F34">
        <f t="shared" si="4"/>
        <v>46039.873759848371</v>
      </c>
      <c r="G34">
        <f t="shared" si="4"/>
        <v>42428.903268879869</v>
      </c>
      <c r="H34">
        <f t="shared" si="4"/>
        <v>39101.146149752029</v>
      </c>
      <c r="I34">
        <f t="shared" si="4"/>
        <v>36034.389588987171</v>
      </c>
    </row>
    <row r="35" spans="1:9">
      <c r="A35" t="s">
        <v>93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 s="24">
        <f>I20/(1+$B$11)^I32</f>
        <v>89999.999999999985</v>
      </c>
    </row>
    <row r="36" spans="1:9">
      <c r="A36" t="s">
        <v>12</v>
      </c>
      <c r="B36">
        <f>B33+B34+B35</f>
        <v>0</v>
      </c>
      <c r="C36">
        <f t="shared" ref="C36:I36" si="5">C33+C34+C35</f>
        <v>0</v>
      </c>
      <c r="D36">
        <f t="shared" si="5"/>
        <v>149504.03690888121</v>
      </c>
      <c r="E36">
        <f t="shared" si="5"/>
        <v>150857.81486758491</v>
      </c>
      <c r="F36">
        <f t="shared" si="5"/>
        <v>152874.80150257179</v>
      </c>
      <c r="G36">
        <f t="shared" si="5"/>
        <v>155548.23852588114</v>
      </c>
      <c r="H36">
        <f t="shared" si="5"/>
        <v>158874.55995128278</v>
      </c>
      <c r="I36">
        <f t="shared" si="5"/>
        <v>252853.29832001973</v>
      </c>
    </row>
    <row r="38" spans="1:9">
      <c r="A38" t="s">
        <v>13</v>
      </c>
      <c r="B38">
        <f t="shared" ref="B38:I38" si="6">B23/(1+$B$11)^B32</f>
        <v>0</v>
      </c>
      <c r="C38">
        <f t="shared" si="6"/>
        <v>600000</v>
      </c>
      <c r="D38">
        <f t="shared" si="6"/>
        <v>0</v>
      </c>
      <c r="E38">
        <f t="shared" si="6"/>
        <v>0</v>
      </c>
      <c r="F38">
        <f t="shared" si="6"/>
        <v>0</v>
      </c>
      <c r="G38">
        <f t="shared" si="6"/>
        <v>0</v>
      </c>
      <c r="H38">
        <f t="shared" si="6"/>
        <v>0</v>
      </c>
      <c r="I38">
        <f t="shared" si="6"/>
        <v>0</v>
      </c>
    </row>
    <row r="40" spans="1:9">
      <c r="A40" t="s">
        <v>23</v>
      </c>
      <c r="B40">
        <f>B36+B38</f>
        <v>0</v>
      </c>
      <c r="C40">
        <f>C36-C38</f>
        <v>-600000</v>
      </c>
      <c r="D40">
        <f>D36-D38</f>
        <v>149504.03690888121</v>
      </c>
      <c r="E40">
        <f t="shared" ref="E40:H40" si="7">E36-E38</f>
        <v>150857.81486758491</v>
      </c>
      <c r="F40">
        <f t="shared" si="7"/>
        <v>152874.80150257179</v>
      </c>
      <c r="G40">
        <f t="shared" si="7"/>
        <v>155548.23852588114</v>
      </c>
      <c r="H40">
        <f t="shared" si="7"/>
        <v>158874.55995128278</v>
      </c>
      <c r="I40">
        <f>I36-I38</f>
        <v>252853.29832001973</v>
      </c>
    </row>
    <row r="42" spans="1:9">
      <c r="A42" s="7" t="s">
        <v>20</v>
      </c>
      <c r="B42" s="8">
        <f>NPV(B5,C40:I40)</f>
        <v>111877.25345686295</v>
      </c>
      <c r="D42" s="10" t="s">
        <v>97</v>
      </c>
    </row>
    <row r="43" spans="1:9">
      <c r="A43" s="7" t="s">
        <v>21</v>
      </c>
      <c r="B43" s="2">
        <f>IRR(C40:I40)</f>
        <v>0.1624995185382252</v>
      </c>
      <c r="D43" s="10" t="s">
        <v>96</v>
      </c>
      <c r="F43" s="7" t="s">
        <v>99</v>
      </c>
      <c r="G43" s="7"/>
    </row>
    <row r="44" spans="1:9">
      <c r="A44" s="7" t="s">
        <v>22</v>
      </c>
      <c r="B44">
        <f>NPV(B5,C21:I21)/NPV(B5,C23:I23)</f>
        <v>1.2914708438056601</v>
      </c>
      <c r="D44" s="10" t="s">
        <v>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AC577-109D-4198-89A2-C0078B45349D}">
  <dimension ref="A1:I44"/>
  <sheetViews>
    <sheetView topLeftCell="A7" workbookViewId="0">
      <selection activeCell="I21" sqref="I21"/>
    </sheetView>
  </sheetViews>
  <sheetFormatPr defaultRowHeight="14.25"/>
  <cols>
    <col min="1" max="1" width="17.5" customWidth="1"/>
    <col min="2" max="2" width="22.625" customWidth="1"/>
    <col min="4" max="4" width="23.875" customWidth="1"/>
    <col min="5" max="5" width="22.625" customWidth="1"/>
  </cols>
  <sheetData>
    <row r="1" spans="1:6" ht="15">
      <c r="A1" s="3" t="s">
        <v>7</v>
      </c>
      <c r="D1" s="3" t="s">
        <v>17</v>
      </c>
    </row>
    <row r="2" spans="1:6" ht="15">
      <c r="A2" s="3" t="s">
        <v>1</v>
      </c>
      <c r="B2" s="1">
        <v>600000</v>
      </c>
      <c r="D2" s="3" t="s">
        <v>1</v>
      </c>
      <c r="E2">
        <f>B2*(1+$B$11)^1</f>
        <v>612000</v>
      </c>
    </row>
    <row r="3" spans="1:6" ht="15">
      <c r="A3" s="3" t="s">
        <v>3</v>
      </c>
      <c r="B3" s="1">
        <v>85000</v>
      </c>
    </row>
    <row r="4" spans="1:6" ht="15">
      <c r="A4" s="3" t="s">
        <v>2</v>
      </c>
      <c r="B4" s="1">
        <v>60000</v>
      </c>
    </row>
    <row r="5" spans="1:6" ht="15">
      <c r="A5" s="3" t="s">
        <v>16</v>
      </c>
      <c r="B5" s="2">
        <v>0.1</v>
      </c>
    </row>
    <row r="6" spans="1:6" ht="15">
      <c r="A6" s="3"/>
      <c r="B6" s="1"/>
    </row>
    <row r="7" spans="1:6" ht="15">
      <c r="A7" s="3" t="s">
        <v>4</v>
      </c>
      <c r="B7" s="2">
        <v>0.06</v>
      </c>
      <c r="D7" s="3" t="s">
        <v>4</v>
      </c>
      <c r="E7" s="4"/>
    </row>
    <row r="8" spans="1:6" ht="15">
      <c r="A8" s="3" t="s">
        <v>5</v>
      </c>
      <c r="B8" s="1">
        <v>2</v>
      </c>
      <c r="D8" s="3" t="s">
        <v>16</v>
      </c>
      <c r="E8" s="2">
        <f>(1+$B$5)*(1+$B$11)-1</f>
        <v>0.12200000000000011</v>
      </c>
    </row>
    <row r="9" spans="1:6" ht="15">
      <c r="A9" s="3" t="s">
        <v>6</v>
      </c>
      <c r="B9" s="1">
        <v>2</v>
      </c>
      <c r="D9" s="3" t="s">
        <v>18</v>
      </c>
      <c r="E9" s="25">
        <v>6.7811666164752198E-3</v>
      </c>
      <c r="F9" t="s">
        <v>100</v>
      </c>
    </row>
    <row r="10" spans="1:6" ht="15">
      <c r="A10" s="3" t="s">
        <v>8</v>
      </c>
      <c r="B10" s="1">
        <v>6</v>
      </c>
    </row>
    <row r="11" spans="1:6" ht="15">
      <c r="A11" s="3" t="s">
        <v>15</v>
      </c>
      <c r="B11" s="2">
        <v>0.02</v>
      </c>
      <c r="D11" s="3" t="s">
        <v>92</v>
      </c>
      <c r="E11" s="4">
        <v>0.15</v>
      </c>
    </row>
    <row r="12" spans="1:6" ht="15">
      <c r="D12" s="5"/>
      <c r="E12" s="6"/>
    </row>
    <row r="13" spans="1:6" ht="15">
      <c r="A13" s="3"/>
      <c r="B13" s="4"/>
    </row>
    <row r="14" spans="1:6" ht="15">
      <c r="D14" s="3"/>
      <c r="E14" s="2"/>
    </row>
    <row r="16" spans="1:6" ht="15">
      <c r="A16" s="9" t="s">
        <v>19</v>
      </c>
    </row>
    <row r="17" spans="1:9" ht="15">
      <c r="A17" s="3" t="s">
        <v>9</v>
      </c>
      <c r="B17">
        <v>0</v>
      </c>
      <c r="C17">
        <v>1</v>
      </c>
      <c r="D17">
        <v>2</v>
      </c>
      <c r="E17">
        <v>3</v>
      </c>
      <c r="F17">
        <v>4</v>
      </c>
      <c r="G17">
        <v>5</v>
      </c>
      <c r="H17">
        <v>6</v>
      </c>
      <c r="I17">
        <v>7</v>
      </c>
    </row>
    <row r="18" spans="1:9">
      <c r="A18" t="s">
        <v>10</v>
      </c>
      <c r="B18">
        <v>0</v>
      </c>
      <c r="C18" s="1">
        <v>0</v>
      </c>
      <c r="D18" s="1">
        <f t="shared" ref="D18:I18" si="0">$B$3*(1+$E$9)^D17</f>
        <v>86156.706983558615</v>
      </c>
      <c r="E18" s="1">
        <f t="shared" si="0"/>
        <v>86740.94996874097</v>
      </c>
      <c r="F18" s="1">
        <f t="shared" si="0"/>
        <v>87329.154802950332</v>
      </c>
      <c r="G18" s="1">
        <f t="shared" si="0"/>
        <v>87921.348352145098</v>
      </c>
      <c r="H18" s="1">
        <f t="shared" si="0"/>
        <v>88517.557664466149</v>
      </c>
      <c r="I18" s="1">
        <f t="shared" si="0"/>
        <v>89117.80997147235</v>
      </c>
    </row>
    <row r="19" spans="1:9">
      <c r="A19" t="s">
        <v>11</v>
      </c>
      <c r="B19">
        <v>0</v>
      </c>
      <c r="C19" s="1">
        <v>0</v>
      </c>
      <c r="D19">
        <f>$B$4*(1-$B$7)</f>
        <v>56400</v>
      </c>
      <c r="E19">
        <f>D19*(1-$B$7)</f>
        <v>53016</v>
      </c>
      <c r="F19">
        <f>E19*(1-$B$7)</f>
        <v>49835.039999999994</v>
      </c>
      <c r="G19">
        <f>F19*(1-$B$7)</f>
        <v>46844.93759999999</v>
      </c>
      <c r="H19">
        <f>G19*(1-$B$7)</f>
        <v>44034.241343999987</v>
      </c>
      <c r="I19">
        <f>H19*(1-$B$7)</f>
        <v>41392.186863359988</v>
      </c>
    </row>
    <row r="20" spans="1:9">
      <c r="A20" t="s">
        <v>93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 s="24">
        <f>(B2*(1+B11)^I17)*E11</f>
        <v>103381.71008843517</v>
      </c>
    </row>
    <row r="21" spans="1:9">
      <c r="A21" t="s">
        <v>12</v>
      </c>
      <c r="B21">
        <f t="shared" ref="B21:I21" si="1">B19+B18+B20</f>
        <v>0</v>
      </c>
      <c r="C21">
        <f t="shared" si="1"/>
        <v>0</v>
      </c>
      <c r="D21">
        <f t="shared" si="1"/>
        <v>142556.7069835586</v>
      </c>
      <c r="E21">
        <f t="shared" si="1"/>
        <v>139756.94996874098</v>
      </c>
      <c r="F21">
        <f t="shared" si="1"/>
        <v>137164.19480295031</v>
      </c>
      <c r="G21">
        <f t="shared" si="1"/>
        <v>134766.28595214509</v>
      </c>
      <c r="H21">
        <f t="shared" si="1"/>
        <v>132551.79900846613</v>
      </c>
      <c r="I21" s="1">
        <f t="shared" si="1"/>
        <v>233891.70692326751</v>
      </c>
    </row>
    <row r="23" spans="1:9">
      <c r="A23" t="s">
        <v>13</v>
      </c>
      <c r="B23">
        <v>0</v>
      </c>
      <c r="C23" s="1">
        <f>E2</f>
        <v>612000</v>
      </c>
      <c r="D23">
        <v>0</v>
      </c>
      <c r="E23">
        <v>0</v>
      </c>
      <c r="F23">
        <v>0</v>
      </c>
      <c r="G23">
        <v>0</v>
      </c>
      <c r="H23">
        <v>0</v>
      </c>
      <c r="I23">
        <f>0</f>
        <v>0</v>
      </c>
    </row>
    <row r="24" spans="1:9">
      <c r="C24" s="1"/>
    </row>
    <row r="25" spans="1:9">
      <c r="A25" t="s">
        <v>23</v>
      </c>
      <c r="B25">
        <f t="shared" ref="B25:I25" si="2">B21-B23</f>
        <v>0</v>
      </c>
      <c r="C25" s="1">
        <f t="shared" si="2"/>
        <v>-612000</v>
      </c>
      <c r="D25" s="1">
        <f>D21-D23</f>
        <v>142556.7069835586</v>
      </c>
      <c r="E25">
        <f t="shared" si="2"/>
        <v>139756.94996874098</v>
      </c>
      <c r="F25">
        <f t="shared" si="2"/>
        <v>137164.19480295031</v>
      </c>
      <c r="G25">
        <f t="shared" si="2"/>
        <v>134766.28595214509</v>
      </c>
      <c r="H25">
        <f t="shared" si="2"/>
        <v>132551.79900846613</v>
      </c>
      <c r="I25" s="1">
        <f t="shared" si="2"/>
        <v>233891.70692326751</v>
      </c>
    </row>
    <row r="27" spans="1:9">
      <c r="A27" s="7" t="s">
        <v>20</v>
      </c>
      <c r="B27" s="8">
        <f>NPV(E8,C25:I25)</f>
        <v>1.4586647874517979E-5</v>
      </c>
      <c r="D27" s="10" t="s">
        <v>98</v>
      </c>
    </row>
    <row r="28" spans="1:9">
      <c r="A28" s="7" t="s">
        <v>21</v>
      </c>
      <c r="B28" s="2">
        <f>IRR(C25:I25)</f>
        <v>0.12200000000892852</v>
      </c>
      <c r="D28" s="10" t="s">
        <v>94</v>
      </c>
      <c r="F28" s="7" t="s">
        <v>99</v>
      </c>
      <c r="G28" s="7"/>
    </row>
    <row r="29" spans="1:9">
      <c r="A29" s="7" t="s">
        <v>22</v>
      </c>
      <c r="B29">
        <f>NPV(E8,C21:I21)/(NPV(E8,C23:I23))</f>
        <v>1.0000000000267422</v>
      </c>
      <c r="D29" s="10" t="s">
        <v>95</v>
      </c>
    </row>
    <row r="31" spans="1:9" ht="15">
      <c r="A31" s="9" t="s">
        <v>24</v>
      </c>
    </row>
    <row r="32" spans="1:9" ht="15">
      <c r="A32" s="3" t="s">
        <v>9</v>
      </c>
      <c r="B32">
        <v>0</v>
      </c>
      <c r="C32">
        <v>1</v>
      </c>
      <c r="D32">
        <v>2</v>
      </c>
      <c r="E32">
        <v>3</v>
      </c>
      <c r="F32">
        <v>4</v>
      </c>
      <c r="G32">
        <v>5</v>
      </c>
      <c r="H32">
        <v>6</v>
      </c>
      <c r="I32">
        <v>7</v>
      </c>
    </row>
    <row r="33" spans="1:9">
      <c r="A33" t="s">
        <v>10</v>
      </c>
      <c r="B33">
        <f t="shared" ref="B33:I33" si="3">B18/(1+$B$11)^B32</f>
        <v>0</v>
      </c>
      <c r="C33">
        <f t="shared" si="3"/>
        <v>0</v>
      </c>
      <c r="D33">
        <f t="shared" si="3"/>
        <v>82811.13704686526</v>
      </c>
      <c r="E33">
        <f t="shared" si="3"/>
        <v>81737.934475372385</v>
      </c>
      <c r="F33">
        <f t="shared" si="3"/>
        <v>80678.640223467068</v>
      </c>
      <c r="G33">
        <f t="shared" si="3"/>
        <v>79633.074044326524</v>
      </c>
      <c r="H33">
        <f t="shared" si="3"/>
        <v>78601.058027061954</v>
      </c>
      <c r="I33">
        <f t="shared" si="3"/>
        <v>77582.416566445812</v>
      </c>
    </row>
    <row r="34" spans="1:9">
      <c r="A34" t="s">
        <v>11</v>
      </c>
      <c r="B34">
        <f t="shared" ref="B34:I34" si="4">B19/(1+$B$11)^B32</f>
        <v>0</v>
      </c>
      <c r="C34">
        <f t="shared" si="4"/>
        <v>0</v>
      </c>
      <c r="D34">
        <f t="shared" si="4"/>
        <v>54209.919261822375</v>
      </c>
      <c r="E34">
        <f t="shared" si="4"/>
        <v>49958.160888346116</v>
      </c>
      <c r="F34">
        <f t="shared" si="4"/>
        <v>46039.873759848371</v>
      </c>
      <c r="G34">
        <f t="shared" si="4"/>
        <v>42428.903268879869</v>
      </c>
      <c r="H34">
        <f t="shared" si="4"/>
        <v>39101.146149752029</v>
      </c>
      <c r="I34">
        <f t="shared" si="4"/>
        <v>36034.389588987171</v>
      </c>
    </row>
    <row r="35" spans="1:9">
      <c r="A35" t="s">
        <v>93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 s="24">
        <f>I20/(1+$B$11)^I32</f>
        <v>89999.999999999985</v>
      </c>
    </row>
    <row r="36" spans="1:9">
      <c r="A36" t="s">
        <v>12</v>
      </c>
      <c r="B36">
        <f>B33+B34+B35</f>
        <v>0</v>
      </c>
      <c r="C36">
        <f t="shared" ref="C36:I36" si="5">C33+C34+C35</f>
        <v>0</v>
      </c>
      <c r="D36">
        <f t="shared" si="5"/>
        <v>137021.05630868764</v>
      </c>
      <c r="E36">
        <f t="shared" si="5"/>
        <v>131696.09536371852</v>
      </c>
      <c r="F36">
        <f t="shared" si="5"/>
        <v>126718.51398331544</v>
      </c>
      <c r="G36">
        <f t="shared" si="5"/>
        <v>122061.97731320639</v>
      </c>
      <c r="H36">
        <f t="shared" si="5"/>
        <v>117702.20417681398</v>
      </c>
      <c r="I36">
        <f t="shared" si="5"/>
        <v>203616.80615543295</v>
      </c>
    </row>
    <row r="38" spans="1:9">
      <c r="A38" t="s">
        <v>13</v>
      </c>
      <c r="B38">
        <f t="shared" ref="B38:I38" si="6">B23/(1+$B$11)^B32</f>
        <v>0</v>
      </c>
      <c r="C38">
        <f t="shared" si="6"/>
        <v>600000</v>
      </c>
      <c r="D38">
        <f t="shared" si="6"/>
        <v>0</v>
      </c>
      <c r="E38">
        <f t="shared" si="6"/>
        <v>0</v>
      </c>
      <c r="F38">
        <f t="shared" si="6"/>
        <v>0</v>
      </c>
      <c r="G38">
        <f t="shared" si="6"/>
        <v>0</v>
      </c>
      <c r="H38">
        <f t="shared" si="6"/>
        <v>0</v>
      </c>
      <c r="I38">
        <f t="shared" si="6"/>
        <v>0</v>
      </c>
    </row>
    <row r="40" spans="1:9">
      <c r="A40" t="s">
        <v>23</v>
      </c>
      <c r="B40">
        <f>B36+B38</f>
        <v>0</v>
      </c>
      <c r="C40">
        <f>C36-C38</f>
        <v>-600000</v>
      </c>
      <c r="D40">
        <f>D36-D38</f>
        <v>137021.05630868764</v>
      </c>
      <c r="E40">
        <f t="shared" ref="E40:H40" si="7">E36-E38</f>
        <v>131696.09536371852</v>
      </c>
      <c r="F40">
        <f t="shared" si="7"/>
        <v>126718.51398331544</v>
      </c>
      <c r="G40">
        <f t="shared" si="7"/>
        <v>122061.97731320639</v>
      </c>
      <c r="H40">
        <f t="shared" si="7"/>
        <v>117702.20417681398</v>
      </c>
      <c r="I40">
        <f>I36-I38</f>
        <v>203616.80615543295</v>
      </c>
    </row>
    <row r="42" spans="1:9">
      <c r="A42" s="7" t="s">
        <v>20</v>
      </c>
      <c r="B42" s="8">
        <f>NPV(B5,C40:I40)</f>
        <v>1.4586747221818023E-5</v>
      </c>
      <c r="D42" s="10" t="s">
        <v>97</v>
      </c>
    </row>
    <row r="43" spans="1:9">
      <c r="A43" s="7" t="s">
        <v>21</v>
      </c>
      <c r="B43" s="2">
        <f>IRR(C40:I40)</f>
        <v>0.10000000000875331</v>
      </c>
      <c r="D43" s="10" t="s">
        <v>96</v>
      </c>
      <c r="F43" s="7" t="s">
        <v>99</v>
      </c>
      <c r="G43" s="7"/>
    </row>
    <row r="44" spans="1:9">
      <c r="A44" s="7" t="s">
        <v>22</v>
      </c>
      <c r="B44">
        <f>NPV(B5,C21:I21)/NPV(B5,C23:I23)</f>
        <v>1.0694923262506049</v>
      </c>
      <c r="D44" s="10" t="s">
        <v>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A0BEF-0D06-4B98-92B3-2E5EA4901116}">
  <dimension ref="A1:R27"/>
  <sheetViews>
    <sheetView zoomScale="90" zoomScaleNormal="90" workbookViewId="0">
      <selection activeCell="M15" sqref="M15"/>
    </sheetView>
  </sheetViews>
  <sheetFormatPr defaultRowHeight="14.25"/>
  <cols>
    <col min="2" max="2" width="9.5" bestFit="1" customWidth="1"/>
    <col min="6" max="6" width="18.625" customWidth="1"/>
    <col min="7" max="7" width="13.75" customWidth="1"/>
    <col min="8" max="8" width="11.5" bestFit="1" customWidth="1"/>
    <col min="9" max="9" width="9.5" bestFit="1" customWidth="1"/>
    <col min="11" max="11" width="13.875" customWidth="1"/>
    <col min="13" max="13" width="8.75" style="22"/>
    <col min="15" max="15" width="9" customWidth="1"/>
    <col min="16" max="16" width="10.75" customWidth="1"/>
  </cols>
  <sheetData>
    <row r="1" spans="1:18" ht="15">
      <c r="A1" s="3" t="s">
        <v>0</v>
      </c>
    </row>
    <row r="2" spans="1:18" ht="15">
      <c r="A2" s="3" t="s">
        <v>26</v>
      </c>
      <c r="B2">
        <f>SUM(B10:B12)*0.2</f>
        <v>2500</v>
      </c>
      <c r="D2" s="3" t="s">
        <v>14</v>
      </c>
      <c r="E2" s="2">
        <v>0.12</v>
      </c>
    </row>
    <row r="3" spans="1:18" ht="15">
      <c r="A3" s="3" t="s">
        <v>27</v>
      </c>
      <c r="B3">
        <f>SUM(B10:B12)*0.8</f>
        <v>10000</v>
      </c>
      <c r="C3" s="2"/>
      <c r="D3" s="3"/>
      <c r="E3" s="2"/>
    </row>
    <row r="4" spans="1:18" ht="15">
      <c r="A4" s="3" t="s">
        <v>28</v>
      </c>
      <c r="B4" s="2">
        <v>0.08</v>
      </c>
      <c r="D4" s="3" t="s">
        <v>30</v>
      </c>
      <c r="E4" s="2">
        <v>0.2</v>
      </c>
    </row>
    <row r="5" spans="1:18" ht="15">
      <c r="A5" s="3" t="s">
        <v>29</v>
      </c>
      <c r="B5" s="2">
        <v>0.02</v>
      </c>
    </row>
    <row r="6" spans="1:18" ht="15">
      <c r="A6" s="3"/>
      <c r="B6" s="2"/>
    </row>
    <row r="9" spans="1:18" s="3" customFormat="1" ht="15">
      <c r="A9" s="3" t="s">
        <v>9</v>
      </c>
      <c r="B9" s="3" t="s">
        <v>34</v>
      </c>
      <c r="C9" s="3" t="s">
        <v>35</v>
      </c>
      <c r="D9" s="3" t="s">
        <v>36</v>
      </c>
      <c r="E9" s="3" t="s">
        <v>37</v>
      </c>
      <c r="F9" s="3" t="s">
        <v>43</v>
      </c>
      <c r="G9" s="3" t="s">
        <v>44</v>
      </c>
      <c r="H9" s="3" t="s">
        <v>32</v>
      </c>
      <c r="I9" s="3" t="s">
        <v>31</v>
      </c>
      <c r="J9" s="3" t="s">
        <v>25</v>
      </c>
      <c r="K9" s="3" t="s">
        <v>41</v>
      </c>
      <c r="L9" s="3" t="s">
        <v>38</v>
      </c>
      <c r="M9" s="23" t="s">
        <v>33</v>
      </c>
      <c r="N9" s="3" t="s">
        <v>39</v>
      </c>
      <c r="O9" s="3" t="s">
        <v>40</v>
      </c>
    </row>
    <row r="10" spans="1:18">
      <c r="A10">
        <v>1</v>
      </c>
      <c r="B10">
        <v>3500</v>
      </c>
      <c r="C10">
        <f>B10*0.2</f>
        <v>700</v>
      </c>
      <c r="D10">
        <f>B10*0.8</f>
        <v>2800</v>
      </c>
      <c r="E10">
        <v>0</v>
      </c>
      <c r="F10">
        <f>E10+D10</f>
        <v>2800</v>
      </c>
      <c r="G10">
        <v>0</v>
      </c>
      <c r="H10">
        <v>0</v>
      </c>
      <c r="I10">
        <f>SUM(G10:H10)</f>
        <v>0</v>
      </c>
      <c r="J10">
        <v>0</v>
      </c>
      <c r="K10">
        <v>0</v>
      </c>
      <c r="L10">
        <v>0</v>
      </c>
      <c r="M10" s="22">
        <f>J10-K10-L10-H10</f>
        <v>0</v>
      </c>
      <c r="N10">
        <f>M10*$E$4</f>
        <v>0</v>
      </c>
      <c r="O10" s="22">
        <f>J10-K10-I10-N10-C10</f>
        <v>-700</v>
      </c>
    </row>
    <row r="11" spans="1:18">
      <c r="A11">
        <v>2</v>
      </c>
      <c r="B11">
        <v>5000</v>
      </c>
      <c r="C11">
        <f>B11*0.2</f>
        <v>1000</v>
      </c>
      <c r="D11">
        <f>B11*0.8</f>
        <v>4000</v>
      </c>
      <c r="E11">
        <f>D10*$B$4</f>
        <v>224</v>
      </c>
      <c r="F11">
        <f>D11+(D10*(1+B4))</f>
        <v>7024</v>
      </c>
      <c r="G11">
        <v>0</v>
      </c>
      <c r="H11">
        <v>0</v>
      </c>
      <c r="I11">
        <f t="shared" ref="I11:I22" si="0">SUM(G11:H11)</f>
        <v>0</v>
      </c>
      <c r="J11">
        <v>0</v>
      </c>
      <c r="K11">
        <v>0</v>
      </c>
      <c r="L11">
        <v>0</v>
      </c>
      <c r="M11" s="22">
        <f t="shared" ref="M11:M22" si="1">J11-K11-L11-H11</f>
        <v>0</v>
      </c>
      <c r="N11">
        <f t="shared" ref="N11:N22" si="2">M11*$E$4</f>
        <v>0</v>
      </c>
      <c r="O11" s="22">
        <f>J11-K11-I11-N11-C11</f>
        <v>-1000</v>
      </c>
    </row>
    <row r="12" spans="1:18">
      <c r="A12">
        <v>3</v>
      </c>
      <c r="B12">
        <v>4000</v>
      </c>
      <c r="C12">
        <f t="shared" ref="C12" si="3">B12*0.2</f>
        <v>800</v>
      </c>
      <c r="D12">
        <f>B12*0.8</f>
        <v>3200</v>
      </c>
      <c r="E12">
        <f>(D11*$B$4)+(D10*$B$4)</f>
        <v>544</v>
      </c>
      <c r="F12">
        <f>D12+F11*(1+B4)</f>
        <v>10785.92</v>
      </c>
      <c r="G12">
        <v>0</v>
      </c>
      <c r="H12">
        <v>0</v>
      </c>
      <c r="I12">
        <f t="shared" si="0"/>
        <v>0</v>
      </c>
      <c r="J12">
        <v>0</v>
      </c>
      <c r="K12">
        <v>0</v>
      </c>
      <c r="L12">
        <v>0</v>
      </c>
      <c r="M12" s="22">
        <f t="shared" si="1"/>
        <v>0</v>
      </c>
      <c r="N12">
        <f t="shared" si="2"/>
        <v>0</v>
      </c>
      <c r="O12" s="22">
        <f>J12-K12-I12-N12-C12</f>
        <v>-800</v>
      </c>
    </row>
    <row r="13" spans="1:18">
      <c r="A13">
        <v>4</v>
      </c>
      <c r="B13">
        <v>0</v>
      </c>
      <c r="C13">
        <v>0</v>
      </c>
      <c r="D13">
        <v>0</v>
      </c>
      <c r="E13">
        <v>0</v>
      </c>
      <c r="F13" s="8">
        <f>F12-G13</f>
        <v>9577.1160439852774</v>
      </c>
      <c r="G13" s="8">
        <f>-PPMT($B$4,A10,7,$F$12)</f>
        <v>1208.8039560147222</v>
      </c>
      <c r="H13" s="8">
        <f>-IPMT($B$4,A10,7,$F$12)</f>
        <v>862.87360000000001</v>
      </c>
      <c r="I13" s="8">
        <f>SUM(G13:H13)</f>
        <v>2071.6775560147221</v>
      </c>
      <c r="J13">
        <f>2800</f>
        <v>2800</v>
      </c>
      <c r="K13">
        <v>350</v>
      </c>
      <c r="L13">
        <f>SUM($B$10:$B$12)/5</f>
        <v>2500</v>
      </c>
      <c r="M13" s="22">
        <f>J13-K13-L13-H13</f>
        <v>-912.87360000000001</v>
      </c>
      <c r="N13">
        <f>M13*$E$4</f>
        <v>-182.57472000000001</v>
      </c>
      <c r="O13" s="8">
        <f>J13-K13-I13-N13</f>
        <v>560.89716398527798</v>
      </c>
      <c r="P13" s="8"/>
      <c r="R13" t="s">
        <v>42</v>
      </c>
    </row>
    <row r="14" spans="1:18">
      <c r="A14">
        <v>5</v>
      </c>
      <c r="B14">
        <v>0</v>
      </c>
      <c r="C14">
        <v>0</v>
      </c>
      <c r="D14">
        <v>0</v>
      </c>
      <c r="E14">
        <v>0</v>
      </c>
      <c r="F14" s="8">
        <f t="shared" ref="F14:F22" si="4">F13-G14</f>
        <v>8271.6077714893781</v>
      </c>
      <c r="G14" s="8">
        <f t="shared" ref="G14:G19" si="5">-PPMT($B$4,A11,7,$F$12)</f>
        <v>1305.5082724959</v>
      </c>
      <c r="H14" s="8">
        <f t="shared" ref="H14:H19" si="6">-IPMT($B$4,A11,7,$F$12)</f>
        <v>766.16928351882234</v>
      </c>
      <c r="I14" s="8">
        <f>SUM(G14:H14)</f>
        <v>2071.6775560147225</v>
      </c>
      <c r="J14">
        <f>2800*(1+$B$5)^A10</f>
        <v>2856</v>
      </c>
      <c r="K14">
        <v>350</v>
      </c>
      <c r="L14">
        <f t="shared" ref="L14:L17" si="7">SUM($B$10:$B$12)/5</f>
        <v>2500</v>
      </c>
      <c r="M14" s="8">
        <f>J14-K14-L14-H14</f>
        <v>-760.16928351882234</v>
      </c>
      <c r="N14">
        <f>M14*$E$4</f>
        <v>-152.03385670376449</v>
      </c>
      <c r="O14" s="22">
        <f>J14-K14-I14-N14</f>
        <v>586.35630068904197</v>
      </c>
    </row>
    <row r="15" spans="1:18">
      <c r="A15">
        <v>6</v>
      </c>
      <c r="B15">
        <v>0</v>
      </c>
      <c r="C15">
        <v>0</v>
      </c>
      <c r="D15">
        <v>0</v>
      </c>
      <c r="E15">
        <v>0</v>
      </c>
      <c r="F15" s="8">
        <f t="shared" si="4"/>
        <v>6861.658837193806</v>
      </c>
      <c r="G15" s="8">
        <f t="shared" si="5"/>
        <v>1409.9489342955719</v>
      </c>
      <c r="H15" s="8">
        <f t="shared" si="6"/>
        <v>661.7286217191504</v>
      </c>
      <c r="I15" s="8">
        <f>SUM(G15:H15)</f>
        <v>2071.6775560147225</v>
      </c>
      <c r="J15">
        <f>J14*(1+$B$5)^A11</f>
        <v>2971.3824</v>
      </c>
      <c r="K15">
        <v>350</v>
      </c>
      <c r="L15">
        <f t="shared" si="7"/>
        <v>2500</v>
      </c>
      <c r="M15" s="22">
        <f>J15-K15-L15-H15</f>
        <v>-540.34622171915044</v>
      </c>
      <c r="N15">
        <f>M15*$E$4</f>
        <v>-108.06924434383009</v>
      </c>
      <c r="O15" s="22">
        <f t="shared" ref="O15:O22" si="8">J15-K15-I15-N15</f>
        <v>657.77408832910749</v>
      </c>
    </row>
    <row r="16" spans="1:18">
      <c r="A16">
        <v>7</v>
      </c>
      <c r="B16">
        <v>0</v>
      </c>
      <c r="C16">
        <v>0</v>
      </c>
      <c r="D16">
        <v>0</v>
      </c>
      <c r="E16">
        <v>0</v>
      </c>
      <c r="F16" s="8">
        <f t="shared" si="4"/>
        <v>5338.9139881545889</v>
      </c>
      <c r="G16" s="8">
        <f t="shared" si="5"/>
        <v>1522.7448490392176</v>
      </c>
      <c r="H16" s="8">
        <f t="shared" si="6"/>
        <v>548.93270697550452</v>
      </c>
      <c r="I16">
        <f t="shared" si="0"/>
        <v>2071.6775560147221</v>
      </c>
      <c r="J16">
        <f t="shared" ref="J16:J21" si="9">J15*(1+$B$5)^A12</f>
        <v>3153.2547739391998</v>
      </c>
      <c r="K16">
        <v>350</v>
      </c>
      <c r="L16">
        <f>SUM($B$10:$B$12)/5</f>
        <v>2500</v>
      </c>
      <c r="M16" s="22">
        <f>J16-K16-L16-H16</f>
        <v>-245.67793303630469</v>
      </c>
      <c r="N16">
        <f t="shared" si="2"/>
        <v>-49.13558660726094</v>
      </c>
      <c r="O16" s="22">
        <f t="shared" si="8"/>
        <v>780.7128045317387</v>
      </c>
    </row>
    <row r="17" spans="1:16">
      <c r="A17">
        <v>8</v>
      </c>
      <c r="B17">
        <v>0</v>
      </c>
      <c r="C17">
        <v>0</v>
      </c>
      <c r="D17">
        <v>0</v>
      </c>
      <c r="E17">
        <v>0</v>
      </c>
      <c r="F17" s="8">
        <f t="shared" si="4"/>
        <v>3694.3495511922338</v>
      </c>
      <c r="G17" s="8">
        <f t="shared" si="5"/>
        <v>1644.5644369623551</v>
      </c>
      <c r="H17" s="8">
        <f t="shared" si="6"/>
        <v>427.11311905236721</v>
      </c>
      <c r="I17">
        <f t="shared" si="0"/>
        <v>2071.6775560147225</v>
      </c>
      <c r="J17">
        <f t="shared" si="9"/>
        <v>3413.1843759853195</v>
      </c>
      <c r="K17">
        <v>350</v>
      </c>
      <c r="L17">
        <f t="shared" si="7"/>
        <v>2500</v>
      </c>
      <c r="M17" s="22">
        <f t="shared" si="1"/>
        <v>136.07125693295234</v>
      </c>
      <c r="N17">
        <f>M17*$E$4</f>
        <v>27.214251386590469</v>
      </c>
      <c r="O17" s="22">
        <f t="shared" si="8"/>
        <v>964.29256858400652</v>
      </c>
    </row>
    <row r="18" spans="1:16">
      <c r="A18">
        <v>9</v>
      </c>
      <c r="B18">
        <v>0</v>
      </c>
      <c r="C18">
        <v>0</v>
      </c>
      <c r="D18">
        <v>0</v>
      </c>
      <c r="E18">
        <v>0</v>
      </c>
      <c r="F18" s="8">
        <f t="shared" si="4"/>
        <v>1918.2199592728905</v>
      </c>
      <c r="G18" s="8">
        <f t="shared" si="5"/>
        <v>1776.1295919193433</v>
      </c>
      <c r="H18" s="8">
        <f t="shared" si="6"/>
        <v>295.54796409537875</v>
      </c>
      <c r="I18">
        <f t="shared" si="0"/>
        <v>2071.6775560147221</v>
      </c>
      <c r="J18">
        <f t="shared" si="9"/>
        <v>3768.4313473075626</v>
      </c>
      <c r="K18">
        <v>350</v>
      </c>
      <c r="L18">
        <v>0</v>
      </c>
      <c r="M18" s="22">
        <f t="shared" si="1"/>
        <v>3122.8833832121841</v>
      </c>
      <c r="N18">
        <f t="shared" si="2"/>
        <v>624.57667664243684</v>
      </c>
      <c r="O18" s="22">
        <f t="shared" si="8"/>
        <v>722.17711465040372</v>
      </c>
    </row>
    <row r="19" spans="1:16">
      <c r="A19">
        <v>10</v>
      </c>
      <c r="B19">
        <v>0</v>
      </c>
      <c r="C19">
        <v>0</v>
      </c>
      <c r="D19">
        <v>0</v>
      </c>
      <c r="E19">
        <v>0</v>
      </c>
      <c r="F19" s="8">
        <f t="shared" si="4"/>
        <v>0</v>
      </c>
      <c r="G19" s="8">
        <f t="shared" si="5"/>
        <v>1918.2199592728909</v>
      </c>
      <c r="H19" s="8">
        <f t="shared" si="6"/>
        <v>153.45759674183125</v>
      </c>
      <c r="I19">
        <f t="shared" si="0"/>
        <v>2071.6775560147221</v>
      </c>
      <c r="J19">
        <f t="shared" si="9"/>
        <v>4243.8657629141799</v>
      </c>
      <c r="K19">
        <v>350</v>
      </c>
      <c r="L19">
        <v>0</v>
      </c>
      <c r="M19" s="22">
        <f t="shared" si="1"/>
        <v>3740.4081661723485</v>
      </c>
      <c r="N19">
        <f t="shared" si="2"/>
        <v>748.08163323446979</v>
      </c>
      <c r="O19" s="22">
        <f t="shared" si="8"/>
        <v>1074.106573664988</v>
      </c>
    </row>
    <row r="20" spans="1:16">
      <c r="A20">
        <v>11</v>
      </c>
      <c r="B20">
        <v>0</v>
      </c>
      <c r="C20">
        <v>0</v>
      </c>
      <c r="D20">
        <v>0</v>
      </c>
      <c r="E20">
        <v>0</v>
      </c>
      <c r="F20" s="8">
        <f t="shared" si="4"/>
        <v>0</v>
      </c>
      <c r="G20" s="8">
        <v>0</v>
      </c>
      <c r="H20" s="8">
        <v>0</v>
      </c>
      <c r="I20">
        <f t="shared" si="0"/>
        <v>0</v>
      </c>
      <c r="J20">
        <f t="shared" si="9"/>
        <v>4874.8677772869951</v>
      </c>
      <c r="K20">
        <v>350</v>
      </c>
      <c r="L20">
        <v>0</v>
      </c>
      <c r="M20" s="22">
        <f t="shared" si="1"/>
        <v>4524.8677772869951</v>
      </c>
      <c r="N20">
        <f t="shared" si="2"/>
        <v>904.97355545739902</v>
      </c>
      <c r="O20" s="22">
        <f t="shared" si="8"/>
        <v>3619.8942218295961</v>
      </c>
    </row>
    <row r="21" spans="1:16">
      <c r="A21">
        <v>12</v>
      </c>
      <c r="B21">
        <v>0</v>
      </c>
      <c r="C21">
        <v>0</v>
      </c>
      <c r="D21">
        <v>0</v>
      </c>
      <c r="E21">
        <v>0</v>
      </c>
      <c r="F21" s="8">
        <f t="shared" si="4"/>
        <v>0</v>
      </c>
      <c r="G21">
        <v>0</v>
      </c>
      <c r="H21" s="8">
        <v>0</v>
      </c>
      <c r="I21">
        <f t="shared" si="0"/>
        <v>0</v>
      </c>
      <c r="J21">
        <f t="shared" si="9"/>
        <v>5711.6845624039706</v>
      </c>
      <c r="K21">
        <v>350</v>
      </c>
      <c r="L21">
        <v>0</v>
      </c>
      <c r="M21" s="22">
        <f t="shared" si="1"/>
        <v>5361.6845624039706</v>
      </c>
      <c r="N21">
        <f t="shared" si="2"/>
        <v>1072.3369124807941</v>
      </c>
      <c r="O21" s="22">
        <f t="shared" si="8"/>
        <v>4289.3476499231765</v>
      </c>
    </row>
    <row r="22" spans="1:16">
      <c r="A22">
        <v>13</v>
      </c>
      <c r="B22">
        <v>0</v>
      </c>
      <c r="C22">
        <v>0</v>
      </c>
      <c r="D22">
        <v>0</v>
      </c>
      <c r="E22">
        <v>0</v>
      </c>
      <c r="F22" s="8">
        <f t="shared" si="4"/>
        <v>0</v>
      </c>
      <c r="G22">
        <v>0</v>
      </c>
      <c r="H22" s="8">
        <v>0</v>
      </c>
      <c r="I22">
        <f t="shared" si="0"/>
        <v>0</v>
      </c>
      <c r="J22">
        <f>J21*(1+$B$5)^A18</f>
        <v>6825.991774843761</v>
      </c>
      <c r="K22">
        <v>350</v>
      </c>
      <c r="L22">
        <v>0</v>
      </c>
      <c r="M22" s="22">
        <f t="shared" si="1"/>
        <v>6475.991774843761</v>
      </c>
      <c r="N22">
        <f t="shared" si="2"/>
        <v>1295.1983549687523</v>
      </c>
      <c r="O22" s="22">
        <f t="shared" si="8"/>
        <v>5180.793419875009</v>
      </c>
    </row>
    <row r="23" spans="1:16">
      <c r="A23" t="s">
        <v>20</v>
      </c>
      <c r="B23" s="8">
        <f>NPV(E2,O10:O22)</f>
        <v>3708.5855761806083</v>
      </c>
      <c r="F23" s="8"/>
      <c r="H23" s="8"/>
      <c r="K23" s="8"/>
      <c r="P23" s="8"/>
    </row>
    <row r="24" spans="1:16">
      <c r="A24" t="s">
        <v>21</v>
      </c>
      <c r="B24" s="2">
        <f>IRR(O10:O22)</f>
        <v>0.29232413397193402</v>
      </c>
      <c r="F24" s="8"/>
      <c r="H24" s="8"/>
      <c r="K24" s="2"/>
    </row>
    <row r="25" spans="1:16">
      <c r="F25" s="8"/>
      <c r="H25" s="8"/>
    </row>
    <row r="27" spans="1:16">
      <c r="K27" s="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934C8-692F-40E2-BD07-D6CFE19D3643}">
  <dimension ref="A1:BE42"/>
  <sheetViews>
    <sheetView topLeftCell="A6" zoomScale="90" zoomScaleNormal="90" workbookViewId="0">
      <selection activeCell="J45" sqref="J45"/>
    </sheetView>
  </sheetViews>
  <sheetFormatPr defaultColWidth="9" defaultRowHeight="15"/>
  <cols>
    <col min="1" max="1" width="5.625" style="12" customWidth="1"/>
    <col min="2" max="2" width="15.875" style="11" customWidth="1"/>
    <col min="3" max="5" width="11" style="11" bestFit="1" customWidth="1"/>
    <col min="6" max="6" width="12.25" style="11" bestFit="1" customWidth="1"/>
    <col min="7" max="7" width="16" style="11" customWidth="1"/>
    <col min="8" max="8" width="27.375" style="11" customWidth="1"/>
    <col min="9" max="9" width="13.375" style="11" customWidth="1"/>
    <col min="10" max="11" width="12.25" style="11" bestFit="1" customWidth="1"/>
    <col min="12" max="12" width="26.875" style="11" customWidth="1"/>
    <col min="13" max="17" width="12.25" style="11" bestFit="1" customWidth="1"/>
    <col min="18" max="18" width="16.25" style="11" customWidth="1"/>
    <col min="19" max="19" width="11" style="11" bestFit="1" customWidth="1"/>
    <col min="20" max="20" width="20.875" style="11" bestFit="1" customWidth="1"/>
    <col min="21" max="16384" width="9" style="11"/>
  </cols>
  <sheetData>
    <row r="1" spans="1:15">
      <c r="A1" s="11"/>
      <c r="B1" s="12" t="s">
        <v>0</v>
      </c>
      <c r="L1" s="12" t="s">
        <v>60</v>
      </c>
      <c r="M1" s="12" t="s">
        <v>61</v>
      </c>
    </row>
    <row r="2" spans="1:15" ht="14.25">
      <c r="A2" s="11"/>
      <c r="B2" s="13" t="s">
        <v>47</v>
      </c>
      <c r="C2" s="21">
        <v>0.1</v>
      </c>
      <c r="K2" s="11">
        <v>5</v>
      </c>
      <c r="L2" s="11" t="s">
        <v>62</v>
      </c>
      <c r="M2" s="11">
        <v>4300000</v>
      </c>
      <c r="N2" s="11" t="s">
        <v>78</v>
      </c>
    </row>
    <row r="3" spans="1:15" ht="14.25">
      <c r="A3" s="11"/>
      <c r="B3" s="13" t="s">
        <v>56</v>
      </c>
      <c r="C3" s="11">
        <v>0.36</v>
      </c>
      <c r="D3" s="11" t="s">
        <v>57</v>
      </c>
      <c r="E3" s="11" t="s">
        <v>58</v>
      </c>
      <c r="F3" s="11" t="s">
        <v>59</v>
      </c>
      <c r="K3" s="11">
        <v>5</v>
      </c>
      <c r="L3" s="11" t="s">
        <v>63</v>
      </c>
      <c r="M3" s="11">
        <v>2.5000000000000001E-2</v>
      </c>
      <c r="N3" s="11" t="s">
        <v>78</v>
      </c>
    </row>
    <row r="4" spans="1:15" ht="14.25">
      <c r="A4" s="11"/>
      <c r="D4" s="11">
        <f>C22*C3</f>
        <v>396000</v>
      </c>
      <c r="E4" s="11">
        <f>D22*C3</f>
        <v>432000</v>
      </c>
      <c r="F4" s="11">
        <f>E22*C3</f>
        <v>468000</v>
      </c>
      <c r="K4" s="11">
        <v>5</v>
      </c>
      <c r="L4" s="11" t="s">
        <v>64</v>
      </c>
      <c r="M4" s="11">
        <v>7.0000000000000007E-2</v>
      </c>
      <c r="N4" s="11" t="s">
        <v>78</v>
      </c>
      <c r="O4" s="11" t="s">
        <v>79</v>
      </c>
    </row>
    <row r="5" spans="1:15">
      <c r="A5" s="11"/>
      <c r="B5" s="12"/>
      <c r="K5" s="11">
        <v>2</v>
      </c>
      <c r="L5" s="11" t="s">
        <v>65</v>
      </c>
      <c r="M5" s="11">
        <v>125000</v>
      </c>
      <c r="N5" s="11" t="s">
        <v>78</v>
      </c>
    </row>
    <row r="6" spans="1:15">
      <c r="A6" s="11"/>
      <c r="B6" s="12" t="s">
        <v>48</v>
      </c>
      <c r="C6" s="11" t="s">
        <v>52</v>
      </c>
      <c r="D6" s="11" t="s">
        <v>53</v>
      </c>
      <c r="E6" s="11" t="s">
        <v>54</v>
      </c>
      <c r="F6" s="11" t="s">
        <v>55</v>
      </c>
      <c r="G6" s="11" t="s">
        <v>88</v>
      </c>
      <c r="H6" s="11" t="s">
        <v>90</v>
      </c>
      <c r="K6" s="11">
        <v>2</v>
      </c>
      <c r="L6" s="11" t="s">
        <v>66</v>
      </c>
      <c r="M6" s="21">
        <v>0.02</v>
      </c>
      <c r="N6" s="11" t="s">
        <v>78</v>
      </c>
    </row>
    <row r="7" spans="1:15" ht="14.25">
      <c r="A7" s="11">
        <v>1</v>
      </c>
      <c r="B7" s="13" t="s">
        <v>49</v>
      </c>
      <c r="C7" s="21">
        <v>0.12</v>
      </c>
      <c r="D7" s="11">
        <f>$C$22*C7</f>
        <v>132000</v>
      </c>
      <c r="E7" s="11">
        <f>$D$22*C7</f>
        <v>144000</v>
      </c>
      <c r="F7" s="11">
        <f>$E$22*C7</f>
        <v>156000</v>
      </c>
      <c r="G7" s="11">
        <f>NPV($C$2,C38:Q38)</f>
        <v>1179554.881193785</v>
      </c>
      <c r="H7" s="11">
        <f>G7/$G$12</f>
        <v>7.1185118362711721</v>
      </c>
      <c r="K7" s="11">
        <v>2</v>
      </c>
      <c r="L7" s="11" t="s">
        <v>67</v>
      </c>
      <c r="M7" s="11">
        <v>1.75</v>
      </c>
      <c r="N7" s="11" t="s">
        <v>78</v>
      </c>
    </row>
    <row r="8" spans="1:15" ht="14.25">
      <c r="A8" s="11">
        <v>2</v>
      </c>
      <c r="B8" s="13" t="s">
        <v>50</v>
      </c>
      <c r="C8" s="21">
        <v>0.1</v>
      </c>
      <c r="D8" s="11">
        <f>$C$22*C8</f>
        <v>110000</v>
      </c>
      <c r="E8" s="11">
        <f>$D$22*C8</f>
        <v>120000</v>
      </c>
      <c r="F8" s="11">
        <f>$E$22*C8</f>
        <v>130000</v>
      </c>
      <c r="G8" s="11">
        <f>NPV($C$2,C39:Q39)</f>
        <v>312242.40635974531</v>
      </c>
      <c r="H8" s="11">
        <f t="shared" ref="H8:H10" si="0">G8/$G$12</f>
        <v>1.8843559557043452</v>
      </c>
      <c r="K8" s="11">
        <v>2</v>
      </c>
      <c r="L8" s="11" t="s">
        <v>68</v>
      </c>
      <c r="M8" s="11">
        <v>45000</v>
      </c>
      <c r="N8" s="11" t="s">
        <v>78</v>
      </c>
    </row>
    <row r="9" spans="1:15" ht="14.25">
      <c r="A9" s="11">
        <v>3</v>
      </c>
      <c r="B9" s="13" t="s">
        <v>85</v>
      </c>
      <c r="C9" s="21">
        <v>0.14000000000000001</v>
      </c>
      <c r="D9" s="11">
        <f>$C$22*C9</f>
        <v>154000.00000000003</v>
      </c>
      <c r="E9" s="11">
        <f>$D$22*C9</f>
        <v>168000.00000000003</v>
      </c>
      <c r="F9" s="11">
        <f>$E$22*C9</f>
        <v>182000.00000000003</v>
      </c>
      <c r="G9" s="11">
        <f t="shared" ref="G9" si="1">NPV($C$2,C40:Q40)</f>
        <v>864224.60986033548</v>
      </c>
      <c r="H9" s="11">
        <f t="shared" si="0"/>
        <v>5.2155208821326093</v>
      </c>
      <c r="K9" s="11">
        <v>2</v>
      </c>
      <c r="L9" s="11" t="s">
        <v>69</v>
      </c>
      <c r="M9" s="11">
        <v>0.55000000000000004</v>
      </c>
      <c r="N9" s="11" t="s">
        <v>78</v>
      </c>
      <c r="O9" s="11" t="s">
        <v>79</v>
      </c>
    </row>
    <row r="10" spans="1:15" ht="14.25">
      <c r="A10" s="11">
        <v>4</v>
      </c>
      <c r="B10" s="13" t="s">
        <v>45</v>
      </c>
      <c r="C10" s="21">
        <v>0.13</v>
      </c>
      <c r="D10" s="11">
        <f>$C$22*C10</f>
        <v>143000</v>
      </c>
      <c r="E10" s="11">
        <f>$D$22*C10</f>
        <v>156000</v>
      </c>
      <c r="F10" s="11">
        <f>$E$22*C10</f>
        <v>169000</v>
      </c>
      <c r="G10" s="11">
        <f>NPV($C$2,C41:Q41)</f>
        <v>346151.71350427438</v>
      </c>
      <c r="H10" s="11">
        <f t="shared" si="0"/>
        <v>2.0889956957593303</v>
      </c>
      <c r="K10" s="11">
        <v>1</v>
      </c>
      <c r="L10" s="11" t="s">
        <v>70</v>
      </c>
      <c r="M10" s="11">
        <v>400000</v>
      </c>
      <c r="N10" s="11" t="s">
        <v>78</v>
      </c>
    </row>
    <row r="11" spans="1:15" ht="18" customHeight="1">
      <c r="A11" s="11">
        <v>5</v>
      </c>
      <c r="B11" s="13" t="s">
        <v>51</v>
      </c>
      <c r="C11" s="21">
        <v>0.15</v>
      </c>
      <c r="D11" s="11">
        <f>$C$22*C11</f>
        <v>165000</v>
      </c>
      <c r="E11" s="11">
        <f>$D$22*C11</f>
        <v>180000</v>
      </c>
      <c r="F11" s="11">
        <f>$E$22*C11</f>
        <v>195000</v>
      </c>
      <c r="G11" s="11">
        <f>NPV($C$2,C42:Q42)</f>
        <v>-2536471.1567642307</v>
      </c>
      <c r="H11" s="11">
        <f>G11/$G$12</f>
        <v>-15.307384369867457</v>
      </c>
      <c r="K11" s="11">
        <v>1</v>
      </c>
      <c r="L11" s="11" t="s">
        <v>71</v>
      </c>
      <c r="M11" s="11">
        <v>100000</v>
      </c>
      <c r="N11" s="11" t="s">
        <v>78</v>
      </c>
    </row>
    <row r="12" spans="1:15" ht="18" customHeight="1">
      <c r="A12" s="11"/>
      <c r="B12" s="13" t="s">
        <v>89</v>
      </c>
      <c r="G12" s="11">
        <f>SUM(G7:G11)</f>
        <v>165702.45415390935</v>
      </c>
      <c r="K12" s="11">
        <v>3</v>
      </c>
      <c r="L12" s="11" t="s">
        <v>72</v>
      </c>
      <c r="M12" s="11">
        <v>2500</v>
      </c>
      <c r="N12" s="11" t="s">
        <v>78</v>
      </c>
    </row>
    <row r="13" spans="1:15" ht="18" customHeight="1">
      <c r="A13" s="11"/>
      <c r="B13" s="13"/>
      <c r="K13" s="11">
        <v>3</v>
      </c>
      <c r="L13" s="11" t="s">
        <v>73</v>
      </c>
      <c r="M13" s="11">
        <v>110</v>
      </c>
      <c r="N13" s="11" t="s">
        <v>78</v>
      </c>
    </row>
    <row r="14" spans="1:15" ht="18" customHeight="1">
      <c r="A14" s="11"/>
      <c r="B14" s="13"/>
      <c r="K14" s="11">
        <v>3</v>
      </c>
      <c r="L14" s="11" t="s">
        <v>74</v>
      </c>
      <c r="M14" s="11">
        <v>10</v>
      </c>
      <c r="N14" s="11" t="s">
        <v>78</v>
      </c>
    </row>
    <row r="15" spans="1:15" ht="18" customHeight="1">
      <c r="A15" s="11"/>
      <c r="B15" s="13"/>
      <c r="K15" s="11">
        <v>4</v>
      </c>
      <c r="L15" s="11" t="s">
        <v>75</v>
      </c>
      <c r="M15" s="11">
        <v>11000000</v>
      </c>
      <c r="N15" s="11" t="s">
        <v>78</v>
      </c>
    </row>
    <row r="16" spans="1:15" ht="18" customHeight="1">
      <c r="A16" s="11"/>
      <c r="B16" s="13"/>
      <c r="K16" s="11">
        <v>4</v>
      </c>
      <c r="L16" s="11" t="s">
        <v>76</v>
      </c>
      <c r="M16" s="11">
        <v>1.7000000000000001E-2</v>
      </c>
      <c r="N16" s="11" t="s">
        <v>78</v>
      </c>
    </row>
    <row r="17" spans="1:56" ht="18" customHeight="1">
      <c r="A17" s="11"/>
      <c r="B17" s="13"/>
      <c r="K17" s="11">
        <v>4</v>
      </c>
      <c r="L17" s="11" t="s">
        <v>77</v>
      </c>
      <c r="M17" s="11">
        <v>4.0000000000000001E-3</v>
      </c>
      <c r="N17" s="11" t="s">
        <v>78</v>
      </c>
    </row>
    <row r="19" spans="1:56">
      <c r="A19" s="11"/>
      <c r="B19" s="14" t="s">
        <v>46</v>
      </c>
      <c r="C19" s="15">
        <v>1</v>
      </c>
      <c r="D19" s="15">
        <v>2</v>
      </c>
      <c r="E19" s="15">
        <v>3</v>
      </c>
      <c r="F19" s="15">
        <v>4</v>
      </c>
      <c r="G19" s="15">
        <v>5</v>
      </c>
      <c r="H19" s="15">
        <v>6</v>
      </c>
      <c r="I19" s="15">
        <v>7</v>
      </c>
      <c r="J19" s="15">
        <v>8</v>
      </c>
      <c r="K19" s="15">
        <v>9</v>
      </c>
      <c r="L19" s="15">
        <v>10</v>
      </c>
      <c r="M19" s="15">
        <v>11</v>
      </c>
      <c r="N19" s="15">
        <v>12</v>
      </c>
      <c r="O19" s="15">
        <v>13</v>
      </c>
      <c r="P19" s="15">
        <v>14</v>
      </c>
      <c r="Q19" s="15">
        <v>15</v>
      </c>
    </row>
    <row r="20" spans="1:56" s="17" customFormat="1">
      <c r="A20" s="11"/>
      <c r="B20" s="16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</row>
    <row r="21" spans="1:56" ht="14.25">
      <c r="A21" s="11"/>
      <c r="B21" s="18" t="s">
        <v>13</v>
      </c>
    </row>
    <row r="22" spans="1:56" ht="14.25">
      <c r="A22" s="11"/>
      <c r="B22" s="13" t="s">
        <v>91</v>
      </c>
      <c r="C22" s="11">
        <v>1100000</v>
      </c>
      <c r="D22" s="11">
        <v>1200000</v>
      </c>
      <c r="E22" s="11">
        <v>1300000</v>
      </c>
      <c r="F22" s="11">
        <v>0</v>
      </c>
      <c r="G22" s="11">
        <v>0</v>
      </c>
      <c r="H22" s="11">
        <v>0</v>
      </c>
      <c r="I22" s="11">
        <v>0</v>
      </c>
      <c r="J22" s="11">
        <v>0</v>
      </c>
      <c r="K22" s="11">
        <v>0</v>
      </c>
      <c r="L22" s="11">
        <v>0</v>
      </c>
      <c r="M22" s="11">
        <v>0</v>
      </c>
      <c r="N22" s="11">
        <v>0</v>
      </c>
      <c r="O22" s="11">
        <v>0</v>
      </c>
      <c r="P22" s="11">
        <v>0</v>
      </c>
      <c r="Q22" s="11">
        <v>0</v>
      </c>
    </row>
    <row r="23" spans="1:56" ht="14.25">
      <c r="A23" s="11">
        <v>5</v>
      </c>
      <c r="B23" s="13" t="s">
        <v>81</v>
      </c>
      <c r="C23" s="11">
        <v>0</v>
      </c>
      <c r="D23" s="11">
        <v>0</v>
      </c>
      <c r="E23" s="11">
        <v>0</v>
      </c>
      <c r="F23" s="11">
        <f>($M$3*$M$2)</f>
        <v>107500</v>
      </c>
      <c r="G23" s="11">
        <f t="shared" ref="G23:Q23" si="2">($M$3*$M$2)</f>
        <v>107500</v>
      </c>
      <c r="H23" s="11">
        <f t="shared" si="2"/>
        <v>107500</v>
      </c>
      <c r="I23" s="11">
        <f t="shared" si="2"/>
        <v>107500</v>
      </c>
      <c r="J23" s="11">
        <f t="shared" si="2"/>
        <v>107500</v>
      </c>
      <c r="K23" s="11">
        <f t="shared" si="2"/>
        <v>107500</v>
      </c>
      <c r="L23" s="11">
        <f t="shared" si="2"/>
        <v>107500</v>
      </c>
      <c r="M23" s="11">
        <f t="shared" si="2"/>
        <v>107500</v>
      </c>
      <c r="N23" s="11">
        <f t="shared" si="2"/>
        <v>107500</v>
      </c>
      <c r="O23" s="11">
        <f t="shared" si="2"/>
        <v>107500</v>
      </c>
      <c r="P23" s="11">
        <f t="shared" si="2"/>
        <v>107500</v>
      </c>
      <c r="Q23" s="11">
        <f t="shared" si="2"/>
        <v>107500</v>
      </c>
    </row>
    <row r="24" spans="1:56" ht="14.25">
      <c r="A24" s="11">
        <v>5</v>
      </c>
      <c r="B24" s="13" t="s">
        <v>87</v>
      </c>
      <c r="C24" s="11">
        <v>0</v>
      </c>
      <c r="D24" s="11">
        <v>0</v>
      </c>
      <c r="E24" s="11">
        <v>0</v>
      </c>
      <c r="F24" s="11">
        <f>$M$4*$M$2</f>
        <v>301000</v>
      </c>
      <c r="G24" s="11">
        <f>$M$4*$M$2</f>
        <v>301000</v>
      </c>
      <c r="H24" s="11">
        <f>$M$4*$M$2</f>
        <v>301000</v>
      </c>
      <c r="I24" s="11">
        <f t="shared" ref="I24:Q24" si="3">$M$4*$M$2</f>
        <v>301000</v>
      </c>
      <c r="J24" s="11">
        <f t="shared" si="3"/>
        <v>301000</v>
      </c>
      <c r="K24" s="11">
        <f t="shared" si="3"/>
        <v>301000</v>
      </c>
      <c r="L24" s="11">
        <f t="shared" si="3"/>
        <v>301000</v>
      </c>
      <c r="M24" s="11">
        <f t="shared" si="3"/>
        <v>301000</v>
      </c>
      <c r="N24" s="11">
        <f t="shared" si="3"/>
        <v>301000</v>
      </c>
      <c r="O24" s="11">
        <f t="shared" si="3"/>
        <v>301000</v>
      </c>
      <c r="P24" s="11">
        <f t="shared" si="3"/>
        <v>301000</v>
      </c>
      <c r="Q24" s="11">
        <f t="shared" si="3"/>
        <v>301000</v>
      </c>
    </row>
    <row r="25" spans="1:56" ht="14.25">
      <c r="A25" s="11">
        <v>2</v>
      </c>
      <c r="B25" s="13" t="s">
        <v>82</v>
      </c>
      <c r="C25" s="11">
        <v>0</v>
      </c>
      <c r="D25" s="11">
        <v>0</v>
      </c>
      <c r="E25" s="11">
        <v>0</v>
      </c>
      <c r="F25" s="11">
        <f>$M$8</f>
        <v>45000</v>
      </c>
      <c r="G25" s="11">
        <f>$M$8</f>
        <v>45000</v>
      </c>
      <c r="H25" s="11">
        <f>$M$8</f>
        <v>45000</v>
      </c>
      <c r="I25" s="11">
        <f t="shared" ref="I25:Q25" si="4">$M$8</f>
        <v>45000</v>
      </c>
      <c r="J25" s="11">
        <f t="shared" si="4"/>
        <v>45000</v>
      </c>
      <c r="K25" s="11">
        <f t="shared" si="4"/>
        <v>45000</v>
      </c>
      <c r="L25" s="11">
        <f t="shared" si="4"/>
        <v>45000</v>
      </c>
      <c r="M25" s="11">
        <f t="shared" si="4"/>
        <v>45000</v>
      </c>
      <c r="N25" s="11">
        <f t="shared" si="4"/>
        <v>45000</v>
      </c>
      <c r="O25" s="11">
        <f t="shared" si="4"/>
        <v>45000</v>
      </c>
      <c r="P25" s="11">
        <f t="shared" si="4"/>
        <v>45000</v>
      </c>
      <c r="Q25" s="11">
        <f t="shared" si="4"/>
        <v>45000</v>
      </c>
    </row>
    <row r="26" spans="1:56" ht="14.25">
      <c r="A26" s="11">
        <v>2</v>
      </c>
      <c r="B26" s="13" t="s">
        <v>83</v>
      </c>
      <c r="C26" s="11">
        <v>0</v>
      </c>
      <c r="D26" s="11">
        <v>0</v>
      </c>
      <c r="E26" s="11">
        <v>0</v>
      </c>
      <c r="F26" s="11">
        <f>$M$5*$M$9</f>
        <v>68750</v>
      </c>
      <c r="G26" s="11">
        <f>F26*(1+$M$6)</f>
        <v>70125</v>
      </c>
      <c r="H26" s="11">
        <f t="shared" ref="H26:Q26" si="5">G26*(1+$M$6)</f>
        <v>71527.5</v>
      </c>
      <c r="I26" s="11">
        <f t="shared" si="5"/>
        <v>72958.05</v>
      </c>
      <c r="J26" s="11">
        <f t="shared" si="5"/>
        <v>74417.21100000001</v>
      </c>
      <c r="K26" s="11">
        <f t="shared" si="5"/>
        <v>75905.555220000009</v>
      </c>
      <c r="L26" s="11">
        <f t="shared" si="5"/>
        <v>77423.666324400008</v>
      </c>
      <c r="M26" s="11">
        <f t="shared" si="5"/>
        <v>78972.139650888013</v>
      </c>
      <c r="N26" s="11">
        <f t="shared" si="5"/>
        <v>80551.582443905776</v>
      </c>
      <c r="O26" s="11">
        <f t="shared" si="5"/>
        <v>82162.614092783886</v>
      </c>
      <c r="P26" s="11">
        <f t="shared" si="5"/>
        <v>83805.866374639561</v>
      </c>
      <c r="Q26" s="11">
        <f t="shared" si="5"/>
        <v>85481.983702132347</v>
      </c>
    </row>
    <row r="27" spans="1:56" ht="14.25">
      <c r="A27" s="11">
        <v>1</v>
      </c>
      <c r="B27" s="13" t="s">
        <v>84</v>
      </c>
      <c r="C27" s="11">
        <v>0</v>
      </c>
      <c r="D27" s="11">
        <v>0</v>
      </c>
      <c r="E27" s="11">
        <v>0</v>
      </c>
      <c r="F27" s="11">
        <f>$M$11</f>
        <v>100000</v>
      </c>
      <c r="G27" s="11">
        <f t="shared" ref="G27:Q27" si="6">$M$11</f>
        <v>100000</v>
      </c>
      <c r="H27" s="11">
        <f t="shared" si="6"/>
        <v>100000</v>
      </c>
      <c r="I27" s="11">
        <f t="shared" si="6"/>
        <v>100000</v>
      </c>
      <c r="J27" s="11">
        <f t="shared" si="6"/>
        <v>100000</v>
      </c>
      <c r="K27" s="11">
        <f t="shared" si="6"/>
        <v>100000</v>
      </c>
      <c r="L27" s="11">
        <f t="shared" si="6"/>
        <v>100000</v>
      </c>
      <c r="M27" s="11">
        <f t="shared" si="6"/>
        <v>100000</v>
      </c>
      <c r="N27" s="11">
        <f t="shared" si="6"/>
        <v>100000</v>
      </c>
      <c r="O27" s="11">
        <f t="shared" si="6"/>
        <v>100000</v>
      </c>
      <c r="P27" s="11">
        <f t="shared" si="6"/>
        <v>100000</v>
      </c>
      <c r="Q27" s="11">
        <f t="shared" si="6"/>
        <v>100000</v>
      </c>
    </row>
    <row r="28" spans="1:56" ht="14.25">
      <c r="A28" s="11">
        <v>3</v>
      </c>
      <c r="B28" s="13" t="s">
        <v>85</v>
      </c>
      <c r="C28" s="11">
        <v>0</v>
      </c>
      <c r="D28" s="11">
        <v>0</v>
      </c>
      <c r="E28" s="11">
        <v>0</v>
      </c>
      <c r="F28" s="11">
        <f>$M$14*$M$12</f>
        <v>25000</v>
      </c>
      <c r="G28" s="11">
        <f>$M$14*$M$12</f>
        <v>25000</v>
      </c>
      <c r="H28" s="11">
        <f t="shared" ref="H28:Q28" si="7">$M$14*$M$12</f>
        <v>25000</v>
      </c>
      <c r="I28" s="11">
        <f t="shared" si="7"/>
        <v>25000</v>
      </c>
      <c r="J28" s="11">
        <f t="shared" si="7"/>
        <v>25000</v>
      </c>
      <c r="K28" s="11">
        <f t="shared" si="7"/>
        <v>25000</v>
      </c>
      <c r="L28" s="11">
        <f t="shared" si="7"/>
        <v>25000</v>
      </c>
      <c r="M28" s="11">
        <f t="shared" si="7"/>
        <v>25000</v>
      </c>
      <c r="N28" s="11">
        <f t="shared" si="7"/>
        <v>25000</v>
      </c>
      <c r="O28" s="11">
        <f t="shared" si="7"/>
        <v>25000</v>
      </c>
      <c r="P28" s="11">
        <f t="shared" si="7"/>
        <v>25000</v>
      </c>
      <c r="Q28" s="11">
        <f t="shared" si="7"/>
        <v>25000</v>
      </c>
    </row>
    <row r="29" spans="1:56" ht="14.25">
      <c r="A29" s="11">
        <v>4</v>
      </c>
      <c r="B29" s="13" t="s">
        <v>45</v>
      </c>
      <c r="C29" s="11">
        <v>0</v>
      </c>
      <c r="D29" s="11">
        <v>0</v>
      </c>
      <c r="E29" s="11">
        <v>0</v>
      </c>
      <c r="F29" s="11">
        <f>$M$15*$M$17</f>
        <v>44000</v>
      </c>
      <c r="G29" s="11">
        <f t="shared" ref="G29:Q29" si="8">$M$15*$M$17</f>
        <v>44000</v>
      </c>
      <c r="H29" s="11">
        <f t="shared" si="8"/>
        <v>44000</v>
      </c>
      <c r="I29" s="11">
        <f t="shared" si="8"/>
        <v>44000</v>
      </c>
      <c r="J29" s="11">
        <f t="shared" si="8"/>
        <v>44000</v>
      </c>
      <c r="K29" s="11">
        <f t="shared" si="8"/>
        <v>44000</v>
      </c>
      <c r="L29" s="11">
        <f t="shared" si="8"/>
        <v>44000</v>
      </c>
      <c r="M29" s="11">
        <f t="shared" si="8"/>
        <v>44000</v>
      </c>
      <c r="N29" s="11">
        <f t="shared" si="8"/>
        <v>44000</v>
      </c>
      <c r="O29" s="11">
        <f t="shared" si="8"/>
        <v>44000</v>
      </c>
      <c r="P29" s="11">
        <f t="shared" si="8"/>
        <v>44000</v>
      </c>
      <c r="Q29" s="11">
        <f t="shared" si="8"/>
        <v>44000</v>
      </c>
    </row>
    <row r="30" spans="1:56">
      <c r="A30" s="11"/>
      <c r="B30" s="12"/>
    </row>
    <row r="31" spans="1:56" ht="14.25">
      <c r="A31" s="11"/>
      <c r="B31" s="18" t="s">
        <v>80</v>
      </c>
    </row>
    <row r="32" spans="1:56" ht="14.25">
      <c r="A32" s="11">
        <v>2</v>
      </c>
      <c r="B32" s="13" t="s">
        <v>50</v>
      </c>
      <c r="C32" s="11">
        <v>0</v>
      </c>
      <c r="D32" s="11">
        <v>0</v>
      </c>
      <c r="E32" s="11">
        <v>0</v>
      </c>
      <c r="F32" s="11">
        <f>($M$7*$M$5)</f>
        <v>218750</v>
      </c>
      <c r="G32" s="11">
        <f t="shared" ref="G32:Q32" si="9">F32*(1+$M$6)</f>
        <v>223125</v>
      </c>
      <c r="H32" s="11">
        <f t="shared" si="9"/>
        <v>227587.5</v>
      </c>
      <c r="I32" s="11">
        <f t="shared" si="9"/>
        <v>232139.25</v>
      </c>
      <c r="J32" s="11">
        <f t="shared" si="9"/>
        <v>236782.035</v>
      </c>
      <c r="K32" s="11">
        <f t="shared" si="9"/>
        <v>241517.67570000002</v>
      </c>
      <c r="L32" s="11">
        <f t="shared" si="9"/>
        <v>246348.02921400004</v>
      </c>
      <c r="M32" s="11">
        <f t="shared" si="9"/>
        <v>251274.98979828003</v>
      </c>
      <c r="N32" s="11">
        <f t="shared" si="9"/>
        <v>256300.48959424565</v>
      </c>
      <c r="O32" s="11">
        <f t="shared" si="9"/>
        <v>261426.49938613057</v>
      </c>
      <c r="P32" s="11">
        <f t="shared" si="9"/>
        <v>266655.02937385318</v>
      </c>
      <c r="Q32" s="11">
        <f t="shared" si="9"/>
        <v>271988.12996133027</v>
      </c>
    </row>
    <row r="33" spans="1:57" ht="14.25">
      <c r="A33" s="13">
        <v>1</v>
      </c>
      <c r="B33" s="11" t="s">
        <v>49</v>
      </c>
      <c r="C33" s="11">
        <v>0</v>
      </c>
      <c r="D33" s="11">
        <v>0</v>
      </c>
      <c r="E33" s="11">
        <v>0</v>
      </c>
      <c r="F33" s="11">
        <f>$M$10</f>
        <v>400000</v>
      </c>
      <c r="G33" s="11">
        <f t="shared" ref="G33:Q33" si="10">$M$10</f>
        <v>400000</v>
      </c>
      <c r="H33" s="11">
        <f t="shared" si="10"/>
        <v>400000</v>
      </c>
      <c r="I33" s="11">
        <f t="shared" si="10"/>
        <v>400000</v>
      </c>
      <c r="J33" s="11">
        <f t="shared" si="10"/>
        <v>400000</v>
      </c>
      <c r="K33" s="11">
        <f t="shared" si="10"/>
        <v>400000</v>
      </c>
      <c r="L33" s="11">
        <f t="shared" si="10"/>
        <v>400000</v>
      </c>
      <c r="M33" s="11">
        <f t="shared" si="10"/>
        <v>400000</v>
      </c>
      <c r="N33" s="11">
        <f t="shared" si="10"/>
        <v>400000</v>
      </c>
      <c r="O33" s="11">
        <f t="shared" si="10"/>
        <v>400000</v>
      </c>
      <c r="P33" s="11">
        <f t="shared" si="10"/>
        <v>400000</v>
      </c>
      <c r="Q33" s="11">
        <f t="shared" si="10"/>
        <v>400000</v>
      </c>
    </row>
    <row r="34" spans="1:57" ht="14.25">
      <c r="A34" s="13">
        <v>3</v>
      </c>
      <c r="B34" s="11" t="s">
        <v>85</v>
      </c>
      <c r="C34" s="11">
        <v>0</v>
      </c>
      <c r="D34" s="11">
        <v>0</v>
      </c>
      <c r="E34" s="11">
        <v>0</v>
      </c>
      <c r="F34" s="11">
        <f>$M$12*$M$13</f>
        <v>275000</v>
      </c>
      <c r="G34" s="11">
        <f t="shared" ref="G34:Q34" si="11">$M$12*$M$13</f>
        <v>275000</v>
      </c>
      <c r="H34" s="11">
        <f t="shared" si="11"/>
        <v>275000</v>
      </c>
      <c r="I34" s="11">
        <f t="shared" si="11"/>
        <v>275000</v>
      </c>
      <c r="J34" s="11">
        <f t="shared" si="11"/>
        <v>275000</v>
      </c>
      <c r="K34" s="11">
        <f t="shared" si="11"/>
        <v>275000</v>
      </c>
      <c r="L34" s="11">
        <f t="shared" si="11"/>
        <v>275000</v>
      </c>
      <c r="M34" s="11">
        <f t="shared" si="11"/>
        <v>275000</v>
      </c>
      <c r="N34" s="11">
        <f t="shared" si="11"/>
        <v>275000</v>
      </c>
      <c r="O34" s="11">
        <f t="shared" si="11"/>
        <v>275000</v>
      </c>
      <c r="P34" s="11">
        <f t="shared" si="11"/>
        <v>275000</v>
      </c>
      <c r="Q34" s="11">
        <f t="shared" si="11"/>
        <v>275000</v>
      </c>
    </row>
    <row r="35" spans="1:57" ht="14.25">
      <c r="A35" s="11">
        <v>4</v>
      </c>
      <c r="B35" s="13" t="s">
        <v>45</v>
      </c>
      <c r="C35" s="11">
        <v>0</v>
      </c>
      <c r="D35" s="11">
        <v>0</v>
      </c>
      <c r="E35" s="11">
        <v>0</v>
      </c>
      <c r="F35" s="11">
        <f>$M$15*$M$16</f>
        <v>187000</v>
      </c>
      <c r="G35" s="11">
        <f t="shared" ref="G35:Q35" si="12">$M$15*$M$16</f>
        <v>187000</v>
      </c>
      <c r="H35" s="11">
        <f t="shared" si="12"/>
        <v>187000</v>
      </c>
      <c r="I35" s="11">
        <f t="shared" si="12"/>
        <v>187000</v>
      </c>
      <c r="J35" s="11">
        <f t="shared" si="12"/>
        <v>187000</v>
      </c>
      <c r="K35" s="11">
        <f t="shared" si="12"/>
        <v>187000</v>
      </c>
      <c r="L35" s="11">
        <f t="shared" si="12"/>
        <v>187000</v>
      </c>
      <c r="M35" s="11">
        <f t="shared" si="12"/>
        <v>187000</v>
      </c>
      <c r="N35" s="11">
        <f t="shared" si="12"/>
        <v>187000</v>
      </c>
      <c r="O35" s="11">
        <f t="shared" si="12"/>
        <v>187000</v>
      </c>
      <c r="P35" s="11">
        <f t="shared" si="12"/>
        <v>187000</v>
      </c>
      <c r="Q35" s="11">
        <f t="shared" si="12"/>
        <v>187000</v>
      </c>
    </row>
    <row r="36" spans="1:57">
      <c r="R36" s="19" t="s">
        <v>20</v>
      </c>
      <c r="S36" s="19"/>
      <c r="T36" s="11" t="s">
        <v>21</v>
      </c>
    </row>
    <row r="37" spans="1:57" s="15" customFormat="1">
      <c r="A37" s="12"/>
      <c r="B37" s="14" t="s">
        <v>86</v>
      </c>
      <c r="C37" s="15">
        <f t="shared" ref="C37:Q37" si="13">SUM(C32:C35)-SUM(C22:C29)</f>
        <v>-1100000</v>
      </c>
      <c r="D37" s="15">
        <f t="shared" si="13"/>
        <v>-1200000</v>
      </c>
      <c r="E37" s="15">
        <f t="shared" si="13"/>
        <v>-1300000</v>
      </c>
      <c r="F37" s="15">
        <f t="shared" si="13"/>
        <v>389500</v>
      </c>
      <c r="G37" s="15">
        <f t="shared" si="13"/>
        <v>392500</v>
      </c>
      <c r="H37" s="15">
        <f t="shared" si="13"/>
        <v>395560</v>
      </c>
      <c r="I37" s="15">
        <f t="shared" si="13"/>
        <v>398681.19999999995</v>
      </c>
      <c r="J37" s="15">
        <f t="shared" si="13"/>
        <v>401864.82400000014</v>
      </c>
      <c r="K37" s="15">
        <f t="shared" si="13"/>
        <v>405112.12048000004</v>
      </c>
      <c r="L37" s="15">
        <f t="shared" si="13"/>
        <v>408424.3628896001</v>
      </c>
      <c r="M37" s="15">
        <f t="shared" si="13"/>
        <v>411802.8501473919</v>
      </c>
      <c r="N37" s="15">
        <f t="shared" si="13"/>
        <v>415248.90715034003</v>
      </c>
      <c r="O37" s="15">
        <f t="shared" si="13"/>
        <v>418763.88529334671</v>
      </c>
      <c r="P37" s="15">
        <f t="shared" si="13"/>
        <v>422349.16299921367</v>
      </c>
      <c r="Q37" s="15">
        <f t="shared" si="13"/>
        <v>426006.14625919785</v>
      </c>
      <c r="R37" s="20">
        <f>NPV(C2,C37:Q37)</f>
        <v>-902937.66605645732</v>
      </c>
      <c r="S37" s="19"/>
      <c r="T37" s="11">
        <f>IRR(C37:Q37)</f>
        <v>4.2684659036619887E-2</v>
      </c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</row>
    <row r="38" spans="1:57" ht="14.25">
      <c r="A38" s="13">
        <v>1</v>
      </c>
      <c r="B38" s="13" t="s">
        <v>49</v>
      </c>
      <c r="C38" s="11">
        <f>C33-D7-C27</f>
        <v>-132000</v>
      </c>
      <c r="D38" s="11">
        <f>D33-E7-D27</f>
        <v>-144000</v>
      </c>
      <c r="E38" s="11">
        <f>E33-F7-E27</f>
        <v>-156000</v>
      </c>
      <c r="F38" s="11">
        <f>F33-F27</f>
        <v>300000</v>
      </c>
      <c r="G38" s="11">
        <f t="shared" ref="G38:Q38" si="14">G33-G27</f>
        <v>300000</v>
      </c>
      <c r="H38" s="11">
        <f t="shared" si="14"/>
        <v>300000</v>
      </c>
      <c r="I38" s="11">
        <f t="shared" si="14"/>
        <v>300000</v>
      </c>
      <c r="J38" s="11">
        <f t="shared" si="14"/>
        <v>300000</v>
      </c>
      <c r="K38" s="11">
        <f t="shared" si="14"/>
        <v>300000</v>
      </c>
      <c r="L38" s="11">
        <f t="shared" si="14"/>
        <v>300000</v>
      </c>
      <c r="M38" s="11">
        <f t="shared" si="14"/>
        <v>300000</v>
      </c>
      <c r="N38" s="11">
        <f t="shared" si="14"/>
        <v>300000</v>
      </c>
      <c r="O38" s="11">
        <f t="shared" si="14"/>
        <v>300000</v>
      </c>
      <c r="P38" s="11">
        <f t="shared" si="14"/>
        <v>300000</v>
      </c>
      <c r="Q38" s="11">
        <f t="shared" si="14"/>
        <v>300000</v>
      </c>
      <c r="R38" s="15">
        <f>NPV(C2,C38:Q38)</f>
        <v>1179554.881193785</v>
      </c>
      <c r="S38" s="11">
        <f>NPV(C2,F38:Q38)-(D7+E7/(1+C2)+F7/(1+C2)^2)</f>
        <v>1652272.836125127</v>
      </c>
      <c r="T38" s="11">
        <f t="shared" ref="T38:T42" si="15">IRR(C38:Q38)</f>
        <v>0.45872771357285069</v>
      </c>
    </row>
    <row r="39" spans="1:57" ht="14.25">
      <c r="A39" s="13">
        <v>2</v>
      </c>
      <c r="B39" s="13" t="s">
        <v>50</v>
      </c>
      <c r="C39" s="11">
        <f>C32-D8-C25-C26</f>
        <v>-110000</v>
      </c>
      <c r="D39" s="11">
        <f>D32-E8-D25-D26</f>
        <v>-120000</v>
      </c>
      <c r="E39" s="11">
        <f>E32-F8-E25-E26</f>
        <v>-130000</v>
      </c>
      <c r="F39" s="11">
        <f>F32-F25-F26</f>
        <v>105000</v>
      </c>
      <c r="G39" s="11">
        <f t="shared" ref="G39:Q39" si="16">G32-G25-G26</f>
        <v>108000</v>
      </c>
      <c r="H39" s="11">
        <f t="shared" si="16"/>
        <v>111060</v>
      </c>
      <c r="I39" s="11">
        <f t="shared" si="16"/>
        <v>114181.2</v>
      </c>
      <c r="J39" s="11">
        <f t="shared" si="16"/>
        <v>117364.82399999999</v>
      </c>
      <c r="K39" s="11">
        <f t="shared" si="16"/>
        <v>120612.12048000001</v>
      </c>
      <c r="L39" s="11">
        <f t="shared" si="16"/>
        <v>123924.36288960003</v>
      </c>
      <c r="M39" s="11">
        <f t="shared" si="16"/>
        <v>127302.85014739202</v>
      </c>
      <c r="N39" s="11">
        <f t="shared" si="16"/>
        <v>130748.90715033987</v>
      </c>
      <c r="O39" s="11">
        <f t="shared" si="16"/>
        <v>134263.88529334668</v>
      </c>
      <c r="P39" s="11">
        <f t="shared" si="16"/>
        <v>137849.16299921361</v>
      </c>
      <c r="Q39" s="11">
        <f t="shared" si="16"/>
        <v>141506.14625919791</v>
      </c>
      <c r="R39" s="15">
        <f>NPV(C2,C39:Q39)</f>
        <v>312242.40635974531</v>
      </c>
      <c r="T39" s="11">
        <f t="shared" si="15"/>
        <v>0.23755330964712629</v>
      </c>
    </row>
    <row r="40" spans="1:57" ht="14.25">
      <c r="A40" s="13">
        <v>3</v>
      </c>
      <c r="B40" s="13" t="s">
        <v>85</v>
      </c>
      <c r="C40" s="11">
        <f t="shared" ref="C40:E40" si="17">C34-D9-C28</f>
        <v>-154000.00000000003</v>
      </c>
      <c r="D40" s="11">
        <f t="shared" si="17"/>
        <v>-168000.00000000003</v>
      </c>
      <c r="E40" s="11">
        <f t="shared" si="17"/>
        <v>-182000.00000000003</v>
      </c>
      <c r="F40" s="11">
        <f>F34-F28</f>
        <v>250000</v>
      </c>
      <c r="G40" s="11">
        <f t="shared" ref="G40:Q40" si="18">G34-G28</f>
        <v>250000</v>
      </c>
      <c r="H40" s="11">
        <f t="shared" si="18"/>
        <v>250000</v>
      </c>
      <c r="I40" s="11">
        <f t="shared" si="18"/>
        <v>250000</v>
      </c>
      <c r="J40" s="11">
        <f t="shared" si="18"/>
        <v>250000</v>
      </c>
      <c r="K40" s="11">
        <f t="shared" si="18"/>
        <v>250000</v>
      </c>
      <c r="L40" s="11">
        <f t="shared" si="18"/>
        <v>250000</v>
      </c>
      <c r="M40" s="11">
        <f t="shared" si="18"/>
        <v>250000</v>
      </c>
      <c r="N40" s="11">
        <f t="shared" si="18"/>
        <v>250000</v>
      </c>
      <c r="O40" s="11">
        <f t="shared" si="18"/>
        <v>250000</v>
      </c>
      <c r="P40" s="11">
        <f t="shared" si="18"/>
        <v>250000</v>
      </c>
      <c r="Q40" s="11">
        <f t="shared" si="18"/>
        <v>250000</v>
      </c>
      <c r="R40" s="15">
        <f>NPV(C2,C40:Q40)</f>
        <v>864224.60986033548</v>
      </c>
      <c r="T40" s="11">
        <f t="shared" si="15"/>
        <v>0.35223280105575849</v>
      </c>
    </row>
    <row r="41" spans="1:57" ht="14.25">
      <c r="A41" s="13">
        <v>4</v>
      </c>
      <c r="B41" s="13" t="s">
        <v>45</v>
      </c>
      <c r="C41" s="11">
        <f>C35-D10-C29</f>
        <v>-143000</v>
      </c>
      <c r="D41" s="11">
        <f>D35-E10-D29</f>
        <v>-156000</v>
      </c>
      <c r="E41" s="11">
        <f>E35-F10-E29</f>
        <v>-169000</v>
      </c>
      <c r="F41" s="11">
        <f>F35-F29</f>
        <v>143000</v>
      </c>
      <c r="G41" s="11">
        <f t="shared" ref="G41:Q41" si="19">G35-G29</f>
        <v>143000</v>
      </c>
      <c r="H41" s="11">
        <f t="shared" si="19"/>
        <v>143000</v>
      </c>
      <c r="I41" s="11">
        <f t="shared" si="19"/>
        <v>143000</v>
      </c>
      <c r="J41" s="11">
        <f t="shared" si="19"/>
        <v>143000</v>
      </c>
      <c r="K41" s="11">
        <f t="shared" si="19"/>
        <v>143000</v>
      </c>
      <c r="L41" s="11">
        <f t="shared" si="19"/>
        <v>143000</v>
      </c>
      <c r="M41" s="11">
        <f t="shared" si="19"/>
        <v>143000</v>
      </c>
      <c r="N41" s="11">
        <f t="shared" si="19"/>
        <v>143000</v>
      </c>
      <c r="O41" s="11">
        <f t="shared" si="19"/>
        <v>143000</v>
      </c>
      <c r="P41" s="11">
        <f t="shared" si="19"/>
        <v>143000</v>
      </c>
      <c r="Q41" s="11">
        <f t="shared" si="19"/>
        <v>143000</v>
      </c>
      <c r="R41" s="15">
        <f>NPV(C2,C41:Q41)</f>
        <v>346151.71350427438</v>
      </c>
      <c r="T41" s="11">
        <f>IRR(C41:Q41)</f>
        <v>0.22706205296702175</v>
      </c>
    </row>
    <row r="42" spans="1:57" ht="14.25">
      <c r="A42" s="13">
        <v>5</v>
      </c>
      <c r="B42" s="13" t="s">
        <v>51</v>
      </c>
      <c r="C42" s="11">
        <f>0-D11-C23-C25</f>
        <v>-165000</v>
      </c>
      <c r="D42" s="11">
        <f>0-E11-D23-D25</f>
        <v>-180000</v>
      </c>
      <c r="E42" s="11">
        <f>0-F11-E23-E25</f>
        <v>-195000</v>
      </c>
      <c r="F42" s="11">
        <f t="shared" ref="F42:Q42" si="20">0-F23-F24</f>
        <v>-408500</v>
      </c>
      <c r="G42" s="11">
        <f t="shared" si="20"/>
        <v>-408500</v>
      </c>
      <c r="H42" s="11">
        <f t="shared" si="20"/>
        <v>-408500</v>
      </c>
      <c r="I42" s="11">
        <f t="shared" si="20"/>
        <v>-408500</v>
      </c>
      <c r="J42" s="11">
        <f t="shared" si="20"/>
        <v>-408500</v>
      </c>
      <c r="K42" s="11">
        <f t="shared" si="20"/>
        <v>-408500</v>
      </c>
      <c r="L42" s="11">
        <f t="shared" si="20"/>
        <v>-408500</v>
      </c>
      <c r="M42" s="11">
        <f t="shared" si="20"/>
        <v>-408500</v>
      </c>
      <c r="N42" s="11">
        <f t="shared" si="20"/>
        <v>-408500</v>
      </c>
      <c r="O42" s="11">
        <f t="shared" si="20"/>
        <v>-408500</v>
      </c>
      <c r="P42" s="11">
        <f t="shared" si="20"/>
        <v>-408500</v>
      </c>
      <c r="Q42" s="11">
        <f t="shared" si="20"/>
        <v>-408500</v>
      </c>
      <c r="R42" s="15">
        <f>NPV(C2,C42:Q42)</f>
        <v>-2536471.1567642307</v>
      </c>
      <c r="T42" s="11" t="e">
        <f t="shared" si="15"/>
        <v>#NUM!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EE2F6-0D18-455A-9535-A29735CC143E}">
  <dimension ref="A1:BD65"/>
  <sheetViews>
    <sheetView tabSelected="1" topLeftCell="A46" workbookViewId="0">
      <selection activeCell="C77" sqref="C77"/>
    </sheetView>
  </sheetViews>
  <sheetFormatPr defaultColWidth="9" defaultRowHeight="14.25"/>
  <cols>
    <col min="1" max="1" width="5.625" style="12" customWidth="1"/>
    <col min="2" max="2" width="15.875" style="11" customWidth="1"/>
    <col min="3" max="5" width="11" style="11" bestFit="1" customWidth="1"/>
    <col min="6" max="6" width="12.25" style="11" bestFit="1" customWidth="1"/>
    <col min="7" max="7" width="16" style="11" customWidth="1"/>
    <col min="8" max="8" width="10.625" style="11" customWidth="1"/>
    <col min="9" max="9" width="13.375" style="11" customWidth="1"/>
    <col min="10" max="11" width="12.25" style="11" bestFit="1" customWidth="1"/>
    <col min="12" max="12" width="26.875" style="11" customWidth="1"/>
    <col min="13" max="17" width="12.25" style="11" bestFit="1" customWidth="1"/>
    <col min="18" max="18" width="16.25" style="11" customWidth="1"/>
    <col min="19" max="19" width="11" style="11" bestFit="1" customWidth="1"/>
    <col min="20" max="20" width="20.875" style="11" bestFit="1" customWidth="1"/>
    <col min="21" max="16384" width="9" style="11"/>
  </cols>
  <sheetData>
    <row r="1" spans="1:13" ht="15">
      <c r="A1" s="11"/>
      <c r="B1" s="12" t="s">
        <v>0</v>
      </c>
      <c r="L1" s="12" t="s">
        <v>60</v>
      </c>
      <c r="M1" s="12" t="s">
        <v>61</v>
      </c>
    </row>
    <row r="2" spans="1:13">
      <c r="A2" s="11"/>
      <c r="B2" s="13" t="s">
        <v>47</v>
      </c>
      <c r="C2" s="21">
        <v>0.1</v>
      </c>
      <c r="K2" s="11">
        <v>5</v>
      </c>
      <c r="L2" s="11" t="s">
        <v>62</v>
      </c>
      <c r="M2" s="11">
        <v>4300000</v>
      </c>
    </row>
    <row r="3" spans="1:13">
      <c r="A3" s="11"/>
      <c r="B3" s="13" t="s">
        <v>56</v>
      </c>
      <c r="C3" s="11">
        <v>0.36</v>
      </c>
      <c r="D3" s="11" t="s">
        <v>57</v>
      </c>
      <c r="E3" s="11" t="s">
        <v>58</v>
      </c>
      <c r="F3" s="11" t="s">
        <v>59</v>
      </c>
      <c r="K3" s="11">
        <v>5</v>
      </c>
      <c r="L3" s="11" t="s">
        <v>63</v>
      </c>
      <c r="M3" s="11">
        <v>2.5000000000000001E-2</v>
      </c>
    </row>
    <row r="4" spans="1:13">
      <c r="A4" s="11"/>
      <c r="D4" s="11">
        <f>C22*C3</f>
        <v>396000</v>
      </c>
      <c r="E4" s="11">
        <f>D22*C3</f>
        <v>432000</v>
      </c>
      <c r="F4" s="11">
        <f>E22*C3</f>
        <v>468000</v>
      </c>
      <c r="K4" s="11">
        <v>5</v>
      </c>
      <c r="L4" s="11" t="s">
        <v>64</v>
      </c>
      <c r="M4" s="11">
        <v>7.0000000000000007E-2</v>
      </c>
    </row>
    <row r="5" spans="1:13" ht="15">
      <c r="A5" s="11"/>
      <c r="B5" s="12"/>
      <c r="K5" s="11">
        <v>2</v>
      </c>
      <c r="L5" s="11" t="s">
        <v>65</v>
      </c>
      <c r="M5" s="11">
        <v>125000</v>
      </c>
    </row>
    <row r="6" spans="1:13" ht="15">
      <c r="A6" s="11"/>
      <c r="B6" s="12" t="s">
        <v>48</v>
      </c>
      <c r="C6" s="11" t="s">
        <v>52</v>
      </c>
      <c r="D6" s="11" t="s">
        <v>53</v>
      </c>
      <c r="E6" s="11" t="s">
        <v>54</v>
      </c>
      <c r="F6" s="11" t="s">
        <v>55</v>
      </c>
      <c r="G6" s="11" t="s">
        <v>88</v>
      </c>
      <c r="H6" s="11" t="s">
        <v>90</v>
      </c>
      <c r="K6" s="11">
        <v>2</v>
      </c>
      <c r="L6" s="11" t="s">
        <v>66</v>
      </c>
      <c r="M6" s="21">
        <v>0.02</v>
      </c>
    </row>
    <row r="7" spans="1:13">
      <c r="A7" s="11">
        <v>1</v>
      </c>
      <c r="B7" s="13" t="s">
        <v>49</v>
      </c>
      <c r="C7" s="21">
        <v>0.12</v>
      </c>
      <c r="D7" s="11">
        <f>$C$22*C7</f>
        <v>132000</v>
      </c>
      <c r="E7" s="11">
        <f>$D$22*C7</f>
        <v>144000</v>
      </c>
      <c r="F7" s="11">
        <f>$E$22*C7</f>
        <v>156000</v>
      </c>
      <c r="G7" s="11">
        <f>NPV($C$2,C38:Q38)</f>
        <v>1179554.881193785</v>
      </c>
      <c r="H7" s="11">
        <f>G7/$G$12</f>
        <v>0.36322188863211652</v>
      </c>
      <c r="K7" s="11">
        <v>2</v>
      </c>
      <c r="L7" s="11" t="s">
        <v>67</v>
      </c>
      <c r="M7" s="11">
        <v>1.75</v>
      </c>
    </row>
    <row r="8" spans="1:13">
      <c r="A8" s="11">
        <v>2</v>
      </c>
      <c r="B8" s="13" t="s">
        <v>50</v>
      </c>
      <c r="C8" s="21">
        <v>0.1</v>
      </c>
      <c r="D8" s="11">
        <f>$C$22*C8</f>
        <v>110000</v>
      </c>
      <c r="E8" s="11">
        <f>$D$22*C8</f>
        <v>120000</v>
      </c>
      <c r="F8" s="11">
        <f>$E$22*C8</f>
        <v>130000</v>
      </c>
      <c r="G8" s="11">
        <f>NPV($C$2,C39:Q39)</f>
        <v>312242.40635974531</v>
      </c>
      <c r="H8" s="11">
        <f t="shared" ref="H8:H10" si="0">G8/$G$12</f>
        <v>9.614921557040397E-2</v>
      </c>
      <c r="K8" s="11">
        <v>2</v>
      </c>
      <c r="L8" s="11" t="s">
        <v>68</v>
      </c>
      <c r="M8" s="11">
        <v>45000</v>
      </c>
    </row>
    <row r="9" spans="1:13">
      <c r="A9" s="11">
        <v>3</v>
      </c>
      <c r="B9" s="13" t="s">
        <v>85</v>
      </c>
      <c r="C9" s="21">
        <v>0.14000000000000001</v>
      </c>
      <c r="D9" s="11">
        <f>$C$22*C9</f>
        <v>154000.00000000003</v>
      </c>
      <c r="E9" s="11">
        <f>$D$22*C9</f>
        <v>168000.00000000003</v>
      </c>
      <c r="F9" s="11">
        <f>$E$22*C9</f>
        <v>182000.00000000003</v>
      </c>
      <c r="G9" s="11">
        <f t="shared" ref="G9" si="1">NPV($C$2,C40:Q40)</f>
        <v>864224.60986033548</v>
      </c>
      <c r="H9" s="11">
        <f t="shared" si="0"/>
        <v>0.26612182273209101</v>
      </c>
      <c r="K9" s="11">
        <v>2</v>
      </c>
      <c r="L9" s="11" t="s">
        <v>69</v>
      </c>
      <c r="M9" s="11">
        <v>0.55000000000000004</v>
      </c>
    </row>
    <row r="10" spans="1:13">
      <c r="A10" s="11">
        <v>4</v>
      </c>
      <c r="B10" s="13" t="s">
        <v>45</v>
      </c>
      <c r="C10" s="21">
        <v>0.13</v>
      </c>
      <c r="D10" s="11">
        <f>$C$22*C10</f>
        <v>143000</v>
      </c>
      <c r="E10" s="11">
        <f>$D$22*C10</f>
        <v>156000</v>
      </c>
      <c r="F10" s="11">
        <f>$E$22*C10</f>
        <v>169000</v>
      </c>
      <c r="G10" s="11">
        <f>NPV($C$2,C41:Q41)</f>
        <v>346151.71350427438</v>
      </c>
      <c r="H10" s="11">
        <f t="shared" si="0"/>
        <v>0.10659095319500451</v>
      </c>
      <c r="K10" s="11">
        <v>1</v>
      </c>
      <c r="L10" s="11" t="s">
        <v>70</v>
      </c>
      <c r="M10" s="11">
        <v>400000</v>
      </c>
    </row>
    <row r="11" spans="1:13" ht="18" customHeight="1">
      <c r="A11" s="11">
        <v>5</v>
      </c>
      <c r="B11" s="13" t="s">
        <v>51</v>
      </c>
      <c r="C11" s="21">
        <v>0.15</v>
      </c>
      <c r="D11" s="11">
        <f>$C$22*C11</f>
        <v>165000</v>
      </c>
      <c r="E11" s="11">
        <f>$D$22*C11</f>
        <v>180000</v>
      </c>
      <c r="F11" s="11">
        <f>$E$22*C11</f>
        <v>195000</v>
      </c>
      <c r="G11" s="11">
        <f>NPV($C$2,C42:Q42)</f>
        <v>545303.8074609004</v>
      </c>
      <c r="H11" s="11">
        <f>G11/$G$12</f>
        <v>0.16791611987038407</v>
      </c>
      <c r="K11" s="11">
        <v>1</v>
      </c>
      <c r="L11" s="11" t="s">
        <v>71</v>
      </c>
      <c r="M11" s="11">
        <v>100000</v>
      </c>
    </row>
    <row r="12" spans="1:13" ht="18" customHeight="1">
      <c r="A12" s="11"/>
      <c r="B12" s="13" t="s">
        <v>89</v>
      </c>
      <c r="G12" s="11">
        <f>SUM(G7:G11)</f>
        <v>3247477.4183790404</v>
      </c>
      <c r="K12" s="11">
        <v>3</v>
      </c>
      <c r="L12" s="11" t="s">
        <v>72</v>
      </c>
      <c r="M12" s="11">
        <v>2500</v>
      </c>
    </row>
    <row r="13" spans="1:13" ht="18" customHeight="1">
      <c r="A13" s="11"/>
      <c r="B13" s="13"/>
      <c r="K13" s="11">
        <v>3</v>
      </c>
      <c r="L13" s="11" t="s">
        <v>73</v>
      </c>
      <c r="M13" s="11">
        <v>110</v>
      </c>
    </row>
    <row r="14" spans="1:13" ht="18" customHeight="1">
      <c r="A14" s="11"/>
      <c r="B14" s="13"/>
      <c r="K14" s="11">
        <v>3</v>
      </c>
      <c r="L14" s="11" t="s">
        <v>74</v>
      </c>
      <c r="M14" s="11">
        <v>10</v>
      </c>
    </row>
    <row r="15" spans="1:13" ht="18" customHeight="1">
      <c r="A15" s="11"/>
      <c r="B15" s="13"/>
      <c r="K15" s="11">
        <v>4</v>
      </c>
      <c r="L15" s="11" t="s">
        <v>75</v>
      </c>
      <c r="M15" s="11">
        <v>11000000</v>
      </c>
    </row>
    <row r="16" spans="1:13" ht="18" customHeight="1">
      <c r="A16" s="11"/>
      <c r="B16" s="13"/>
      <c r="K16" s="11">
        <v>4</v>
      </c>
      <c r="L16" s="11" t="s">
        <v>76</v>
      </c>
      <c r="M16" s="11">
        <v>1.7000000000000001E-2</v>
      </c>
    </row>
    <row r="17" spans="1:56" ht="18" customHeight="1">
      <c r="A17" s="27" t="s">
        <v>102</v>
      </c>
      <c r="B17" s="13"/>
      <c r="K17" s="11">
        <v>4</v>
      </c>
      <c r="L17" s="11" t="s">
        <v>77</v>
      </c>
      <c r="M17" s="11">
        <v>4.0000000000000001E-3</v>
      </c>
    </row>
    <row r="19" spans="1:56" ht="15">
      <c r="A19" s="11"/>
      <c r="B19" s="14" t="s">
        <v>46</v>
      </c>
      <c r="C19" s="15">
        <v>1</v>
      </c>
      <c r="D19" s="15">
        <v>2</v>
      </c>
      <c r="E19" s="15">
        <v>3</v>
      </c>
      <c r="F19" s="15">
        <v>4</v>
      </c>
      <c r="G19" s="15">
        <v>5</v>
      </c>
      <c r="H19" s="15">
        <v>6</v>
      </c>
      <c r="I19" s="15">
        <v>7</v>
      </c>
      <c r="J19" s="15">
        <v>8</v>
      </c>
      <c r="K19" s="15">
        <v>9</v>
      </c>
      <c r="L19" s="15">
        <v>10</v>
      </c>
      <c r="M19" s="15">
        <v>11</v>
      </c>
      <c r="N19" s="15">
        <v>12</v>
      </c>
      <c r="O19" s="15">
        <v>13</v>
      </c>
      <c r="P19" s="15">
        <v>14</v>
      </c>
      <c r="Q19" s="15">
        <v>15</v>
      </c>
    </row>
    <row r="20" spans="1:56" s="17" customFormat="1" ht="15">
      <c r="A20" s="11"/>
      <c r="B20" s="16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</row>
    <row r="21" spans="1:56">
      <c r="A21" s="11"/>
      <c r="B21" s="18" t="s">
        <v>13</v>
      </c>
    </row>
    <row r="22" spans="1:56">
      <c r="A22" s="11"/>
      <c r="B22" s="13" t="s">
        <v>91</v>
      </c>
      <c r="C22" s="11">
        <v>1100000</v>
      </c>
      <c r="D22" s="11">
        <v>1200000</v>
      </c>
      <c r="E22" s="11">
        <v>1300000</v>
      </c>
      <c r="F22" s="11">
        <v>0</v>
      </c>
      <c r="G22" s="11">
        <v>0</v>
      </c>
      <c r="H22" s="11">
        <v>0</v>
      </c>
      <c r="I22" s="11">
        <v>0</v>
      </c>
      <c r="J22" s="11">
        <v>0</v>
      </c>
      <c r="K22" s="11">
        <v>0</v>
      </c>
      <c r="L22" s="11">
        <v>0</v>
      </c>
      <c r="M22" s="11">
        <v>0</v>
      </c>
      <c r="N22" s="11">
        <v>0</v>
      </c>
      <c r="O22" s="11">
        <v>0</v>
      </c>
      <c r="P22" s="11">
        <v>0</v>
      </c>
      <c r="Q22" s="11">
        <v>0</v>
      </c>
    </row>
    <row r="23" spans="1:56">
      <c r="A23" s="11">
        <v>5</v>
      </c>
      <c r="B23" s="13" t="s">
        <v>81</v>
      </c>
      <c r="C23" s="11">
        <v>0</v>
      </c>
      <c r="D23" s="11">
        <v>0</v>
      </c>
      <c r="E23" s="11">
        <v>0</v>
      </c>
      <c r="F23" s="11">
        <f>($M$3*$M$2)</f>
        <v>107500</v>
      </c>
      <c r="G23" s="11">
        <f t="shared" ref="G23:Q23" si="2">($M$3*$M$2)</f>
        <v>107500</v>
      </c>
      <c r="H23" s="11">
        <f t="shared" si="2"/>
        <v>107500</v>
      </c>
      <c r="I23" s="11">
        <f t="shared" si="2"/>
        <v>107500</v>
      </c>
      <c r="J23" s="11">
        <f t="shared" si="2"/>
        <v>107500</v>
      </c>
      <c r="K23" s="11">
        <f t="shared" si="2"/>
        <v>107500</v>
      </c>
      <c r="L23" s="11">
        <f t="shared" si="2"/>
        <v>107500</v>
      </c>
      <c r="M23" s="11">
        <f t="shared" si="2"/>
        <v>107500</v>
      </c>
      <c r="N23" s="11">
        <f t="shared" si="2"/>
        <v>107500</v>
      </c>
      <c r="O23" s="11">
        <f t="shared" si="2"/>
        <v>107500</v>
      </c>
      <c r="P23" s="11">
        <f t="shared" si="2"/>
        <v>107500</v>
      </c>
      <c r="Q23" s="11">
        <f t="shared" si="2"/>
        <v>107500</v>
      </c>
    </row>
    <row r="24" spans="1:56">
      <c r="A24" s="11">
        <v>2</v>
      </c>
      <c r="B24" s="13" t="s">
        <v>82</v>
      </c>
      <c r="C24" s="11">
        <v>0</v>
      </c>
      <c r="D24" s="11">
        <v>0</v>
      </c>
      <c r="E24" s="11">
        <v>0</v>
      </c>
      <c r="F24" s="11">
        <f>$M$8</f>
        <v>45000</v>
      </c>
      <c r="G24" s="11">
        <f>$M$8</f>
        <v>45000</v>
      </c>
      <c r="H24" s="11">
        <f>$M$8</f>
        <v>45000</v>
      </c>
      <c r="I24" s="11">
        <f t="shared" ref="I24:Q24" si="3">$M$8</f>
        <v>45000</v>
      </c>
      <c r="J24" s="11">
        <f t="shared" si="3"/>
        <v>45000</v>
      </c>
      <c r="K24" s="11">
        <f t="shared" si="3"/>
        <v>45000</v>
      </c>
      <c r="L24" s="11">
        <f t="shared" si="3"/>
        <v>45000</v>
      </c>
      <c r="M24" s="11">
        <f t="shared" si="3"/>
        <v>45000</v>
      </c>
      <c r="N24" s="11">
        <f t="shared" si="3"/>
        <v>45000</v>
      </c>
      <c r="O24" s="11">
        <f t="shared" si="3"/>
        <v>45000</v>
      </c>
      <c r="P24" s="11">
        <f t="shared" si="3"/>
        <v>45000</v>
      </c>
      <c r="Q24" s="11">
        <f t="shared" si="3"/>
        <v>45000</v>
      </c>
    </row>
    <row r="25" spans="1:56">
      <c r="A25" s="11">
        <v>2</v>
      </c>
      <c r="B25" s="13" t="s">
        <v>83</v>
      </c>
      <c r="C25" s="11">
        <v>0</v>
      </c>
      <c r="D25" s="11">
        <v>0</v>
      </c>
      <c r="E25" s="11">
        <v>0</v>
      </c>
      <c r="F25" s="11">
        <f>$M$5*$M$9</f>
        <v>68750</v>
      </c>
      <c r="G25" s="11">
        <f>F25*(1+$M$6)</f>
        <v>70125</v>
      </c>
      <c r="H25" s="11">
        <f t="shared" ref="H25:Q25" si="4">G25*(1+$M$6)</f>
        <v>71527.5</v>
      </c>
      <c r="I25" s="11">
        <f t="shared" si="4"/>
        <v>72958.05</v>
      </c>
      <c r="J25" s="11">
        <f t="shared" si="4"/>
        <v>74417.21100000001</v>
      </c>
      <c r="K25" s="11">
        <f t="shared" si="4"/>
        <v>75905.555220000009</v>
      </c>
      <c r="L25" s="11">
        <f t="shared" si="4"/>
        <v>77423.666324400008</v>
      </c>
      <c r="M25" s="11">
        <f t="shared" si="4"/>
        <v>78972.139650888013</v>
      </c>
      <c r="N25" s="11">
        <f t="shared" si="4"/>
        <v>80551.582443905776</v>
      </c>
      <c r="O25" s="11">
        <f t="shared" si="4"/>
        <v>82162.614092783886</v>
      </c>
      <c r="P25" s="11">
        <f t="shared" si="4"/>
        <v>83805.866374639561</v>
      </c>
      <c r="Q25" s="11">
        <f t="shared" si="4"/>
        <v>85481.983702132347</v>
      </c>
    </row>
    <row r="26" spans="1:56">
      <c r="A26" s="11">
        <v>1</v>
      </c>
      <c r="B26" s="13" t="s">
        <v>84</v>
      </c>
      <c r="C26" s="11">
        <v>0</v>
      </c>
      <c r="D26" s="11">
        <v>0</v>
      </c>
      <c r="E26" s="11">
        <v>0</v>
      </c>
      <c r="F26" s="11">
        <f>$M$11</f>
        <v>100000</v>
      </c>
      <c r="G26" s="11">
        <f t="shared" ref="G26:Q26" si="5">$M$11</f>
        <v>100000</v>
      </c>
      <c r="H26" s="11">
        <f t="shared" si="5"/>
        <v>100000</v>
      </c>
      <c r="I26" s="11">
        <f t="shared" si="5"/>
        <v>100000</v>
      </c>
      <c r="J26" s="11">
        <f t="shared" si="5"/>
        <v>100000</v>
      </c>
      <c r="K26" s="11">
        <f t="shared" si="5"/>
        <v>100000</v>
      </c>
      <c r="L26" s="11">
        <f t="shared" si="5"/>
        <v>100000</v>
      </c>
      <c r="M26" s="11">
        <f t="shared" si="5"/>
        <v>100000</v>
      </c>
      <c r="N26" s="11">
        <f t="shared" si="5"/>
        <v>100000</v>
      </c>
      <c r="O26" s="11">
        <f t="shared" si="5"/>
        <v>100000</v>
      </c>
      <c r="P26" s="11">
        <f t="shared" si="5"/>
        <v>100000</v>
      </c>
      <c r="Q26" s="11">
        <f t="shared" si="5"/>
        <v>100000</v>
      </c>
    </row>
    <row r="27" spans="1:56">
      <c r="A27" s="11">
        <v>3</v>
      </c>
      <c r="B27" s="13" t="s">
        <v>85</v>
      </c>
      <c r="C27" s="11">
        <v>0</v>
      </c>
      <c r="D27" s="11">
        <v>0</v>
      </c>
      <c r="E27" s="11">
        <v>0</v>
      </c>
      <c r="F27" s="11">
        <f>$M$14*$M$12</f>
        <v>25000</v>
      </c>
      <c r="G27" s="11">
        <f>$M$14*$M$12</f>
        <v>25000</v>
      </c>
      <c r="H27" s="11">
        <f t="shared" ref="H27:Q27" si="6">$M$14*$M$12</f>
        <v>25000</v>
      </c>
      <c r="I27" s="11">
        <f t="shared" si="6"/>
        <v>25000</v>
      </c>
      <c r="J27" s="11">
        <f t="shared" si="6"/>
        <v>25000</v>
      </c>
      <c r="K27" s="11">
        <f t="shared" si="6"/>
        <v>25000</v>
      </c>
      <c r="L27" s="11">
        <f t="shared" si="6"/>
        <v>25000</v>
      </c>
      <c r="M27" s="11">
        <f t="shared" si="6"/>
        <v>25000</v>
      </c>
      <c r="N27" s="11">
        <f t="shared" si="6"/>
        <v>25000</v>
      </c>
      <c r="O27" s="11">
        <f t="shared" si="6"/>
        <v>25000</v>
      </c>
      <c r="P27" s="11">
        <f t="shared" si="6"/>
        <v>25000</v>
      </c>
      <c r="Q27" s="11">
        <f t="shared" si="6"/>
        <v>25000</v>
      </c>
    </row>
    <row r="28" spans="1:56">
      <c r="A28" s="11">
        <v>4</v>
      </c>
      <c r="B28" s="13" t="s">
        <v>45</v>
      </c>
      <c r="C28" s="11">
        <v>0</v>
      </c>
      <c r="D28" s="11">
        <v>0</v>
      </c>
      <c r="E28" s="11">
        <v>0</v>
      </c>
      <c r="F28" s="11">
        <f>$M$15*$M$17</f>
        <v>44000</v>
      </c>
      <c r="G28" s="11">
        <f t="shared" ref="G28:Q28" si="7">$M$15*$M$17</f>
        <v>44000</v>
      </c>
      <c r="H28" s="11">
        <f t="shared" si="7"/>
        <v>44000</v>
      </c>
      <c r="I28" s="11">
        <f t="shared" si="7"/>
        <v>44000</v>
      </c>
      <c r="J28" s="11">
        <f t="shared" si="7"/>
        <v>44000</v>
      </c>
      <c r="K28" s="11">
        <f t="shared" si="7"/>
        <v>44000</v>
      </c>
      <c r="L28" s="11">
        <f t="shared" si="7"/>
        <v>44000</v>
      </c>
      <c r="M28" s="11">
        <f t="shared" si="7"/>
        <v>44000</v>
      </c>
      <c r="N28" s="11">
        <f t="shared" si="7"/>
        <v>44000</v>
      </c>
      <c r="O28" s="11">
        <f t="shared" si="7"/>
        <v>44000</v>
      </c>
      <c r="P28" s="11">
        <f t="shared" si="7"/>
        <v>44000</v>
      </c>
      <c r="Q28" s="11">
        <f t="shared" si="7"/>
        <v>44000</v>
      </c>
    </row>
    <row r="29" spans="1:56" ht="15">
      <c r="A29" s="11"/>
      <c r="B29" s="12"/>
    </row>
    <row r="30" spans="1:56">
      <c r="A30" s="11"/>
      <c r="B30" s="18" t="s">
        <v>80</v>
      </c>
    </row>
    <row r="31" spans="1:56">
      <c r="A31" s="11">
        <v>2</v>
      </c>
      <c r="B31" s="13" t="s">
        <v>50</v>
      </c>
      <c r="C31" s="11">
        <v>0</v>
      </c>
      <c r="D31" s="11">
        <v>0</v>
      </c>
      <c r="E31" s="11">
        <v>0</v>
      </c>
      <c r="F31" s="11">
        <f>($M$7*$M$5)</f>
        <v>218750</v>
      </c>
      <c r="G31" s="11">
        <f t="shared" ref="G31:Q31" si="8">F31*(1+$M$6)</f>
        <v>223125</v>
      </c>
      <c r="H31" s="11">
        <f t="shared" si="8"/>
        <v>227587.5</v>
      </c>
      <c r="I31" s="11">
        <f t="shared" si="8"/>
        <v>232139.25</v>
      </c>
      <c r="J31" s="11">
        <f t="shared" si="8"/>
        <v>236782.035</v>
      </c>
      <c r="K31" s="11">
        <f t="shared" si="8"/>
        <v>241517.67570000002</v>
      </c>
      <c r="L31" s="11">
        <f t="shared" si="8"/>
        <v>246348.02921400004</v>
      </c>
      <c r="M31" s="11">
        <f t="shared" si="8"/>
        <v>251274.98979828003</v>
      </c>
      <c r="N31" s="11">
        <f t="shared" si="8"/>
        <v>256300.48959424565</v>
      </c>
      <c r="O31" s="11">
        <f t="shared" si="8"/>
        <v>261426.49938613057</v>
      </c>
      <c r="P31" s="11">
        <f t="shared" si="8"/>
        <v>266655.02937385318</v>
      </c>
      <c r="Q31" s="11">
        <f t="shared" si="8"/>
        <v>271988.12996133027</v>
      </c>
    </row>
    <row r="32" spans="1:56">
      <c r="A32" s="13">
        <v>1</v>
      </c>
      <c r="B32" s="11" t="s">
        <v>49</v>
      </c>
      <c r="C32" s="11">
        <v>0</v>
      </c>
      <c r="D32" s="11">
        <v>0</v>
      </c>
      <c r="E32" s="11">
        <v>0</v>
      </c>
      <c r="F32" s="11">
        <f>$M$10</f>
        <v>400000</v>
      </c>
      <c r="G32" s="11">
        <f t="shared" ref="G32:Q32" si="9">$M$10</f>
        <v>400000</v>
      </c>
      <c r="H32" s="11">
        <f t="shared" si="9"/>
        <v>400000</v>
      </c>
      <c r="I32" s="11">
        <f t="shared" si="9"/>
        <v>400000</v>
      </c>
      <c r="J32" s="11">
        <f t="shared" si="9"/>
        <v>400000</v>
      </c>
      <c r="K32" s="11">
        <f t="shared" si="9"/>
        <v>400000</v>
      </c>
      <c r="L32" s="11">
        <f t="shared" si="9"/>
        <v>400000</v>
      </c>
      <c r="M32" s="11">
        <f t="shared" si="9"/>
        <v>400000</v>
      </c>
      <c r="N32" s="11">
        <f t="shared" si="9"/>
        <v>400000</v>
      </c>
      <c r="O32" s="11">
        <f t="shared" si="9"/>
        <v>400000</v>
      </c>
      <c r="P32" s="11">
        <f t="shared" si="9"/>
        <v>400000</v>
      </c>
      <c r="Q32" s="11">
        <f t="shared" si="9"/>
        <v>400000</v>
      </c>
    </row>
    <row r="33" spans="1:56">
      <c r="A33" s="13">
        <v>3</v>
      </c>
      <c r="B33" s="11" t="s">
        <v>85</v>
      </c>
      <c r="C33" s="11">
        <v>0</v>
      </c>
      <c r="D33" s="11">
        <v>0</v>
      </c>
      <c r="E33" s="11">
        <v>0</v>
      </c>
      <c r="F33" s="11">
        <f>$M$12*$M$13</f>
        <v>275000</v>
      </c>
      <c r="G33" s="11">
        <f t="shared" ref="G33:Q33" si="10">$M$12*$M$13</f>
        <v>275000</v>
      </c>
      <c r="H33" s="11">
        <f t="shared" si="10"/>
        <v>275000</v>
      </c>
      <c r="I33" s="11">
        <f t="shared" si="10"/>
        <v>275000</v>
      </c>
      <c r="J33" s="11">
        <f t="shared" si="10"/>
        <v>275000</v>
      </c>
      <c r="K33" s="11">
        <f t="shared" si="10"/>
        <v>275000</v>
      </c>
      <c r="L33" s="11">
        <f t="shared" si="10"/>
        <v>275000</v>
      </c>
      <c r="M33" s="11">
        <f t="shared" si="10"/>
        <v>275000</v>
      </c>
      <c r="N33" s="11">
        <f t="shared" si="10"/>
        <v>275000</v>
      </c>
      <c r="O33" s="11">
        <f t="shared" si="10"/>
        <v>275000</v>
      </c>
      <c r="P33" s="11">
        <f t="shared" si="10"/>
        <v>275000</v>
      </c>
      <c r="Q33" s="11">
        <f t="shared" si="10"/>
        <v>275000</v>
      </c>
    </row>
    <row r="34" spans="1:56">
      <c r="A34" s="11">
        <v>4</v>
      </c>
      <c r="B34" s="13" t="s">
        <v>45</v>
      </c>
      <c r="C34" s="11">
        <v>0</v>
      </c>
      <c r="D34" s="11">
        <v>0</v>
      </c>
      <c r="E34" s="11">
        <v>0</v>
      </c>
      <c r="F34" s="11">
        <f>$M$15*$M$16</f>
        <v>187000</v>
      </c>
      <c r="G34" s="11">
        <f t="shared" ref="G34:Q34" si="11">$M$15*$M$16</f>
        <v>187000</v>
      </c>
      <c r="H34" s="11">
        <f t="shared" si="11"/>
        <v>187000</v>
      </c>
      <c r="I34" s="11">
        <f t="shared" si="11"/>
        <v>187000</v>
      </c>
      <c r="J34" s="11">
        <f t="shared" si="11"/>
        <v>187000</v>
      </c>
      <c r="K34" s="11">
        <f t="shared" si="11"/>
        <v>187000</v>
      </c>
      <c r="L34" s="11">
        <f t="shared" si="11"/>
        <v>187000</v>
      </c>
      <c r="M34" s="11">
        <f t="shared" si="11"/>
        <v>187000</v>
      </c>
      <c r="N34" s="11">
        <f t="shared" si="11"/>
        <v>187000</v>
      </c>
      <c r="O34" s="11">
        <f t="shared" si="11"/>
        <v>187000</v>
      </c>
      <c r="P34" s="11">
        <f t="shared" si="11"/>
        <v>187000</v>
      </c>
      <c r="Q34" s="11">
        <f t="shared" si="11"/>
        <v>187000</v>
      </c>
    </row>
    <row r="35" spans="1:56">
      <c r="A35" s="11">
        <v>5</v>
      </c>
      <c r="B35" s="13" t="s">
        <v>87</v>
      </c>
      <c r="C35" s="11">
        <v>0</v>
      </c>
      <c r="D35" s="11">
        <v>0</v>
      </c>
      <c r="E35" s="11">
        <v>0</v>
      </c>
      <c r="F35" s="11">
        <f>$M$4*$M$2</f>
        <v>301000</v>
      </c>
      <c r="G35" s="11">
        <f>$M$4*$M$2</f>
        <v>301000</v>
      </c>
      <c r="H35" s="11">
        <f>$M$4*$M$2</f>
        <v>301000</v>
      </c>
      <c r="I35" s="11">
        <f t="shared" ref="I35:Q35" si="12">$M$4*$M$2</f>
        <v>301000</v>
      </c>
      <c r="J35" s="11">
        <f t="shared" si="12"/>
        <v>301000</v>
      </c>
      <c r="K35" s="11">
        <f t="shared" si="12"/>
        <v>301000</v>
      </c>
      <c r="L35" s="11">
        <f t="shared" si="12"/>
        <v>301000</v>
      </c>
      <c r="M35" s="11">
        <f>$M$4*$M$2</f>
        <v>301000</v>
      </c>
      <c r="N35" s="11">
        <f t="shared" si="12"/>
        <v>301000</v>
      </c>
      <c r="O35" s="11">
        <f t="shared" si="12"/>
        <v>301000</v>
      </c>
      <c r="P35" s="11">
        <f t="shared" si="12"/>
        <v>301000</v>
      </c>
      <c r="Q35" s="11">
        <f t="shared" si="12"/>
        <v>301000</v>
      </c>
    </row>
    <row r="36" spans="1:56">
      <c r="A36" s="11"/>
      <c r="B36" s="13"/>
      <c r="R36" s="11" t="s">
        <v>20</v>
      </c>
      <c r="S36" s="11" t="s">
        <v>21</v>
      </c>
    </row>
    <row r="37" spans="1:56" s="15" customFormat="1" ht="15">
      <c r="A37" s="12"/>
      <c r="B37" s="14" t="s">
        <v>86</v>
      </c>
      <c r="C37" s="15">
        <f>SUM(C31:C35)-SUM(C22:C28)</f>
        <v>-1100000</v>
      </c>
      <c r="D37" s="15">
        <f>SUM(D31:D35)-SUM(D22:D28)</f>
        <v>-1200000</v>
      </c>
      <c r="E37" s="15">
        <f>SUM(E31:E35)-SUM(E22:E28)</f>
        <v>-1300000</v>
      </c>
      <c r="F37" s="15">
        <f>SUM(F31:F35)-SUM(F22:F28)</f>
        <v>991500</v>
      </c>
      <c r="G37" s="15">
        <f>SUM(G31:G35)-SUM(G22:G28)</f>
        <v>994500</v>
      </c>
      <c r="H37" s="15">
        <f>SUM(H31:H35)-SUM(H22:H28)</f>
        <v>997560</v>
      </c>
      <c r="I37" s="15">
        <f>SUM(I31:I35)-SUM(I22:I28)</f>
        <v>1000681.2</v>
      </c>
      <c r="J37" s="15">
        <f>SUM(J31:J35)-SUM(J22:J28)</f>
        <v>1003864.8240000001</v>
      </c>
      <c r="K37" s="15">
        <f>SUM(K31:K35)-SUM(K22:K28)</f>
        <v>1007112.12048</v>
      </c>
      <c r="L37" s="15">
        <f>SUM(L31:L35)-SUM(L22:L28)</f>
        <v>1010424.3628896001</v>
      </c>
      <c r="M37" s="15">
        <f>SUM(M31:M35)-SUM(M22:M28)</f>
        <v>1013802.8501473919</v>
      </c>
      <c r="N37" s="15">
        <f>SUM(N31:N35)-SUM(N22:N28)</f>
        <v>1017248.90715034</v>
      </c>
      <c r="O37" s="15">
        <f>SUM(O31:O35)-SUM(O22:O28)</f>
        <v>1020763.8852933467</v>
      </c>
      <c r="P37" s="15">
        <f>SUM(P31:P35)-SUM(P22:P28)</f>
        <v>1024349.1629992137</v>
      </c>
      <c r="Q37" s="15">
        <f>SUM(Q31:Q35)-SUM(Q22:Q28)</f>
        <v>1028006.1462591978</v>
      </c>
      <c r="R37" s="26">
        <f>NPV(C2,C37:Q37)</f>
        <v>2178837.2981686732</v>
      </c>
      <c r="S37" s="26">
        <f>IRR(C37:Q37)</f>
        <v>0.206237363190378</v>
      </c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</row>
    <row r="38" spans="1:56">
      <c r="A38" s="13">
        <v>1</v>
      </c>
      <c r="B38" s="13" t="s">
        <v>49</v>
      </c>
      <c r="C38" s="11">
        <f>C32-D7-C26</f>
        <v>-132000</v>
      </c>
      <c r="D38" s="11">
        <f>D32-E7-D26</f>
        <v>-144000</v>
      </c>
      <c r="E38" s="11">
        <f>E32-F7-E26</f>
        <v>-156000</v>
      </c>
      <c r="F38" s="11">
        <f>F32-F26</f>
        <v>300000</v>
      </c>
      <c r="G38" s="11">
        <f>G32-G26</f>
        <v>300000</v>
      </c>
      <c r="H38" s="11">
        <f>H32-H26</f>
        <v>300000</v>
      </c>
      <c r="I38" s="11">
        <f>I32-I26</f>
        <v>300000</v>
      </c>
      <c r="J38" s="11">
        <f>J32-J26</f>
        <v>300000</v>
      </c>
      <c r="K38" s="11">
        <f>K32-K26</f>
        <v>300000</v>
      </c>
      <c r="L38" s="11">
        <f>L32-L26</f>
        <v>300000</v>
      </c>
      <c r="M38" s="11">
        <f>M32-M26</f>
        <v>300000</v>
      </c>
      <c r="N38" s="11">
        <f>N32-N26</f>
        <v>300000</v>
      </c>
      <c r="O38" s="11">
        <f>O32-O26</f>
        <v>300000</v>
      </c>
      <c r="P38" s="11">
        <f>P32-P26</f>
        <v>300000</v>
      </c>
      <c r="Q38" s="11">
        <f>Q32-Q26</f>
        <v>300000</v>
      </c>
      <c r="R38" s="26">
        <f>NPV(C2,C38:Q38)</f>
        <v>1179554.881193785</v>
      </c>
      <c r="S38" s="26">
        <f t="shared" ref="S38:S42" si="13">IRR(C38:Q38)</f>
        <v>0.45872771357285069</v>
      </c>
    </row>
    <row r="39" spans="1:56">
      <c r="A39" s="13">
        <v>2</v>
      </c>
      <c r="B39" s="13" t="s">
        <v>50</v>
      </c>
      <c r="C39" s="11">
        <f>C31-D8-C24-C25</f>
        <v>-110000</v>
      </c>
      <c r="D39" s="11">
        <f>D31-E8-D24-D25</f>
        <v>-120000</v>
      </c>
      <c r="E39" s="11">
        <f>E31-F8-E24-E25</f>
        <v>-130000</v>
      </c>
      <c r="F39" s="11">
        <f>F31-F24-F25</f>
        <v>105000</v>
      </c>
      <c r="G39" s="11">
        <f>G31-G24-G25</f>
        <v>108000</v>
      </c>
      <c r="H39" s="11">
        <f>H31-H24-H25</f>
        <v>111060</v>
      </c>
      <c r="I39" s="11">
        <f>I31-I24-I25</f>
        <v>114181.2</v>
      </c>
      <c r="J39" s="11">
        <f>J31-J24-J25</f>
        <v>117364.82399999999</v>
      </c>
      <c r="K39" s="11">
        <f>K31-K24-K25</f>
        <v>120612.12048000001</v>
      </c>
      <c r="L39" s="11">
        <f>L31-L24-L25</f>
        <v>123924.36288960003</v>
      </c>
      <c r="M39" s="11">
        <f>M31-M24-M25</f>
        <v>127302.85014739202</v>
      </c>
      <c r="N39" s="11">
        <f>N31-N24-N25</f>
        <v>130748.90715033987</v>
      </c>
      <c r="O39" s="11">
        <f>O31-O24-O25</f>
        <v>134263.88529334668</v>
      </c>
      <c r="P39" s="11">
        <f t="shared" ref="P39" si="14">P31-P24-P25</f>
        <v>137849.16299921361</v>
      </c>
      <c r="Q39" s="11">
        <f>Q31-Q24-Q25</f>
        <v>141506.14625919791</v>
      </c>
      <c r="R39" s="26">
        <f>NPV(C2,C39:Q39)</f>
        <v>312242.40635974531</v>
      </c>
      <c r="S39" s="26">
        <f t="shared" si="13"/>
        <v>0.23755330964712629</v>
      </c>
    </row>
    <row r="40" spans="1:56">
      <c r="A40" s="13">
        <v>3</v>
      </c>
      <c r="B40" s="13" t="s">
        <v>85</v>
      </c>
      <c r="C40" s="11">
        <f>C33-D9-C27</f>
        <v>-154000.00000000003</v>
      </c>
      <c r="D40" s="11">
        <f>D33-E9-D27</f>
        <v>-168000.00000000003</v>
      </c>
      <c r="E40" s="11">
        <f>E33-F9-E27</f>
        <v>-182000.00000000003</v>
      </c>
      <c r="F40" s="11">
        <f>F33-F27</f>
        <v>250000</v>
      </c>
      <c r="G40" s="11">
        <f t="shared" ref="G40:Q41" si="15">G33-G27</f>
        <v>250000</v>
      </c>
      <c r="H40" s="11">
        <f t="shared" si="15"/>
        <v>250000</v>
      </c>
      <c r="I40" s="11">
        <f t="shared" si="15"/>
        <v>250000</v>
      </c>
      <c r="J40" s="11">
        <f t="shared" si="15"/>
        <v>250000</v>
      </c>
      <c r="K40" s="11">
        <f t="shared" si="15"/>
        <v>250000</v>
      </c>
      <c r="L40" s="11">
        <f t="shared" si="15"/>
        <v>250000</v>
      </c>
      <c r="M40" s="11">
        <f t="shared" si="15"/>
        <v>250000</v>
      </c>
      <c r="N40" s="11">
        <f t="shared" si="15"/>
        <v>250000</v>
      </c>
      <c r="O40" s="11">
        <f t="shared" si="15"/>
        <v>250000</v>
      </c>
      <c r="P40" s="11">
        <f t="shared" si="15"/>
        <v>250000</v>
      </c>
      <c r="Q40" s="11">
        <f t="shared" si="15"/>
        <v>250000</v>
      </c>
      <c r="R40" s="26">
        <f>NPV(C2,C40:Q40)</f>
        <v>864224.60986033548</v>
      </c>
      <c r="S40" s="26">
        <f t="shared" si="13"/>
        <v>0.35223280105575849</v>
      </c>
    </row>
    <row r="41" spans="1:56">
      <c r="A41" s="13">
        <v>4</v>
      </c>
      <c r="B41" s="13" t="s">
        <v>45</v>
      </c>
      <c r="C41" s="11">
        <f>C34-D10-C28</f>
        <v>-143000</v>
      </c>
      <c r="D41" s="11">
        <f>D34-E10-D28</f>
        <v>-156000</v>
      </c>
      <c r="E41" s="11">
        <f>E34-F10-E28</f>
        <v>-169000</v>
      </c>
      <c r="F41" s="11">
        <f>F34-F28</f>
        <v>143000</v>
      </c>
      <c r="G41" s="11">
        <f t="shared" si="15"/>
        <v>143000</v>
      </c>
      <c r="H41" s="11">
        <f>H34-H28</f>
        <v>143000</v>
      </c>
      <c r="I41" s="11">
        <f t="shared" si="15"/>
        <v>143000</v>
      </c>
      <c r="J41" s="11">
        <f t="shared" si="15"/>
        <v>143000</v>
      </c>
      <c r="K41" s="11">
        <f t="shared" si="15"/>
        <v>143000</v>
      </c>
      <c r="L41" s="11">
        <f t="shared" si="15"/>
        <v>143000</v>
      </c>
      <c r="M41" s="11">
        <f t="shared" si="15"/>
        <v>143000</v>
      </c>
      <c r="N41" s="11">
        <f t="shared" si="15"/>
        <v>143000</v>
      </c>
      <c r="O41" s="11">
        <f t="shared" si="15"/>
        <v>143000</v>
      </c>
      <c r="P41" s="11">
        <f t="shared" si="15"/>
        <v>143000</v>
      </c>
      <c r="Q41" s="11">
        <f t="shared" si="15"/>
        <v>143000</v>
      </c>
      <c r="R41" s="26">
        <f>NPV(C2,C41:Q41)</f>
        <v>346151.71350427438</v>
      </c>
      <c r="S41" s="26">
        <f>IRR(C41:Q41)</f>
        <v>0.22706205296702175</v>
      </c>
    </row>
    <row r="42" spans="1:56">
      <c r="A42" s="13">
        <v>5</v>
      </c>
      <c r="B42" s="13" t="s">
        <v>51</v>
      </c>
      <c r="C42" s="11">
        <f>C35-C23-D11</f>
        <v>-165000</v>
      </c>
      <c r="D42" s="11">
        <f>D35-D23-E11</f>
        <v>-180000</v>
      </c>
      <c r="E42" s="11">
        <f>E35-E23-F11</f>
        <v>-195000</v>
      </c>
      <c r="F42" s="11">
        <f>F35-F23</f>
        <v>193500</v>
      </c>
      <c r="G42" s="11">
        <f t="shared" ref="G42:Q42" si="16">G35-G23</f>
        <v>193500</v>
      </c>
      <c r="H42" s="11">
        <f t="shared" si="16"/>
        <v>193500</v>
      </c>
      <c r="I42" s="11">
        <f t="shared" si="16"/>
        <v>193500</v>
      </c>
      <c r="J42" s="11">
        <f t="shared" si="16"/>
        <v>193500</v>
      </c>
      <c r="K42" s="11">
        <f t="shared" si="16"/>
        <v>193500</v>
      </c>
      <c r="L42" s="11">
        <f t="shared" si="16"/>
        <v>193500</v>
      </c>
      <c r="M42" s="11">
        <f t="shared" si="16"/>
        <v>193500</v>
      </c>
      <c r="N42" s="11">
        <f t="shared" si="16"/>
        <v>193500</v>
      </c>
      <c r="O42" s="11">
        <f t="shared" si="16"/>
        <v>193500</v>
      </c>
      <c r="P42" s="11">
        <f t="shared" si="16"/>
        <v>193500</v>
      </c>
      <c r="Q42" s="11">
        <f t="shared" si="16"/>
        <v>193500</v>
      </c>
      <c r="R42" s="26">
        <f>NPV(C2,C42:Q42)</f>
        <v>545303.8074609004</v>
      </c>
      <c r="S42" s="26">
        <f t="shared" si="13"/>
        <v>0.26498761735074705</v>
      </c>
    </row>
    <row r="43" spans="1:56" ht="15"/>
    <row r="44" spans="1:56" ht="15">
      <c r="A44" s="27" t="s">
        <v>101</v>
      </c>
    </row>
    <row r="45" spans="1:56" ht="15">
      <c r="A45" s="27"/>
      <c r="B45" s="15" t="s">
        <v>9</v>
      </c>
      <c r="C45" s="28">
        <v>1</v>
      </c>
      <c r="D45" s="28">
        <v>2</v>
      </c>
      <c r="E45" s="28">
        <v>3</v>
      </c>
    </row>
    <row r="46" spans="1:56">
      <c r="A46" s="22">
        <v>1</v>
      </c>
      <c r="B46" s="13" t="s">
        <v>49</v>
      </c>
      <c r="C46" s="11">
        <f>D7</f>
        <v>132000</v>
      </c>
      <c r="D46" s="11">
        <f>E7</f>
        <v>144000</v>
      </c>
      <c r="E46" s="11">
        <f>F7</f>
        <v>156000</v>
      </c>
    </row>
    <row r="47" spans="1:56">
      <c r="A47" s="22">
        <v>2</v>
      </c>
      <c r="B47" s="13" t="s">
        <v>50</v>
      </c>
      <c r="C47" s="11">
        <f>D8</f>
        <v>110000</v>
      </c>
      <c r="D47" s="11">
        <f t="shared" ref="C47:E50" si="17">E8</f>
        <v>120000</v>
      </c>
      <c r="E47" s="11">
        <f t="shared" si="17"/>
        <v>130000</v>
      </c>
    </row>
    <row r="48" spans="1:56">
      <c r="A48" s="22">
        <v>3</v>
      </c>
      <c r="B48" s="13" t="s">
        <v>85</v>
      </c>
      <c r="C48" s="11">
        <f t="shared" si="17"/>
        <v>154000.00000000003</v>
      </c>
      <c r="D48" s="11">
        <f t="shared" si="17"/>
        <v>168000.00000000003</v>
      </c>
      <c r="E48" s="11">
        <f t="shared" si="17"/>
        <v>182000.00000000003</v>
      </c>
    </row>
    <row r="49" spans="1:18">
      <c r="A49" s="22">
        <v>4</v>
      </c>
      <c r="B49" s="13" t="s">
        <v>45</v>
      </c>
      <c r="C49" s="11">
        <f>D10</f>
        <v>143000</v>
      </c>
      <c r="D49" s="11">
        <f t="shared" si="17"/>
        <v>156000</v>
      </c>
      <c r="E49" s="11">
        <f>F10</f>
        <v>169000</v>
      </c>
    </row>
    <row r="50" spans="1:18">
      <c r="A50" s="22">
        <v>5</v>
      </c>
      <c r="B50" s="13" t="s">
        <v>51</v>
      </c>
      <c r="C50" s="11">
        <f t="shared" si="17"/>
        <v>165000</v>
      </c>
      <c r="D50" s="11">
        <f t="shared" si="17"/>
        <v>180000</v>
      </c>
      <c r="E50" s="11">
        <f t="shared" si="17"/>
        <v>195000</v>
      </c>
    </row>
    <row r="52" spans="1:18" ht="15">
      <c r="B52" s="15" t="s">
        <v>49</v>
      </c>
      <c r="C52" s="31" t="s">
        <v>50</v>
      </c>
      <c r="D52" s="31" t="s">
        <v>85</v>
      </c>
      <c r="E52" s="31" t="s">
        <v>45</v>
      </c>
      <c r="F52" s="31" t="s">
        <v>51</v>
      </c>
    </row>
    <row r="53" spans="1:18">
      <c r="A53" s="30" t="s">
        <v>9</v>
      </c>
      <c r="B53" s="30" t="s">
        <v>43</v>
      </c>
    </row>
    <row r="54" spans="1:18">
      <c r="A54" s="30">
        <v>1</v>
      </c>
      <c r="B54" s="29">
        <f>C46</f>
        <v>132000</v>
      </c>
      <c r="C54" s="11">
        <f>C47</f>
        <v>110000</v>
      </c>
      <c r="D54" s="29">
        <f>C48</f>
        <v>154000.00000000003</v>
      </c>
      <c r="E54" s="11">
        <f>C49</f>
        <v>143000</v>
      </c>
      <c r="F54" s="29">
        <f>C50</f>
        <v>165000</v>
      </c>
    </row>
    <row r="55" spans="1:18">
      <c r="A55" s="30">
        <v>2</v>
      </c>
      <c r="B55" s="30">
        <f>$D$46+$B$54*(1+$C$2)</f>
        <v>289200</v>
      </c>
      <c r="C55" s="30">
        <f>$D$47+$C$54*(1+$C$2)</f>
        <v>241000</v>
      </c>
      <c r="D55" s="30">
        <f>$D$48+$D$54*(1+$C$2)</f>
        <v>337400.00000000012</v>
      </c>
      <c r="E55" s="30">
        <f>$D$49+$E$54*(1+$C$2)</f>
        <v>313300</v>
      </c>
      <c r="F55" s="30">
        <f>$D$50+$F$54*(1+$C$2)</f>
        <v>361500</v>
      </c>
    </row>
    <row r="56" spans="1:18">
      <c r="A56" s="30">
        <v>3</v>
      </c>
      <c r="B56" s="30">
        <f>$E$46+(1+$C$2)*$B$55</f>
        <v>474120</v>
      </c>
      <c r="C56" s="30">
        <f>$E$47+(1+$C$2)*$C$55</f>
        <v>395100</v>
      </c>
      <c r="D56" s="30">
        <f>$E$48+(1+$C$2)*$D$55</f>
        <v>553140.00000000023</v>
      </c>
      <c r="E56" s="30">
        <f>$E$49+(1+$C$2)*$E$55</f>
        <v>513630</v>
      </c>
      <c r="F56" s="30">
        <f>$E$50+(1+$C$2)*$F$55</f>
        <v>592650</v>
      </c>
    </row>
    <row r="57" spans="1:18">
      <c r="B57" s="19">
        <f>-PMT($C$2,12,B56)</f>
        <v>69583.422955348229</v>
      </c>
      <c r="C57" s="19">
        <f t="shared" ref="C57:F57" si="18">-PMT($C$2,12,C56)</f>
        <v>57986.185796123522</v>
      </c>
      <c r="D57" s="19">
        <f t="shared" si="18"/>
        <v>81180.660114572966</v>
      </c>
      <c r="E57" s="19">
        <f t="shared" si="18"/>
        <v>75382.04153496059</v>
      </c>
      <c r="F57" s="19">
        <f t="shared" si="18"/>
        <v>86979.278694185297</v>
      </c>
    </row>
    <row r="60" spans="1:18">
      <c r="A60" s="14" t="s">
        <v>46</v>
      </c>
      <c r="B60" s="15">
        <v>1</v>
      </c>
      <c r="C60" s="15">
        <v>2</v>
      </c>
      <c r="D60" s="15">
        <v>3</v>
      </c>
      <c r="E60" s="15">
        <v>4</v>
      </c>
      <c r="F60" s="15">
        <v>5</v>
      </c>
      <c r="G60" s="15">
        <v>6</v>
      </c>
      <c r="H60" s="15">
        <v>7</v>
      </c>
      <c r="I60" s="15">
        <v>8</v>
      </c>
      <c r="J60" s="15">
        <v>9</v>
      </c>
      <c r="K60" s="15">
        <v>10</v>
      </c>
      <c r="L60" s="15">
        <v>11</v>
      </c>
      <c r="M60" s="15">
        <v>12</v>
      </c>
      <c r="N60" s="15">
        <v>13</v>
      </c>
      <c r="O60" s="15">
        <v>14</v>
      </c>
      <c r="P60" s="15">
        <v>15</v>
      </c>
      <c r="Q60" s="32" t="s">
        <v>103</v>
      </c>
      <c r="R60" s="33" t="s">
        <v>104</v>
      </c>
    </row>
    <row r="61" spans="1:18">
      <c r="A61" s="13" t="s">
        <v>49</v>
      </c>
      <c r="B61" s="11">
        <v>0</v>
      </c>
      <c r="C61" s="11">
        <v>0</v>
      </c>
      <c r="D61" s="11">
        <v>0</v>
      </c>
      <c r="E61" s="11">
        <f>$B$57</f>
        <v>69583.422955348229</v>
      </c>
      <c r="F61" s="11">
        <f t="shared" ref="F61:P61" si="19">$B$57</f>
        <v>69583.422955348229</v>
      </c>
      <c r="G61" s="11">
        <f t="shared" si="19"/>
        <v>69583.422955348229</v>
      </c>
      <c r="H61" s="11">
        <f t="shared" si="19"/>
        <v>69583.422955348229</v>
      </c>
      <c r="I61" s="11">
        <f t="shared" si="19"/>
        <v>69583.422955348229</v>
      </c>
      <c r="J61" s="11">
        <f t="shared" si="19"/>
        <v>69583.422955348229</v>
      </c>
      <c r="K61" s="11">
        <f t="shared" si="19"/>
        <v>69583.422955348229</v>
      </c>
      <c r="L61" s="11">
        <f>$B$57</f>
        <v>69583.422955348229</v>
      </c>
      <c r="M61" s="11">
        <f t="shared" si="19"/>
        <v>69583.422955348229</v>
      </c>
      <c r="N61" s="11">
        <f t="shared" si="19"/>
        <v>69583.422955348229</v>
      </c>
      <c r="O61" s="11">
        <f t="shared" si="19"/>
        <v>69583.422955348229</v>
      </c>
      <c r="P61" s="11">
        <f t="shared" si="19"/>
        <v>69583.422955348229</v>
      </c>
      <c r="Q61" s="11">
        <f>NPV($C$2,B61:P61)</f>
        <v>356213.37340345583</v>
      </c>
      <c r="R61" s="11">
        <f>NPV($C$2,C46:E46)</f>
        <v>356213.373403456</v>
      </c>
    </row>
    <row r="62" spans="1:18">
      <c r="A62" s="13" t="s">
        <v>50</v>
      </c>
      <c r="B62" s="11">
        <v>0</v>
      </c>
      <c r="C62" s="11">
        <v>0</v>
      </c>
      <c r="D62" s="11">
        <v>0</v>
      </c>
      <c r="E62" s="11">
        <f>$C$57</f>
        <v>57986.185796123522</v>
      </c>
      <c r="F62" s="11">
        <f t="shared" ref="F62:P62" si="20">$C$57</f>
        <v>57986.185796123522</v>
      </c>
      <c r="G62" s="11">
        <f t="shared" si="20"/>
        <v>57986.185796123522</v>
      </c>
      <c r="H62" s="11">
        <f t="shared" si="20"/>
        <v>57986.185796123522</v>
      </c>
      <c r="I62" s="11">
        <f t="shared" si="20"/>
        <v>57986.185796123522</v>
      </c>
      <c r="J62" s="11">
        <f t="shared" si="20"/>
        <v>57986.185796123522</v>
      </c>
      <c r="K62" s="11">
        <f t="shared" si="20"/>
        <v>57986.185796123522</v>
      </c>
      <c r="L62" s="11">
        <f t="shared" si="20"/>
        <v>57986.185796123522</v>
      </c>
      <c r="M62" s="11">
        <f t="shared" si="20"/>
        <v>57986.185796123522</v>
      </c>
      <c r="N62" s="11">
        <f t="shared" si="20"/>
        <v>57986.185796123522</v>
      </c>
      <c r="O62" s="11">
        <f t="shared" si="20"/>
        <v>57986.185796123522</v>
      </c>
      <c r="P62" s="11">
        <f t="shared" si="20"/>
        <v>57986.185796123522</v>
      </c>
      <c r="Q62" s="11">
        <f t="shared" ref="Q62:Q65" si="21">NPV($C$2,B62:P62)</f>
        <v>296844.47783621319</v>
      </c>
      <c r="R62" s="11">
        <f t="shared" ref="R62:R65" si="22">NPV($C$2,C47:E47)</f>
        <v>296844.47783621331</v>
      </c>
    </row>
    <row r="63" spans="1:18">
      <c r="A63" s="13" t="s">
        <v>85</v>
      </c>
      <c r="B63" s="11">
        <v>0</v>
      </c>
      <c r="C63" s="11">
        <v>0</v>
      </c>
      <c r="D63" s="11">
        <v>0</v>
      </c>
      <c r="E63" s="11">
        <f>$D$57</f>
        <v>81180.660114572966</v>
      </c>
      <c r="F63" s="11">
        <f t="shared" ref="F63:P63" si="23">$D$57</f>
        <v>81180.660114572966</v>
      </c>
      <c r="G63" s="11">
        <f t="shared" si="23"/>
        <v>81180.660114572966</v>
      </c>
      <c r="H63" s="11">
        <f t="shared" si="23"/>
        <v>81180.660114572966</v>
      </c>
      <c r="I63" s="11">
        <f t="shared" si="23"/>
        <v>81180.660114572966</v>
      </c>
      <c r="J63" s="11">
        <f t="shared" si="23"/>
        <v>81180.660114572966</v>
      </c>
      <c r="K63" s="11">
        <f t="shared" si="23"/>
        <v>81180.660114572966</v>
      </c>
      <c r="L63" s="11">
        <f t="shared" si="23"/>
        <v>81180.660114572966</v>
      </c>
      <c r="M63" s="11">
        <f t="shared" si="23"/>
        <v>81180.660114572966</v>
      </c>
      <c r="N63" s="11">
        <f t="shared" si="23"/>
        <v>81180.660114572966</v>
      </c>
      <c r="O63" s="11">
        <f t="shared" si="23"/>
        <v>81180.660114572966</v>
      </c>
      <c r="P63" s="11">
        <f t="shared" si="23"/>
        <v>81180.660114572966</v>
      </c>
      <c r="Q63" s="11">
        <f t="shared" si="21"/>
        <v>415582.26897069864</v>
      </c>
      <c r="R63" s="11">
        <f t="shared" si="22"/>
        <v>415582.26897069876</v>
      </c>
    </row>
    <row r="64" spans="1:18">
      <c r="A64" s="13" t="s">
        <v>45</v>
      </c>
      <c r="B64" s="11">
        <v>0</v>
      </c>
      <c r="C64" s="11">
        <v>0</v>
      </c>
      <c r="D64" s="11">
        <v>0</v>
      </c>
      <c r="E64" s="11">
        <f>$E$57</f>
        <v>75382.04153496059</v>
      </c>
      <c r="F64" s="11">
        <f t="shared" ref="F64:P64" si="24">$E$57</f>
        <v>75382.04153496059</v>
      </c>
      <c r="G64" s="11">
        <f t="shared" si="24"/>
        <v>75382.04153496059</v>
      </c>
      <c r="H64" s="11">
        <f t="shared" si="24"/>
        <v>75382.04153496059</v>
      </c>
      <c r="I64" s="11">
        <f t="shared" si="24"/>
        <v>75382.04153496059</v>
      </c>
      <c r="J64" s="11">
        <f t="shared" si="24"/>
        <v>75382.04153496059</v>
      </c>
      <c r="K64" s="11">
        <f t="shared" si="24"/>
        <v>75382.04153496059</v>
      </c>
      <c r="L64" s="11">
        <f t="shared" si="24"/>
        <v>75382.04153496059</v>
      </c>
      <c r="M64" s="11">
        <f t="shared" si="24"/>
        <v>75382.04153496059</v>
      </c>
      <c r="N64" s="11">
        <f t="shared" si="24"/>
        <v>75382.04153496059</v>
      </c>
      <c r="O64" s="11">
        <f t="shared" si="24"/>
        <v>75382.04153496059</v>
      </c>
      <c r="P64" s="11">
        <f t="shared" si="24"/>
        <v>75382.04153496059</v>
      </c>
      <c r="Q64" s="11">
        <f t="shared" si="21"/>
        <v>385897.82118707721</v>
      </c>
      <c r="R64" s="11">
        <f t="shared" si="22"/>
        <v>385897.82118707726</v>
      </c>
    </row>
    <row r="65" spans="1:18">
      <c r="A65" s="13" t="s">
        <v>51</v>
      </c>
      <c r="B65" s="11">
        <v>0</v>
      </c>
      <c r="C65" s="11">
        <v>0</v>
      </c>
      <c r="D65" s="11">
        <v>0</v>
      </c>
      <c r="E65" s="11">
        <f>$F$57</f>
        <v>86979.278694185297</v>
      </c>
      <c r="F65" s="11">
        <f t="shared" ref="F65:P65" si="25">$F$57</f>
        <v>86979.278694185297</v>
      </c>
      <c r="G65" s="11">
        <f t="shared" si="25"/>
        <v>86979.278694185297</v>
      </c>
      <c r="H65" s="11">
        <f t="shared" si="25"/>
        <v>86979.278694185297</v>
      </c>
      <c r="I65" s="11">
        <f t="shared" si="25"/>
        <v>86979.278694185297</v>
      </c>
      <c r="J65" s="11">
        <f t="shared" si="25"/>
        <v>86979.278694185297</v>
      </c>
      <c r="K65" s="11">
        <f t="shared" si="25"/>
        <v>86979.278694185297</v>
      </c>
      <c r="L65" s="11">
        <f t="shared" si="25"/>
        <v>86979.278694185297</v>
      </c>
      <c r="M65" s="11">
        <f t="shared" si="25"/>
        <v>86979.278694185297</v>
      </c>
      <c r="N65" s="11">
        <f t="shared" si="25"/>
        <v>86979.278694185297</v>
      </c>
      <c r="O65" s="11">
        <f t="shared" si="25"/>
        <v>86979.278694185297</v>
      </c>
      <c r="P65" s="11">
        <f t="shared" si="25"/>
        <v>86979.278694185297</v>
      </c>
      <c r="Q65" s="11">
        <f>NPV($C$2,B65:P65)</f>
        <v>445266.71675431984</v>
      </c>
      <c r="R65" s="11">
        <f>NPV($C$2,C50:E50)</f>
        <v>445266.71675432002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Problem 1</vt:lpstr>
      <vt:lpstr>Problem 1 Breakeven</vt:lpstr>
      <vt:lpstr>Problem 2</vt:lpstr>
      <vt:lpstr>Problem 3</vt:lpstr>
      <vt:lpstr>Problem 3 part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 Sophia Donnelly</dc:creator>
  <cp:lastModifiedBy>Emma Sophia Donnelly</cp:lastModifiedBy>
  <dcterms:created xsi:type="dcterms:W3CDTF">2025-02-08T17:05:42Z</dcterms:created>
  <dcterms:modified xsi:type="dcterms:W3CDTF">2025-02-15T19:25:45Z</dcterms:modified>
</cp:coreProperties>
</file>