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13_ncr:1_{B96CBD97-A9F5-4C55-8F37-190A843F46B4}" xr6:coauthVersionLast="47" xr6:coauthVersionMax="47" xr10:uidLastSave="{00000000-0000-0000-0000-000000000000}"/>
  <bookViews>
    <workbookView xWindow="-80" yWindow="-80" windowWidth="19360" windowHeight="10240" firstSheet="4" activeTab="6" xr2:uid="{3D9CDADF-415B-42B7-BF7A-9C8D4EBFAFAF}"/>
  </bookViews>
  <sheets>
    <sheet name="Book Example" sheetId="3" r:id="rId1"/>
    <sheet name="Problem 1" sheetId="2" r:id="rId2"/>
    <sheet name="Sheet1" sheetId="1" r:id="rId3"/>
    <sheet name="Problem 1 Financial Analysis" sheetId="4" r:id="rId4"/>
    <sheet name="Problem 1 Economic Analysis" sheetId="5" r:id="rId5"/>
    <sheet name="Problem 2" sheetId="6" r:id="rId6"/>
    <sheet name="Problem 2 Finanacial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N5" i="5"/>
  <c r="N4" i="5"/>
  <c r="N3" i="5"/>
  <c r="O28" i="7"/>
  <c r="F44" i="7"/>
  <c r="D31" i="7"/>
  <c r="E31" i="7"/>
  <c r="E44" i="7" s="1"/>
  <c r="F31" i="7"/>
  <c r="G31" i="7"/>
  <c r="G44" i="7" s="1"/>
  <c r="H31" i="7"/>
  <c r="H44" i="7" s="1"/>
  <c r="I31" i="7"/>
  <c r="I44" i="7" s="1"/>
  <c r="J31" i="7"/>
  <c r="J44" i="7" s="1"/>
  <c r="K31" i="7"/>
  <c r="L31" i="7"/>
  <c r="M31" i="7"/>
  <c r="M44" i="7" s="1"/>
  <c r="D44" i="7"/>
  <c r="K44" i="7"/>
  <c r="L44" i="7"/>
  <c r="B44" i="7"/>
  <c r="B31" i="7"/>
  <c r="C31" i="7"/>
  <c r="C37" i="7"/>
  <c r="C44" i="7"/>
  <c r="E30" i="7"/>
  <c r="F30" i="7"/>
  <c r="G30" i="7"/>
  <c r="H30" i="7"/>
  <c r="I30" i="7"/>
  <c r="J30" i="7"/>
  <c r="K30" i="7"/>
  <c r="L30" i="7"/>
  <c r="M30" i="7"/>
  <c r="D30" i="7"/>
  <c r="C17" i="7"/>
  <c r="E33" i="7" s="1"/>
  <c r="E10" i="7"/>
  <c r="O27" i="7"/>
  <c r="C29" i="4"/>
  <c r="C30" i="4"/>
  <c r="B37" i="7"/>
  <c r="C38" i="7" s="1"/>
  <c r="C22" i="5"/>
  <c r="O31" i="7"/>
  <c r="P18" i="7"/>
  <c r="P16" i="7"/>
  <c r="Q13" i="7"/>
  <c r="P13" i="7" s="1"/>
  <c r="Q11" i="7"/>
  <c r="N18" i="7"/>
  <c r="N16" i="7"/>
  <c r="Q17" i="4"/>
  <c r="O13" i="7"/>
  <c r="N13" i="7" s="1"/>
  <c r="O11" i="7"/>
  <c r="H11" i="7"/>
  <c r="P11" i="7" s="1"/>
  <c r="O7" i="6"/>
  <c r="F11" i="7"/>
  <c r="M7" i="6"/>
  <c r="H10" i="7"/>
  <c r="N11" i="7" s="1"/>
  <c r="O6" i="6"/>
  <c r="F10" i="7"/>
  <c r="L6" i="6"/>
  <c r="H4" i="7"/>
  <c r="G4" i="7"/>
  <c r="F4" i="7"/>
  <c r="E4" i="7"/>
  <c r="D4" i="7"/>
  <c r="H3" i="7"/>
  <c r="G3" i="7"/>
  <c r="F3" i="7"/>
  <c r="E3" i="7"/>
  <c r="D3" i="7"/>
  <c r="P23" i="4"/>
  <c r="P22" i="4"/>
  <c r="Q21" i="4"/>
  <c r="P21" i="4"/>
  <c r="Q20" i="4"/>
  <c r="P20" i="4"/>
  <c r="P19" i="4"/>
  <c r="Q19" i="4"/>
  <c r="P18" i="4"/>
  <c r="J4" i="4"/>
  <c r="J3" i="4"/>
  <c r="P16" i="4"/>
  <c r="Q16" i="4"/>
  <c r="Q14" i="4"/>
  <c r="P14" i="4"/>
  <c r="H5" i="3"/>
  <c r="D16" i="5"/>
  <c r="M19" i="5"/>
  <c r="N7" i="5"/>
  <c r="C27" i="5" s="1"/>
  <c r="B25" i="5"/>
  <c r="C22" i="4"/>
  <c r="Q14" i="7" l="1"/>
  <c r="E17" i="7"/>
  <c r="F17" i="7"/>
  <c r="D33" i="7"/>
  <c r="D32" i="7"/>
  <c r="M32" i="7"/>
  <c r="M33" i="7"/>
  <c r="L32" i="7"/>
  <c r="L33" i="7"/>
  <c r="K32" i="7"/>
  <c r="K33" i="7"/>
  <c r="J32" i="7"/>
  <c r="J33" i="7"/>
  <c r="I32" i="7"/>
  <c r="I33" i="7"/>
  <c r="H32" i="7"/>
  <c r="H33" i="7"/>
  <c r="G32" i="7"/>
  <c r="G33" i="7"/>
  <c r="F32" i="7"/>
  <c r="F33" i="7"/>
  <c r="E32" i="7"/>
  <c r="O29" i="7"/>
  <c r="B38" i="7"/>
  <c r="D39" i="7"/>
  <c r="F39" i="7"/>
  <c r="E39" i="7"/>
  <c r="G39" i="7"/>
  <c r="H39" i="7"/>
  <c r="I39" i="7"/>
  <c r="J39" i="7"/>
  <c r="K39" i="7"/>
  <c r="L39" i="7"/>
  <c r="M39" i="7"/>
  <c r="O14" i="7"/>
  <c r="O15" i="7" s="1"/>
  <c r="P14" i="7"/>
  <c r="P19" i="7" s="1"/>
  <c r="N14" i="7"/>
  <c r="N19" i="7" s="1"/>
  <c r="O22" i="6"/>
  <c r="O21" i="6"/>
  <c r="O19" i="6"/>
  <c r="O20" i="6" s="1"/>
  <c r="M6" i="6"/>
  <c r="F5" i="6"/>
  <c r="E5" i="6"/>
  <c r="D5" i="6"/>
  <c r="F4" i="6"/>
  <c r="E4" i="6"/>
  <c r="D4" i="6"/>
  <c r="O14" i="5"/>
  <c r="F7" i="5"/>
  <c r="F8" i="5" s="1"/>
  <c r="B23" i="5" s="1"/>
  <c r="B29" i="5" s="1"/>
  <c r="B31" i="5" s="1"/>
  <c r="F6" i="5"/>
  <c r="F5" i="5"/>
  <c r="D22" i="5"/>
  <c r="H22" i="5"/>
  <c r="M14" i="5"/>
  <c r="N14" i="5"/>
  <c r="B54" i="4"/>
  <c r="C26" i="5"/>
  <c r="C24" i="4"/>
  <c r="K26" i="5"/>
  <c r="K39" i="5" s="1"/>
  <c r="D26" i="5"/>
  <c r="D39" i="5" s="1"/>
  <c r="E26" i="5"/>
  <c r="E39" i="5" s="1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B27" i="4"/>
  <c r="F39" i="5"/>
  <c r="H39" i="5"/>
  <c r="D33" i="4"/>
  <c r="D30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31" i="4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B23" i="4" s="1"/>
  <c r="B35" i="4" s="1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H4" i="4"/>
  <c r="C4" i="4"/>
  <c r="B12" i="4" s="1"/>
  <c r="H3" i="4"/>
  <c r="E35" i="7" l="1"/>
  <c r="F35" i="7"/>
  <c r="G35" i="7"/>
  <c r="K35" i="7"/>
  <c r="L35" i="7"/>
  <c r="M35" i="7"/>
  <c r="D35" i="7"/>
  <c r="H35" i="7"/>
  <c r="J35" i="7"/>
  <c r="I35" i="7"/>
  <c r="E34" i="7"/>
  <c r="G34" i="7"/>
  <c r="F34" i="7"/>
  <c r="H34" i="7"/>
  <c r="I34" i="7"/>
  <c r="L34" i="7"/>
  <c r="M34" i="7"/>
  <c r="J34" i="7"/>
  <c r="K34" i="7"/>
  <c r="D34" i="7"/>
  <c r="N20" i="7"/>
  <c r="P20" i="7"/>
  <c r="P21" i="7" s="1"/>
  <c r="D29" i="7" s="1"/>
  <c r="K22" i="5"/>
  <c r="K35" i="5" s="1"/>
  <c r="I22" i="5"/>
  <c r="G22" i="5"/>
  <c r="F22" i="5"/>
  <c r="E22" i="5"/>
  <c r="E35" i="5" s="1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E29" i="7" l="1"/>
  <c r="F29" i="7"/>
  <c r="G29" i="7"/>
  <c r="H29" i="7"/>
  <c r="I29" i="7"/>
  <c r="J29" i="7"/>
  <c r="K29" i="7"/>
  <c r="L29" i="7"/>
  <c r="M29" i="7"/>
  <c r="K27" i="5"/>
  <c r="F27" i="5"/>
  <c r="F23" i="5" s="1"/>
  <c r="J27" i="5"/>
  <c r="J23" i="5" s="1"/>
  <c r="C40" i="5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49" i="4"/>
  <c r="E30" i="4"/>
  <c r="E49" i="4" s="1"/>
  <c r="C48" i="4"/>
  <c r="E29" i="4"/>
  <c r="E48" i="4" s="1"/>
  <c r="E50" i="4" s="1"/>
  <c r="F29" i="4"/>
  <c r="F48" i="4" s="1"/>
  <c r="C13" i="4"/>
  <c r="C50" i="4" l="1"/>
  <c r="C42" i="4" s="1"/>
  <c r="C54" i="4" s="1"/>
  <c r="C56" i="4" s="1"/>
  <c r="C23" i="5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M20" i="4" s="1"/>
  <c r="D31" i="4"/>
  <c r="D23" i="4" s="1"/>
  <c r="D35" i="4" s="1"/>
  <c r="D37" i="4" s="1"/>
  <c r="G31" i="4"/>
  <c r="G23" i="4" s="1"/>
  <c r="G35" i="4" s="1"/>
  <c r="G37" i="4" s="1"/>
  <c r="M20" i="5" l="1"/>
  <c r="C29" i="5"/>
  <c r="C31" i="5" s="1"/>
  <c r="D42" i="5"/>
  <c r="E36" i="5"/>
  <c r="H36" i="5"/>
  <c r="H44" i="5" s="1"/>
  <c r="B44" i="5"/>
  <c r="B42" i="5"/>
  <c r="G36" i="5"/>
  <c r="G44" i="5" s="1"/>
  <c r="J36" i="5"/>
  <c r="J44" i="5" s="1"/>
  <c r="K36" i="5"/>
  <c r="K44" i="5" s="1"/>
  <c r="I36" i="5"/>
  <c r="I44" i="5" s="1"/>
  <c r="E35" i="4"/>
  <c r="E37" i="4" s="1"/>
  <c r="C35" i="4"/>
  <c r="C37" i="4" s="1"/>
  <c r="F42" i="5"/>
  <c r="F54" i="4"/>
  <c r="F56" i="4" s="1"/>
  <c r="B56" i="4"/>
  <c r="M39" i="4"/>
  <c r="B37" i="4"/>
  <c r="M21" i="5" l="1"/>
  <c r="M43" i="5"/>
  <c r="M19" i="4"/>
  <c r="J42" i="5"/>
  <c r="G42" i="5"/>
  <c r="H42" i="5"/>
  <c r="E44" i="5"/>
  <c r="M42" i="5" s="1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<sst xmlns="http://schemas.openxmlformats.org/spreadsheetml/2006/main" count="724" uniqueCount="281">
  <si>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</si>
  <si>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</si>
  <si>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</si>
  <si>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</si>
  <si>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</si>
  <si>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</si>
  <si>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</si>
  <si>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</si>
  <si>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</si>
  <si>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</si>
  <si>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</si>
  <si>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</si>
  <si>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</si>
  <si>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</si>
  <si>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</si>
  <si>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</si>
  <si>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</si>
  <si>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</si>
  <si>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</si>
  <si>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</si>
  <si>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</si>
  <si>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</si>
  <si>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</si>
  <si>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</si>
  <si>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</si>
  <si>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</si>
  <si>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</si>
  <si>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</si>
  <si>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</si>
  <si>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</si>
  <si>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</si>
  <si>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</si>
  <si>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</si>
  <si>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</si>
  <si>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</si>
  <si>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</si>
  <si>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</si>
  <si>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</si>
  <si>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</si>
  <si>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</si>
  <si>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</si>
  <si>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</si>
  <si>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</si>
  <si>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</si>
  <si>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</si>
  <si>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</si>
  <si>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</si>
  <si>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</si>
  <si>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</si>
  <si>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</si>
  <si>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</si>
  <si>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</si>
  <si>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</si>
  <si>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</si>
  <si>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</si>
  <si>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</si>
  <si>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</si>
  <si>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</si>
  <si>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</si>
  <si>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</si>
  <si>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</si>
  <si>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</si>
  <si>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</si>
  <si>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</si>
  <si>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</si>
  <si>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</si>
  <si>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</si>
  <si>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</si>
  <si>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</si>
  <si>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</si>
  <si>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</si>
  <si>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</si>
  <si>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</si>
  <si>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</si>
  <si>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</si>
  <si>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</si>
  <si>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</si>
  <si>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</si>
  <si>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</si>
  <si>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</si>
  <si>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</si>
  <si>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</si>
  <si>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</si>
  <si>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</si>
  <si>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</si>
  <si>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</si>
  <si>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</si>
  <si>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</si>
  <si>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</si>
  <si>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</si>
  <si>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</si>
  <si>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</si>
  <si>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</si>
  <si>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</si>
  <si>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</si>
  <si>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</si>
  <si>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</si>
  <si>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</si>
  <si>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</si>
  <si>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</si>
  <si>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</si>
  <si>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</si>
  <si>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</si>
  <si>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</si>
  <si>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</si>
  <si>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</si>
  <si>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</si>
  <si>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</si>
  <si>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</si>
  <si>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</si>
  <si>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</si>
  <si>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</si>
  <si>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</si>
  <si>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</si>
  <si>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</si>
  <si>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</si>
  <si>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</si>
  <si>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</si>
  <si>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</si>
  <si>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</si>
  <si>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</si>
  <si>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</si>
  <si>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</si>
  <si>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</si>
  <si>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</si>
  <si>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</si>
  <si>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</si>
  <si>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</si>
  <si>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</si>
  <si>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</si>
  <si>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</si>
  <si>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</si>
  <si>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</si>
  <si>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</si>
  <si>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</si>
  <si>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</si>
  <si>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</si>
  <si>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</si>
  <si>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</si>
  <si>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</si>
  <si>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</si>
  <si>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</si>
  <si>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</si>
  <si>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</si>
  <si>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</si>
  <si>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</si>
  <si>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</si>
  <si>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</si>
  <si>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</si>
  <si>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</si>
  <si>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</si>
  <si>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</si>
  <si>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</si>
  <si>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</si>
  <si>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</si>
  <si>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</si>
  <si>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</si>
  <si>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</si>
  <si>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</si>
  <si>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</si>
  <si>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</si>
  <si>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</si>
  <si>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</si>
  <si>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</si>
  <si>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</si>
  <si>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</si>
  <si>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</si>
  <si>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</si>
  <si>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</si>
  <si>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</si>
  <si>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</si>
  <si>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</si>
  <si>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</si>
  <si>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</si>
  <si>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</si>
  <si>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</si>
  <si>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</si>
  <si>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</si>
  <si>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</si>
  <si>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</si>
  <si>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</si>
  <si>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</si>
  <si>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</si>
  <si>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</si>
  <si>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</si>
  <si>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</si>
  <si>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</si>
  <si>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</si>
  <si>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</si>
  <si>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</si>
  <si>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</si>
  <si>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</si>
  <si>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</si>
  <si>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</si>
  <si>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</si>
  <si>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</si>
  <si>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</si>
  <si>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</si>
  <si>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</si>
  <si>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</si>
  <si>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</si>
  <si>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</si>
  <si>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</si>
  <si>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</si>
  <si>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</si>
  <si>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</si>
  <si>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</si>
  <si>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</si>
  <si>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</si>
  <si>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</si>
  <si>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</si>
  <si>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</si>
  <si>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</si>
  <si>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</si>
  <si>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</si>
  <si>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</si>
  <si>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</si>
  <si>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</si>
  <si>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</si>
  <si>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</si>
  <si>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</si>
  <si>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</si>
  <si>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</si>
  <si>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</si>
  <si>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</si>
  <si>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</si>
  <si>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</si>
  <si>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</si>
  <si>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</si>
  <si>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</si>
  <si>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</si>
  <si>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</si>
  <si>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</si>
  <si>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</si>
  <si>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</si>
  <si>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</si>
  <si>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</si>
  <si>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</si>
  <si>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</si>
  <si>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</si>
  <si>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</si>
  <si>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</si>
  <si>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</si>
  <si>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</si>
  <si>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</si>
  <si>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</si>
  <si>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</si>
  <si>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</si>
  <si>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</si>
  <si>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</si>
  <si>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</si>
  <si>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</si>
  <si>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</si>
  <si>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</si>
  <si>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</si>
  <si>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</si>
  <si>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</si>
  <si>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</si>
  <si>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</si>
  <si>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</si>
  <si>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</si>
  <si>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</si>
  <si>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</si>
  <si>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</si>
  <si>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</si>
  <si>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</si>
  <si>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</si>
  <si>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</si>
  <si>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</si>
  <si>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</si>
  <si>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</si>
  <si>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Strawbs</t>
  </si>
  <si>
    <t>Beans</t>
  </si>
  <si>
    <t>Total</t>
  </si>
  <si>
    <t>Govt share</t>
  </si>
  <si>
    <t>(i) Annual land cost</t>
  </si>
  <si>
    <t>Land fee  (LC/ht)</t>
  </si>
  <si>
    <t>(ii) Production cost</t>
  </si>
  <si>
    <t>(iii) Transport costs</t>
  </si>
  <si>
    <t>(iii) Freight &amp; Insurance costs</t>
  </si>
  <si>
    <t>FARM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</si>
</sst>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i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80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14" fillId="0" borderId="12" xfId="0" applyFont="1" applyBorder="1" applyAlignment="1">
      <alignment horizontal="left" vertical="top"/>
    </xf>
    <xf numFmtId="0" fontId="3" fillId="8" borderId="10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9" borderId="11" xfId="0" applyFill="1" applyBorder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3" fontId="0" fillId="0" borderId="0" xfId="0" applyNumberFormat="1" applyAlignment="1">
      <alignment vertical="top"/>
    </xf>
    <xf numFmtId="3" fontId="0" fillId="0" borderId="13" xfId="0" applyNumberFormat="1" applyBorder="1" applyAlignment="1">
      <alignment vertical="top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3" fillId="0" borderId="0" xfId="1" applyFont="1" applyAlignment="1">
      <alignment horizontal="right"/>
    </xf>
    <xf numFmtId="9" fontId="0" fillId="0" borderId="0" xfId="0" applyNumberFormat="1" applyAlignment="1">
      <alignment vertical="top"/>
    </xf>
    <xf numFmtId="0" fontId="17" fillId="0" borderId="13" xfId="0" applyFont="1" applyBorder="1" applyAlignment="1">
      <alignment horizontal="left" vertical="top" wrapText="1"/>
    </xf>
    <xf numFmtId="0" fontId="18" fillId="0" borderId="0" xfId="1" applyFont="1" applyAlignment="1">
      <alignment horizontal="right"/>
    </xf>
    <xf numFmtId="3" fontId="4" fillId="0" borderId="0" xfId="0" applyNumberFormat="1" applyFont="1"/>
    <xf numFmtId="8" fontId="4" fillId="0" borderId="0" xfId="0" applyNumberFormat="1" applyFont="1"/>
    <xf numFmtId="0" fontId="4" fillId="0" borderId="0" xfId="1" applyFont="1" applyAlignment="1">
      <alignment horizontal="right"/>
    </xf>
    <xf numFmtId="0" fontId="1" fillId="0" borderId="17" xfId="0" applyFont="1" applyBorder="1"/>
    <xf numFmtId="0" fontId="0" fillId="0" borderId="18" xfId="0" applyBorder="1"/>
    <xf numFmtId="3" fontId="0" fillId="0" borderId="18" xfId="0" applyNumberFormat="1" applyBorder="1"/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H6" sqref="H6"/>
    </sheetView>
  </sheetViews>
  <sheetFormatPr defaultRowHeight="14.5" x14ac:dyDescent="0.35"/>
  <cols>
    <col min="1" max="1" width="18.90625" customWidth="1"/>
    <col min="2" max="2" width="8.7265625" customWidth="1"/>
    <col min="3" max="3" width="10.6328125" bestFit="1" customWidth="1"/>
    <col min="4" max="4" width="9.453125" customWidth="1"/>
    <col min="6" max="6" width="8.36328125" customWidth="1"/>
    <col min="8" max="10" width="10.6328125" bestFit="1" customWidth="1"/>
    <col min="17" max="17" width="10" customWidth="1"/>
  </cols>
  <sheetData>
    <row r="1" spans="1:22" ht="15" thickBot="1" x14ac:dyDescent="0.4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x14ac:dyDescent="0.3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x14ac:dyDescent="0.3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 x14ac:dyDescent="0.35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 x14ac:dyDescent="0.35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 x14ac:dyDescent="0.35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 x14ac:dyDescent="0.4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x14ac:dyDescent="0.3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 x14ac:dyDescent="0.35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 x14ac:dyDescent="0.35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 x14ac:dyDescent="0.35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 x14ac:dyDescent="0.35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 x14ac:dyDescent="0.35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x14ac:dyDescent="0.3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 x14ac:dyDescent="0.35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x14ac:dyDescent="0.3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x14ac:dyDescent="0.3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x14ac:dyDescent="0.3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 x14ac:dyDescent="0.35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x14ac:dyDescent="0.3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" thickBot="1" x14ac:dyDescent="0.4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" thickBot="1" x14ac:dyDescent="0.4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x14ac:dyDescent="0.3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 x14ac:dyDescent="0.35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 x14ac:dyDescent="0.4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 x14ac:dyDescent="0.35">
      <c r="F26" s="12"/>
      <c r="G26" s="12"/>
      <c r="H26" s="12"/>
      <c r="I26" s="12"/>
    </row>
    <row r="27" spans="1:22" x14ac:dyDescent="0.3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35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x14ac:dyDescent="0.3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x14ac:dyDescent="0.35">
      <c r="A30" s="1" t="s">
        <v>91</v>
      </c>
    </row>
    <row r="31" spans="1:22" x14ac:dyDescent="0.35">
      <c r="A31" t="s">
        <v>92</v>
      </c>
      <c r="B31">
        <f>-1*(E8/M22)</f>
        <v>-740</v>
      </c>
      <c r="V31">
        <f>E15/M22</f>
        <v>74</v>
      </c>
    </row>
    <row r="32" spans="1:22" x14ac:dyDescent="0.35">
      <c r="A32" t="s">
        <v>93</v>
      </c>
      <c r="C32">
        <f>-1*(E14/M22)</f>
        <v>-86.35</v>
      </c>
      <c r="V32" s="15">
        <f>E14/M22</f>
        <v>86.35</v>
      </c>
    </row>
    <row r="33" spans="1:22" x14ac:dyDescent="0.3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x14ac:dyDescent="0.3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x14ac:dyDescent="0.3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x14ac:dyDescent="0.3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 x14ac:dyDescent="0.35">
      <c r="A40" t="s">
        <v>95</v>
      </c>
    </row>
    <row r="41" spans="1:22" x14ac:dyDescent="0.35">
      <c r="A41" s="9"/>
      <c r="B41" s="8">
        <v>0.05</v>
      </c>
      <c r="C41" s="8">
        <v>0.1</v>
      </c>
      <c r="D41" s="13">
        <v>0.15</v>
      </c>
    </row>
    <row r="42" spans="1:22" x14ac:dyDescent="0.35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 x14ac:dyDescent="0.35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 x14ac:dyDescent="0.35">
      <c r="A44" s="10"/>
    </row>
    <row r="45" spans="1:22" x14ac:dyDescent="0.3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3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x14ac:dyDescent="0.3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x14ac:dyDescent="0.35">
      <c r="A48" s="3" t="s">
        <v>103</v>
      </c>
    </row>
    <row r="49" spans="1:22" x14ac:dyDescent="0.35">
      <c r="A49" s="1" t="s">
        <v>104</v>
      </c>
    </row>
    <row r="50" spans="1:22" x14ac:dyDescent="0.35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 x14ac:dyDescent="0.35">
      <c r="A51" t="s">
        <v>83</v>
      </c>
      <c r="C51">
        <f>-1*(C23/M22)</f>
        <v>-40</v>
      </c>
      <c r="F51">
        <f>C23/M22</f>
        <v>40</v>
      </c>
    </row>
    <row r="52" spans="1:22" x14ac:dyDescent="0.35">
      <c r="A52" s="1" t="s">
        <v>105</v>
      </c>
    </row>
    <row r="53" spans="1:22" x14ac:dyDescent="0.35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 x14ac:dyDescent="0.35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x14ac:dyDescent="0.3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x14ac:dyDescent="0.3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x14ac:dyDescent="0.35">
      <c r="A59" s="3" t="s">
        <v>108</v>
      </c>
    </row>
    <row r="60" spans="1:22" x14ac:dyDescent="0.35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 x14ac:dyDescent="0.35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 x14ac:dyDescent="0.35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 x14ac:dyDescent="0.35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 x14ac:dyDescent="0.35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 x14ac:dyDescent="0.35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x14ac:dyDescent="0.35">
      <c r="A67" s="3" t="s">
        <v>115</v>
      </c>
    </row>
    <row r="68" spans="1:22" x14ac:dyDescent="0.3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x14ac:dyDescent="0.35">
      <c r="A70" s="9"/>
      <c r="B70" s="8">
        <v>0.05</v>
      </c>
      <c r="C70" s="8">
        <v>0.1</v>
      </c>
      <c r="D70" s="13">
        <v>0.15</v>
      </c>
    </row>
    <row r="71" spans="1:22" x14ac:dyDescent="0.35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 x14ac:dyDescent="0.35">
      <c r="A72" s="11" t="s">
        <v>99</v>
      </c>
      <c r="B72" s="17">
        <f>IRR(B68:V68)</f>
        <v>0.19119508293368725</v>
      </c>
      <c r="C72" s="12"/>
      <c r="D72" s="14"/>
    </row>
    <row r="74" spans="1:22" x14ac:dyDescent="0.3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35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x14ac:dyDescent="0.3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x14ac:dyDescent="0.35">
      <c r="A77" s="1" t="s">
        <v>91</v>
      </c>
    </row>
    <row r="78" spans="1:22" x14ac:dyDescent="0.35">
      <c r="A78" t="s">
        <v>92</v>
      </c>
      <c r="B78">
        <f>-1*($H$8/$M$22)</f>
        <v>-688.63636363636351</v>
      </c>
      <c r="V78">
        <f>$H$15/$M$22</f>
        <v>68.86363636363636</v>
      </c>
    </row>
    <row r="79" spans="1:22" x14ac:dyDescent="0.35">
      <c r="A79" t="s">
        <v>93</v>
      </c>
      <c r="C79">
        <f>-1*($H$14/$M$22)</f>
        <v>-104.19658</v>
      </c>
      <c r="V79" s="15">
        <f>$H$14/$M$22</f>
        <v>104.19658</v>
      </c>
    </row>
    <row r="80" spans="1:22" x14ac:dyDescent="0.3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x14ac:dyDescent="0.3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x14ac:dyDescent="0.3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x14ac:dyDescent="0.3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x14ac:dyDescent="0.3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x14ac:dyDescent="0.35">
      <c r="A89" s="9"/>
      <c r="B89" s="8">
        <v>0.05</v>
      </c>
      <c r="C89" s="8">
        <v>0.1</v>
      </c>
      <c r="D89" s="13">
        <v>0.15</v>
      </c>
    </row>
    <row r="90" spans="1:23" x14ac:dyDescent="0.35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 x14ac:dyDescent="0.35">
      <c r="A91" s="11" t="s">
        <v>99</v>
      </c>
      <c r="B91" s="17">
        <f>IRR(B87:V87)</f>
        <v>7.7519671610481566E-2</v>
      </c>
      <c r="C91" s="12"/>
      <c r="D91" s="14"/>
    </row>
    <row r="97" spans="1:1" x14ac:dyDescent="0.35">
      <c r="A97" s="3"/>
    </row>
    <row r="98" spans="1:1" x14ac:dyDescent="0.3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265625" defaultRowHeight="14.5" x14ac:dyDescent="0.35"/>
  <cols>
    <col min="1" max="1" width="26.36328125" style="53" customWidth="1"/>
    <col min="2" max="2" width="9.453125" style="53" customWidth="1"/>
    <col min="3" max="3" width="11.08984375" style="53" customWidth="1"/>
    <col min="4" max="4" width="11.63281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13.453125" style="53" customWidth="1"/>
    <col min="14" max="14" width="10.90625" style="53" bestFit="1" customWidth="1"/>
    <col min="15" max="15" width="16.90625" style="53" customWidth="1"/>
    <col min="16" max="16384" width="8.7265625" style="53"/>
  </cols>
  <sheetData>
    <row r="1" spans="1:13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x14ac:dyDescent="0.3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 x14ac:dyDescent="0.35">
      <c r="H15" s="54"/>
      <c r="J15" s="54"/>
    </row>
    <row r="16" spans="1:13" ht="22" customHeight="1" x14ac:dyDescent="0.35">
      <c r="E16" s="51"/>
      <c r="F16" s="51"/>
      <c r="G16" s="53" t="s">
        <v>158</v>
      </c>
    </row>
    <row r="17" spans="1:14" ht="15" thickBot="1" x14ac:dyDescent="0.4">
      <c r="A17"/>
      <c r="B17"/>
      <c r="C17"/>
      <c r="D17"/>
    </row>
    <row r="18" spans="1:14" x14ac:dyDescent="0.3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x14ac:dyDescent="0.3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x14ac:dyDescent="0.3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" thickBot="1" x14ac:dyDescent="0.4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x14ac:dyDescent="0.3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 x14ac:dyDescent="0.35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 x14ac:dyDescent="0.35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 x14ac:dyDescent="0.35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x14ac:dyDescent="0.3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 x14ac:dyDescent="0.3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3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 x14ac:dyDescent="0.35">
      <c r="A29"/>
      <c r="B29"/>
      <c r="C29"/>
      <c r="D29"/>
      <c r="E29"/>
      <c r="F29"/>
      <c r="G29"/>
      <c r="H29"/>
      <c r="I29"/>
      <c r="J29"/>
      <c r="K29"/>
      <c r="L29"/>
    </row>
    <row r="30" spans="1:14" x14ac:dyDescent="0.3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" thickBot="1" x14ac:dyDescent="0.4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x14ac:dyDescent="0.3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x14ac:dyDescent="0.3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x14ac:dyDescent="0.3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" thickBot="1" x14ac:dyDescent="0.4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x14ac:dyDescent="0.3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x14ac:dyDescent="0.3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 x14ac:dyDescent="0.35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 x14ac:dyDescent="0.35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x14ac:dyDescent="0.3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 x14ac:dyDescent="0.35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 x14ac:dyDescent="0.35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x14ac:dyDescent="0.3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4" x14ac:dyDescent="0.3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4" x14ac:dyDescent="0.3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8" x14ac:dyDescent="0.3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x14ac:dyDescent="0.3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8" x14ac:dyDescent="0.35">
      <c r="A52"/>
      <c r="B52"/>
      <c r="C52"/>
      <c r="D52"/>
      <c r="E52"/>
      <c r="F52"/>
      <c r="G52"/>
      <c r="H52"/>
    </row>
    <row r="53" spans="1:18" x14ac:dyDescent="0.35">
      <c r="A53"/>
      <c r="B53"/>
      <c r="C53"/>
      <c r="D53"/>
      <c r="E53"/>
      <c r="F53"/>
      <c r="G53"/>
      <c r="H53"/>
      <c r="I53"/>
      <c r="M53"/>
    </row>
    <row r="54" spans="1:18" x14ac:dyDescent="0.35">
      <c r="A54"/>
      <c r="B54"/>
      <c r="C54"/>
      <c r="D54"/>
      <c r="E54"/>
      <c r="F54"/>
      <c r="G54"/>
      <c r="H54"/>
      <c r="J54"/>
    </row>
    <row r="60" spans="1:18" x14ac:dyDescent="0.35">
      <c r="N60"/>
      <c r="O60"/>
      <c r="P60"/>
      <c r="Q60"/>
      <c r="R60"/>
    </row>
    <row r="64" spans="1:18" x14ac:dyDescent="0.35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5" x14ac:dyDescent="0.35"/>
  <cols>
    <col min="1" max="1" width="22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35</v>
      </c>
      <c r="B2">
        <v>6</v>
      </c>
      <c r="C2" t="s">
        <v>3</v>
      </c>
    </row>
    <row r="3" spans="1:3" x14ac:dyDescent="0.35">
      <c r="A3" t="s">
        <v>4</v>
      </c>
      <c r="B3">
        <v>0.5</v>
      </c>
      <c r="C3" t="s">
        <v>3</v>
      </c>
    </row>
    <row r="4" spans="1:3" x14ac:dyDescent="0.35">
      <c r="A4" t="s">
        <v>5</v>
      </c>
      <c r="B4">
        <v>10</v>
      </c>
      <c r="C4" t="s">
        <v>6</v>
      </c>
    </row>
    <row r="5" spans="1:3" x14ac:dyDescent="0.35">
      <c r="A5" t="s">
        <v>7</v>
      </c>
      <c r="B5">
        <v>2</v>
      </c>
      <c r="C5" t="s">
        <v>8</v>
      </c>
    </row>
    <row r="6" spans="1:3" x14ac:dyDescent="0.35">
      <c r="A6" t="s">
        <v>9</v>
      </c>
      <c r="B6">
        <v>4</v>
      </c>
      <c r="C6" t="s">
        <v>8</v>
      </c>
    </row>
    <row r="7" spans="1:3" x14ac:dyDescent="0.35">
      <c r="A7" t="s">
        <v>10</v>
      </c>
      <c r="B7">
        <v>2.5</v>
      </c>
      <c r="C7" t="s">
        <v>8</v>
      </c>
    </row>
    <row r="8" spans="1:3" x14ac:dyDescent="0.35">
      <c r="A8" t="s">
        <v>11</v>
      </c>
      <c r="B8">
        <v>50000</v>
      </c>
      <c r="C8" t="s">
        <v>12</v>
      </c>
    </row>
    <row r="9" spans="1:3" x14ac:dyDescent="0.35">
      <c r="A9" t="s">
        <v>13</v>
      </c>
      <c r="B9">
        <v>20000</v>
      </c>
      <c r="C9" t="s">
        <v>12</v>
      </c>
    </row>
    <row r="10" spans="1:3" x14ac:dyDescent="0.35">
      <c r="A10" t="s">
        <v>14</v>
      </c>
      <c r="B10">
        <v>15000</v>
      </c>
      <c r="C10" t="s">
        <v>12</v>
      </c>
    </row>
    <row r="11" spans="1:3" x14ac:dyDescent="0.35">
      <c r="A11" t="s">
        <v>15</v>
      </c>
      <c r="B11">
        <v>15000</v>
      </c>
      <c r="C11" t="s">
        <v>12</v>
      </c>
    </row>
    <row r="12" spans="1:3" x14ac:dyDescent="0.35">
      <c r="A12" t="s">
        <v>16</v>
      </c>
      <c r="B12">
        <v>80</v>
      </c>
      <c r="C12" t="s">
        <v>17</v>
      </c>
    </row>
    <row r="13" spans="1:3" x14ac:dyDescent="0.35">
      <c r="A13" t="s">
        <v>18</v>
      </c>
      <c r="B13">
        <v>6</v>
      </c>
      <c r="C13" t="s">
        <v>19</v>
      </c>
    </row>
    <row r="14" spans="1:3" x14ac:dyDescent="0.35">
      <c r="A14" t="s">
        <v>20</v>
      </c>
      <c r="B14">
        <v>8</v>
      </c>
      <c r="C14" t="s">
        <v>17</v>
      </c>
    </row>
    <row r="15" spans="1:3" x14ac:dyDescent="0.35">
      <c r="A15" t="s">
        <v>21</v>
      </c>
      <c r="B15">
        <v>1</v>
      </c>
      <c r="C15" t="s">
        <v>22</v>
      </c>
    </row>
    <row r="16" spans="1:3" x14ac:dyDescent="0.35">
      <c r="A16" t="s">
        <v>23</v>
      </c>
      <c r="B16">
        <v>9</v>
      </c>
      <c r="C16" t="s">
        <v>19</v>
      </c>
    </row>
    <row r="17" spans="1:3" x14ac:dyDescent="0.35">
      <c r="A17" t="s">
        <v>24</v>
      </c>
      <c r="B17">
        <v>400</v>
      </c>
      <c r="C17" t="s">
        <v>25</v>
      </c>
    </row>
    <row r="18" spans="1:3" x14ac:dyDescent="0.35">
      <c r="A18" t="s">
        <v>26</v>
      </c>
      <c r="B18">
        <v>2</v>
      </c>
      <c r="C18" t="s">
        <v>17</v>
      </c>
    </row>
    <row r="19" spans="1:3" x14ac:dyDescent="0.35">
      <c r="A19" t="s">
        <v>27</v>
      </c>
      <c r="B19">
        <v>10</v>
      </c>
      <c r="C19" t="s">
        <v>17</v>
      </c>
    </row>
    <row r="20" spans="1:3" x14ac:dyDescent="0.35">
      <c r="A20" t="s">
        <v>28</v>
      </c>
      <c r="B20">
        <v>10</v>
      </c>
      <c r="C20" t="s">
        <v>17</v>
      </c>
    </row>
    <row r="21" spans="1:3" x14ac:dyDescent="0.35">
      <c r="A21" t="s">
        <v>29</v>
      </c>
      <c r="B21">
        <v>20</v>
      </c>
      <c r="C21" t="s">
        <v>8</v>
      </c>
    </row>
    <row r="22" spans="1:3" x14ac:dyDescent="0.35">
      <c r="A22" t="s">
        <v>30</v>
      </c>
      <c r="B22">
        <v>50</v>
      </c>
      <c r="C22" t="s">
        <v>17</v>
      </c>
    </row>
    <row r="23" spans="1:3" x14ac:dyDescent="0.35">
      <c r="A23" t="s">
        <v>31</v>
      </c>
      <c r="B23">
        <v>1.1499999999999999</v>
      </c>
      <c r="C23" t="s">
        <v>32</v>
      </c>
    </row>
    <row r="24" spans="1:3" x14ac:dyDescent="0.35">
      <c r="A24" t="s">
        <v>33</v>
      </c>
      <c r="B24">
        <v>0.75</v>
      </c>
      <c r="C24" t="s">
        <v>32</v>
      </c>
    </row>
    <row r="25" spans="1:3" x14ac:dyDescent="0.35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zoomScale="74" zoomScaleNormal="82" workbookViewId="0">
      <selection activeCell="A25" sqref="A25"/>
    </sheetView>
  </sheetViews>
  <sheetFormatPr defaultColWidth="8.7265625" defaultRowHeight="14.5" x14ac:dyDescent="0.35"/>
  <cols>
    <col min="1" max="1" width="19" style="53" customWidth="1"/>
    <col min="2" max="2" width="9.453125" style="53" customWidth="1"/>
    <col min="3" max="3" width="11.08984375" style="53" customWidth="1"/>
    <col min="4" max="4" width="21.906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22" style="53" customWidth="1"/>
    <col min="14" max="14" width="10.90625" style="53" bestFit="1" customWidth="1"/>
    <col min="15" max="15" width="21.36328125" style="53" customWidth="1"/>
    <col min="16" max="16" width="8.7265625" style="53"/>
    <col min="17" max="17" width="13.26953125" style="53" customWidth="1"/>
    <col min="18" max="16384" width="8.7265625" style="53"/>
  </cols>
  <sheetData>
    <row r="1" spans="1:17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" thickBot="1" x14ac:dyDescent="0.4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8" t="s">
        <v>245</v>
      </c>
      <c r="P13" s="119" t="s">
        <v>241</v>
      </c>
      <c r="Q13" s="120" t="s">
        <v>242</v>
      </c>
    </row>
    <row r="14" spans="1:17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236</v>
      </c>
      <c r="P14" s="53">
        <f>K14</f>
        <v>60</v>
      </c>
      <c r="Q14" s="56">
        <f>I14</f>
        <v>6</v>
      </c>
    </row>
    <row r="15" spans="1:17" x14ac:dyDescent="0.35">
      <c r="D15" s="51" t="s">
        <v>196</v>
      </c>
      <c r="H15" s="54"/>
      <c r="J15" s="54"/>
      <c r="O15" s="65" t="s">
        <v>237</v>
      </c>
      <c r="Q15" s="56"/>
    </row>
    <row r="16" spans="1:17" ht="22" customHeight="1" x14ac:dyDescent="0.35">
      <c r="D16" s="88">
        <f>(1+D13)/(1+M3)-1</f>
        <v>5.8823529411764719E-2</v>
      </c>
      <c r="E16" s="51"/>
      <c r="F16" s="51"/>
      <c r="G16" s="53" t="s">
        <v>158</v>
      </c>
      <c r="O16" s="121" t="s">
        <v>239</v>
      </c>
      <c r="P16" s="53">
        <f>I5</f>
        <v>5</v>
      </c>
      <c r="Q16" s="56">
        <f>J5</f>
        <v>0.5</v>
      </c>
    </row>
    <row r="17" spans="1:17" ht="15" thickBot="1" x14ac:dyDescent="0.4">
      <c r="A17"/>
      <c r="B17"/>
      <c r="C17"/>
      <c r="D17"/>
      <c r="O17" s="122" t="s">
        <v>238</v>
      </c>
      <c r="Q17" s="56">
        <f>Q14-Q16</f>
        <v>5.5</v>
      </c>
    </row>
    <row r="18" spans="1:17" x14ac:dyDescent="0.3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240</v>
      </c>
      <c r="P18" s="53">
        <f>Q17*M2</f>
        <v>55</v>
      </c>
      <c r="Q18" s="56"/>
    </row>
    <row r="19" spans="1:17" x14ac:dyDescent="0.3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  <c r="O19" s="121" t="s">
        <v>147</v>
      </c>
      <c r="P19" s="53">
        <f>I4</f>
        <v>2</v>
      </c>
      <c r="Q19" s="56">
        <f>J4</f>
        <v>0.2</v>
      </c>
    </row>
    <row r="20" spans="1:17" x14ac:dyDescent="0.3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NPV(O5,B22:K22)/NPV(O4,B23:K23)</f>
        <v>1.2195905245832674</v>
      </c>
      <c r="O20" s="121" t="s">
        <v>148</v>
      </c>
      <c r="P20" s="53">
        <f>I6</f>
        <v>4</v>
      </c>
      <c r="Q20" s="56">
        <f>J6</f>
        <v>0.4</v>
      </c>
    </row>
    <row r="21" spans="1:17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  <c r="O21" s="121" t="s">
        <v>146</v>
      </c>
      <c r="P21" s="53">
        <f>I3</f>
        <v>2.5</v>
      </c>
      <c r="Q21" s="56">
        <f>J3</f>
        <v>0.25</v>
      </c>
    </row>
    <row r="22" spans="1:17" x14ac:dyDescent="0.35">
      <c r="A22" s="78" t="s">
        <v>183</v>
      </c>
      <c r="B22">
        <v>0</v>
      </c>
      <c r="C22">
        <f>$L$14*(1+$M$3)^C21</f>
        <v>24969.599999999999</v>
      </c>
      <c r="D22">
        <f t="shared" ref="D22:K22" si="1">$L$14*(1+$M$3)^D21</f>
        <v>25468.991999999998</v>
      </c>
      <c r="E22">
        <f t="shared" si="1"/>
        <v>25978.37184</v>
      </c>
      <c r="F22">
        <f t="shared" si="1"/>
        <v>26497.9392768</v>
      </c>
      <c r="G22">
        <f t="shared" si="1"/>
        <v>27027.898062336</v>
      </c>
      <c r="H22">
        <f t="shared" si="1"/>
        <v>27568.456023582716</v>
      </c>
      <c r="I22">
        <f t="shared" si="1"/>
        <v>28119.825144054372</v>
      </c>
      <c r="J22">
        <f t="shared" si="1"/>
        <v>28682.221646935461</v>
      </c>
      <c r="K22">
        <f t="shared" si="1"/>
        <v>29255.866079874169</v>
      </c>
      <c r="L22" s="1"/>
      <c r="M22" s="4"/>
      <c r="O22" s="122" t="s">
        <v>243</v>
      </c>
      <c r="P22" s="53">
        <f>P18-P19-P20-P21</f>
        <v>46.5</v>
      </c>
      <c r="Q22" s="56"/>
    </row>
    <row r="23" spans="1:17" ht="15" thickBot="1" x14ac:dyDescent="0.4">
      <c r="A23" s="78" t="s">
        <v>180</v>
      </c>
      <c r="B23">
        <f>B24+B25+B31+B32</f>
        <v>10200</v>
      </c>
      <c r="C23" s="2">
        <f>C24+C25+C31+C32</f>
        <v>21102.387758143603</v>
      </c>
      <c r="D23">
        <f t="shared" ref="D23:K23" si="2">D24+D25+D31+D32</f>
        <v>21347.9221581436</v>
      </c>
      <c r="E23" s="2">
        <f>E24+E25+E31+E32</f>
        <v>21598.3672461436</v>
      </c>
      <c r="F23">
        <f t="shared" si="2"/>
        <v>21853.821235903601</v>
      </c>
      <c r="G23">
        <f t="shared" si="2"/>
        <v>22114.384305458803</v>
      </c>
      <c r="H23">
        <f t="shared" si="2"/>
        <v>22380.158636405104</v>
      </c>
      <c r="I23">
        <f t="shared" si="2"/>
        <v>13825.580695826733</v>
      </c>
      <c r="J23">
        <f t="shared" si="2"/>
        <v>14102.092309743268</v>
      </c>
      <c r="K23">
        <f t="shared" si="2"/>
        <v>14384.134155938134</v>
      </c>
      <c r="L23" s="1"/>
      <c r="M23" s="4"/>
      <c r="O23" s="123" t="s">
        <v>244</v>
      </c>
      <c r="P23" s="124">
        <f>P22*H14</f>
        <v>18600</v>
      </c>
      <c r="Q23" s="67"/>
    </row>
    <row r="24" spans="1:17" x14ac:dyDescent="0.3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17" x14ac:dyDescent="0.35">
      <c r="A25" s="83" t="s">
        <v>192</v>
      </c>
      <c r="B25">
        <v>0</v>
      </c>
      <c r="C25" s="2">
        <f>$I$7*(1+$M$3)^C21</f>
        <v>3953.52</v>
      </c>
      <c r="D25" s="2">
        <f t="shared" ref="D25:K25" si="4">$I$7*(1+$M$3)^D21</f>
        <v>4032.5903999999996</v>
      </c>
      <c r="E25" s="2">
        <f t="shared" si="4"/>
        <v>4113.2422079999997</v>
      </c>
      <c r="F25" s="2">
        <f t="shared" si="4"/>
        <v>4195.5070521600001</v>
      </c>
      <c r="G25" s="2">
        <f t="shared" si="4"/>
        <v>4279.4171932032004</v>
      </c>
      <c r="H25" s="2">
        <f t="shared" si="4"/>
        <v>4365.0055370672635</v>
      </c>
      <c r="I25" s="2">
        <f t="shared" si="4"/>
        <v>4452.3056478086091</v>
      </c>
      <c r="J25" s="2">
        <f t="shared" si="4"/>
        <v>4541.3517607647809</v>
      </c>
      <c r="K25" s="2">
        <f t="shared" si="4"/>
        <v>4632.1787959800768</v>
      </c>
      <c r="L25" s="1"/>
      <c r="M25" s="4"/>
    </row>
    <row r="26" spans="1:17" x14ac:dyDescent="0.35">
      <c r="A26" s="83" t="s">
        <v>193</v>
      </c>
      <c r="B26"/>
      <c r="C26"/>
      <c r="D26"/>
      <c r="E26"/>
      <c r="F26"/>
      <c r="G26"/>
      <c r="H26"/>
      <c r="I26"/>
      <c r="J26"/>
      <c r="K26"/>
      <c r="L26" s="1"/>
      <c r="M26" s="4"/>
    </row>
    <row r="27" spans="1:17" x14ac:dyDescent="0.35">
      <c r="A27" s="80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1"/>
      <c r="M27" s="4"/>
    </row>
    <row r="28" spans="1:17" x14ac:dyDescent="0.35">
      <c r="A28" s="80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1"/>
      <c r="M28" s="4"/>
    </row>
    <row r="29" spans="1:17" x14ac:dyDescent="0.35">
      <c r="A29" s="80" t="s">
        <v>186</v>
      </c>
      <c r="B29">
        <v>0</v>
      </c>
      <c r="C29" s="82">
        <f>PPMT($D$13, B21, $E$13,-$B$28)</f>
        <v>5561.6677581436015</v>
      </c>
      <c r="D29" s="82">
        <f t="shared" ref="D29:H29" si="5">PPMT($D$13, C21, $E$13,-$B$28)</f>
        <v>6006.6011787950893</v>
      </c>
      <c r="E29" s="82">
        <f t="shared" si="5"/>
        <v>6487.1292730986961</v>
      </c>
      <c r="F29" s="82">
        <f t="shared" si="5"/>
        <v>7006.0996149465918</v>
      </c>
      <c r="G29" s="82">
        <f t="shared" si="5"/>
        <v>7566.5875841423194</v>
      </c>
      <c r="H29" s="82">
        <f t="shared" si="5"/>
        <v>8171.9145908737055</v>
      </c>
      <c r="I29">
        <v>0</v>
      </c>
      <c r="J29">
        <v>0</v>
      </c>
      <c r="K29">
        <v>0</v>
      </c>
      <c r="L29" s="1"/>
      <c r="M29" s="4"/>
    </row>
    <row r="30" spans="1:17" x14ac:dyDescent="0.35">
      <c r="A30" s="80" t="s">
        <v>187</v>
      </c>
      <c r="B30">
        <v>0</v>
      </c>
      <c r="C30" s="16">
        <f>IPMT($D$13,B21,$E$13,-$B$28)</f>
        <v>3264</v>
      </c>
      <c r="D30" s="16">
        <f t="shared" ref="D30:H30" si="6">IPMT($D$13,C21,$E$13,-$B$28)</f>
        <v>2819.0665793485127</v>
      </c>
      <c r="E30" s="16">
        <f t="shared" si="6"/>
        <v>2338.538485044905</v>
      </c>
      <c r="F30" s="16">
        <f t="shared" si="6"/>
        <v>1819.5681431970095</v>
      </c>
      <c r="G30" s="16">
        <f t="shared" si="6"/>
        <v>1259.0801740012819</v>
      </c>
      <c r="H30" s="16">
        <f t="shared" si="6"/>
        <v>653.75316726989638</v>
      </c>
      <c r="I30">
        <v>0</v>
      </c>
      <c r="J30">
        <v>0</v>
      </c>
      <c r="K30">
        <v>0</v>
      </c>
      <c r="L30" s="1"/>
      <c r="M30" s="4"/>
    </row>
    <row r="31" spans="1:17" x14ac:dyDescent="0.35">
      <c r="A31" s="79" t="s">
        <v>188</v>
      </c>
      <c r="B31">
        <f>SUM(B29:B30)</f>
        <v>0</v>
      </c>
      <c r="C31" s="82">
        <f>SUM(C29:C30)</f>
        <v>8825.6677581436015</v>
      </c>
      <c r="D31">
        <f t="shared" ref="D31:K31" si="7">SUM(D29:D30)</f>
        <v>8825.6677581436015</v>
      </c>
      <c r="E31">
        <f t="shared" si="7"/>
        <v>8825.6677581436015</v>
      </c>
      <c r="F31">
        <f t="shared" si="7"/>
        <v>8825.6677581436015</v>
      </c>
      <c r="G31">
        <f t="shared" si="7"/>
        <v>8825.6677581436015</v>
      </c>
      <c r="H31">
        <f t="shared" si="7"/>
        <v>8825.6677581436015</v>
      </c>
      <c r="I31">
        <f t="shared" si="7"/>
        <v>0</v>
      </c>
      <c r="J31">
        <f t="shared" si="7"/>
        <v>0</v>
      </c>
      <c r="K31">
        <f t="shared" si="7"/>
        <v>0</v>
      </c>
      <c r="L31" s="1"/>
      <c r="M31" s="4"/>
    </row>
    <row r="32" spans="1:17" x14ac:dyDescent="0.35">
      <c r="A32" s="79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/>
      <c r="M32" s="4"/>
    </row>
    <row r="33" spans="1:13" x14ac:dyDescent="0.35">
      <c r="A33" s="81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E33:K33" si="8">($H$14*$I$6)*(1+$M$3)^E21</f>
        <v>1731.8914560000001</v>
      </c>
      <c r="F33">
        <f t="shared" si="8"/>
        <v>1766.5292851199999</v>
      </c>
      <c r="G33">
        <f t="shared" si="8"/>
        <v>1801.8598708224001</v>
      </c>
      <c r="H33">
        <f t="shared" si="8"/>
        <v>1837.8970682388476</v>
      </c>
      <c r="I33">
        <f t="shared" si="8"/>
        <v>1874.6550096036249</v>
      </c>
      <c r="J33">
        <f t="shared" si="8"/>
        <v>1912.1481097956973</v>
      </c>
      <c r="K33">
        <f t="shared" si="8"/>
        <v>1950.3910719916114</v>
      </c>
      <c r="L33" s="1"/>
      <c r="M33" s="4"/>
    </row>
    <row r="34" spans="1:13" x14ac:dyDescent="0.35">
      <c r="A34" s="3"/>
      <c r="B34" s="2"/>
      <c r="C34"/>
      <c r="D34"/>
      <c r="E34"/>
      <c r="F34"/>
      <c r="G34"/>
      <c r="H34"/>
      <c r="I34"/>
      <c r="J34"/>
      <c r="K34"/>
      <c r="L34" s="1"/>
      <c r="M34" s="4"/>
    </row>
    <row r="35" spans="1:13" ht="16.5" customHeight="1" x14ac:dyDescent="0.35">
      <c r="A35" s="1" t="s">
        <v>194</v>
      </c>
      <c r="B35">
        <f t="shared" ref="B35:K35" si="9">B22-B23</f>
        <v>-10200</v>
      </c>
      <c r="C35">
        <f t="shared" si="9"/>
        <v>3867.2122418563958</v>
      </c>
      <c r="D35">
        <f t="shared" si="9"/>
        <v>4121.0698418563989</v>
      </c>
      <c r="E35">
        <f t="shared" si="9"/>
        <v>4380.0045938563999</v>
      </c>
      <c r="F35">
        <f t="shared" si="9"/>
        <v>4644.1180408963992</v>
      </c>
      <c r="G35">
        <f t="shared" si="9"/>
        <v>4913.513756877197</v>
      </c>
      <c r="H35">
        <f t="shared" si="9"/>
        <v>5188.2973871776121</v>
      </c>
      <c r="I35">
        <f t="shared" si="9"/>
        <v>14294.244448227639</v>
      </c>
      <c r="J35">
        <f t="shared" si="9"/>
        <v>14580.129337192193</v>
      </c>
      <c r="K35">
        <f t="shared" si="9"/>
        <v>14871.731923936035</v>
      </c>
      <c r="L35" s="1"/>
      <c r="M35" s="4"/>
    </row>
    <row r="36" spans="1:13" ht="15" thickBot="1" x14ac:dyDescent="0.4">
      <c r="L36" s="1"/>
      <c r="M36" s="4"/>
    </row>
    <row r="37" spans="1:13" x14ac:dyDescent="0.35">
      <c r="A37" s="84" t="s">
        <v>112</v>
      </c>
      <c r="B37" s="85">
        <f t="shared" ref="B37:K37" si="10">B35-B33</f>
        <v>-10200</v>
      </c>
      <c r="C37" s="85">
        <f t="shared" si="10"/>
        <v>2202.572241856396</v>
      </c>
      <c r="D37" s="85">
        <f t="shared" si="10"/>
        <v>2423.1370418563993</v>
      </c>
      <c r="E37" s="85">
        <f t="shared" si="10"/>
        <v>2648.1131378563996</v>
      </c>
      <c r="F37" s="85">
        <f t="shared" si="10"/>
        <v>2877.588755776399</v>
      </c>
      <c r="G37" s="85">
        <f t="shared" si="10"/>
        <v>3111.6538860547971</v>
      </c>
      <c r="H37" s="85">
        <f t="shared" si="10"/>
        <v>3350.4003189387645</v>
      </c>
      <c r="I37" s="85">
        <f t="shared" si="10"/>
        <v>12419.589438624014</v>
      </c>
      <c r="J37" s="85">
        <f t="shared" si="10"/>
        <v>12667.981227396496</v>
      </c>
      <c r="K37" s="85">
        <f t="shared" si="10"/>
        <v>12921.340851944424</v>
      </c>
      <c r="L37" s="74"/>
      <c r="M37" s="75">
        <v>0.1</v>
      </c>
    </row>
    <row r="38" spans="1:13" x14ac:dyDescent="0.3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x14ac:dyDescent="0.35">
      <c r="A39" s="86" t="s">
        <v>195</v>
      </c>
      <c r="B39" s="19" t="s">
        <v>114</v>
      </c>
      <c r="C39" s="87"/>
      <c r="D39" s="87"/>
      <c r="E39"/>
      <c r="F39"/>
      <c r="G39"/>
      <c r="H39"/>
      <c r="I39"/>
      <c r="J39"/>
      <c r="K39"/>
      <c r="L39" s="23" t="s">
        <v>175</v>
      </c>
      <c r="M39" s="24">
        <f>NPV(M37,B41:K41)/NPV(M37,B42:K42)</f>
        <v>1.219590524583267</v>
      </c>
    </row>
    <row r="40" spans="1:13" ht="15" thickBot="1" x14ac:dyDescent="0.4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 x14ac:dyDescent="0.35">
      <c r="A41" s="78" t="s">
        <v>183</v>
      </c>
      <c r="B41">
        <v>0</v>
      </c>
      <c r="C41">
        <f t="shared" ref="C41:K41" si="11">C22/(1+$M$3)^C21</f>
        <v>24000</v>
      </c>
      <c r="D41">
        <f t="shared" si="11"/>
        <v>24000</v>
      </c>
      <c r="E41">
        <f t="shared" si="11"/>
        <v>24000</v>
      </c>
      <c r="F41">
        <f t="shared" si="11"/>
        <v>24000</v>
      </c>
      <c r="G41">
        <f t="shared" si="11"/>
        <v>24000</v>
      </c>
      <c r="H41">
        <f t="shared" si="11"/>
        <v>24000</v>
      </c>
      <c r="I41">
        <f t="shared" si="11"/>
        <v>24000</v>
      </c>
      <c r="J41">
        <f t="shared" si="11"/>
        <v>24000</v>
      </c>
      <c r="K41">
        <f t="shared" si="11"/>
        <v>24000</v>
      </c>
    </row>
    <row r="42" spans="1:13" x14ac:dyDescent="0.35">
      <c r="A42" s="78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12">E43+E44+E50+E51</f>
        <v>19953.552789990645</v>
      </c>
      <c r="F42">
        <f t="shared" ref="F42" si="13">F43+F44+F50+F51</f>
        <v>19793.679205873181</v>
      </c>
      <c r="G42">
        <f t="shared" ref="G42" si="14">G43+G44+G50+G51</f>
        <v>19636.940397914885</v>
      </c>
      <c r="H42">
        <f t="shared" ref="H42" si="15">H43+H44+H50+H51</f>
        <v>19483.274899916556</v>
      </c>
      <c r="I42">
        <f t="shared" ref="I42" si="16">I43+I44+I50+I51</f>
        <v>11800</v>
      </c>
      <c r="J42">
        <f t="shared" ref="J42" si="17">J43+J44+J50+J51</f>
        <v>11800</v>
      </c>
      <c r="K42">
        <f t="shared" ref="K42" si="18">K43+K44+K50+K51</f>
        <v>11800</v>
      </c>
    </row>
    <row r="43" spans="1:13" x14ac:dyDescent="0.35">
      <c r="A43" s="83" t="s">
        <v>191</v>
      </c>
      <c r="B43">
        <v>0</v>
      </c>
      <c r="C43">
        <f t="shared" ref="C43:K43" si="19">C24/(1+$M$3)^C40</f>
        <v>8000.0000000000009</v>
      </c>
      <c r="D43">
        <f t="shared" si="19"/>
        <v>7999.9999999999991</v>
      </c>
      <c r="E43">
        <f t="shared" si="19"/>
        <v>8000.0000000000009</v>
      </c>
      <c r="F43">
        <f t="shared" si="19"/>
        <v>8000</v>
      </c>
      <c r="G43">
        <f t="shared" si="19"/>
        <v>8000.0000000000009</v>
      </c>
      <c r="H43">
        <f t="shared" si="19"/>
        <v>8000</v>
      </c>
      <c r="I43">
        <f t="shared" si="19"/>
        <v>8000</v>
      </c>
      <c r="J43">
        <f t="shared" si="19"/>
        <v>8000</v>
      </c>
      <c r="K43">
        <f t="shared" si="19"/>
        <v>8000.0000000000009</v>
      </c>
    </row>
    <row r="44" spans="1:13" x14ac:dyDescent="0.35">
      <c r="A44" s="83" t="s">
        <v>192</v>
      </c>
      <c r="B44">
        <v>0</v>
      </c>
      <c r="C44" s="2">
        <f t="shared" ref="C44:K44" si="20">C25/(1+$M$3)^C40</f>
        <v>3800</v>
      </c>
      <c r="D44" s="2">
        <f t="shared" si="20"/>
        <v>3800</v>
      </c>
      <c r="E44" s="2">
        <f t="shared" si="20"/>
        <v>3799.9999999999995</v>
      </c>
      <c r="F44" s="2">
        <f t="shared" si="20"/>
        <v>3800</v>
      </c>
      <c r="G44" s="2">
        <f t="shared" si="20"/>
        <v>3800</v>
      </c>
      <c r="H44" s="2">
        <f t="shared" si="20"/>
        <v>3800</v>
      </c>
      <c r="I44" s="2">
        <f t="shared" si="20"/>
        <v>3800</v>
      </c>
      <c r="J44" s="2">
        <f t="shared" si="20"/>
        <v>3800</v>
      </c>
      <c r="K44" s="2">
        <f t="shared" si="20"/>
        <v>3800</v>
      </c>
    </row>
    <row r="45" spans="1:13" x14ac:dyDescent="0.35">
      <c r="A45" s="83" t="s">
        <v>193</v>
      </c>
      <c r="B45"/>
      <c r="C45"/>
      <c r="D45"/>
      <c r="E45"/>
      <c r="F45"/>
      <c r="G45"/>
      <c r="H45"/>
      <c r="I45"/>
      <c r="J45"/>
      <c r="K45"/>
    </row>
    <row r="46" spans="1:13" x14ac:dyDescent="0.35">
      <c r="A46" s="80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 x14ac:dyDescent="0.35">
      <c r="A47" s="80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 x14ac:dyDescent="0.35">
      <c r="A48" s="80" t="s">
        <v>186</v>
      </c>
      <c r="B48">
        <v>0</v>
      </c>
      <c r="C48" s="82">
        <f t="shared" ref="C48:K48" si="21">C29/(1+$M$3)^C40</f>
        <v>5345.701420745484</v>
      </c>
      <c r="D48" s="82">
        <f t="shared" si="21"/>
        <v>5660.1544454952182</v>
      </c>
      <c r="E48" s="82">
        <f t="shared" si="21"/>
        <v>5993.1047069949364</v>
      </c>
      <c r="F48" s="82">
        <f t="shared" si="21"/>
        <v>6345.6402779946384</v>
      </c>
      <c r="G48" s="82">
        <f t="shared" si="21"/>
        <v>6718.9132355237343</v>
      </c>
      <c r="H48" s="82">
        <f t="shared" si="21"/>
        <v>7114.1434258486624</v>
      </c>
      <c r="I48" s="82">
        <f t="shared" si="21"/>
        <v>0</v>
      </c>
      <c r="J48" s="82">
        <f t="shared" si="21"/>
        <v>0</v>
      </c>
      <c r="K48" s="82">
        <f t="shared" si="21"/>
        <v>0</v>
      </c>
    </row>
    <row r="49" spans="1:17" x14ac:dyDescent="0.35">
      <c r="A49" s="80" t="s">
        <v>187</v>
      </c>
      <c r="B49">
        <v>0</v>
      </c>
      <c r="C49" s="16">
        <f t="shared" ref="C49:K49" si="22">C30/(1+$M$3)^C40</f>
        <v>3137.2549019607845</v>
      </c>
      <c r="D49" s="16">
        <f t="shared" si="22"/>
        <v>2656.4694002952419</v>
      </c>
      <c r="E49" s="16">
        <f t="shared" si="22"/>
        <v>2160.4480829957092</v>
      </c>
      <c r="F49" s="16">
        <f t="shared" si="22"/>
        <v>1648.0389278785437</v>
      </c>
      <c r="G49" s="16">
        <f t="shared" si="22"/>
        <v>1118.0271623911494</v>
      </c>
      <c r="H49" s="16">
        <f t="shared" si="22"/>
        <v>569.1314740678929</v>
      </c>
      <c r="I49" s="16">
        <f t="shared" si="22"/>
        <v>0</v>
      </c>
      <c r="J49" s="16">
        <f t="shared" si="22"/>
        <v>0</v>
      </c>
      <c r="K49" s="16">
        <f t="shared" si="22"/>
        <v>0</v>
      </c>
    </row>
    <row r="50" spans="1:17" x14ac:dyDescent="0.35">
      <c r="A50" s="79" t="s">
        <v>188</v>
      </c>
      <c r="B50">
        <f>SUM(B48:B49)</f>
        <v>0</v>
      </c>
      <c r="C50" s="82">
        <f>SUM(C48:C49)</f>
        <v>8482.9563227062681</v>
      </c>
      <c r="D50">
        <f t="shared" ref="D50" si="23">SUM(D48:D49)</f>
        <v>8316.6238457904601</v>
      </c>
      <c r="E50">
        <f t="shared" ref="E50" si="24">SUM(E48:E49)</f>
        <v>8153.5527899906456</v>
      </c>
      <c r="F50" s="82">
        <f>SUM(F48:F49)</f>
        <v>7993.6792058731826</v>
      </c>
      <c r="G50" s="82">
        <f>SUM(G48:G49)</f>
        <v>7836.9403979148838</v>
      </c>
      <c r="H50">
        <f t="shared" ref="H50" si="25">SUM(H48:H49)</f>
        <v>7683.2748999165551</v>
      </c>
      <c r="I50">
        <f t="shared" ref="I50" si="26">SUM(I48:I49)</f>
        <v>0</v>
      </c>
      <c r="J50">
        <f t="shared" ref="J50" si="27">SUM(J48:J49)</f>
        <v>0</v>
      </c>
      <c r="K50">
        <f t="shared" ref="K50" si="28">SUM(K48:K49)</f>
        <v>0</v>
      </c>
    </row>
    <row r="51" spans="1:17" x14ac:dyDescent="0.35">
      <c r="A51" s="79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 x14ac:dyDescent="0.35">
      <c r="A52" s="81" t="s">
        <v>190</v>
      </c>
      <c r="B52">
        <v>0</v>
      </c>
      <c r="C52">
        <f t="shared" ref="C52:K52" si="29">C33/(1+$M$3)^C40</f>
        <v>1600</v>
      </c>
      <c r="D52">
        <f t="shared" si="29"/>
        <v>1600</v>
      </c>
      <c r="E52">
        <f t="shared" si="29"/>
        <v>1600</v>
      </c>
      <c r="F52">
        <f t="shared" si="29"/>
        <v>1600</v>
      </c>
      <c r="G52">
        <f t="shared" si="29"/>
        <v>1600</v>
      </c>
      <c r="H52">
        <f t="shared" si="29"/>
        <v>1600</v>
      </c>
      <c r="I52">
        <f t="shared" si="29"/>
        <v>1600</v>
      </c>
      <c r="J52">
        <f t="shared" si="29"/>
        <v>1600</v>
      </c>
      <c r="K52">
        <f t="shared" si="29"/>
        <v>1600</v>
      </c>
      <c r="N52"/>
      <c r="O52"/>
      <c r="P52"/>
      <c r="Q52"/>
    </row>
    <row r="53" spans="1:17" x14ac:dyDescent="0.35">
      <c r="A53" s="3"/>
      <c r="B53" s="2"/>
      <c r="C53"/>
      <c r="D53"/>
      <c r="E53"/>
      <c r="F53"/>
      <c r="G53"/>
      <c r="H53"/>
      <c r="I53"/>
      <c r="J53"/>
      <c r="K53"/>
    </row>
    <row r="54" spans="1:17" x14ac:dyDescent="0.35">
      <c r="A54" s="1" t="s">
        <v>194</v>
      </c>
      <c r="B54">
        <f t="shared" ref="B54:K54" si="30">B41-B42</f>
        <v>-10000</v>
      </c>
      <c r="C54" s="2">
        <f t="shared" si="30"/>
        <v>3717.0436772937319</v>
      </c>
      <c r="D54" s="2">
        <f t="shared" si="30"/>
        <v>3883.3761542095381</v>
      </c>
      <c r="E54">
        <f t="shared" si="30"/>
        <v>4046.4472100093553</v>
      </c>
      <c r="F54">
        <f t="shared" si="30"/>
        <v>4206.3207941268192</v>
      </c>
      <c r="G54">
        <f t="shared" si="30"/>
        <v>4363.0596020851153</v>
      </c>
      <c r="H54">
        <f t="shared" si="30"/>
        <v>4516.725100083444</v>
      </c>
      <c r="I54">
        <f t="shared" si="30"/>
        <v>12200</v>
      </c>
      <c r="J54">
        <f t="shared" si="30"/>
        <v>12200</v>
      </c>
      <c r="K54">
        <f t="shared" si="30"/>
        <v>12200</v>
      </c>
    </row>
    <row r="55" spans="1:17" x14ac:dyDescent="0.35">
      <c r="L55"/>
    </row>
    <row r="56" spans="1:17" x14ac:dyDescent="0.35">
      <c r="A56" s="84" t="s">
        <v>112</v>
      </c>
      <c r="B56" s="85">
        <f t="shared" ref="B56:K56" si="31">B54-B52</f>
        <v>-10000</v>
      </c>
      <c r="C56" s="85">
        <f t="shared" si="31"/>
        <v>2117.0436772937319</v>
      </c>
      <c r="D56" s="89">
        <f t="shared" si="31"/>
        <v>2283.3761542095381</v>
      </c>
      <c r="E56" s="85">
        <f t="shared" si="31"/>
        <v>2446.4472100093553</v>
      </c>
      <c r="F56" s="85">
        <f t="shared" si="31"/>
        <v>2606.3207941268192</v>
      </c>
      <c r="G56" s="85">
        <f t="shared" si="31"/>
        <v>2763.0596020851153</v>
      </c>
      <c r="H56" s="85">
        <f t="shared" si="31"/>
        <v>2916.725100083444</v>
      </c>
      <c r="I56" s="85">
        <f t="shared" si="31"/>
        <v>10600</v>
      </c>
      <c r="J56" s="85">
        <f t="shared" si="31"/>
        <v>10600</v>
      </c>
      <c r="K56" s="85">
        <f t="shared" si="31"/>
        <v>10600</v>
      </c>
      <c r="N56"/>
      <c r="O56"/>
    </row>
    <row r="57" spans="1:17" x14ac:dyDescent="0.35">
      <c r="B57"/>
      <c r="C57"/>
      <c r="D57"/>
      <c r="E57"/>
      <c r="F57"/>
      <c r="G57"/>
      <c r="I57"/>
    </row>
    <row r="62" spans="1:17" x14ac:dyDescent="0.35">
      <c r="M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topLeftCell="A19" zoomScale="70" workbookViewId="0">
      <selection activeCell="S12" sqref="S12"/>
    </sheetView>
  </sheetViews>
  <sheetFormatPr defaultRowHeight="14.5" x14ac:dyDescent="0.35"/>
  <cols>
    <col min="4" max="4" width="14.08984375" customWidth="1"/>
    <col min="5" max="5" width="12.36328125" customWidth="1"/>
    <col min="12" max="12" width="11.453125" customWidth="1"/>
    <col min="13" max="13" width="10.36328125" customWidth="1"/>
  </cols>
  <sheetData>
    <row r="1" spans="1:21" x14ac:dyDescent="0.3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x14ac:dyDescent="0.3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204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x14ac:dyDescent="0.3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204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" thickBot="1" x14ac:dyDescent="0.4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 x14ac:dyDescent="0.35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" thickBot="1" x14ac:dyDescent="0.4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204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" thickBot="1" x14ac:dyDescent="0.4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x14ac:dyDescent="0.3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" thickBot="1" x14ac:dyDescent="0.4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x14ac:dyDescent="0.3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x14ac:dyDescent="0.3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 x14ac:dyDescent="0.4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x14ac:dyDescent="0.3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" thickBot="1" x14ac:dyDescent="0.4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7" ht="15" thickBot="1" x14ac:dyDescent="0.4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x14ac:dyDescent="0.3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x14ac:dyDescent="0.3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NPV(M18,B31:K31)</f>
        <v>41612.629971399925</v>
      </c>
    </row>
    <row r="20" spans="1:17" x14ac:dyDescent="0.3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10.831160280245678</v>
      </c>
    </row>
    <row r="21" spans="1:17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0.33046070707211062</v>
      </c>
    </row>
    <row r="22" spans="1:17" x14ac:dyDescent="0.35">
      <c r="A22" s="78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1"/>
      <c r="M22" s="4"/>
    </row>
    <row r="23" spans="1:17" x14ac:dyDescent="0.35">
      <c r="A23" s="78" t="s">
        <v>180</v>
      </c>
      <c r="B23" s="2">
        <f>B26+B27-B25</f>
        <v>-50235</v>
      </c>
      <c r="C23" s="2">
        <f t="shared" ref="C23:K23" si="2">C26+C27</f>
        <v>11548.44</v>
      </c>
      <c r="D23" s="2">
        <f t="shared" si="2"/>
        <v>11779.408799999999</v>
      </c>
      <c r="E23">
        <f t="shared" si="2"/>
        <v>12014.996976</v>
      </c>
      <c r="F23">
        <f t="shared" si="2"/>
        <v>12255.296915520001</v>
      </c>
      <c r="G23">
        <f t="shared" si="2"/>
        <v>12500.402853830401</v>
      </c>
      <c r="H23">
        <f t="shared" si="2"/>
        <v>12750.410910907005</v>
      </c>
      <c r="I23">
        <f t="shared" si="2"/>
        <v>13005.419129125146</v>
      </c>
      <c r="J23">
        <f t="shared" si="2"/>
        <v>13265.527511707651</v>
      </c>
      <c r="K23" s="2">
        <f t="shared" si="2"/>
        <v>13530.838061941802</v>
      </c>
      <c r="L23" s="1"/>
      <c r="M23" s="4"/>
    </row>
    <row r="24" spans="1:17" s="53" customFormat="1" x14ac:dyDescent="0.35">
      <c r="A24" s="94" t="s">
        <v>201</v>
      </c>
      <c r="B24"/>
      <c r="C24"/>
      <c r="D24"/>
      <c r="E24"/>
      <c r="F24"/>
      <c r="G24"/>
      <c r="H24"/>
      <c r="I24"/>
      <c r="J24"/>
      <c r="K24"/>
      <c r="L24" s="1"/>
      <c r="M24" s="4"/>
    </row>
    <row r="25" spans="1:17" s="53" customFormat="1" x14ac:dyDescent="0.3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</row>
    <row r="26" spans="1:17" x14ac:dyDescent="0.3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</row>
    <row r="27" spans="1:17" x14ac:dyDescent="0.35">
      <c r="A27" s="94" t="s">
        <v>199</v>
      </c>
      <c r="B27">
        <v>0</v>
      </c>
      <c r="C27" s="2">
        <f>($N$7*(1+$S$3)^C21)</f>
        <v>4265.6400000000003</v>
      </c>
      <c r="D27" s="2">
        <f>($N$7*(1+$S$3)^D21)</f>
        <v>4350.9528</v>
      </c>
      <c r="E27" s="2">
        <f t="shared" ref="E27:K27" si="4">($N$7*(1+$S$3)^E21)</f>
        <v>4437.9718560000001</v>
      </c>
      <c r="F27" s="2">
        <f t="shared" si="4"/>
        <v>4526.7312931200004</v>
      </c>
      <c r="G27" s="2">
        <f t="shared" si="4"/>
        <v>4617.2659189823999</v>
      </c>
      <c r="H27" s="2">
        <f t="shared" si="4"/>
        <v>4709.6112373620472</v>
      </c>
      <c r="I27" s="2">
        <f t="shared" si="4"/>
        <v>4803.8034621092884</v>
      </c>
      <c r="J27" s="2">
        <f t="shared" si="4"/>
        <v>4899.8795313514747</v>
      </c>
      <c r="K27" s="2">
        <f t="shared" si="4"/>
        <v>4997.877121978504</v>
      </c>
      <c r="L27" s="1"/>
      <c r="M27" s="4"/>
    </row>
    <row r="28" spans="1:17" x14ac:dyDescent="0.35">
      <c r="A28" s="3"/>
      <c r="B28" s="2"/>
      <c r="L28" s="1"/>
      <c r="M28" s="4"/>
    </row>
    <row r="29" spans="1:17" x14ac:dyDescent="0.35">
      <c r="A29" s="1" t="s">
        <v>194</v>
      </c>
      <c r="B29" s="2">
        <f>B23</f>
        <v>-50235</v>
      </c>
      <c r="C29" s="2">
        <f t="shared" ref="C29:K29" si="5">C22-C23</f>
        <v>17166.599999999999</v>
      </c>
      <c r="D29">
        <f t="shared" si="5"/>
        <v>17509.931999999993</v>
      </c>
      <c r="E29">
        <f t="shared" si="5"/>
        <v>17860.130639999996</v>
      </c>
      <c r="F29">
        <f t="shared" si="5"/>
        <v>18217.333252799996</v>
      </c>
      <c r="G29">
        <f t="shared" si="5"/>
        <v>18581.679917855996</v>
      </c>
      <c r="H29">
        <f t="shared" si="5"/>
        <v>18953.313516213115</v>
      </c>
      <c r="I29">
        <f t="shared" si="5"/>
        <v>19332.379786537378</v>
      </c>
      <c r="J29">
        <f t="shared" si="5"/>
        <v>19719.027382268119</v>
      </c>
      <c r="K29">
        <f t="shared" si="5"/>
        <v>20113.40792991349</v>
      </c>
      <c r="L29" s="1"/>
      <c r="M29" s="4"/>
    </row>
    <row r="30" spans="1:17" x14ac:dyDescent="0.3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4"/>
    </row>
    <row r="31" spans="1:17" x14ac:dyDescent="0.35">
      <c r="A31" s="84" t="s">
        <v>200</v>
      </c>
      <c r="B31" s="89">
        <f>B29</f>
        <v>-50235</v>
      </c>
      <c r="C31" s="89">
        <f>C29</f>
        <v>17166.599999999999</v>
      </c>
      <c r="D31" s="85">
        <f t="shared" ref="D31:K31" si="6">D29</f>
        <v>17509.931999999993</v>
      </c>
      <c r="E31" s="85">
        <f t="shared" si="6"/>
        <v>17860.130639999996</v>
      </c>
      <c r="F31" s="85">
        <f t="shared" si="6"/>
        <v>18217.333252799996</v>
      </c>
      <c r="G31" s="85">
        <f t="shared" si="6"/>
        <v>18581.679917855996</v>
      </c>
      <c r="H31" s="85">
        <f t="shared" si="6"/>
        <v>18953.313516213115</v>
      </c>
      <c r="I31" s="85">
        <f t="shared" si="6"/>
        <v>19332.379786537378</v>
      </c>
      <c r="J31" s="85">
        <f t="shared" si="6"/>
        <v>19719.027382268119</v>
      </c>
      <c r="K31" s="85">
        <f t="shared" si="6"/>
        <v>20113.40792991349</v>
      </c>
      <c r="L31" s="1"/>
      <c r="M31" s="4"/>
    </row>
    <row r="32" spans="1:17" x14ac:dyDescent="0.35">
      <c r="A32" s="1"/>
      <c r="L32" s="1"/>
      <c r="M32" s="4"/>
    </row>
    <row r="33" spans="1:13" x14ac:dyDescent="0.35">
      <c r="A33" s="86" t="s">
        <v>195</v>
      </c>
      <c r="B33" s="92" t="s">
        <v>198</v>
      </c>
      <c r="C33" s="93"/>
      <c r="D33" s="93"/>
      <c r="E33" s="93"/>
      <c r="L33" s="1"/>
      <c r="M33" s="4"/>
    </row>
    <row r="34" spans="1:13" x14ac:dyDescent="0.3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1"/>
      <c r="M34" s="4"/>
    </row>
    <row r="35" spans="1:13" x14ac:dyDescent="0.35">
      <c r="A35" s="78" t="s">
        <v>183</v>
      </c>
      <c r="B35">
        <v>0</v>
      </c>
      <c r="C35">
        <f t="shared" ref="C35:K35" si="7">C22/(1+$S$3)^C21</f>
        <v>27599.999999999996</v>
      </c>
      <c r="D35">
        <f t="shared" si="7"/>
        <v>27599.999999999996</v>
      </c>
      <c r="E35">
        <f t="shared" si="7"/>
        <v>27599.999999999996</v>
      </c>
      <c r="F35">
        <f t="shared" si="7"/>
        <v>27599.999999999996</v>
      </c>
      <c r="G35">
        <f t="shared" si="7"/>
        <v>27599.999999999996</v>
      </c>
      <c r="H35">
        <f t="shared" si="7"/>
        <v>27599.999999999996</v>
      </c>
      <c r="I35">
        <f t="shared" si="7"/>
        <v>27599.999999999996</v>
      </c>
      <c r="J35">
        <f t="shared" si="7"/>
        <v>27599.999999999993</v>
      </c>
      <c r="K35">
        <f t="shared" si="7"/>
        <v>27599.999999999996</v>
      </c>
      <c r="L35" s="1"/>
      <c r="M35" s="4"/>
    </row>
    <row r="36" spans="1:13" x14ac:dyDescent="0.35">
      <c r="A36" s="78" t="s">
        <v>180</v>
      </c>
      <c r="B36" s="2">
        <f>B23/(1+$S$3)^B34</f>
        <v>-49250</v>
      </c>
      <c r="C36" s="2">
        <f>C39+C40</f>
        <v>11100</v>
      </c>
      <c r="D36" s="2">
        <f t="shared" ref="D36:K36" si="8">D39+D40</f>
        <v>11100</v>
      </c>
      <c r="E36" s="2">
        <f t="shared" si="8"/>
        <v>11100</v>
      </c>
      <c r="F36" s="2">
        <f t="shared" si="8"/>
        <v>11100</v>
      </c>
      <c r="G36" s="2">
        <f t="shared" si="8"/>
        <v>11100</v>
      </c>
      <c r="H36" s="2">
        <f t="shared" si="8"/>
        <v>11100</v>
      </c>
      <c r="I36" s="2">
        <f t="shared" si="8"/>
        <v>11100</v>
      </c>
      <c r="J36" s="2">
        <f t="shared" si="8"/>
        <v>11100</v>
      </c>
      <c r="K36" s="2">
        <f t="shared" si="8"/>
        <v>11100</v>
      </c>
      <c r="L36" s="1"/>
      <c r="M36" s="4"/>
    </row>
    <row r="37" spans="1:13" s="53" customFormat="1" x14ac:dyDescent="0.35">
      <c r="A37" s="94" t="s">
        <v>201</v>
      </c>
      <c r="B37"/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x14ac:dyDescent="0.35">
      <c r="A38" s="95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1"/>
      <c r="M38" s="4"/>
    </row>
    <row r="39" spans="1:13" x14ac:dyDescent="0.35">
      <c r="A39" s="94" t="s">
        <v>202</v>
      </c>
      <c r="B39">
        <v>0</v>
      </c>
      <c r="C39">
        <f t="shared" ref="C39:K39" si="9">C26/(1+$S$3)^C34</f>
        <v>7000</v>
      </c>
      <c r="D39">
        <f t="shared" si="9"/>
        <v>7000</v>
      </c>
      <c r="E39">
        <f t="shared" si="9"/>
        <v>7000</v>
      </c>
      <c r="F39">
        <f t="shared" si="9"/>
        <v>7000</v>
      </c>
      <c r="G39">
        <f t="shared" si="9"/>
        <v>7000</v>
      </c>
      <c r="H39">
        <f t="shared" si="9"/>
        <v>7000</v>
      </c>
      <c r="I39">
        <f t="shared" si="9"/>
        <v>6999.9999999999991</v>
      </c>
      <c r="J39">
        <f t="shared" si="9"/>
        <v>7000</v>
      </c>
      <c r="K39">
        <f t="shared" si="9"/>
        <v>6999.9999999999991</v>
      </c>
      <c r="L39" s="1"/>
      <c r="M39" s="4"/>
    </row>
    <row r="40" spans="1:13" ht="15" thickBot="1" x14ac:dyDescent="0.4">
      <c r="A40" s="94" t="s">
        <v>203</v>
      </c>
      <c r="B40">
        <v>0</v>
      </c>
      <c r="C40" s="2">
        <f t="shared" ref="C40:K40" si="10">C27/(1+$S$3)^C34</f>
        <v>4100</v>
      </c>
      <c r="D40" s="2">
        <f t="shared" si="10"/>
        <v>4100</v>
      </c>
      <c r="E40" s="2">
        <f t="shared" si="10"/>
        <v>4100</v>
      </c>
      <c r="F40" s="2">
        <f t="shared" si="10"/>
        <v>4100</v>
      </c>
      <c r="G40" s="2">
        <f t="shared" si="10"/>
        <v>4100</v>
      </c>
      <c r="H40" s="2">
        <f t="shared" si="10"/>
        <v>4100</v>
      </c>
      <c r="I40" s="2">
        <f t="shared" si="10"/>
        <v>4100</v>
      </c>
      <c r="J40" s="2">
        <f t="shared" si="10"/>
        <v>4100</v>
      </c>
      <c r="K40" s="2">
        <f t="shared" si="10"/>
        <v>4100</v>
      </c>
      <c r="L40" s="1"/>
      <c r="M40" s="4"/>
    </row>
    <row r="41" spans="1:13" x14ac:dyDescent="0.35">
      <c r="A41" s="3"/>
      <c r="B41" s="2"/>
      <c r="L41" s="74"/>
      <c r="M41" s="75">
        <v>0.1</v>
      </c>
    </row>
    <row r="42" spans="1:13" x14ac:dyDescent="0.35">
      <c r="A42" s="1" t="s">
        <v>194</v>
      </c>
      <c r="B42">
        <f t="shared" ref="B42:K42" si="11">B35-B36</f>
        <v>49250</v>
      </c>
      <c r="C42" s="2">
        <f t="shared" si="11"/>
        <v>16499.999999999996</v>
      </c>
      <c r="D42" s="2">
        <f t="shared" si="11"/>
        <v>16499.999999999996</v>
      </c>
      <c r="E42">
        <f t="shared" si="11"/>
        <v>16499.999999999996</v>
      </c>
      <c r="F42">
        <f t="shared" si="11"/>
        <v>16499.999999999996</v>
      </c>
      <c r="G42">
        <f t="shared" si="11"/>
        <v>16499.999999999996</v>
      </c>
      <c r="H42">
        <f t="shared" si="11"/>
        <v>16499.999999999996</v>
      </c>
      <c r="I42">
        <f t="shared" si="11"/>
        <v>16499.999999999996</v>
      </c>
      <c r="J42">
        <f t="shared" si="11"/>
        <v>16499.999999999993</v>
      </c>
      <c r="K42">
        <f t="shared" si="11"/>
        <v>16499.999999999996</v>
      </c>
      <c r="L42" s="23" t="s">
        <v>98</v>
      </c>
      <c r="M42" s="24">
        <f>NPV(M41,B44:K44)</f>
        <v>41612.62997139994</v>
      </c>
    </row>
    <row r="43" spans="1:13" x14ac:dyDescent="0.3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24">
        <f>NPV(M41,B35:K35)/NPV(M41,B36:K36)</f>
        <v>10.831160280245674</v>
      </c>
    </row>
    <row r="44" spans="1:13" ht="15" thickBot="1" x14ac:dyDescent="0.4">
      <c r="A44" s="84" t="s">
        <v>200</v>
      </c>
      <c r="B44" s="89">
        <f>B36</f>
        <v>-49250</v>
      </c>
      <c r="C44" s="89">
        <f>C35-C36</f>
        <v>16499.999999999996</v>
      </c>
      <c r="D44" s="89">
        <f t="shared" ref="D44:K44" si="12">D35-D36</f>
        <v>16499.999999999996</v>
      </c>
      <c r="E44" s="89">
        <f t="shared" si="12"/>
        <v>16499.999999999996</v>
      </c>
      <c r="F44" s="89">
        <f t="shared" si="12"/>
        <v>16499.999999999996</v>
      </c>
      <c r="G44" s="89">
        <f t="shared" si="12"/>
        <v>16499.999999999996</v>
      </c>
      <c r="H44" s="89">
        <f t="shared" si="12"/>
        <v>16499.999999999996</v>
      </c>
      <c r="I44" s="89">
        <f t="shared" si="12"/>
        <v>16499.999999999996</v>
      </c>
      <c r="J44" s="89">
        <f t="shared" si="12"/>
        <v>16499.999999999993</v>
      </c>
      <c r="K44" s="89">
        <f t="shared" si="12"/>
        <v>16499.999999999996</v>
      </c>
      <c r="L44" s="77" t="s">
        <v>99</v>
      </c>
      <c r="M44" s="37">
        <f>IRR(B44:K44)</f>
        <v>0.30437324222756001</v>
      </c>
    </row>
    <row r="45" spans="1:13" x14ac:dyDescent="0.35">
      <c r="L45" s="53"/>
      <c r="M45" s="53"/>
    </row>
    <row r="46" spans="1:13" x14ac:dyDescent="0.35">
      <c r="L46" s="53"/>
      <c r="M46" s="53"/>
    </row>
    <row r="47" spans="1:13" x14ac:dyDescent="0.35">
      <c r="L47" s="53"/>
      <c r="M47" s="53"/>
    </row>
    <row r="48" spans="1:13" x14ac:dyDescent="0.35">
      <c r="L48" s="53"/>
      <c r="M48" s="53"/>
    </row>
    <row r="49" spans="12:13" x14ac:dyDescent="0.35">
      <c r="L49" s="53"/>
      <c r="M49" s="53"/>
    </row>
    <row r="50" spans="12:13" x14ac:dyDescent="0.35">
      <c r="L50" s="53"/>
      <c r="M50" s="53"/>
    </row>
    <row r="51" spans="12:13" x14ac:dyDescent="0.35">
      <c r="L51" s="53"/>
      <c r="M51" s="53"/>
    </row>
    <row r="52" spans="12:13" x14ac:dyDescent="0.35">
      <c r="L52" s="53"/>
      <c r="M52" s="53"/>
    </row>
    <row r="53" spans="12:13" x14ac:dyDescent="0.35">
      <c r="L53" s="53"/>
      <c r="M53" s="53"/>
    </row>
    <row r="54" spans="12:13" x14ac:dyDescent="0.35">
      <c r="L54" s="53"/>
      <c r="M54" s="53"/>
    </row>
    <row r="55" spans="12:13" x14ac:dyDescent="0.35">
      <c r="L55" s="53"/>
      <c r="M55" s="53"/>
    </row>
    <row r="56" spans="12:13" x14ac:dyDescent="0.35">
      <c r="L56" s="53"/>
      <c r="M56" s="53"/>
    </row>
    <row r="57" spans="12:13" x14ac:dyDescent="0.35">
      <c r="L57" s="53"/>
      <c r="M57" s="53"/>
    </row>
    <row r="58" spans="12:13" x14ac:dyDescent="0.35">
      <c r="L58" s="53"/>
      <c r="M58" s="53"/>
    </row>
    <row r="59" spans="12:13" x14ac:dyDescent="0.35">
      <c r="M59" s="53"/>
    </row>
    <row r="60" spans="12:13" x14ac:dyDescent="0.35">
      <c r="L60" s="53"/>
      <c r="M6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topLeftCell="A7" workbookViewId="0">
      <selection activeCell="E40" sqref="E40"/>
    </sheetView>
  </sheetViews>
  <sheetFormatPr defaultRowHeight="14.5" x14ac:dyDescent="0.35"/>
  <cols>
    <col min="1" max="1" width="19.90625" customWidth="1"/>
    <col min="3" max="3" width="9.90625" bestFit="1" customWidth="1"/>
  </cols>
  <sheetData>
    <row r="1" spans="1:18" x14ac:dyDescent="0.35">
      <c r="A1" s="52" t="s">
        <v>37</v>
      </c>
      <c r="B1" s="53"/>
      <c r="C1" s="53"/>
    </row>
    <row r="2" spans="1:18" x14ac:dyDescent="0.35">
      <c r="A2" s="51" t="s">
        <v>142</v>
      </c>
      <c r="B2" s="51" t="s">
        <v>43</v>
      </c>
      <c r="C2" s="51" t="s">
        <v>138</v>
      </c>
      <c r="D2" s="112" t="s">
        <v>212</v>
      </c>
      <c r="E2" s="112" t="s">
        <v>213</v>
      </c>
      <c r="F2" s="112" t="s">
        <v>214</v>
      </c>
      <c r="I2" s="114" t="s">
        <v>218</v>
      </c>
      <c r="J2">
        <v>75</v>
      </c>
    </row>
    <row r="3" spans="1:18" x14ac:dyDescent="0.35">
      <c r="A3" s="51" t="s">
        <v>141</v>
      </c>
      <c r="B3" s="53"/>
      <c r="C3" s="53"/>
      <c r="I3" s="94" t="s">
        <v>219</v>
      </c>
      <c r="J3">
        <v>6</v>
      </c>
    </row>
    <row r="4" spans="1:18" x14ac:dyDescent="0.35">
      <c r="A4" s="113" t="s">
        <v>206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x14ac:dyDescent="0.35">
      <c r="A5" s="113" t="s">
        <v>207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222</v>
      </c>
      <c r="K5" s="94" t="s">
        <v>223</v>
      </c>
      <c r="L5" s="115" t="s">
        <v>224</v>
      </c>
      <c r="M5" s="116" t="s">
        <v>225</v>
      </c>
      <c r="N5" s="117" t="s">
        <v>226</v>
      </c>
      <c r="O5" s="94" t="s">
        <v>227</v>
      </c>
      <c r="P5" s="117" t="s">
        <v>228</v>
      </c>
      <c r="Q5" s="94" t="s">
        <v>229</v>
      </c>
      <c r="R5" s="94" t="s">
        <v>230</v>
      </c>
    </row>
    <row r="6" spans="1:18" x14ac:dyDescent="0.35">
      <c r="A6" s="113"/>
      <c r="B6" s="53"/>
      <c r="C6" s="54"/>
      <c r="I6" s="94" t="s">
        <v>220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x14ac:dyDescent="0.35">
      <c r="A7" s="51" t="s">
        <v>208</v>
      </c>
      <c r="B7" s="53"/>
      <c r="C7" s="94" t="s">
        <v>215</v>
      </c>
      <c r="I7" s="94" t="s">
        <v>221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 x14ac:dyDescent="0.35">
      <c r="A8" s="53" t="s">
        <v>211</v>
      </c>
      <c r="B8" s="90">
        <v>0.4</v>
      </c>
      <c r="C8" s="111" t="s">
        <v>216</v>
      </c>
      <c r="D8" s="4">
        <v>0.2</v>
      </c>
    </row>
    <row r="9" spans="1:18" x14ac:dyDescent="0.35">
      <c r="A9" s="53" t="s">
        <v>209</v>
      </c>
      <c r="B9" s="90">
        <v>0.4</v>
      </c>
      <c r="C9" s="111" t="s">
        <v>217</v>
      </c>
      <c r="D9" s="4">
        <v>0.8</v>
      </c>
      <c r="J9" s="94" t="s">
        <v>232</v>
      </c>
    </row>
    <row r="10" spans="1:18" x14ac:dyDescent="0.35">
      <c r="A10" s="111" t="s">
        <v>210</v>
      </c>
      <c r="B10" s="90">
        <v>0.2</v>
      </c>
      <c r="C10" s="58"/>
      <c r="I10" s="94" t="s">
        <v>231</v>
      </c>
      <c r="J10">
        <v>25000</v>
      </c>
    </row>
    <row r="11" spans="1:18" ht="15" thickBot="1" x14ac:dyDescent="0.4"/>
    <row r="12" spans="1:18" x14ac:dyDescent="0.35">
      <c r="A12" s="59" t="s">
        <v>100</v>
      </c>
      <c r="B12" s="60"/>
      <c r="C12" s="69" t="s">
        <v>117</v>
      </c>
      <c r="D12" s="57"/>
    </row>
    <row r="13" spans="1:18" x14ac:dyDescent="0.35">
      <c r="A13" s="61" t="s">
        <v>160</v>
      </c>
      <c r="B13" s="56">
        <v>6</v>
      </c>
      <c r="C13" s="55" t="s">
        <v>171</v>
      </c>
      <c r="D13" s="56"/>
    </row>
    <row r="14" spans="1:18" x14ac:dyDescent="0.35">
      <c r="A14" s="61" t="s">
        <v>234</v>
      </c>
      <c r="B14" s="62">
        <v>0.1</v>
      </c>
      <c r="C14" s="65" t="s">
        <v>172</v>
      </c>
      <c r="D14" s="56">
        <v>1.2</v>
      </c>
    </row>
    <row r="15" spans="1:18" ht="15" thickBot="1" x14ac:dyDescent="0.4">
      <c r="A15" s="63" t="s">
        <v>235</v>
      </c>
      <c r="B15" s="64">
        <v>0.15</v>
      </c>
      <c r="C15" s="66" t="s">
        <v>173</v>
      </c>
      <c r="D15" s="67">
        <v>0.7</v>
      </c>
    </row>
    <row r="16" spans="1:18" x14ac:dyDescent="0.35">
      <c r="F16" s="51"/>
      <c r="G16" s="90"/>
    </row>
    <row r="17" spans="1:22" x14ac:dyDescent="0.35">
      <c r="A17" s="19" t="s">
        <v>114</v>
      </c>
      <c r="B17" s="18"/>
      <c r="C17" s="18"/>
      <c r="F17" s="51"/>
      <c r="G17" s="90"/>
    </row>
    <row r="18" spans="1:22" ht="15" thickBot="1" x14ac:dyDescent="0.4">
      <c r="B18" t="s">
        <v>205</v>
      </c>
      <c r="D18" t="s">
        <v>233</v>
      </c>
    </row>
    <row r="19" spans="1:22" x14ac:dyDescent="0.35">
      <c r="A19" s="3" t="s">
        <v>90</v>
      </c>
      <c r="B19">
        <v>1</v>
      </c>
      <c r="C19" t="s">
        <v>205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x14ac:dyDescent="0.3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x14ac:dyDescent="0.3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" thickBot="1" x14ac:dyDescent="0.4">
      <c r="A22" s="83" t="s">
        <v>191</v>
      </c>
      <c r="N22" s="77" t="s">
        <v>99</v>
      </c>
      <c r="O22" s="37" t="e">
        <f>IRR(D32:M32)</f>
        <v>#NUM!</v>
      </c>
    </row>
    <row r="23" spans="1:22" x14ac:dyDescent="0.35">
      <c r="A23" s="83" t="s">
        <v>192</v>
      </c>
    </row>
    <row r="24" spans="1:22" x14ac:dyDescent="0.35">
      <c r="A24" s="83" t="s">
        <v>193</v>
      </c>
      <c r="U24" s="1"/>
      <c r="V24" s="53"/>
    </row>
    <row r="25" spans="1:22" x14ac:dyDescent="0.35">
      <c r="A25" s="80" t="s">
        <v>184</v>
      </c>
      <c r="U25" s="52"/>
      <c r="V25" s="53"/>
    </row>
    <row r="26" spans="1:22" x14ac:dyDescent="0.35">
      <c r="A26" s="80" t="s">
        <v>185</v>
      </c>
      <c r="U26" s="53"/>
      <c r="V26" s="53"/>
    </row>
    <row r="27" spans="1:22" x14ac:dyDescent="0.35">
      <c r="A27" s="80" t="s">
        <v>186</v>
      </c>
      <c r="U27" s="53"/>
      <c r="V27" s="53"/>
    </row>
    <row r="28" spans="1:22" x14ac:dyDescent="0.35">
      <c r="A28" s="80" t="s">
        <v>187</v>
      </c>
    </row>
    <row r="29" spans="1:22" x14ac:dyDescent="0.35">
      <c r="A29" s="79" t="s">
        <v>188</v>
      </c>
    </row>
    <row r="30" spans="1:22" x14ac:dyDescent="0.35">
      <c r="A30" s="79" t="s">
        <v>189</v>
      </c>
    </row>
    <row r="31" spans="1:22" x14ac:dyDescent="0.35">
      <c r="A31" s="81" t="s">
        <v>190</v>
      </c>
    </row>
    <row r="32" spans="1:22" x14ac:dyDescent="0.35">
      <c r="A32" s="3"/>
    </row>
    <row r="33" spans="1:4" x14ac:dyDescent="0.35">
      <c r="A33" s="1" t="s">
        <v>194</v>
      </c>
    </row>
    <row r="34" spans="1:4" x14ac:dyDescent="0.35">
      <c r="A34" s="53"/>
    </row>
    <row r="35" spans="1:4" x14ac:dyDescent="0.35">
      <c r="A35" s="84" t="s">
        <v>112</v>
      </c>
    </row>
    <row r="39" spans="1:4" x14ac:dyDescent="0.3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V48"/>
  <sheetViews>
    <sheetView tabSelected="1" zoomScale="63" zoomScaleNormal="96" workbookViewId="0">
      <selection activeCell="A39" sqref="A39"/>
    </sheetView>
  </sheetViews>
  <sheetFormatPr defaultColWidth="9" defaultRowHeight="14.5" x14ac:dyDescent="0.35"/>
  <cols>
    <col min="1" max="1" width="9" style="127"/>
    <col min="2" max="2" width="11.453125" style="127" customWidth="1"/>
    <col min="3" max="3" width="14.36328125" style="127" customWidth="1"/>
    <col min="4" max="4" width="14.6328125" style="127" customWidth="1"/>
    <col min="5" max="5" width="13.26953125" style="127" customWidth="1"/>
    <col min="6" max="6" width="16.36328125" style="127" customWidth="1"/>
    <col min="7" max="7" width="17.7265625" style="127" customWidth="1"/>
    <col min="8" max="8" width="14.453125" style="127" customWidth="1"/>
    <col min="9" max="9" width="15.90625" style="127" customWidth="1"/>
    <col min="10" max="10" width="14.7265625" style="127" customWidth="1"/>
    <col min="11" max="11" width="13.453125" style="127" customWidth="1"/>
    <col min="12" max="12" width="14.36328125" style="127" customWidth="1"/>
    <col min="13" max="13" width="17.90625" style="127" customWidth="1"/>
    <col min="14" max="14" width="9" style="127"/>
    <col min="15" max="15" width="22.08984375" style="127" customWidth="1"/>
    <col min="16" max="16384" width="9" style="127"/>
  </cols>
  <sheetData>
    <row r="1" spans="1:17" ht="15" thickBot="1" x14ac:dyDescent="0.4">
      <c r="A1" s="140" t="s">
        <v>37</v>
      </c>
    </row>
    <row r="2" spans="1:17" ht="56.15" customHeight="1" x14ac:dyDescent="0.35">
      <c r="A2" s="128"/>
      <c r="B2" s="141" t="s">
        <v>246</v>
      </c>
      <c r="C2" s="141" t="s">
        <v>247</v>
      </c>
      <c r="D2" s="141" t="s">
        <v>248</v>
      </c>
      <c r="E2" s="141" t="s">
        <v>249</v>
      </c>
      <c r="F2" s="141" t="s">
        <v>250</v>
      </c>
      <c r="G2" s="141" t="s">
        <v>251</v>
      </c>
      <c r="H2" s="142" t="s">
        <v>252</v>
      </c>
      <c r="J2" s="127" t="s">
        <v>274</v>
      </c>
      <c r="N2" s="143" t="s">
        <v>100</v>
      </c>
      <c r="O2" s="144"/>
      <c r="P2" s="126" t="s">
        <v>117</v>
      </c>
      <c r="Q2" s="145"/>
    </row>
    <row r="3" spans="1:17" x14ac:dyDescent="0.35">
      <c r="A3" s="129" t="s">
        <v>253</v>
      </c>
      <c r="B3" s="130">
        <v>1</v>
      </c>
      <c r="C3" s="131">
        <v>45000000</v>
      </c>
      <c r="D3" s="131">
        <f>C3*40%</f>
        <v>18000000</v>
      </c>
      <c r="E3" s="131">
        <f>C3*40%</f>
        <v>18000000</v>
      </c>
      <c r="F3" s="131">
        <f>C3*20%</f>
        <v>9000000</v>
      </c>
      <c r="G3" s="131">
        <f>C3*20%</f>
        <v>9000000</v>
      </c>
      <c r="H3" s="132">
        <f>C3*80%</f>
        <v>36000000</v>
      </c>
      <c r="J3" s="171">
        <v>0.8</v>
      </c>
      <c r="N3" s="146" t="s">
        <v>160</v>
      </c>
      <c r="O3" s="133">
        <v>6</v>
      </c>
      <c r="P3" s="147" t="s">
        <v>171</v>
      </c>
      <c r="Q3" s="133"/>
    </row>
    <row r="4" spans="1:17" ht="15" thickBot="1" x14ac:dyDescent="0.4">
      <c r="A4" s="129" t="s">
        <v>253</v>
      </c>
      <c r="B4" s="130">
        <v>2</v>
      </c>
      <c r="C4" s="131">
        <v>30000000</v>
      </c>
      <c r="D4" s="131">
        <f>C4*40%</f>
        <v>12000000</v>
      </c>
      <c r="E4" s="131">
        <f>C4*40%</f>
        <v>12000000</v>
      </c>
      <c r="F4" s="131">
        <f>C4*20%</f>
        <v>6000000</v>
      </c>
      <c r="G4" s="131">
        <f>C4*20%</f>
        <v>6000000</v>
      </c>
      <c r="H4" s="132">
        <f>C4*80%</f>
        <v>24000000</v>
      </c>
      <c r="N4" s="146" t="s">
        <v>234</v>
      </c>
      <c r="O4" s="148">
        <v>0.1</v>
      </c>
      <c r="P4" s="149" t="s">
        <v>172</v>
      </c>
      <c r="Q4" s="133">
        <v>1.2</v>
      </c>
    </row>
    <row r="5" spans="1:17" ht="15" thickBot="1" x14ac:dyDescent="0.4">
      <c r="A5" s="126" t="s">
        <v>117</v>
      </c>
      <c r="B5" s="130">
        <v>1</v>
      </c>
      <c r="H5" s="133"/>
      <c r="N5" s="150" t="s">
        <v>235</v>
      </c>
      <c r="O5" s="151">
        <v>0.15</v>
      </c>
      <c r="P5" s="152" t="s">
        <v>173</v>
      </c>
      <c r="Q5" s="137">
        <v>0.7</v>
      </c>
    </row>
    <row r="6" spans="1:17" ht="15" thickBot="1" x14ac:dyDescent="0.4">
      <c r="A6" s="134" t="s">
        <v>117</v>
      </c>
      <c r="B6" s="135">
        <v>2</v>
      </c>
      <c r="C6" s="136"/>
      <c r="D6" s="136"/>
      <c r="E6" s="136"/>
      <c r="F6" s="136"/>
      <c r="G6" s="136"/>
      <c r="H6" s="137"/>
    </row>
    <row r="7" spans="1:17" ht="3" customHeight="1" x14ac:dyDescent="0.35">
      <c r="N7" s="164" t="s">
        <v>271</v>
      </c>
      <c r="O7" s="164"/>
      <c r="P7" s="165" t="s">
        <v>272</v>
      </c>
      <c r="Q7" s="165"/>
    </row>
    <row r="8" spans="1:17" ht="1" customHeight="1" thickBot="1" x14ac:dyDescent="0.4">
      <c r="A8" s="138" t="s">
        <v>254</v>
      </c>
      <c r="N8" s="164"/>
      <c r="O8" s="164"/>
    </row>
    <row r="9" spans="1:17" ht="29" x14ac:dyDescent="0.35">
      <c r="A9" s="128"/>
      <c r="B9" s="141" t="s">
        <v>255</v>
      </c>
      <c r="C9" s="141" t="s">
        <v>256</v>
      </c>
      <c r="D9" s="141" t="s">
        <v>257</v>
      </c>
      <c r="E9" s="141" t="s">
        <v>258</v>
      </c>
      <c r="F9" s="141" t="s">
        <v>259</v>
      </c>
      <c r="G9" s="141" t="s">
        <v>260</v>
      </c>
      <c r="H9" s="141" t="s">
        <v>261</v>
      </c>
      <c r="I9" s="141" t="s">
        <v>262</v>
      </c>
      <c r="J9" s="141" t="s">
        <v>229</v>
      </c>
      <c r="K9" s="142" t="s">
        <v>263</v>
      </c>
      <c r="M9" s="128"/>
      <c r="N9" s="161" t="s">
        <v>220</v>
      </c>
      <c r="O9" s="161"/>
      <c r="P9" s="162" t="s">
        <v>264</v>
      </c>
      <c r="Q9" s="163"/>
    </row>
    <row r="10" spans="1:17" x14ac:dyDescent="0.35">
      <c r="A10" s="129" t="s">
        <v>253</v>
      </c>
      <c r="B10" s="130" t="s">
        <v>220</v>
      </c>
      <c r="C10" s="130">
        <v>4</v>
      </c>
      <c r="D10" s="131">
        <v>2200</v>
      </c>
      <c r="E10" s="131">
        <f>D10/2</f>
        <v>1100</v>
      </c>
      <c r="F10" s="131">
        <f>D10/2</f>
        <v>1100</v>
      </c>
      <c r="G10" s="131">
        <v>2000</v>
      </c>
      <c r="H10" s="131">
        <f>G10*O3</f>
        <v>12000</v>
      </c>
      <c r="I10" s="130">
        <v>50</v>
      </c>
      <c r="J10" s="130">
        <v>150</v>
      </c>
      <c r="K10" s="139">
        <v>75</v>
      </c>
      <c r="M10" s="160" t="s">
        <v>245</v>
      </c>
      <c r="N10" s="51" t="s">
        <v>241</v>
      </c>
      <c r="O10" s="51" t="s">
        <v>242</v>
      </c>
      <c r="P10" s="51" t="s">
        <v>241</v>
      </c>
      <c r="Q10" s="96" t="s">
        <v>242</v>
      </c>
    </row>
    <row r="11" spans="1:17" ht="15" thickBot="1" x14ac:dyDescent="0.4">
      <c r="A11" s="129" t="s">
        <v>253</v>
      </c>
      <c r="B11" s="130" t="s">
        <v>264</v>
      </c>
      <c r="C11" s="130">
        <v>7</v>
      </c>
      <c r="D11" s="131">
        <v>1800</v>
      </c>
      <c r="E11" s="130">
        <v>600</v>
      </c>
      <c r="F11" s="131">
        <f>D11-E11</f>
        <v>1200</v>
      </c>
      <c r="G11" s="130">
        <v>700</v>
      </c>
      <c r="H11" s="131">
        <f>G11*O3</f>
        <v>4200</v>
      </c>
      <c r="I11" s="130">
        <v>50</v>
      </c>
      <c r="J11" s="130">
        <v>80</v>
      </c>
      <c r="K11" s="139">
        <v>40</v>
      </c>
      <c r="M11" s="65" t="s">
        <v>236</v>
      </c>
      <c r="N11" s="54">
        <f>H10</f>
        <v>12000</v>
      </c>
      <c r="O11" s="54">
        <f>G10</f>
        <v>2000</v>
      </c>
      <c r="P11" s="166">
        <f>H11</f>
        <v>4200</v>
      </c>
      <c r="Q11" s="167">
        <f>G11</f>
        <v>700</v>
      </c>
    </row>
    <row r="12" spans="1:17" ht="15" thickBot="1" x14ac:dyDescent="0.4">
      <c r="A12" s="126" t="s">
        <v>117</v>
      </c>
      <c r="K12" s="133"/>
      <c r="M12" s="65" t="s">
        <v>237</v>
      </c>
      <c r="N12" s="53"/>
      <c r="O12" s="53"/>
      <c r="Q12" s="133"/>
    </row>
    <row r="13" spans="1:17" ht="15" thickBot="1" x14ac:dyDescent="0.4">
      <c r="A13" s="134" t="s">
        <v>117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7"/>
      <c r="M13" s="121" t="s">
        <v>270</v>
      </c>
      <c r="N13" s="53">
        <f>O13*O3</f>
        <v>300</v>
      </c>
      <c r="O13" s="53">
        <f>I10</f>
        <v>50</v>
      </c>
      <c r="P13" s="127">
        <f>Q13*O3</f>
        <v>300</v>
      </c>
      <c r="Q13" s="133">
        <f>I11</f>
        <v>50</v>
      </c>
    </row>
    <row r="14" spans="1:17" x14ac:dyDescent="0.35">
      <c r="M14" s="122" t="s">
        <v>238</v>
      </c>
      <c r="N14" s="54">
        <f>N11-N13</f>
        <v>11700</v>
      </c>
      <c r="O14" s="54">
        <f>O11-O13</f>
        <v>1950</v>
      </c>
      <c r="P14" s="166">
        <f>P11-P13</f>
        <v>3900</v>
      </c>
      <c r="Q14" s="167">
        <f>Q11-Q13</f>
        <v>650</v>
      </c>
    </row>
    <row r="15" spans="1:17" ht="15" thickBot="1" x14ac:dyDescent="0.4">
      <c r="A15" s="125" t="s">
        <v>265</v>
      </c>
      <c r="M15" s="65" t="s">
        <v>240</v>
      </c>
      <c r="N15" s="53"/>
      <c r="O15" s="53">
        <f>O14*O3</f>
        <v>11700</v>
      </c>
      <c r="Q15" s="133"/>
    </row>
    <row r="16" spans="1:17" ht="29" x14ac:dyDescent="0.35">
      <c r="A16" s="128"/>
      <c r="B16" s="153" t="s">
        <v>246</v>
      </c>
      <c r="C16" s="153" t="s">
        <v>266</v>
      </c>
      <c r="D16" s="153" t="s">
        <v>267</v>
      </c>
      <c r="E16" s="153" t="s">
        <v>268</v>
      </c>
      <c r="F16" s="153" t="s">
        <v>269</v>
      </c>
      <c r="G16" s="154" t="s">
        <v>276</v>
      </c>
      <c r="M16" s="121" t="s">
        <v>147</v>
      </c>
      <c r="N16" s="53">
        <f>K10</f>
        <v>75</v>
      </c>
      <c r="O16" s="53"/>
      <c r="P16" s="127">
        <f>K11</f>
        <v>40</v>
      </c>
      <c r="Q16" s="133"/>
    </row>
    <row r="17" spans="1:17" ht="15" thickBot="1" x14ac:dyDescent="0.4">
      <c r="A17" s="129" t="s">
        <v>253</v>
      </c>
      <c r="B17" s="158">
        <v>3</v>
      </c>
      <c r="C17" s="158">
        <f>D17*6</f>
        <v>450</v>
      </c>
      <c r="D17" s="158">
        <v>75</v>
      </c>
      <c r="E17" s="159">
        <f>C10*C17</f>
        <v>1800</v>
      </c>
      <c r="F17" s="159">
        <f>C11*C17</f>
        <v>3150</v>
      </c>
      <c r="G17" s="172">
        <v>25000</v>
      </c>
      <c r="M17" s="121" t="s">
        <v>148</v>
      </c>
      <c r="N17" s="53">
        <v>0</v>
      </c>
      <c r="O17" s="53"/>
      <c r="P17" s="127">
        <v>0</v>
      </c>
      <c r="Q17" s="133"/>
    </row>
    <row r="18" spans="1:17" ht="15" thickBot="1" x14ac:dyDescent="0.4">
      <c r="A18" s="134" t="s">
        <v>117</v>
      </c>
      <c r="B18" s="155"/>
      <c r="C18" s="155"/>
      <c r="D18" s="155"/>
      <c r="E18" s="156"/>
      <c r="F18" s="156"/>
      <c r="G18" s="157"/>
      <c r="M18" s="121" t="s">
        <v>146</v>
      </c>
      <c r="N18" s="53">
        <f>J10</f>
        <v>150</v>
      </c>
      <c r="O18" s="53"/>
      <c r="P18" s="127">
        <f>J11</f>
        <v>80</v>
      </c>
      <c r="Q18" s="133"/>
    </row>
    <row r="19" spans="1:17" x14ac:dyDescent="0.35">
      <c r="M19" s="122" t="s">
        <v>243</v>
      </c>
      <c r="N19" s="54">
        <f>N14-N16-N17-N18</f>
        <v>11475</v>
      </c>
      <c r="O19" s="53"/>
      <c r="P19" s="166">
        <f>P14-P16-P18</f>
        <v>3780</v>
      </c>
      <c r="Q19" s="133"/>
    </row>
    <row r="20" spans="1:17" ht="15" thickBot="1" x14ac:dyDescent="0.4">
      <c r="M20" s="123" t="s">
        <v>244</v>
      </c>
      <c r="N20" s="124">
        <f>N19*E17</f>
        <v>20655000</v>
      </c>
      <c r="O20" s="124"/>
      <c r="P20" s="168">
        <f>P19*F17</f>
        <v>11907000</v>
      </c>
      <c r="Q20" s="169"/>
    </row>
    <row r="21" spans="1:17" x14ac:dyDescent="0.35">
      <c r="M21" s="127" t="s">
        <v>273</v>
      </c>
      <c r="P21" s="127">
        <f>N20+P20</f>
        <v>32562000</v>
      </c>
    </row>
    <row r="25" spans="1:17" customFormat="1" x14ac:dyDescent="0.35">
      <c r="A25" s="19" t="s">
        <v>114</v>
      </c>
      <c r="B25" s="18"/>
      <c r="C25" s="18"/>
      <c r="F25" s="51"/>
      <c r="G25" s="90"/>
    </row>
    <row r="26" spans="1:17" customFormat="1" ht="15" thickBot="1" x14ac:dyDescent="0.4">
      <c r="D26" t="s">
        <v>233</v>
      </c>
    </row>
    <row r="27" spans="1:17" customFormat="1" x14ac:dyDescent="0.35">
      <c r="B27" t="s">
        <v>205</v>
      </c>
      <c r="C27" t="s">
        <v>205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s="74"/>
      <c r="O27" s="75">
        <f>O5</f>
        <v>0.15</v>
      </c>
    </row>
    <row r="28" spans="1:17" customFormat="1" x14ac:dyDescent="0.35">
      <c r="A28" s="3" t="s">
        <v>90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s="23" t="s">
        <v>98</v>
      </c>
      <c r="O28" s="76">
        <f>NPV(O27,B44:M44)</f>
        <v>59329864348.714561</v>
      </c>
    </row>
    <row r="29" spans="1:17" customFormat="1" x14ac:dyDescent="0.35">
      <c r="A29" s="78" t="s">
        <v>280</v>
      </c>
      <c r="B29">
        <v>0</v>
      </c>
      <c r="C29">
        <v>0</v>
      </c>
      <c r="D29">
        <f t="shared" ref="D29:M29" si="0">$P$21</f>
        <v>32562000</v>
      </c>
      <c r="E29">
        <f t="shared" si="0"/>
        <v>32562000</v>
      </c>
      <c r="F29">
        <f t="shared" si="0"/>
        <v>32562000</v>
      </c>
      <c r="G29">
        <f t="shared" si="0"/>
        <v>32562000</v>
      </c>
      <c r="H29">
        <f t="shared" si="0"/>
        <v>32562000</v>
      </c>
      <c r="I29">
        <f t="shared" si="0"/>
        <v>32562000</v>
      </c>
      <c r="J29">
        <f t="shared" si="0"/>
        <v>32562000</v>
      </c>
      <c r="K29">
        <f t="shared" si="0"/>
        <v>32562000</v>
      </c>
      <c r="L29">
        <f t="shared" si="0"/>
        <v>32562000</v>
      </c>
      <c r="M29">
        <f t="shared" si="0"/>
        <v>32562000</v>
      </c>
      <c r="N29" s="23" t="s">
        <v>175</v>
      </c>
      <c r="O29" s="24" t="e">
        <f>NPV(O27,#REF!)/NPV(O27,#REF!)</f>
        <v>#REF!</v>
      </c>
    </row>
    <row r="30" spans="1:17" customFormat="1" x14ac:dyDescent="0.35">
      <c r="A30" s="78" t="s">
        <v>183</v>
      </c>
      <c r="B30">
        <v>0</v>
      </c>
      <c r="C30">
        <v>0</v>
      </c>
      <c r="D30">
        <f>(($N$11*$E$17)+($P$11*$F$17))*$C$17</f>
        <v>15673500000</v>
      </c>
      <c r="E30">
        <f t="shared" ref="E30:M30" si="1">(($N$11*$E$17)+($P$11*$F$17))*$C$17</f>
        <v>15673500000</v>
      </c>
      <c r="F30">
        <f t="shared" si="1"/>
        <v>15673500000</v>
      </c>
      <c r="G30">
        <f t="shared" si="1"/>
        <v>15673500000</v>
      </c>
      <c r="H30">
        <f t="shared" si="1"/>
        <v>15673500000</v>
      </c>
      <c r="I30">
        <f t="shared" si="1"/>
        <v>15673500000</v>
      </c>
      <c r="J30">
        <f t="shared" si="1"/>
        <v>15673500000</v>
      </c>
      <c r="K30">
        <f t="shared" si="1"/>
        <v>15673500000</v>
      </c>
      <c r="L30">
        <f t="shared" si="1"/>
        <v>15673500000</v>
      </c>
      <c r="M30">
        <f t="shared" si="1"/>
        <v>15673500000</v>
      </c>
      <c r="N30" s="23"/>
      <c r="O30" s="24"/>
    </row>
    <row r="31" spans="1:17" customFormat="1" ht="15" thickBot="1" x14ac:dyDescent="0.4">
      <c r="A31" s="78" t="s">
        <v>180</v>
      </c>
      <c r="B31" s="2">
        <f>B32+B33+B34+B35+B37</f>
        <v>45000000</v>
      </c>
      <c r="C31" s="2">
        <f>C32+C33+C34+C35+C37</f>
        <v>30000000</v>
      </c>
      <c r="D31" s="2">
        <f t="shared" ref="D31:M31" si="2">D32+D33+D34+D35+D37</f>
        <v>23148000</v>
      </c>
      <c r="E31" s="2">
        <f t="shared" si="2"/>
        <v>23148000</v>
      </c>
      <c r="F31" s="2">
        <f t="shared" si="2"/>
        <v>23148000</v>
      </c>
      <c r="G31" s="2">
        <f t="shared" si="2"/>
        <v>23148000</v>
      </c>
      <c r="H31" s="2">
        <f t="shared" si="2"/>
        <v>23148000</v>
      </c>
      <c r="I31" s="2">
        <f t="shared" si="2"/>
        <v>23148000</v>
      </c>
      <c r="J31" s="2">
        <f t="shared" si="2"/>
        <v>23148000</v>
      </c>
      <c r="K31" s="2">
        <f t="shared" si="2"/>
        <v>23148000</v>
      </c>
      <c r="L31" s="2">
        <f t="shared" si="2"/>
        <v>23148000</v>
      </c>
      <c r="M31" s="2">
        <f t="shared" si="2"/>
        <v>23148000</v>
      </c>
      <c r="N31" s="77" t="s">
        <v>99</v>
      </c>
      <c r="O31" s="37" t="e">
        <f>IRR(D43:M43)</f>
        <v>#NUM!</v>
      </c>
    </row>
    <row r="32" spans="1:17" customFormat="1" x14ac:dyDescent="0.35">
      <c r="A32" s="170" t="s">
        <v>275</v>
      </c>
      <c r="B32">
        <v>0</v>
      </c>
      <c r="C32">
        <v>0</v>
      </c>
      <c r="D32">
        <f>$G$17*$C$17</f>
        <v>11250000</v>
      </c>
      <c r="E32">
        <f t="shared" ref="E32:M32" si="3">$G$17*$C$17</f>
        <v>11250000</v>
      </c>
      <c r="F32">
        <f t="shared" si="3"/>
        <v>11250000</v>
      </c>
      <c r="G32">
        <f t="shared" si="3"/>
        <v>11250000</v>
      </c>
      <c r="H32">
        <f t="shared" si="3"/>
        <v>11250000</v>
      </c>
      <c r="I32">
        <f t="shared" si="3"/>
        <v>11250000</v>
      </c>
      <c r="J32">
        <f t="shared" si="3"/>
        <v>11250000</v>
      </c>
      <c r="K32">
        <f t="shared" si="3"/>
        <v>11250000</v>
      </c>
      <c r="L32">
        <f t="shared" si="3"/>
        <v>11250000</v>
      </c>
      <c r="M32">
        <f t="shared" si="3"/>
        <v>11250000</v>
      </c>
      <c r="N32" s="1"/>
      <c r="O32" s="4"/>
    </row>
    <row r="33" spans="1:22" customFormat="1" x14ac:dyDescent="0.35">
      <c r="A33" s="170" t="s">
        <v>277</v>
      </c>
      <c r="B33">
        <v>0</v>
      </c>
      <c r="C33">
        <v>0</v>
      </c>
      <c r="D33">
        <f>$C$17*(($D$10*$C$10)+($C$11*$D$11))</f>
        <v>9630000</v>
      </c>
      <c r="E33">
        <f t="shared" ref="E33:M33" si="4">$C$17*(($D$10*$C$10)+($C$11*$D$11))</f>
        <v>9630000</v>
      </c>
      <c r="F33">
        <f t="shared" si="4"/>
        <v>9630000</v>
      </c>
      <c r="G33">
        <f t="shared" si="4"/>
        <v>9630000</v>
      </c>
      <c r="H33">
        <f t="shared" si="4"/>
        <v>9630000</v>
      </c>
      <c r="I33">
        <f t="shared" si="4"/>
        <v>9630000</v>
      </c>
      <c r="J33">
        <f t="shared" si="4"/>
        <v>9630000</v>
      </c>
      <c r="K33">
        <f t="shared" si="4"/>
        <v>9630000</v>
      </c>
      <c r="L33">
        <f t="shared" si="4"/>
        <v>9630000</v>
      </c>
      <c r="M33">
        <f t="shared" si="4"/>
        <v>9630000</v>
      </c>
      <c r="N33" s="1"/>
      <c r="O33" s="4"/>
    </row>
    <row r="34" spans="1:22" customFormat="1" x14ac:dyDescent="0.35">
      <c r="A34" s="170" t="s">
        <v>278</v>
      </c>
      <c r="B34">
        <v>0</v>
      </c>
      <c r="C34">
        <v>0</v>
      </c>
      <c r="D34">
        <f>(($J$10+$K$10)*$E$17)+(($J$11+$K$11)*$F$17)</f>
        <v>783000</v>
      </c>
      <c r="E34">
        <f t="shared" ref="E34:M34" si="5">(($J$10+$K$10)*$E$17)+(($J$11+$K$11)*$F$17)</f>
        <v>783000</v>
      </c>
      <c r="F34">
        <f t="shared" si="5"/>
        <v>783000</v>
      </c>
      <c r="G34">
        <f t="shared" si="5"/>
        <v>783000</v>
      </c>
      <c r="H34">
        <f t="shared" si="5"/>
        <v>783000</v>
      </c>
      <c r="I34">
        <f t="shared" si="5"/>
        <v>783000</v>
      </c>
      <c r="J34">
        <f t="shared" si="5"/>
        <v>783000</v>
      </c>
      <c r="K34">
        <f t="shared" si="5"/>
        <v>783000</v>
      </c>
      <c r="L34">
        <f t="shared" si="5"/>
        <v>783000</v>
      </c>
      <c r="M34">
        <f t="shared" si="5"/>
        <v>783000</v>
      </c>
      <c r="N34" s="1"/>
      <c r="O34" s="4"/>
    </row>
    <row r="35" spans="1:22" customFormat="1" x14ac:dyDescent="0.35">
      <c r="A35" s="170" t="s">
        <v>279</v>
      </c>
      <c r="B35">
        <v>0</v>
      </c>
      <c r="C35">
        <v>0</v>
      </c>
      <c r="D35">
        <f>($I$10*$O$3*$E$17)+($O$3*$I$11*$F$17)</f>
        <v>1485000</v>
      </c>
      <c r="E35">
        <f t="shared" ref="E35:M35" si="6">($I$10*$O$3*$E$17)+($O$3*$I$11*$F$17)</f>
        <v>1485000</v>
      </c>
      <c r="F35">
        <f t="shared" si="6"/>
        <v>1485000</v>
      </c>
      <c r="G35">
        <f t="shared" si="6"/>
        <v>1485000</v>
      </c>
      <c r="H35">
        <f t="shared" si="6"/>
        <v>1485000</v>
      </c>
      <c r="I35">
        <f t="shared" si="6"/>
        <v>1485000</v>
      </c>
      <c r="J35">
        <f t="shared" si="6"/>
        <v>1485000</v>
      </c>
      <c r="K35">
        <f t="shared" si="6"/>
        <v>1485000</v>
      </c>
      <c r="L35">
        <f t="shared" si="6"/>
        <v>1485000</v>
      </c>
      <c r="M35">
        <f t="shared" si="6"/>
        <v>1485000</v>
      </c>
      <c r="N35" s="1"/>
      <c r="O35" s="4"/>
    </row>
    <row r="36" spans="1:22" customFormat="1" x14ac:dyDescent="0.35">
      <c r="A36" s="83" t="s">
        <v>193</v>
      </c>
      <c r="U36" s="52"/>
      <c r="V36" s="53"/>
    </row>
    <row r="37" spans="1:22" customFormat="1" x14ac:dyDescent="0.35">
      <c r="A37" s="80" t="s">
        <v>184</v>
      </c>
      <c r="B37" s="2">
        <f>C3</f>
        <v>45000000</v>
      </c>
      <c r="C37" s="2">
        <f>C4</f>
        <v>30000000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U37" s="53"/>
      <c r="V37" s="53"/>
    </row>
    <row r="38" spans="1:22" customFormat="1" x14ac:dyDescent="0.35">
      <c r="A38" s="80" t="s">
        <v>185</v>
      </c>
      <c r="B38">
        <f>B37*$J$3</f>
        <v>36000000</v>
      </c>
      <c r="C38">
        <f>C37*$J$3</f>
        <v>24000000</v>
      </c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U38" s="53"/>
      <c r="V38" s="53"/>
    </row>
    <row r="39" spans="1:22" customFormat="1" x14ac:dyDescent="0.35">
      <c r="A39" s="173" t="s">
        <v>186</v>
      </c>
      <c r="B39" s="174">
        <v>0</v>
      </c>
      <c r="C39" s="174">
        <v>0</v>
      </c>
      <c r="D39" s="175">
        <f t="shared" ref="D39:M39" si="7">PPMT($O$5, B28, $M$28-2,-$C$38)</f>
        <v>1182049.5004220356</v>
      </c>
      <c r="E39" s="175">
        <f t="shared" si="7"/>
        <v>1359356.9254853409</v>
      </c>
      <c r="F39" s="175">
        <f t="shared" si="7"/>
        <v>1563260.4643081417</v>
      </c>
      <c r="G39" s="175">
        <f t="shared" si="7"/>
        <v>1797749.5339543631</v>
      </c>
      <c r="H39" s="175">
        <f t="shared" si="7"/>
        <v>2067411.9640475176</v>
      </c>
      <c r="I39" s="175">
        <f t="shared" si="7"/>
        <v>2377523.7586546452</v>
      </c>
      <c r="J39" s="175">
        <f t="shared" si="7"/>
        <v>2734152.3224528418</v>
      </c>
      <c r="K39" s="175">
        <f t="shared" si="7"/>
        <v>3144275.170820768</v>
      </c>
      <c r="L39" s="175">
        <f t="shared" si="7"/>
        <v>3615916.4464438832</v>
      </c>
      <c r="M39" s="175">
        <f t="shared" si="7"/>
        <v>4158303.9134104652</v>
      </c>
    </row>
    <row r="40" spans="1:22" customFormat="1" x14ac:dyDescent="0.35">
      <c r="A40" s="173" t="s">
        <v>187</v>
      </c>
      <c r="B40" s="174">
        <v>0</v>
      </c>
      <c r="C40" s="174">
        <v>0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22" customFormat="1" x14ac:dyDescent="0.35">
      <c r="A41" s="176" t="s">
        <v>188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1:22" customFormat="1" x14ac:dyDescent="0.35">
      <c r="A42" s="176" t="s">
        <v>189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spans="1:22" customFormat="1" ht="15" thickBot="1" x14ac:dyDescent="0.4">
      <c r="A43" s="53"/>
    </row>
    <row r="44" spans="1:22" customFormat="1" ht="15" thickBot="1" x14ac:dyDescent="0.4">
      <c r="A44" s="177" t="s">
        <v>112</v>
      </c>
      <c r="B44" s="179">
        <f>B30-B31</f>
        <v>-45000000</v>
      </c>
      <c r="C44" s="178">
        <f>C30-C31</f>
        <v>-30000000</v>
      </c>
      <c r="D44" s="178">
        <f>D30-D31</f>
        <v>15650352000</v>
      </c>
      <c r="E44" s="178">
        <f t="shared" ref="E44:M44" si="8">E30-E31</f>
        <v>15650352000</v>
      </c>
      <c r="F44" s="179">
        <f>F30-F31</f>
        <v>15650352000</v>
      </c>
      <c r="G44" s="178">
        <f t="shared" si="8"/>
        <v>15650352000</v>
      </c>
      <c r="H44" s="178">
        <f t="shared" si="8"/>
        <v>15650352000</v>
      </c>
      <c r="I44" s="178">
        <f t="shared" si="8"/>
        <v>15650352000</v>
      </c>
      <c r="J44" s="178">
        <f t="shared" si="8"/>
        <v>15650352000</v>
      </c>
      <c r="K44" s="178">
        <f t="shared" si="8"/>
        <v>15650352000</v>
      </c>
      <c r="L44" s="178">
        <f t="shared" si="8"/>
        <v>15650352000</v>
      </c>
      <c r="M44" s="178">
        <f t="shared" si="8"/>
        <v>15650352000</v>
      </c>
    </row>
    <row r="45" spans="1:22" customFormat="1" x14ac:dyDescent="0.35"/>
    <row r="46" spans="1:22" customFormat="1" x14ac:dyDescent="0.35">
      <c r="A46" s="127"/>
    </row>
    <row r="47" spans="1:22" customFormat="1" x14ac:dyDescent="0.35">
      <c r="A47" s="127"/>
    </row>
    <row r="48" spans="1:22" x14ac:dyDescent="0.35">
      <c r="B4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 Example</vt:lpstr>
      <vt:lpstr>Problem 1</vt:lpstr>
      <vt:lpstr>Sheet1</vt:lpstr>
      <vt:lpstr>Problem 1 Financial Analysis</vt:lpstr>
      <vt:lpstr>Problem 1 Economic Analysis</vt:lpstr>
      <vt:lpstr>Problem 2</vt:lpstr>
      <vt:lpstr>Problem 2 Finanacial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2025-02-27T23:00:32Z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