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Emma\OneDrive - purdue.edu\Desktop\Purdue Classes Spring 2025\AGEC 609\"/>
    </mc:Choice>
  </mc:AlternateContent>
  <xr:revisionPtr revIDLastSave="0" documentId="8_{C68E1499-82BE-4D3D-8499-D4C499028DC4}" xr6:coauthVersionLast="47" xr6:coauthVersionMax="47" xr10:uidLastSave="{00000000-0000-0000-0000-000000000000}"/>
  <bookViews>
    <workbookView xWindow="-80" yWindow="-80" windowWidth="19360" windowHeight="10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1" l="1"/>
  <c r="K36" i="1"/>
  <c r="L36" i="1"/>
  <c r="L43" i="1" s="1"/>
  <c r="M36" i="1"/>
  <c r="M43" i="1" s="1"/>
  <c r="J36" i="1"/>
  <c r="J43" i="1" s="1"/>
  <c r="M33" i="1"/>
  <c r="K35" i="1"/>
  <c r="L35" i="1"/>
  <c r="M35" i="1"/>
  <c r="N35" i="1"/>
  <c r="O35" i="1"/>
  <c r="P35" i="1"/>
  <c r="Q35" i="1"/>
  <c r="R35" i="1"/>
  <c r="S35" i="1"/>
  <c r="K32" i="1"/>
  <c r="L32" i="1"/>
  <c r="M32" i="1"/>
  <c r="N32" i="1"/>
  <c r="O32" i="1"/>
  <c r="P32" i="1"/>
  <c r="Q32" i="1"/>
  <c r="R32" i="1"/>
  <c r="S32" i="1"/>
  <c r="J32" i="1"/>
  <c r="J35" i="1"/>
  <c r="J42" i="1" s="1"/>
  <c r="I33" i="1"/>
  <c r="I32" i="1"/>
  <c r="I45" i="1"/>
  <c r="I46" i="1" s="1"/>
  <c r="I47" i="1" s="1"/>
  <c r="K42" i="1"/>
  <c r="L42" i="1"/>
  <c r="M42" i="1"/>
  <c r="N42" i="1"/>
  <c r="O42" i="1"/>
  <c r="P42" i="1"/>
  <c r="Q42" i="1"/>
  <c r="R42" i="1"/>
  <c r="S42" i="1"/>
  <c r="K51" i="1"/>
  <c r="J51" i="1"/>
  <c r="I51" i="1"/>
  <c r="K15" i="1"/>
  <c r="J15" i="1"/>
  <c r="I15" i="1"/>
  <c r="F51" i="1"/>
  <c r="F52" i="1"/>
  <c r="F50" i="1"/>
  <c r="F35" i="1"/>
  <c r="F36" i="1"/>
  <c r="F37" i="1"/>
  <c r="F38" i="1"/>
  <c r="F39" i="1"/>
  <c r="F40" i="1"/>
  <c r="F41" i="1"/>
  <c r="F42" i="1"/>
  <c r="F44" i="1"/>
  <c r="F45" i="1"/>
  <c r="F34" i="1"/>
  <c r="E43" i="1"/>
  <c r="F43" i="1" s="1"/>
  <c r="F12" i="1"/>
  <c r="F13" i="1"/>
  <c r="F14" i="1"/>
  <c r="F11" i="1"/>
  <c r="F6" i="1"/>
  <c r="E22" i="1" s="1"/>
  <c r="F7" i="1"/>
  <c r="E23" i="1" s="1"/>
  <c r="AC44" i="1" s="1"/>
  <c r="F5" i="1"/>
  <c r="E21" i="1" s="1"/>
  <c r="M44" i="1" l="1"/>
  <c r="Y44" i="1"/>
  <c r="L44" i="1"/>
  <c r="K44" i="1"/>
  <c r="N44" i="1"/>
  <c r="J44" i="1"/>
  <c r="Q44" i="1"/>
  <c r="AB44" i="1"/>
  <c r="X44" i="1"/>
  <c r="T44" i="1"/>
  <c r="P44" i="1"/>
  <c r="AA44" i="1"/>
  <c r="W44" i="1"/>
  <c r="S44" i="1"/>
  <c r="O44" i="1"/>
  <c r="Z44" i="1"/>
  <c r="V44" i="1"/>
  <c r="R44" i="1"/>
  <c r="U44" i="1"/>
  <c r="F46" i="1"/>
  <c r="Z29" i="1" s="1"/>
  <c r="F15" i="1"/>
  <c r="F53" i="1"/>
  <c r="F8" i="1"/>
  <c r="I27" i="1" s="1"/>
  <c r="I38" i="1" l="1"/>
  <c r="I49" i="1" s="1"/>
  <c r="W29" i="1"/>
  <c r="W45" i="1" s="1"/>
  <c r="T29" i="1"/>
  <c r="T45" i="1" s="1"/>
  <c r="X10" i="1"/>
  <c r="X11" i="1" s="1"/>
  <c r="Y29" i="1"/>
  <c r="Y45" i="1" s="1"/>
  <c r="S10" i="1"/>
  <c r="S11" i="1" s="1"/>
  <c r="L29" i="1"/>
  <c r="L45" i="1" s="1"/>
  <c r="X29" i="1"/>
  <c r="X45" i="1" s="1"/>
  <c r="P10" i="1"/>
  <c r="P11" i="1" s="1"/>
  <c r="AC29" i="1"/>
  <c r="AC45" i="1" s="1"/>
  <c r="O10" i="1"/>
  <c r="O11" i="1" s="1"/>
  <c r="S29" i="1"/>
  <c r="S45" i="1" s="1"/>
  <c r="V10" i="1"/>
  <c r="V11" i="1" s="1"/>
  <c r="Q10" i="1"/>
  <c r="Q11" i="1" s="1"/>
  <c r="R10" i="1"/>
  <c r="R11" i="1" s="1"/>
  <c r="K10" i="1"/>
  <c r="K11" i="1" s="1"/>
  <c r="M29" i="1"/>
  <c r="M45" i="1" s="1"/>
  <c r="L10" i="1"/>
  <c r="L11" i="1" s="1"/>
  <c r="N29" i="1"/>
  <c r="N45" i="1" s="1"/>
  <c r="O29" i="1"/>
  <c r="O45" i="1" s="1"/>
  <c r="K29" i="1"/>
  <c r="K45" i="1" s="1"/>
  <c r="AC10" i="1"/>
  <c r="M10" i="1"/>
  <c r="M11" i="1" s="1"/>
  <c r="Y10" i="1"/>
  <c r="Y11" i="1" s="1"/>
  <c r="P29" i="1"/>
  <c r="P45" i="1" s="1"/>
  <c r="AB10" i="1"/>
  <c r="AB11" i="1" s="1"/>
  <c r="Q29" i="1"/>
  <c r="Q45" i="1" s="1"/>
  <c r="W10" i="1"/>
  <c r="W11" i="1" s="1"/>
  <c r="R29" i="1"/>
  <c r="R45" i="1" s="1"/>
  <c r="V29" i="1"/>
  <c r="V45" i="1" s="1"/>
  <c r="Z45" i="1"/>
  <c r="AB41" i="1"/>
  <c r="X41" i="1"/>
  <c r="T41" i="1"/>
  <c r="P41" i="1"/>
  <c r="L41" i="1"/>
  <c r="AA41" i="1"/>
  <c r="W41" i="1"/>
  <c r="S41" i="1"/>
  <c r="O41" i="1"/>
  <c r="K41" i="1"/>
  <c r="Z41" i="1"/>
  <c r="V41" i="1"/>
  <c r="R41" i="1"/>
  <c r="N41" i="1"/>
  <c r="J41" i="1"/>
  <c r="Y41" i="1"/>
  <c r="U41" i="1"/>
  <c r="Q41" i="1"/>
  <c r="AC41" i="1"/>
  <c r="AC46" i="1" s="1"/>
  <c r="AC47" i="1" s="1"/>
  <c r="M41" i="1"/>
  <c r="U10" i="1"/>
  <c r="U11" i="1" s="1"/>
  <c r="N10" i="1"/>
  <c r="N11" i="1" s="1"/>
  <c r="AA29" i="1"/>
  <c r="J10" i="1"/>
  <c r="Z10" i="1"/>
  <c r="Z11" i="1" s="1"/>
  <c r="AB29" i="1"/>
  <c r="T10" i="1"/>
  <c r="T11" i="1" s="1"/>
  <c r="U29" i="1"/>
  <c r="AA10" i="1"/>
  <c r="AA11" i="1" s="1"/>
  <c r="J29" i="1"/>
  <c r="J45" i="1" s="1"/>
  <c r="AB24" i="1"/>
  <c r="AB38" i="1" s="1"/>
  <c r="X24" i="1"/>
  <c r="T24" i="1"/>
  <c r="P24" i="1"/>
  <c r="P38" i="1" s="1"/>
  <c r="L24" i="1"/>
  <c r="L38" i="1" s="1"/>
  <c r="O5" i="1"/>
  <c r="S5" i="1"/>
  <c r="W5" i="1"/>
  <c r="AA5" i="1"/>
  <c r="L5" i="1"/>
  <c r="AA24" i="1"/>
  <c r="W24" i="1"/>
  <c r="W38" i="1" s="1"/>
  <c r="S24" i="1"/>
  <c r="S38" i="1" s="1"/>
  <c r="O24" i="1"/>
  <c r="O38" i="1" s="1"/>
  <c r="K24" i="1"/>
  <c r="K38" i="1" s="1"/>
  <c r="P5" i="1"/>
  <c r="T5" i="1"/>
  <c r="T13" i="1" s="1"/>
  <c r="X5" i="1"/>
  <c r="AB5" i="1"/>
  <c r="K5" i="1"/>
  <c r="V24" i="1"/>
  <c r="V38" i="1" s="1"/>
  <c r="N24" i="1"/>
  <c r="Q5" i="1"/>
  <c r="Y5" i="1"/>
  <c r="J5" i="1"/>
  <c r="AC24" i="1"/>
  <c r="U24" i="1"/>
  <c r="U38" i="1" s="1"/>
  <c r="M24" i="1"/>
  <c r="M38" i="1" s="1"/>
  <c r="R5" i="1"/>
  <c r="Z5" i="1"/>
  <c r="Z24" i="1"/>
  <c r="Z38" i="1" s="1"/>
  <c r="R24" i="1"/>
  <c r="R38" i="1" s="1"/>
  <c r="J24" i="1"/>
  <c r="U5" i="1"/>
  <c r="AC5" i="1"/>
  <c r="Y24" i="1"/>
  <c r="Y38" i="1" s="1"/>
  <c r="Q24" i="1"/>
  <c r="Q38" i="1" s="1"/>
  <c r="N5" i="1"/>
  <c r="V5" i="1"/>
  <c r="M5" i="1"/>
  <c r="J28" i="1"/>
  <c r="AC9" i="1"/>
  <c r="J9" i="1"/>
  <c r="AC28" i="1"/>
  <c r="F17" i="1"/>
  <c r="AC27" i="1" s="1"/>
  <c r="I8" i="1"/>
  <c r="I11" i="1" s="1"/>
  <c r="X38" i="1" l="1"/>
  <c r="J38" i="1"/>
  <c r="AA38" i="1"/>
  <c r="T38" i="1"/>
  <c r="AC38" i="1"/>
  <c r="AC49" i="1" s="1"/>
  <c r="N38" i="1"/>
  <c r="R13" i="1"/>
  <c r="Z46" i="1"/>
  <c r="AA13" i="1"/>
  <c r="Z13" i="1"/>
  <c r="Q46" i="1"/>
  <c r="N46" i="1"/>
  <c r="P46" i="1"/>
  <c r="J46" i="1"/>
  <c r="W46" i="1"/>
  <c r="T46" i="1"/>
  <c r="X13" i="1"/>
  <c r="AB45" i="1"/>
  <c r="AB46" i="1" s="1"/>
  <c r="M46" i="1"/>
  <c r="Y46" i="1"/>
  <c r="V46" i="1"/>
  <c r="S46" i="1"/>
  <c r="S13" i="1"/>
  <c r="U45" i="1"/>
  <c r="K46" i="1"/>
  <c r="X46" i="1"/>
  <c r="N13" i="1"/>
  <c r="L13" i="1"/>
  <c r="J11" i="1"/>
  <c r="J13" i="1" s="1"/>
  <c r="AB13" i="1"/>
  <c r="AA45" i="1"/>
  <c r="AA46" i="1" s="1"/>
  <c r="U46" i="1"/>
  <c r="R46" i="1"/>
  <c r="O46" i="1"/>
  <c r="L46" i="1"/>
  <c r="I13" i="1"/>
  <c r="W13" i="1"/>
  <c r="P13" i="1"/>
  <c r="AC8" i="1"/>
  <c r="AC11" i="1" s="1"/>
  <c r="Q13" i="1"/>
  <c r="K13" i="1"/>
  <c r="U13" i="1"/>
  <c r="O13" i="1"/>
  <c r="Y13" i="1"/>
  <c r="M13" i="1"/>
  <c r="V13" i="1"/>
  <c r="X49" i="1" l="1"/>
  <c r="U47" i="1"/>
  <c r="U49" i="1" s="1"/>
  <c r="T47" i="1"/>
  <c r="T49" i="1" s="1"/>
  <c r="Z47" i="1"/>
  <c r="Z49" i="1" s="1"/>
  <c r="R47" i="1"/>
  <c r="R49" i="1" s="1"/>
  <c r="V47" i="1"/>
  <c r="V49" i="1" s="1"/>
  <c r="P47" i="1"/>
  <c r="P49" i="1" s="1"/>
  <c r="Y47" i="1"/>
  <c r="Y49" i="1" s="1"/>
  <c r="N47" i="1"/>
  <c r="N49" i="1" s="1"/>
  <c r="AA47" i="1"/>
  <c r="AA49" i="1" s="1"/>
  <c r="W47" i="1"/>
  <c r="W49" i="1" s="1"/>
  <c r="Q47" i="1"/>
  <c r="Q49" i="1" s="1"/>
  <c r="O47" i="1"/>
  <c r="O49" i="1" s="1"/>
  <c r="X47" i="1"/>
  <c r="S47" i="1"/>
  <c r="S49" i="1" s="1"/>
  <c r="AB47" i="1"/>
  <c r="AB49" i="1" s="1"/>
  <c r="K47" i="1"/>
  <c r="K49" i="1" s="1"/>
  <c r="L47" i="1"/>
  <c r="L49" i="1" s="1"/>
  <c r="M47" i="1"/>
  <c r="M49" i="1" s="1"/>
  <c r="J47" i="1"/>
  <c r="J49" i="1" s="1"/>
  <c r="AC13" i="1"/>
  <c r="J16" i="1" s="1"/>
  <c r="I17" i="1" l="1"/>
  <c r="J52" i="1"/>
  <c r="I53" i="1"/>
  <c r="I52" i="1"/>
  <c r="K52" i="1"/>
  <c r="K16" i="1"/>
  <c r="I16" i="1"/>
</calcChain>
</file>

<file path=xl/sharedStrings.xml><?xml version="1.0" encoding="utf-8"?>
<sst xmlns="http://schemas.openxmlformats.org/spreadsheetml/2006/main" count="95" uniqueCount="69">
  <si>
    <t>Investment costs</t>
  </si>
  <si>
    <t>(i) Fixed investements</t>
  </si>
  <si>
    <t>Farm equipment</t>
  </si>
  <si>
    <t>Vehicles</t>
  </si>
  <si>
    <t>Qty</t>
  </si>
  <si>
    <t>Price</t>
  </si>
  <si>
    <t>Cost</t>
  </si>
  <si>
    <t>Buildings</t>
  </si>
  <si>
    <t>Total</t>
  </si>
  <si>
    <t>(ii) Working capital</t>
  </si>
  <si>
    <t>Fertilizer stocks</t>
  </si>
  <si>
    <t>Insecticide stocks</t>
  </si>
  <si>
    <t>Equipment spare parts</t>
  </si>
  <si>
    <t>Fuel stocks</t>
  </si>
  <si>
    <t>(iii) Salvage value</t>
  </si>
  <si>
    <t>Depreciation</t>
  </si>
  <si>
    <t>Equipment</t>
  </si>
  <si>
    <t>Life (years)</t>
  </si>
  <si>
    <t>Amt/year</t>
  </si>
  <si>
    <t>Amt</t>
  </si>
  <si>
    <t>Interest</t>
  </si>
  <si>
    <t>Life (yrs)</t>
  </si>
  <si>
    <t>Loan</t>
  </si>
  <si>
    <t>Overdraft</t>
  </si>
  <si>
    <t>Discount rates</t>
  </si>
  <si>
    <t>Tax rate on profits</t>
  </si>
  <si>
    <t>TABLE 1. KEY PARAMETERS</t>
  </si>
  <si>
    <t>Financing &amp; Taxes</t>
  </si>
  <si>
    <t>Operating costs</t>
  </si>
  <si>
    <t>Land rent</t>
  </si>
  <si>
    <t>Fuel</t>
  </si>
  <si>
    <t>Seeds/plants</t>
  </si>
  <si>
    <t>Fertilizer</t>
  </si>
  <si>
    <t>Insecticides</t>
  </si>
  <si>
    <t>Water</t>
  </si>
  <si>
    <t>Spares &amp; maintenance</t>
  </si>
  <si>
    <t>Casual labor</t>
  </si>
  <si>
    <t>Administration</t>
  </si>
  <si>
    <t>Insurance</t>
  </si>
  <si>
    <t>Management salary</t>
  </si>
  <si>
    <t>Miscellaneous per year</t>
  </si>
  <si>
    <t>Revenues</t>
  </si>
  <si>
    <t>Revenue</t>
  </si>
  <si>
    <t>Apples</t>
  </si>
  <si>
    <t>Peaches</t>
  </si>
  <si>
    <t>Pears</t>
  </si>
  <si>
    <t>Capacity output</t>
  </si>
  <si>
    <t>2019+</t>
  </si>
  <si>
    <t>TABLE 2. MARKET ANALYSIS</t>
  </si>
  <si>
    <t>Year</t>
  </si>
  <si>
    <t>Costs</t>
  </si>
  <si>
    <t>Fixed investment</t>
  </si>
  <si>
    <t>Working capital</t>
  </si>
  <si>
    <t>Net cash flow</t>
  </si>
  <si>
    <t>Total costs</t>
  </si>
  <si>
    <t>NPV</t>
  </si>
  <si>
    <t>TABLE 3. PRIVATE ANALYSIS</t>
  </si>
  <si>
    <t>Taxes</t>
  </si>
  <si>
    <t>Sales</t>
  </si>
  <si>
    <t>Taxable profit</t>
  </si>
  <si>
    <t>Interest payments - Loan</t>
  </si>
  <si>
    <t>Interest payments - Overdraft</t>
  </si>
  <si>
    <t>Total taxes</t>
  </si>
  <si>
    <t>Financing and debt service</t>
  </si>
  <si>
    <t>IRR</t>
  </si>
  <si>
    <t>(i) Principal</t>
  </si>
  <si>
    <t>(ii) Interest</t>
  </si>
  <si>
    <t>Net cash flow, pre tax</t>
  </si>
  <si>
    <t>Net cash flow, after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</si>
</sst>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3" fillId="0" borderId="0" xfId="0" applyFont="1"/>
    <xf numFmtId="164" fontId="0" fillId="0" borderId="1" xfId="1" applyNumberFormat="1" applyFont="1" applyBorder="1"/>
    <xf numFmtId="0" fontId="4" fillId="0" borderId="0" xfId="0" applyFont="1"/>
    <xf numFmtId="0" fontId="2" fillId="0" borderId="0" xfId="0" applyFont="1"/>
    <xf numFmtId="0" fontId="0" fillId="0" borderId="5" xfId="0" applyBorder="1"/>
    <xf numFmtId="0" fontId="0" fillId="0" borderId="3" xfId="0" applyBorder="1"/>
    <xf numFmtId="0" fontId="4" fillId="0" borderId="8" xfId="0" applyFont="1" applyBorder="1"/>
    <xf numFmtId="0" fontId="4" fillId="0" borderId="9" xfId="0" applyFont="1" applyBorder="1"/>
    <xf numFmtId="0" fontId="0" fillId="0" borderId="8" xfId="0" applyBorder="1"/>
    <xf numFmtId="0" fontId="0" fillId="0" borderId="9" xfId="0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0" fontId="0" fillId="0" borderId="10" xfId="0" applyBorder="1"/>
    <xf numFmtId="164" fontId="0" fillId="0" borderId="11" xfId="1" applyNumberFormat="1" applyFont="1" applyBorder="1"/>
    <xf numFmtId="0" fontId="0" fillId="0" borderId="6" xfId="0" applyBorder="1"/>
    <xf numFmtId="9" fontId="0" fillId="0" borderId="6" xfId="2" applyFont="1" applyBorder="1"/>
    <xf numFmtId="0" fontId="4" fillId="0" borderId="2" xfId="0" applyFont="1" applyBorder="1"/>
    <xf numFmtId="0" fontId="2" fillId="0" borderId="3" xfId="0" applyFont="1" applyBorder="1"/>
    <xf numFmtId="0" fontId="4" fillId="0" borderId="3" xfId="0" applyFont="1" applyBorder="1"/>
    <xf numFmtId="0" fontId="4" fillId="0" borderId="4" xfId="0" applyFont="1" applyBorder="1"/>
    <xf numFmtId="9" fontId="0" fillId="0" borderId="0" xfId="2" applyFont="1" applyBorder="1"/>
    <xf numFmtId="164" fontId="0" fillId="0" borderId="9" xfId="0" applyNumberFormat="1" applyBorder="1"/>
    <xf numFmtId="9" fontId="0" fillId="0" borderId="9" xfId="2" applyFont="1" applyBorder="1"/>
    <xf numFmtId="44" fontId="0" fillId="0" borderId="0" xfId="1" applyFont="1" applyBorder="1"/>
    <xf numFmtId="164" fontId="0" fillId="0" borderId="11" xfId="0" applyNumberFormat="1" applyBorder="1"/>
    <xf numFmtId="0" fontId="0" fillId="0" borderId="9" xfId="0" applyBorder="1" applyAlignment="1">
      <alignment horizontal="right"/>
    </xf>
    <xf numFmtId="9" fontId="0" fillId="0" borderId="7" xfId="2" applyFont="1" applyBorder="1"/>
    <xf numFmtId="0" fontId="0" fillId="0" borderId="2" xfId="0" applyBorder="1"/>
    <xf numFmtId="0" fontId="0" fillId="0" borderId="4" xfId="0" applyBorder="1"/>
    <xf numFmtId="0" fontId="3" fillId="0" borderId="8" xfId="0" applyFont="1" applyBorder="1"/>
    <xf numFmtId="37" fontId="0" fillId="0" borderId="0" xfId="0" applyNumberFormat="1"/>
    <xf numFmtId="37" fontId="0" fillId="0" borderId="9" xfId="0" applyNumberFormat="1" applyBorder="1"/>
    <xf numFmtId="37" fontId="0" fillId="0" borderId="0" xfId="1" applyNumberFormat="1" applyFont="1" applyBorder="1"/>
    <xf numFmtId="37" fontId="0" fillId="0" borderId="9" xfId="1" applyNumberFormat="1" applyFont="1" applyBorder="1"/>
    <xf numFmtId="0" fontId="0" fillId="0" borderId="7" xfId="0" applyBorder="1"/>
    <xf numFmtId="165" fontId="0" fillId="0" borderId="0" xfId="2" applyNumberFormat="1" applyFont="1" applyBorder="1"/>
    <xf numFmtId="0" fontId="6" fillId="0" borderId="0" xfId="0" applyFont="1"/>
    <xf numFmtId="37" fontId="6" fillId="0" borderId="0" xfId="0" applyNumberFormat="1" applyFont="1"/>
    <xf numFmtId="37" fontId="6" fillId="0" borderId="9" xfId="0" applyNumberFormat="1" applyFont="1" applyBorder="1"/>
    <xf numFmtId="37" fontId="0" fillId="0" borderId="1" xfId="1" applyNumberFormat="1" applyFont="1" applyBorder="1"/>
    <xf numFmtId="0" fontId="6" fillId="0" borderId="8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37" fontId="0" fillId="0" borderId="11" xfId="1" applyNumberFormat="1" applyFont="1" applyBorder="1"/>
    <xf numFmtId="0" fontId="0" fillId="2" borderId="8" xfId="0" applyFill="1" applyBorder="1"/>
    <xf numFmtId="9" fontId="5" fillId="2" borderId="0" xfId="0" applyNumberFormat="1" applyFont="1" applyFill="1"/>
    <xf numFmtId="0" fontId="5" fillId="2" borderId="8" xfId="0" applyFont="1" applyFill="1" applyBorder="1"/>
    <xf numFmtId="164" fontId="5" fillId="2" borderId="0" xfId="1" applyNumberFormat="1" applyFont="1" applyFill="1" applyBorder="1"/>
    <xf numFmtId="0" fontId="5" fillId="2" borderId="5" xfId="0" applyFont="1" applyFill="1" applyBorder="1"/>
    <xf numFmtId="165" fontId="5" fillId="2" borderId="6" xfId="0" applyNumberFormat="1" applyFont="1" applyFill="1" applyBorder="1"/>
    <xf numFmtId="0" fontId="0" fillId="2" borderId="6" xfId="0" applyFill="1" applyBorder="1"/>
    <xf numFmtId="0" fontId="3" fillId="0" borderId="8" xfId="0" applyFont="1" applyBorder="1" applyAlignment="1">
      <alignment horizontal="left"/>
    </xf>
    <xf numFmtId="164" fontId="0" fillId="0" borderId="0" xfId="0" applyNumberFormat="1"/>
    <xf numFmtId="37" fontId="0" fillId="0" borderId="12" xfId="0" applyNumberFormat="1" applyBorder="1"/>
    <xf numFmtId="37" fontId="0" fillId="0" borderId="14" xfId="0" applyNumberFormat="1" applyBorder="1"/>
    <xf numFmtId="0" fontId="6" fillId="0" borderId="15" xfId="0" applyFont="1" applyBorder="1" applyAlignment="1">
      <alignment horizontal="right"/>
    </xf>
    <xf numFmtId="37" fontId="0" fillId="0" borderId="16" xfId="0" applyNumberFormat="1" applyBorder="1"/>
    <xf numFmtId="37" fontId="0" fillId="0" borderId="17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7"/>
  <sheetViews>
    <sheetView tabSelected="1" workbookViewId="0">
      <selection activeCell="I15" sqref="I15"/>
    </sheetView>
  </sheetViews>
  <sheetFormatPr defaultRowHeight="14.5" x14ac:dyDescent="0.35"/>
  <cols>
    <col min="4" max="4" width="9.81640625" bestFit="1" customWidth="1"/>
    <col min="5" max="6" width="12.1796875" bestFit="1" customWidth="1"/>
    <col min="8" max="8" width="28.1796875" bestFit="1" customWidth="1"/>
    <col min="9" max="10" width="10.26953125" customWidth="1"/>
    <col min="11" max="11" width="11.26953125" bestFit="1" customWidth="1"/>
    <col min="12" max="29" width="10.26953125" customWidth="1"/>
  </cols>
  <sheetData>
    <row r="1" spans="1:29" x14ac:dyDescent="0.35">
      <c r="A1" s="5" t="s">
        <v>26</v>
      </c>
      <c r="D1" s="2"/>
      <c r="E1" s="2"/>
      <c r="F1" s="2"/>
      <c r="H1" s="5" t="s">
        <v>48</v>
      </c>
    </row>
    <row r="2" spans="1:29" ht="15" thickBot="1" x14ac:dyDescent="0.4">
      <c r="A2" s="5"/>
      <c r="D2" s="2"/>
      <c r="E2" s="2"/>
      <c r="F2" s="2"/>
    </row>
    <row r="3" spans="1:29" x14ac:dyDescent="0.35">
      <c r="A3" s="18" t="s">
        <v>0</v>
      </c>
      <c r="B3" s="19"/>
      <c r="C3" s="19"/>
      <c r="D3" s="20" t="s">
        <v>4</v>
      </c>
      <c r="E3" s="20" t="s">
        <v>5</v>
      </c>
      <c r="F3" s="21" t="s">
        <v>6</v>
      </c>
      <c r="H3" s="29" t="s">
        <v>49</v>
      </c>
      <c r="I3" s="7">
        <v>2015</v>
      </c>
      <c r="J3" s="7">
        <v>2016</v>
      </c>
      <c r="K3" s="7">
        <v>2017</v>
      </c>
      <c r="L3" s="7">
        <v>2018</v>
      </c>
      <c r="M3" s="7">
        <v>2019</v>
      </c>
      <c r="N3" s="7">
        <v>2020</v>
      </c>
      <c r="O3" s="7">
        <v>2021</v>
      </c>
      <c r="P3" s="7">
        <v>2022</v>
      </c>
      <c r="Q3" s="7">
        <v>2023</v>
      </c>
      <c r="R3" s="7">
        <v>2024</v>
      </c>
      <c r="S3" s="7">
        <v>2025</v>
      </c>
      <c r="T3" s="7">
        <v>2026</v>
      </c>
      <c r="U3" s="7">
        <v>2027</v>
      </c>
      <c r="V3" s="7">
        <v>2028</v>
      </c>
      <c r="W3" s="7">
        <v>2029</v>
      </c>
      <c r="X3" s="7">
        <v>2030</v>
      </c>
      <c r="Y3" s="7">
        <v>2031</v>
      </c>
      <c r="Z3" s="7">
        <v>2032</v>
      </c>
      <c r="AA3" s="7">
        <v>2033</v>
      </c>
      <c r="AB3" s="7">
        <v>2034</v>
      </c>
      <c r="AC3" s="30">
        <v>2035</v>
      </c>
    </row>
    <row r="4" spans="1:29" x14ac:dyDescent="0.35">
      <c r="A4" s="10" t="s">
        <v>1</v>
      </c>
      <c r="F4" s="11"/>
      <c r="H4" s="10"/>
      <c r="AC4" s="11"/>
    </row>
    <row r="5" spans="1:29" x14ac:dyDescent="0.35">
      <c r="A5" s="10" t="s">
        <v>2</v>
      </c>
      <c r="D5">
        <v>4</v>
      </c>
      <c r="E5" s="12">
        <v>100000</v>
      </c>
      <c r="F5" s="13">
        <f>E5*D5</f>
        <v>400000</v>
      </c>
      <c r="H5" s="31" t="s">
        <v>41</v>
      </c>
      <c r="I5" s="32">
        <v>0</v>
      </c>
      <c r="J5" s="32">
        <f>$F$53*C$57</f>
        <v>81250</v>
      </c>
      <c r="K5" s="32">
        <f>$F$53*D$57</f>
        <v>162500</v>
      </c>
      <c r="L5" s="32">
        <f>$F$53*E$57</f>
        <v>243750</v>
      </c>
      <c r="M5" s="32">
        <f>$F$53*$F$57</f>
        <v>325000</v>
      </c>
      <c r="N5" s="32">
        <f t="shared" ref="N5:AC5" si="0">$F$53*$F$57</f>
        <v>325000</v>
      </c>
      <c r="O5" s="32">
        <f t="shared" si="0"/>
        <v>325000</v>
      </c>
      <c r="P5" s="32">
        <f t="shared" si="0"/>
        <v>325000</v>
      </c>
      <c r="Q5" s="32">
        <f t="shared" si="0"/>
        <v>325000</v>
      </c>
      <c r="R5" s="32">
        <f t="shared" si="0"/>
        <v>325000</v>
      </c>
      <c r="S5" s="32">
        <f t="shared" si="0"/>
        <v>325000</v>
      </c>
      <c r="T5" s="32">
        <f t="shared" si="0"/>
        <v>325000</v>
      </c>
      <c r="U5" s="32">
        <f t="shared" si="0"/>
        <v>325000</v>
      </c>
      <c r="V5" s="32">
        <f t="shared" si="0"/>
        <v>325000</v>
      </c>
      <c r="W5" s="32">
        <f t="shared" si="0"/>
        <v>325000</v>
      </c>
      <c r="X5" s="32">
        <f t="shared" si="0"/>
        <v>325000</v>
      </c>
      <c r="Y5" s="32">
        <f t="shared" si="0"/>
        <v>325000</v>
      </c>
      <c r="Z5" s="32">
        <f t="shared" si="0"/>
        <v>325000</v>
      </c>
      <c r="AA5" s="32">
        <f t="shared" si="0"/>
        <v>325000</v>
      </c>
      <c r="AB5" s="32">
        <f t="shared" si="0"/>
        <v>325000</v>
      </c>
      <c r="AC5" s="33">
        <f t="shared" si="0"/>
        <v>325000</v>
      </c>
    </row>
    <row r="6" spans="1:29" x14ac:dyDescent="0.35">
      <c r="A6" s="10" t="s">
        <v>3</v>
      </c>
      <c r="D6">
        <v>3</v>
      </c>
      <c r="E6" s="12">
        <v>30000</v>
      </c>
      <c r="F6" s="13">
        <f t="shared" ref="F6:F7" si="1">E6*D6</f>
        <v>90000</v>
      </c>
      <c r="H6" s="10"/>
      <c r="AC6" s="11"/>
    </row>
    <row r="7" spans="1:29" x14ac:dyDescent="0.35">
      <c r="A7" s="14" t="s">
        <v>7</v>
      </c>
      <c r="B7" s="1"/>
      <c r="C7" s="1"/>
      <c r="D7" s="1">
        <v>250</v>
      </c>
      <c r="E7" s="3">
        <v>1000</v>
      </c>
      <c r="F7" s="15">
        <f t="shared" si="1"/>
        <v>250000</v>
      </c>
      <c r="H7" s="31" t="s">
        <v>50</v>
      </c>
      <c r="AC7" s="11"/>
    </row>
    <row r="8" spans="1:29" x14ac:dyDescent="0.35">
      <c r="A8" s="10" t="s">
        <v>8</v>
      </c>
      <c r="F8" s="13">
        <f>SUM(F5:F7)</f>
        <v>740000</v>
      </c>
      <c r="H8" s="10" t="s">
        <v>51</v>
      </c>
      <c r="I8" s="34">
        <f>-$F$8</f>
        <v>-740000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5">
        <f>$F$17</f>
        <v>74000</v>
      </c>
    </row>
    <row r="9" spans="1:29" x14ac:dyDescent="0.35">
      <c r="A9" s="10"/>
      <c r="F9" s="11"/>
      <c r="H9" s="10" t="s">
        <v>52</v>
      </c>
      <c r="I9" s="34">
        <v>0</v>
      </c>
      <c r="J9" s="34">
        <f>-$F$15</f>
        <v>-86350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5">
        <f>$F$15</f>
        <v>86350</v>
      </c>
    </row>
    <row r="10" spans="1:29" x14ac:dyDescent="0.35">
      <c r="A10" s="10" t="s">
        <v>9</v>
      </c>
      <c r="F10" s="11"/>
      <c r="H10" s="14" t="s">
        <v>28</v>
      </c>
      <c r="I10" s="41">
        <v>0</v>
      </c>
      <c r="J10" s="41">
        <f>-$F$46*C$57</f>
        <v>-50303.375</v>
      </c>
      <c r="K10" s="41">
        <f>-$F$46*D$57</f>
        <v>-100606.75</v>
      </c>
      <c r="L10" s="41">
        <f>-$F$46*E$57</f>
        <v>-150910.125</v>
      </c>
      <c r="M10" s="41">
        <f>-$F$46*$F$57</f>
        <v>-201213.5</v>
      </c>
      <c r="N10" s="41">
        <f t="shared" ref="N10:AC10" si="2">-$F$46*$F$57</f>
        <v>-201213.5</v>
      </c>
      <c r="O10" s="41">
        <f t="shared" si="2"/>
        <v>-201213.5</v>
      </c>
      <c r="P10" s="41">
        <f t="shared" si="2"/>
        <v>-201213.5</v>
      </c>
      <c r="Q10" s="41">
        <f t="shared" si="2"/>
        <v>-201213.5</v>
      </c>
      <c r="R10" s="41">
        <f t="shared" si="2"/>
        <v>-201213.5</v>
      </c>
      <c r="S10" s="41">
        <f t="shared" si="2"/>
        <v>-201213.5</v>
      </c>
      <c r="T10" s="41">
        <f t="shared" si="2"/>
        <v>-201213.5</v>
      </c>
      <c r="U10" s="41">
        <f t="shared" si="2"/>
        <v>-201213.5</v>
      </c>
      <c r="V10" s="41">
        <f t="shared" si="2"/>
        <v>-201213.5</v>
      </c>
      <c r="W10" s="41">
        <f t="shared" si="2"/>
        <v>-201213.5</v>
      </c>
      <c r="X10" s="41">
        <f t="shared" si="2"/>
        <v>-201213.5</v>
      </c>
      <c r="Y10" s="41">
        <f t="shared" si="2"/>
        <v>-201213.5</v>
      </c>
      <c r="Z10" s="41">
        <f t="shared" si="2"/>
        <v>-201213.5</v>
      </c>
      <c r="AA10" s="41">
        <f t="shared" si="2"/>
        <v>-201213.5</v>
      </c>
      <c r="AB10" s="41">
        <f t="shared" si="2"/>
        <v>-201213.5</v>
      </c>
      <c r="AC10" s="44">
        <f t="shared" si="2"/>
        <v>-201213.5</v>
      </c>
    </row>
    <row r="11" spans="1:29" x14ac:dyDescent="0.35">
      <c r="A11" s="10" t="s">
        <v>10</v>
      </c>
      <c r="D11">
        <v>2</v>
      </c>
      <c r="E11" s="12">
        <v>500</v>
      </c>
      <c r="F11" s="13">
        <f>E11*D11</f>
        <v>1000</v>
      </c>
      <c r="H11" s="10" t="s">
        <v>54</v>
      </c>
      <c r="I11" s="32">
        <f>SUM(I8:I10)</f>
        <v>-740000</v>
      </c>
      <c r="J11" s="32">
        <f t="shared" ref="J11:AC11" si="3">SUM(J8:J10)</f>
        <v>-136653.375</v>
      </c>
      <c r="K11" s="32">
        <f t="shared" si="3"/>
        <v>-100606.75</v>
      </c>
      <c r="L11" s="32">
        <f t="shared" si="3"/>
        <v>-150910.125</v>
      </c>
      <c r="M11" s="32">
        <f t="shared" si="3"/>
        <v>-201213.5</v>
      </c>
      <c r="N11" s="32">
        <f t="shared" si="3"/>
        <v>-201213.5</v>
      </c>
      <c r="O11" s="32">
        <f t="shared" si="3"/>
        <v>-201213.5</v>
      </c>
      <c r="P11" s="32">
        <f t="shared" si="3"/>
        <v>-201213.5</v>
      </c>
      <c r="Q11" s="32">
        <f t="shared" si="3"/>
        <v>-201213.5</v>
      </c>
      <c r="R11" s="32">
        <f t="shared" si="3"/>
        <v>-201213.5</v>
      </c>
      <c r="S11" s="32">
        <f t="shared" si="3"/>
        <v>-201213.5</v>
      </c>
      <c r="T11" s="32">
        <f t="shared" si="3"/>
        <v>-201213.5</v>
      </c>
      <c r="U11" s="32">
        <f t="shared" si="3"/>
        <v>-201213.5</v>
      </c>
      <c r="V11" s="32">
        <f t="shared" si="3"/>
        <v>-201213.5</v>
      </c>
      <c r="W11" s="32">
        <f t="shared" si="3"/>
        <v>-201213.5</v>
      </c>
      <c r="X11" s="32">
        <f t="shared" si="3"/>
        <v>-201213.5</v>
      </c>
      <c r="Y11" s="32">
        <f t="shared" si="3"/>
        <v>-201213.5</v>
      </c>
      <c r="Z11" s="32">
        <f t="shared" si="3"/>
        <v>-201213.5</v>
      </c>
      <c r="AA11" s="32">
        <f t="shared" si="3"/>
        <v>-201213.5</v>
      </c>
      <c r="AB11" s="32">
        <f t="shared" si="3"/>
        <v>-201213.5</v>
      </c>
      <c r="AC11" s="33">
        <f t="shared" si="3"/>
        <v>-40863.5</v>
      </c>
    </row>
    <row r="12" spans="1:29" x14ac:dyDescent="0.35">
      <c r="A12" s="10" t="s">
        <v>11</v>
      </c>
      <c r="D12">
        <v>2500</v>
      </c>
      <c r="E12" s="12">
        <v>30</v>
      </c>
      <c r="F12" s="13">
        <f t="shared" ref="F12:F14" si="4">E12*D12</f>
        <v>75000</v>
      </c>
      <c r="H12" s="10"/>
      <c r="AC12" s="11"/>
    </row>
    <row r="13" spans="1:29" x14ac:dyDescent="0.35">
      <c r="A13" s="10" t="s">
        <v>12</v>
      </c>
      <c r="D13">
        <v>10</v>
      </c>
      <c r="E13" s="12">
        <v>1000</v>
      </c>
      <c r="F13" s="13">
        <f t="shared" si="4"/>
        <v>10000</v>
      </c>
      <c r="H13" s="31" t="s">
        <v>53</v>
      </c>
      <c r="I13" s="32">
        <f>I$5+I$11</f>
        <v>-740000</v>
      </c>
      <c r="J13" s="32">
        <f t="shared" ref="J13:AC13" si="5">J$5+J$11</f>
        <v>-55403.375</v>
      </c>
      <c r="K13" s="32">
        <f t="shared" si="5"/>
        <v>61893.25</v>
      </c>
      <c r="L13" s="32">
        <f t="shared" si="5"/>
        <v>92839.875</v>
      </c>
      <c r="M13" s="32">
        <f t="shared" si="5"/>
        <v>123786.5</v>
      </c>
      <c r="N13" s="32">
        <f t="shared" si="5"/>
        <v>123786.5</v>
      </c>
      <c r="O13" s="32">
        <f t="shared" si="5"/>
        <v>123786.5</v>
      </c>
      <c r="P13" s="32">
        <f t="shared" si="5"/>
        <v>123786.5</v>
      </c>
      <c r="Q13" s="32">
        <f t="shared" si="5"/>
        <v>123786.5</v>
      </c>
      <c r="R13" s="32">
        <f t="shared" si="5"/>
        <v>123786.5</v>
      </c>
      <c r="S13" s="32">
        <f t="shared" si="5"/>
        <v>123786.5</v>
      </c>
      <c r="T13" s="32">
        <f t="shared" si="5"/>
        <v>123786.5</v>
      </c>
      <c r="U13" s="32">
        <f t="shared" si="5"/>
        <v>123786.5</v>
      </c>
      <c r="V13" s="32">
        <f t="shared" si="5"/>
        <v>123786.5</v>
      </c>
      <c r="W13" s="32">
        <f t="shared" si="5"/>
        <v>123786.5</v>
      </c>
      <c r="X13" s="32">
        <f t="shared" si="5"/>
        <v>123786.5</v>
      </c>
      <c r="Y13" s="32">
        <f t="shared" si="5"/>
        <v>123786.5</v>
      </c>
      <c r="Z13" s="32">
        <f t="shared" si="5"/>
        <v>123786.5</v>
      </c>
      <c r="AA13" s="32">
        <f t="shared" si="5"/>
        <v>123786.5</v>
      </c>
      <c r="AB13" s="32">
        <f t="shared" si="5"/>
        <v>123786.5</v>
      </c>
      <c r="AC13" s="33">
        <f t="shared" si="5"/>
        <v>284136.5</v>
      </c>
    </row>
    <row r="14" spans="1:29" x14ac:dyDescent="0.35">
      <c r="A14" s="14" t="s">
        <v>13</v>
      </c>
      <c r="B14" s="1"/>
      <c r="C14" s="1"/>
      <c r="D14" s="1">
        <v>500</v>
      </c>
      <c r="E14" s="3">
        <v>0.7</v>
      </c>
      <c r="F14" s="15">
        <f t="shared" si="4"/>
        <v>350</v>
      </c>
      <c r="H14" s="10"/>
      <c r="AC14" s="11"/>
    </row>
    <row r="15" spans="1:29" x14ac:dyDescent="0.35">
      <c r="A15" s="10" t="s">
        <v>8</v>
      </c>
      <c r="F15" s="13">
        <f>SUM(F11:F14)</f>
        <v>86350</v>
      </c>
      <c r="H15" s="45"/>
      <c r="I15" s="46">
        <f>$D$29</f>
        <v>0.05</v>
      </c>
      <c r="J15" s="46">
        <f>$E$29</f>
        <v>0.1</v>
      </c>
      <c r="K15" s="46">
        <f>$F$29</f>
        <v>0.15</v>
      </c>
      <c r="AC15" s="11"/>
    </row>
    <row r="16" spans="1:29" x14ac:dyDescent="0.35">
      <c r="A16" s="10"/>
      <c r="F16" s="11"/>
      <c r="H16" s="47" t="s">
        <v>55</v>
      </c>
      <c r="I16" s="48">
        <f>NPV(I15,$J$13:$AC$13)+$I$13</f>
        <v>609558.74484575936</v>
      </c>
      <c r="J16" s="48">
        <f t="shared" ref="J16:K16" si="6">NPV(J15,$J$13:$AC$13)+$I$13</f>
        <v>100397.27110448515</v>
      </c>
      <c r="K16" s="48">
        <f t="shared" si="6"/>
        <v>-178347.21472014522</v>
      </c>
      <c r="AC16" s="11"/>
    </row>
    <row r="17" spans="1:29" ht="15" thickBot="1" x14ac:dyDescent="0.4">
      <c r="A17" s="10" t="s">
        <v>14</v>
      </c>
      <c r="E17" s="22">
        <v>0.1</v>
      </c>
      <c r="F17" s="23">
        <f>E17*F8</f>
        <v>74000</v>
      </c>
      <c r="H17" s="49" t="s">
        <v>64</v>
      </c>
      <c r="I17" s="50">
        <f>IRR(I13:AC13)</f>
        <v>0.11495646071318877</v>
      </c>
      <c r="J17" s="51"/>
      <c r="K17" s="51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36"/>
    </row>
    <row r="18" spans="1:29" x14ac:dyDescent="0.35">
      <c r="A18" s="10"/>
      <c r="E18" s="22"/>
      <c r="F18" s="23"/>
    </row>
    <row r="19" spans="1:29" x14ac:dyDescent="0.35">
      <c r="A19" s="10"/>
      <c r="F19" s="11"/>
    </row>
    <row r="20" spans="1:29" x14ac:dyDescent="0.35">
      <c r="A20" s="8" t="s">
        <v>15</v>
      </c>
      <c r="D20" s="4" t="s">
        <v>17</v>
      </c>
      <c r="E20" s="4" t="s">
        <v>18</v>
      </c>
      <c r="F20" s="11"/>
      <c r="H20" s="5" t="s">
        <v>56</v>
      </c>
    </row>
    <row r="21" spans="1:29" ht="15" thickBot="1" x14ac:dyDescent="0.4">
      <c r="A21" s="10" t="s">
        <v>16</v>
      </c>
      <c r="D21">
        <v>10</v>
      </c>
      <c r="E21" s="12">
        <f>F5/D21</f>
        <v>40000</v>
      </c>
      <c r="F21" s="11"/>
    </row>
    <row r="22" spans="1:29" x14ac:dyDescent="0.35">
      <c r="A22" s="10" t="s">
        <v>3</v>
      </c>
      <c r="D22">
        <v>5</v>
      </c>
      <c r="E22" s="12">
        <f>F6/D22</f>
        <v>18000</v>
      </c>
      <c r="F22" s="11"/>
      <c r="H22" s="29" t="s">
        <v>49</v>
      </c>
      <c r="I22" s="7">
        <v>2015</v>
      </c>
      <c r="J22" s="7">
        <v>2016</v>
      </c>
      <c r="K22" s="7">
        <v>2017</v>
      </c>
      <c r="L22" s="7">
        <v>2018</v>
      </c>
      <c r="M22" s="7">
        <v>2019</v>
      </c>
      <c r="N22" s="7">
        <v>2020</v>
      </c>
      <c r="O22" s="7">
        <v>2021</v>
      </c>
      <c r="P22" s="7">
        <v>2022</v>
      </c>
      <c r="Q22" s="7">
        <v>2023</v>
      </c>
      <c r="R22" s="7">
        <v>2024</v>
      </c>
      <c r="S22" s="7">
        <v>2025</v>
      </c>
      <c r="T22" s="7">
        <v>2026</v>
      </c>
      <c r="U22" s="7">
        <v>2027</v>
      </c>
      <c r="V22" s="7">
        <v>2028</v>
      </c>
      <c r="W22" s="7">
        <v>2029</v>
      </c>
      <c r="X22" s="7">
        <v>2030</v>
      </c>
      <c r="Y22" s="7">
        <v>2031</v>
      </c>
      <c r="Z22" s="7">
        <v>2032</v>
      </c>
      <c r="AA22" s="7">
        <v>2033</v>
      </c>
      <c r="AB22" s="7">
        <v>2034</v>
      </c>
      <c r="AC22" s="30">
        <v>2035</v>
      </c>
    </row>
    <row r="23" spans="1:29" x14ac:dyDescent="0.35">
      <c r="A23" s="10" t="s">
        <v>7</v>
      </c>
      <c r="D23">
        <v>20</v>
      </c>
      <c r="E23" s="12">
        <f>F7/D23</f>
        <v>12500</v>
      </c>
      <c r="F23" s="11"/>
      <c r="H23" s="10"/>
      <c r="AC23" s="11"/>
    </row>
    <row r="24" spans="1:29" x14ac:dyDescent="0.35">
      <c r="A24" s="10"/>
      <c r="E24" s="12"/>
      <c r="F24" s="11"/>
      <c r="H24" s="31" t="s">
        <v>41</v>
      </c>
      <c r="I24" s="32">
        <v>0</v>
      </c>
      <c r="J24" s="32">
        <f>$F$53*C$57</f>
        <v>81250</v>
      </c>
      <c r="K24" s="32">
        <f>$F$53*D$57</f>
        <v>162500</v>
      </c>
      <c r="L24" s="32">
        <f>$F$53*E$57</f>
        <v>243750</v>
      </c>
      <c r="M24" s="32">
        <f>$F$53*$F$57</f>
        <v>325000</v>
      </c>
      <c r="N24" s="32">
        <f t="shared" ref="N24:AC24" si="7">$F$53*$F$57</f>
        <v>325000</v>
      </c>
      <c r="O24" s="32">
        <f t="shared" si="7"/>
        <v>325000</v>
      </c>
      <c r="P24" s="32">
        <f t="shared" si="7"/>
        <v>325000</v>
      </c>
      <c r="Q24" s="32">
        <f t="shared" si="7"/>
        <v>325000</v>
      </c>
      <c r="R24" s="32">
        <f t="shared" si="7"/>
        <v>325000</v>
      </c>
      <c r="S24" s="32">
        <f t="shared" si="7"/>
        <v>325000</v>
      </c>
      <c r="T24" s="32">
        <f t="shared" si="7"/>
        <v>325000</v>
      </c>
      <c r="U24" s="32">
        <f t="shared" si="7"/>
        <v>325000</v>
      </c>
      <c r="V24" s="32">
        <f t="shared" si="7"/>
        <v>325000</v>
      </c>
      <c r="W24" s="32">
        <f t="shared" si="7"/>
        <v>325000</v>
      </c>
      <c r="X24" s="32">
        <f t="shared" si="7"/>
        <v>325000</v>
      </c>
      <c r="Y24" s="32">
        <f t="shared" si="7"/>
        <v>325000</v>
      </c>
      <c r="Z24" s="32">
        <f t="shared" si="7"/>
        <v>325000</v>
      </c>
      <c r="AA24" s="32">
        <f t="shared" si="7"/>
        <v>325000</v>
      </c>
      <c r="AB24" s="32">
        <f t="shared" si="7"/>
        <v>325000</v>
      </c>
      <c r="AC24" s="33">
        <f t="shared" si="7"/>
        <v>325000</v>
      </c>
    </row>
    <row r="25" spans="1:29" x14ac:dyDescent="0.35">
      <c r="A25" s="10"/>
      <c r="F25" s="11"/>
      <c r="H25" s="10"/>
      <c r="AC25" s="11"/>
    </row>
    <row r="26" spans="1:29" x14ac:dyDescent="0.35">
      <c r="A26" s="8" t="s">
        <v>27</v>
      </c>
      <c r="D26" s="4" t="s">
        <v>19</v>
      </c>
      <c r="E26" s="4" t="s">
        <v>20</v>
      </c>
      <c r="F26" s="9" t="s">
        <v>21</v>
      </c>
      <c r="H26" s="31" t="s">
        <v>50</v>
      </c>
      <c r="AC26" s="11"/>
    </row>
    <row r="27" spans="1:29" s="38" customFormat="1" x14ac:dyDescent="0.35">
      <c r="A27" s="10" t="s">
        <v>22</v>
      </c>
      <c r="B27"/>
      <c r="C27"/>
      <c r="D27">
        <v>700000</v>
      </c>
      <c r="E27" s="37">
        <v>3.5000000000000003E-2</v>
      </c>
      <c r="F27" s="11">
        <v>10</v>
      </c>
      <c r="G27"/>
      <c r="H27" s="10" t="s">
        <v>51</v>
      </c>
      <c r="I27" s="34">
        <f>-$F$8</f>
        <v>-740000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5">
        <f>$F$17</f>
        <v>74000</v>
      </c>
    </row>
    <row r="28" spans="1:29" x14ac:dyDescent="0.35">
      <c r="A28" s="10" t="s">
        <v>23</v>
      </c>
      <c r="D28">
        <v>40000</v>
      </c>
      <c r="E28" s="22">
        <v>0.05</v>
      </c>
      <c r="F28" s="11">
        <v>4</v>
      </c>
      <c r="H28" s="10" t="s">
        <v>52</v>
      </c>
      <c r="I28" s="34">
        <v>0</v>
      </c>
      <c r="J28" s="34">
        <f>-$F$15</f>
        <v>-86350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5">
        <f>$F$15</f>
        <v>86350</v>
      </c>
    </row>
    <row r="29" spans="1:29" x14ac:dyDescent="0.35">
      <c r="A29" s="10" t="s">
        <v>24</v>
      </c>
      <c r="D29" s="22">
        <v>0.05</v>
      </c>
      <c r="E29" s="22">
        <v>0.1</v>
      </c>
      <c r="F29" s="24">
        <v>0.15</v>
      </c>
      <c r="H29" s="10" t="s">
        <v>28</v>
      </c>
      <c r="I29" s="34">
        <v>0</v>
      </c>
      <c r="J29" s="34">
        <f>-$F$46*C$57</f>
        <v>-50303.375</v>
      </c>
      <c r="K29" s="34">
        <f>-$F$46*D$57</f>
        <v>-100606.75</v>
      </c>
      <c r="L29" s="34">
        <f>-$F$46*E$57</f>
        <v>-150910.125</v>
      </c>
      <c r="M29" s="34">
        <f>-$F$46*$F$57</f>
        <v>-201213.5</v>
      </c>
      <c r="N29" s="34">
        <f t="shared" ref="N29:AC29" si="8">-$F$46*$F$57</f>
        <v>-201213.5</v>
      </c>
      <c r="O29" s="34">
        <f t="shared" si="8"/>
        <v>-201213.5</v>
      </c>
      <c r="P29" s="34">
        <f t="shared" si="8"/>
        <v>-201213.5</v>
      </c>
      <c r="Q29" s="34">
        <f t="shared" si="8"/>
        <v>-201213.5</v>
      </c>
      <c r="R29" s="34">
        <f t="shared" si="8"/>
        <v>-201213.5</v>
      </c>
      <c r="S29" s="34">
        <f t="shared" si="8"/>
        <v>-201213.5</v>
      </c>
      <c r="T29" s="34">
        <f t="shared" si="8"/>
        <v>-201213.5</v>
      </c>
      <c r="U29" s="34">
        <f t="shared" si="8"/>
        <v>-201213.5</v>
      </c>
      <c r="V29" s="34">
        <f t="shared" si="8"/>
        <v>-201213.5</v>
      </c>
      <c r="W29" s="34">
        <f t="shared" si="8"/>
        <v>-201213.5</v>
      </c>
      <c r="X29" s="34">
        <f t="shared" si="8"/>
        <v>-201213.5</v>
      </c>
      <c r="Y29" s="34">
        <f t="shared" si="8"/>
        <v>-201213.5</v>
      </c>
      <c r="Z29" s="34">
        <f t="shared" si="8"/>
        <v>-201213.5</v>
      </c>
      <c r="AA29" s="34">
        <f t="shared" si="8"/>
        <v>-201213.5</v>
      </c>
      <c r="AB29" s="34">
        <f t="shared" si="8"/>
        <v>-201213.5</v>
      </c>
      <c r="AC29" s="35">
        <f t="shared" si="8"/>
        <v>-201213.5</v>
      </c>
    </row>
    <row r="30" spans="1:29" x14ac:dyDescent="0.35">
      <c r="A30" s="10" t="s">
        <v>25</v>
      </c>
      <c r="D30" s="22">
        <v>0.25</v>
      </c>
      <c r="F30" s="11"/>
      <c r="H30" s="10" t="s">
        <v>63</v>
      </c>
      <c r="AC30" s="11"/>
    </row>
    <row r="31" spans="1:29" x14ac:dyDescent="0.35">
      <c r="A31" s="10"/>
      <c r="F31" s="11"/>
      <c r="H31" s="10" t="s">
        <v>65</v>
      </c>
      <c r="AC31" s="11"/>
    </row>
    <row r="32" spans="1:29" x14ac:dyDescent="0.35">
      <c r="A32" s="10"/>
      <c r="F32" s="11"/>
      <c r="H32" s="42" t="s">
        <v>22</v>
      </c>
      <c r="I32" s="32">
        <f>$D$27</f>
        <v>700000</v>
      </c>
      <c r="J32" s="32">
        <f>PPMT($E$27,J22-$I$22,$F$27,$D$27)</f>
        <v>-59668.957507173902</v>
      </c>
      <c r="K32" s="32">
        <f t="shared" ref="K32:S32" si="9">PPMT($E$27,K22-$I$22,$F$27,$D$27)</f>
        <v>-61757.371019924984</v>
      </c>
      <c r="L32" s="32">
        <f t="shared" si="9"/>
        <v>-63918.879005622366</v>
      </c>
      <c r="M32" s="32">
        <f t="shared" si="9"/>
        <v>-66156.039770819145</v>
      </c>
      <c r="N32" s="32">
        <f t="shared" si="9"/>
        <v>-68471.501162797809</v>
      </c>
      <c r="O32" s="32">
        <f t="shared" si="9"/>
        <v>-70868.003703495735</v>
      </c>
      <c r="P32" s="32">
        <f t="shared" si="9"/>
        <v>-73348.383833118089</v>
      </c>
      <c r="Q32" s="32">
        <f t="shared" si="9"/>
        <v>-75915.577267277215</v>
      </c>
      <c r="R32" s="32">
        <f t="shared" si="9"/>
        <v>-78572.622471631912</v>
      </c>
      <c r="S32" s="32">
        <f t="shared" si="9"/>
        <v>-81322.664258139033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3">
        <v>0</v>
      </c>
    </row>
    <row r="33" spans="1:29" x14ac:dyDescent="0.35">
      <c r="A33" s="8" t="s">
        <v>28</v>
      </c>
      <c r="D33" s="4" t="s">
        <v>4</v>
      </c>
      <c r="E33" s="4" t="s">
        <v>5</v>
      </c>
      <c r="F33" s="9" t="s">
        <v>6</v>
      </c>
      <c r="H33" s="42" t="s">
        <v>23</v>
      </c>
      <c r="I33" s="32">
        <f>$D$28</f>
        <v>40000</v>
      </c>
      <c r="J33" s="32">
        <v>0</v>
      </c>
      <c r="K33" s="32">
        <v>0</v>
      </c>
      <c r="L33" s="32">
        <v>0</v>
      </c>
      <c r="M33" s="32">
        <f>-$D$28</f>
        <v>-40000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3">
        <v>0</v>
      </c>
    </row>
    <row r="34" spans="1:29" x14ac:dyDescent="0.35">
      <c r="A34" s="10" t="s">
        <v>29</v>
      </c>
      <c r="D34">
        <v>100</v>
      </c>
      <c r="E34" s="12">
        <v>30</v>
      </c>
      <c r="F34" s="23">
        <f>E34*D34</f>
        <v>3000</v>
      </c>
      <c r="H34" s="10" t="s">
        <v>66</v>
      </c>
      <c r="I34" s="32"/>
      <c r="AC34" s="11"/>
    </row>
    <row r="35" spans="1:29" x14ac:dyDescent="0.35">
      <c r="A35" s="10" t="s">
        <v>30</v>
      </c>
      <c r="D35">
        <v>2500</v>
      </c>
      <c r="E35" s="25">
        <v>0.7</v>
      </c>
      <c r="F35" s="23">
        <f t="shared" ref="F35:F45" si="10">E35*D35</f>
        <v>1750</v>
      </c>
      <c r="H35" s="42" t="s">
        <v>22</v>
      </c>
      <c r="I35" s="34">
        <v>0</v>
      </c>
      <c r="J35" s="32">
        <f>IPMT($E$27,J22-$I$22,$F$27,$D$27)</f>
        <v>-24500.000000000004</v>
      </c>
      <c r="K35" s="32">
        <f t="shared" ref="K35:S35" si="11">IPMT($E$27,K22-$I$22,$F$27,$D$27)</f>
        <v>-22411.586487248915</v>
      </c>
      <c r="L35" s="32">
        <f t="shared" si="11"/>
        <v>-20250.078501551547</v>
      </c>
      <c r="M35" s="32">
        <f t="shared" si="11"/>
        <v>-18012.917736354761</v>
      </c>
      <c r="N35" s="32">
        <f t="shared" si="11"/>
        <v>-15697.456344376089</v>
      </c>
      <c r="O35" s="32">
        <f t="shared" si="11"/>
        <v>-13300.953803678171</v>
      </c>
      <c r="P35" s="32">
        <f t="shared" si="11"/>
        <v>-10820.573674055817</v>
      </c>
      <c r="Q35" s="32">
        <f t="shared" si="11"/>
        <v>-8253.3802398966855</v>
      </c>
      <c r="R35" s="32">
        <f t="shared" si="11"/>
        <v>-5596.3350355419825</v>
      </c>
      <c r="S35" s="32">
        <f t="shared" si="11"/>
        <v>-2846.2932490348658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3">
        <v>0</v>
      </c>
    </row>
    <row r="36" spans="1:29" x14ac:dyDescent="0.35">
      <c r="A36" s="10" t="s">
        <v>31</v>
      </c>
      <c r="D36">
        <v>250</v>
      </c>
      <c r="E36" s="12">
        <v>20</v>
      </c>
      <c r="F36" s="23">
        <f t="shared" si="10"/>
        <v>5000</v>
      </c>
      <c r="H36" s="42" t="s">
        <v>23</v>
      </c>
      <c r="I36" s="34">
        <v>0</v>
      </c>
      <c r="J36" s="32">
        <f>-$E$28*$D$28</f>
        <v>-2000</v>
      </c>
      <c r="K36" s="32">
        <f t="shared" ref="K36:M36" si="12">-$E$28*$D$28</f>
        <v>-2000</v>
      </c>
      <c r="L36" s="32">
        <f t="shared" si="12"/>
        <v>-2000</v>
      </c>
      <c r="M36" s="32">
        <f t="shared" si="12"/>
        <v>-2000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3">
        <v>0</v>
      </c>
    </row>
    <row r="37" spans="1:29" x14ac:dyDescent="0.35">
      <c r="A37" s="10" t="s">
        <v>32</v>
      </c>
      <c r="D37">
        <v>3</v>
      </c>
      <c r="E37" s="12">
        <v>500</v>
      </c>
      <c r="F37" s="23">
        <f t="shared" si="10"/>
        <v>1500</v>
      </c>
      <c r="H37" s="10"/>
      <c r="AC37" s="11"/>
    </row>
    <row r="38" spans="1:29" x14ac:dyDescent="0.35">
      <c r="A38" s="10" t="s">
        <v>33</v>
      </c>
      <c r="D38">
        <v>3000</v>
      </c>
      <c r="E38" s="12">
        <v>30</v>
      </c>
      <c r="F38" s="23">
        <f t="shared" si="10"/>
        <v>90000</v>
      </c>
      <c r="H38" s="52" t="s">
        <v>67</v>
      </c>
      <c r="I38" s="32">
        <f>SUM(I24:I36)</f>
        <v>0</v>
      </c>
      <c r="J38" s="32">
        <f t="shared" ref="J38:AC38" si="13">SUM(J24:J36)</f>
        <v>-141572.33250717391</v>
      </c>
      <c r="K38" s="32">
        <f t="shared" si="13"/>
        <v>-24275.707507173898</v>
      </c>
      <c r="L38" s="32">
        <f t="shared" si="13"/>
        <v>6670.9174928260873</v>
      </c>
      <c r="M38" s="32">
        <f t="shared" si="13"/>
        <v>-2382.4575071739055</v>
      </c>
      <c r="N38" s="32">
        <f t="shared" si="13"/>
        <v>39617.542492826105</v>
      </c>
      <c r="O38" s="32">
        <f t="shared" si="13"/>
        <v>39617.542492826091</v>
      </c>
      <c r="P38" s="32">
        <f t="shared" si="13"/>
        <v>39617.542492826091</v>
      </c>
      <c r="Q38" s="32">
        <f t="shared" si="13"/>
        <v>39617.542492826098</v>
      </c>
      <c r="R38" s="32">
        <f t="shared" si="13"/>
        <v>39617.542492826105</v>
      </c>
      <c r="S38" s="32">
        <f t="shared" si="13"/>
        <v>39617.542492826098</v>
      </c>
      <c r="T38" s="32">
        <f t="shared" si="13"/>
        <v>123786.5</v>
      </c>
      <c r="U38" s="32">
        <f t="shared" si="13"/>
        <v>123786.5</v>
      </c>
      <c r="V38" s="32">
        <f t="shared" si="13"/>
        <v>123786.5</v>
      </c>
      <c r="W38" s="32">
        <f t="shared" si="13"/>
        <v>123786.5</v>
      </c>
      <c r="X38" s="32">
        <f t="shared" si="13"/>
        <v>123786.5</v>
      </c>
      <c r="Y38" s="32">
        <f t="shared" si="13"/>
        <v>123786.5</v>
      </c>
      <c r="Z38" s="32">
        <f t="shared" si="13"/>
        <v>123786.5</v>
      </c>
      <c r="AA38" s="32">
        <f t="shared" si="13"/>
        <v>123786.5</v>
      </c>
      <c r="AB38" s="32">
        <f t="shared" si="13"/>
        <v>123786.5</v>
      </c>
      <c r="AC38" s="33">
        <f t="shared" si="13"/>
        <v>284136.5</v>
      </c>
    </row>
    <row r="39" spans="1:29" x14ac:dyDescent="0.35">
      <c r="A39" s="10" t="s">
        <v>34</v>
      </c>
      <c r="D39">
        <v>900</v>
      </c>
      <c r="E39" s="12">
        <v>20</v>
      </c>
      <c r="F39" s="23">
        <f t="shared" si="10"/>
        <v>18000</v>
      </c>
      <c r="H39" s="10"/>
      <c r="AC39" s="11"/>
    </row>
    <row r="40" spans="1:29" x14ac:dyDescent="0.35">
      <c r="A40" s="10" t="s">
        <v>35</v>
      </c>
      <c r="D40">
        <v>12</v>
      </c>
      <c r="E40" s="12">
        <v>1000</v>
      </c>
      <c r="F40" s="23">
        <f t="shared" si="10"/>
        <v>12000</v>
      </c>
      <c r="H40" s="10" t="s">
        <v>57</v>
      </c>
      <c r="AC40" s="11"/>
    </row>
    <row r="41" spans="1:29" x14ac:dyDescent="0.35">
      <c r="A41" s="10" t="s">
        <v>36</v>
      </c>
      <c r="D41">
        <v>100</v>
      </c>
      <c r="E41" s="12">
        <v>60</v>
      </c>
      <c r="F41" s="23">
        <f t="shared" si="10"/>
        <v>6000</v>
      </c>
      <c r="H41" s="42" t="s">
        <v>58</v>
      </c>
      <c r="I41" s="32">
        <v>0</v>
      </c>
      <c r="J41" s="32">
        <f>$F$53*C$57</f>
        <v>81250</v>
      </c>
      <c r="K41" s="32">
        <f>$F$53*D$57</f>
        <v>162500</v>
      </c>
      <c r="L41" s="32">
        <f>$F$53*E$57</f>
        <v>243750</v>
      </c>
      <c r="M41" s="32">
        <f>$F$53*$F$57</f>
        <v>325000</v>
      </c>
      <c r="N41" s="32">
        <f t="shared" ref="N41:AC41" si="14">$F$53*$F$57</f>
        <v>325000</v>
      </c>
      <c r="O41" s="32">
        <f t="shared" si="14"/>
        <v>325000</v>
      </c>
      <c r="P41" s="32">
        <f t="shared" si="14"/>
        <v>325000</v>
      </c>
      <c r="Q41" s="32">
        <f t="shared" si="14"/>
        <v>325000</v>
      </c>
      <c r="R41" s="32">
        <f t="shared" si="14"/>
        <v>325000</v>
      </c>
      <c r="S41" s="32">
        <f t="shared" si="14"/>
        <v>325000</v>
      </c>
      <c r="T41" s="32">
        <f t="shared" si="14"/>
        <v>325000</v>
      </c>
      <c r="U41" s="32">
        <f t="shared" si="14"/>
        <v>325000</v>
      </c>
      <c r="V41" s="32">
        <f t="shared" si="14"/>
        <v>325000</v>
      </c>
      <c r="W41" s="32">
        <f t="shared" si="14"/>
        <v>325000</v>
      </c>
      <c r="X41" s="32">
        <f t="shared" si="14"/>
        <v>325000</v>
      </c>
      <c r="Y41" s="32">
        <f t="shared" si="14"/>
        <v>325000</v>
      </c>
      <c r="Z41" s="32">
        <f t="shared" si="14"/>
        <v>325000</v>
      </c>
      <c r="AA41" s="32">
        <f t="shared" si="14"/>
        <v>325000</v>
      </c>
      <c r="AB41" s="32">
        <f t="shared" si="14"/>
        <v>325000</v>
      </c>
      <c r="AC41" s="33">
        <f t="shared" si="14"/>
        <v>325000</v>
      </c>
    </row>
    <row r="42" spans="1:29" x14ac:dyDescent="0.35">
      <c r="A42" s="10" t="s">
        <v>37</v>
      </c>
      <c r="D42">
        <v>12</v>
      </c>
      <c r="E42" s="12">
        <v>1000</v>
      </c>
      <c r="F42" s="23">
        <f t="shared" si="10"/>
        <v>12000</v>
      </c>
      <c r="H42" s="42" t="s">
        <v>60</v>
      </c>
      <c r="I42" s="32">
        <v>0</v>
      </c>
      <c r="J42" s="32">
        <f>J35</f>
        <v>-24500.000000000004</v>
      </c>
      <c r="K42" s="32">
        <f t="shared" ref="K42:S42" si="15">IPMT($E$27,K22-$I$22,$F$27,$D$27)</f>
        <v>-22411.586487248915</v>
      </c>
      <c r="L42" s="32">
        <f t="shared" si="15"/>
        <v>-20250.078501551547</v>
      </c>
      <c r="M42" s="32">
        <f t="shared" si="15"/>
        <v>-18012.917736354761</v>
      </c>
      <c r="N42" s="32">
        <f t="shared" si="15"/>
        <v>-15697.456344376089</v>
      </c>
      <c r="O42" s="32">
        <f t="shared" si="15"/>
        <v>-13300.953803678171</v>
      </c>
      <c r="P42" s="32">
        <f t="shared" si="15"/>
        <v>-10820.573674055817</v>
      </c>
      <c r="Q42" s="32">
        <f t="shared" si="15"/>
        <v>-8253.3802398966855</v>
      </c>
      <c r="R42" s="32">
        <f t="shared" si="15"/>
        <v>-5596.3350355419825</v>
      </c>
      <c r="S42" s="32">
        <f t="shared" si="15"/>
        <v>-2846.2932490348658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3">
        <v>0</v>
      </c>
    </row>
    <row r="43" spans="1:29" x14ac:dyDescent="0.35">
      <c r="A43" s="10" t="s">
        <v>38</v>
      </c>
      <c r="D43">
        <v>0.01</v>
      </c>
      <c r="E43" s="12">
        <f>8263.5/D43</f>
        <v>826350</v>
      </c>
      <c r="F43" s="23">
        <f t="shared" si="10"/>
        <v>8263.5</v>
      </c>
      <c r="H43" s="42" t="s">
        <v>61</v>
      </c>
      <c r="I43" s="32">
        <v>0</v>
      </c>
      <c r="J43" s="32">
        <f>J36</f>
        <v>-2000</v>
      </c>
      <c r="K43" s="32">
        <f>K36</f>
        <v>-2000</v>
      </c>
      <c r="L43" s="32">
        <f>L36</f>
        <v>-2000</v>
      </c>
      <c r="M43" s="32">
        <f>M36</f>
        <v>-2000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3">
        <v>0</v>
      </c>
    </row>
    <row r="44" spans="1:29" x14ac:dyDescent="0.35">
      <c r="A44" s="10" t="s">
        <v>39</v>
      </c>
      <c r="D44">
        <v>12</v>
      </c>
      <c r="E44" s="12">
        <v>3000</v>
      </c>
      <c r="F44" s="23">
        <f t="shared" si="10"/>
        <v>36000</v>
      </c>
      <c r="H44" s="42" t="s">
        <v>15</v>
      </c>
      <c r="I44" s="32">
        <v>0</v>
      </c>
      <c r="J44" s="32">
        <f>-SUM($E$21:$E$23)</f>
        <v>-70500</v>
      </c>
      <c r="K44" s="32">
        <f t="shared" ref="K44:N44" si="16">-SUM($E$21:$E$23)</f>
        <v>-70500</v>
      </c>
      <c r="L44" s="32">
        <f t="shared" si="16"/>
        <v>-70500</v>
      </c>
      <c r="M44" s="32">
        <f t="shared" si="16"/>
        <v>-70500</v>
      </c>
      <c r="N44" s="32">
        <f t="shared" si="16"/>
        <v>-70500</v>
      </c>
      <c r="O44" s="53">
        <f>-SUM($E$23,$E$21)</f>
        <v>-52500</v>
      </c>
      <c r="P44" s="53">
        <f t="shared" ref="P44:S44" si="17">-SUM($E$23,$E$21)</f>
        <v>-52500</v>
      </c>
      <c r="Q44" s="53">
        <f t="shared" si="17"/>
        <v>-52500</v>
      </c>
      <c r="R44" s="53">
        <f t="shared" si="17"/>
        <v>-52500</v>
      </c>
      <c r="S44" s="53">
        <f t="shared" si="17"/>
        <v>-52500</v>
      </c>
      <c r="T44" s="53">
        <f>-$E$23</f>
        <v>-12500</v>
      </c>
      <c r="U44" s="53">
        <f t="shared" ref="U44:AC44" si="18">-$E$23</f>
        <v>-12500</v>
      </c>
      <c r="V44" s="53">
        <f t="shared" si="18"/>
        <v>-12500</v>
      </c>
      <c r="W44" s="53">
        <f t="shared" si="18"/>
        <v>-12500</v>
      </c>
      <c r="X44" s="53">
        <f t="shared" si="18"/>
        <v>-12500</v>
      </c>
      <c r="Y44" s="53">
        <f t="shared" si="18"/>
        <v>-12500</v>
      </c>
      <c r="Z44" s="53">
        <f t="shared" si="18"/>
        <v>-12500</v>
      </c>
      <c r="AA44" s="53">
        <f t="shared" si="18"/>
        <v>-12500</v>
      </c>
      <c r="AB44" s="53">
        <f t="shared" si="18"/>
        <v>-12500</v>
      </c>
      <c r="AC44" s="23">
        <f t="shared" si="18"/>
        <v>-12500</v>
      </c>
    </row>
    <row r="45" spans="1:29" x14ac:dyDescent="0.35">
      <c r="A45" s="14" t="s">
        <v>40</v>
      </c>
      <c r="B45" s="1"/>
      <c r="C45" s="1"/>
      <c r="D45" s="1">
        <v>1</v>
      </c>
      <c r="E45" s="3">
        <v>7700</v>
      </c>
      <c r="F45" s="26">
        <f t="shared" si="10"/>
        <v>7700</v>
      </c>
      <c r="H45" s="42" t="s">
        <v>28</v>
      </c>
      <c r="I45" s="32">
        <f t="shared" ref="I45:AC45" si="19">I29</f>
        <v>0</v>
      </c>
      <c r="J45" s="32">
        <f t="shared" si="19"/>
        <v>-50303.375</v>
      </c>
      <c r="K45" s="32">
        <f t="shared" si="19"/>
        <v>-100606.75</v>
      </c>
      <c r="L45" s="32">
        <f t="shared" si="19"/>
        <v>-150910.125</v>
      </c>
      <c r="M45" s="32">
        <f t="shared" si="19"/>
        <v>-201213.5</v>
      </c>
      <c r="N45" s="32">
        <f t="shared" si="19"/>
        <v>-201213.5</v>
      </c>
      <c r="O45" s="32">
        <f t="shared" si="19"/>
        <v>-201213.5</v>
      </c>
      <c r="P45" s="32">
        <f t="shared" si="19"/>
        <v>-201213.5</v>
      </c>
      <c r="Q45" s="32">
        <f t="shared" si="19"/>
        <v>-201213.5</v>
      </c>
      <c r="R45" s="32">
        <f t="shared" si="19"/>
        <v>-201213.5</v>
      </c>
      <c r="S45" s="32">
        <f t="shared" si="19"/>
        <v>-201213.5</v>
      </c>
      <c r="T45" s="32">
        <f t="shared" si="19"/>
        <v>-201213.5</v>
      </c>
      <c r="U45" s="32">
        <f t="shared" si="19"/>
        <v>-201213.5</v>
      </c>
      <c r="V45" s="32">
        <f t="shared" si="19"/>
        <v>-201213.5</v>
      </c>
      <c r="W45" s="32">
        <f t="shared" si="19"/>
        <v>-201213.5</v>
      </c>
      <c r="X45" s="32">
        <f t="shared" si="19"/>
        <v>-201213.5</v>
      </c>
      <c r="Y45" s="32">
        <f t="shared" si="19"/>
        <v>-201213.5</v>
      </c>
      <c r="Z45" s="32">
        <f t="shared" si="19"/>
        <v>-201213.5</v>
      </c>
      <c r="AA45" s="32">
        <f t="shared" si="19"/>
        <v>-201213.5</v>
      </c>
      <c r="AB45" s="32">
        <f t="shared" si="19"/>
        <v>-201213.5</v>
      </c>
      <c r="AC45" s="33">
        <f t="shared" si="19"/>
        <v>-201213.5</v>
      </c>
    </row>
    <row r="46" spans="1:29" x14ac:dyDescent="0.35">
      <c r="A46" s="10" t="s">
        <v>8</v>
      </c>
      <c r="E46" s="12"/>
      <c r="F46" s="23">
        <f>SUM(F34:F45)</f>
        <v>201213.5</v>
      </c>
      <c r="H46" s="43" t="s">
        <v>59</v>
      </c>
      <c r="I46" s="54">
        <f t="shared" ref="I46:AC46" si="20">SUM(I41:I45)</f>
        <v>0</v>
      </c>
      <c r="J46" s="54">
        <f t="shared" si="20"/>
        <v>-66053.375</v>
      </c>
      <c r="K46" s="54">
        <f t="shared" si="20"/>
        <v>-33018.336487248918</v>
      </c>
      <c r="L46" s="54">
        <f t="shared" si="20"/>
        <v>89.796498448442435</v>
      </c>
      <c r="M46" s="54">
        <f t="shared" si="20"/>
        <v>33273.58226364525</v>
      </c>
      <c r="N46" s="54">
        <f t="shared" si="20"/>
        <v>37589.043655623915</v>
      </c>
      <c r="O46" s="54">
        <f t="shared" si="20"/>
        <v>57985.54619632184</v>
      </c>
      <c r="P46" s="54">
        <f t="shared" si="20"/>
        <v>60465.926325944194</v>
      </c>
      <c r="Q46" s="54">
        <f t="shared" si="20"/>
        <v>63033.119760103291</v>
      </c>
      <c r="R46" s="54">
        <f t="shared" si="20"/>
        <v>65690.164964458032</v>
      </c>
      <c r="S46" s="54">
        <f t="shared" si="20"/>
        <v>68440.206750965153</v>
      </c>
      <c r="T46" s="54">
        <f t="shared" si="20"/>
        <v>111286.5</v>
      </c>
      <c r="U46" s="54">
        <f t="shared" si="20"/>
        <v>111286.5</v>
      </c>
      <c r="V46" s="54">
        <f t="shared" si="20"/>
        <v>111286.5</v>
      </c>
      <c r="W46" s="54">
        <f t="shared" si="20"/>
        <v>111286.5</v>
      </c>
      <c r="X46" s="54">
        <f t="shared" si="20"/>
        <v>111286.5</v>
      </c>
      <c r="Y46" s="54">
        <f t="shared" si="20"/>
        <v>111286.5</v>
      </c>
      <c r="Z46" s="54">
        <f t="shared" si="20"/>
        <v>111286.5</v>
      </c>
      <c r="AA46" s="54">
        <f t="shared" si="20"/>
        <v>111286.5</v>
      </c>
      <c r="AB46" s="54">
        <f t="shared" si="20"/>
        <v>111286.5</v>
      </c>
      <c r="AC46" s="55">
        <f t="shared" si="20"/>
        <v>111286.5</v>
      </c>
    </row>
    <row r="47" spans="1:29" x14ac:dyDescent="0.35">
      <c r="A47" s="10"/>
      <c r="F47" s="11"/>
      <c r="H47" s="56" t="s">
        <v>62</v>
      </c>
      <c r="I47" s="57">
        <f>$D$30*I46</f>
        <v>0</v>
      </c>
      <c r="J47" s="57">
        <f>-$D$30*J46</f>
        <v>16513.34375</v>
      </c>
      <c r="K47" s="57">
        <f t="shared" ref="K47:AC47" si="21">-$D$30*K46</f>
        <v>8254.5841218122296</v>
      </c>
      <c r="L47" s="57">
        <f t="shared" si="21"/>
        <v>-22.449124612110609</v>
      </c>
      <c r="M47" s="57">
        <f t="shared" si="21"/>
        <v>-8318.3955659113126</v>
      </c>
      <c r="N47" s="57">
        <f t="shared" si="21"/>
        <v>-9397.2609139059787</v>
      </c>
      <c r="O47" s="57">
        <f t="shared" si="21"/>
        <v>-14496.38654908046</v>
      </c>
      <c r="P47" s="57">
        <f t="shared" si="21"/>
        <v>-15116.481581486049</v>
      </c>
      <c r="Q47" s="57">
        <f t="shared" si="21"/>
        <v>-15758.279940025823</v>
      </c>
      <c r="R47" s="57">
        <f t="shared" si="21"/>
        <v>-16422.541241114508</v>
      </c>
      <c r="S47" s="57">
        <f t="shared" si="21"/>
        <v>-17110.051687741288</v>
      </c>
      <c r="T47" s="57">
        <f t="shared" si="21"/>
        <v>-27821.625</v>
      </c>
      <c r="U47" s="57">
        <f t="shared" si="21"/>
        <v>-27821.625</v>
      </c>
      <c r="V47" s="57">
        <f t="shared" si="21"/>
        <v>-27821.625</v>
      </c>
      <c r="W47" s="57">
        <f t="shared" si="21"/>
        <v>-27821.625</v>
      </c>
      <c r="X47" s="57">
        <f t="shared" si="21"/>
        <v>-27821.625</v>
      </c>
      <c r="Y47" s="57">
        <f t="shared" si="21"/>
        <v>-27821.625</v>
      </c>
      <c r="Z47" s="57">
        <f t="shared" si="21"/>
        <v>-27821.625</v>
      </c>
      <c r="AA47" s="57">
        <f t="shared" si="21"/>
        <v>-27821.625</v>
      </c>
      <c r="AB47" s="57">
        <f t="shared" si="21"/>
        <v>-27821.625</v>
      </c>
      <c r="AC47" s="58">
        <f t="shared" si="21"/>
        <v>-27821.625</v>
      </c>
    </row>
    <row r="48" spans="1:29" x14ac:dyDescent="0.35">
      <c r="A48" s="10"/>
      <c r="F48" s="11"/>
      <c r="H48" s="10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/>
    </row>
    <row r="49" spans="1:29" x14ac:dyDescent="0.35">
      <c r="A49" s="8" t="s">
        <v>41</v>
      </c>
      <c r="B49" s="4"/>
      <c r="C49" s="4"/>
      <c r="D49" s="4" t="s">
        <v>4</v>
      </c>
      <c r="E49" s="4" t="s">
        <v>5</v>
      </c>
      <c r="F49" s="9" t="s">
        <v>42</v>
      </c>
      <c r="H49" s="31" t="s">
        <v>68</v>
      </c>
      <c r="I49" s="32">
        <f>I38+I47</f>
        <v>0</v>
      </c>
      <c r="J49" s="32">
        <f t="shared" ref="J49:AC49" si="22">J38+J47</f>
        <v>-125058.98875717391</v>
      </c>
      <c r="K49" s="32">
        <f t="shared" si="22"/>
        <v>-16021.123385361669</v>
      </c>
      <c r="L49" s="32">
        <f t="shared" si="22"/>
        <v>6648.4683682139766</v>
      </c>
      <c r="M49" s="32">
        <f t="shared" si="22"/>
        <v>-10700.853073085218</v>
      </c>
      <c r="N49" s="32">
        <f t="shared" si="22"/>
        <v>30220.281578920127</v>
      </c>
      <c r="O49" s="32">
        <f t="shared" si="22"/>
        <v>25121.155943745631</v>
      </c>
      <c r="P49" s="32">
        <f t="shared" si="22"/>
        <v>24501.060911340042</v>
      </c>
      <c r="Q49" s="32">
        <f t="shared" si="22"/>
        <v>23859.262552800275</v>
      </c>
      <c r="R49" s="32">
        <f t="shared" si="22"/>
        <v>23195.001251711597</v>
      </c>
      <c r="S49" s="32">
        <f t="shared" si="22"/>
        <v>22507.49080508481</v>
      </c>
      <c r="T49" s="32">
        <f t="shared" si="22"/>
        <v>95964.875</v>
      </c>
      <c r="U49" s="32">
        <f t="shared" si="22"/>
        <v>95964.875</v>
      </c>
      <c r="V49" s="32">
        <f t="shared" si="22"/>
        <v>95964.875</v>
      </c>
      <c r="W49" s="32">
        <f t="shared" si="22"/>
        <v>95964.875</v>
      </c>
      <c r="X49" s="32">
        <f t="shared" si="22"/>
        <v>95964.875</v>
      </c>
      <c r="Y49" s="32">
        <f t="shared" si="22"/>
        <v>95964.875</v>
      </c>
      <c r="Z49" s="32">
        <f t="shared" si="22"/>
        <v>95964.875</v>
      </c>
      <c r="AA49" s="32">
        <f t="shared" si="22"/>
        <v>95964.875</v>
      </c>
      <c r="AB49" s="32">
        <f t="shared" si="22"/>
        <v>95964.875</v>
      </c>
      <c r="AC49" s="33">
        <f t="shared" si="22"/>
        <v>256314.875</v>
      </c>
    </row>
    <row r="50" spans="1:29" x14ac:dyDescent="0.35">
      <c r="A50" s="10" t="s">
        <v>43</v>
      </c>
      <c r="D50">
        <v>100</v>
      </c>
      <c r="E50" s="12">
        <v>1000</v>
      </c>
      <c r="F50" s="23">
        <f>E50*D50</f>
        <v>100000</v>
      </c>
      <c r="H50" s="10"/>
      <c r="AC50" s="11"/>
    </row>
    <row r="51" spans="1:29" x14ac:dyDescent="0.35">
      <c r="A51" s="10" t="s">
        <v>44</v>
      </c>
      <c r="D51">
        <v>90</v>
      </c>
      <c r="E51" s="12">
        <v>1250</v>
      </c>
      <c r="F51" s="23">
        <f t="shared" ref="F51:F52" si="23">E51*D51</f>
        <v>112500</v>
      </c>
      <c r="H51" s="45"/>
      <c r="I51" s="46">
        <f>$D$29</f>
        <v>0.05</v>
      </c>
      <c r="J51" s="46">
        <f>$E$29</f>
        <v>0.1</v>
      </c>
      <c r="K51" s="46">
        <f>$F$29</f>
        <v>0.15</v>
      </c>
      <c r="AC51" s="11"/>
    </row>
    <row r="52" spans="1:29" x14ac:dyDescent="0.35">
      <c r="A52" s="14" t="s">
        <v>45</v>
      </c>
      <c r="B52" s="1"/>
      <c r="C52" s="1"/>
      <c r="D52" s="1">
        <v>75</v>
      </c>
      <c r="E52" s="3">
        <v>1500</v>
      </c>
      <c r="F52" s="26">
        <f t="shared" si="23"/>
        <v>112500</v>
      </c>
      <c r="H52" s="47" t="s">
        <v>55</v>
      </c>
      <c r="I52" s="48">
        <f>NPV(I51,$J49:$AC49)+$I49</f>
        <v>483412.36855266249</v>
      </c>
      <c r="J52" s="48">
        <f>NPV(J51,$J49:$AC49)+$I49</f>
        <v>197093.80018816778</v>
      </c>
      <c r="K52" s="48">
        <f>NPV(K51,$J49:$AC49)+$I49</f>
        <v>61292.75497501561</v>
      </c>
      <c r="AC52" s="11"/>
    </row>
    <row r="53" spans="1:29" ht="15" thickBot="1" x14ac:dyDescent="0.4">
      <c r="A53" s="10" t="s">
        <v>8</v>
      </c>
      <c r="F53" s="23">
        <f>SUM(F50:F52)</f>
        <v>325000</v>
      </c>
      <c r="H53" s="49" t="s">
        <v>64</v>
      </c>
      <c r="I53" s="50">
        <f>IRR(I49:AC49)</f>
        <v>0.19354223577207796</v>
      </c>
      <c r="J53" s="51"/>
      <c r="K53" s="51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36"/>
    </row>
    <row r="54" spans="1:29" x14ac:dyDescent="0.35">
      <c r="A54" s="10"/>
      <c r="F54" s="11"/>
    </row>
    <row r="55" spans="1:29" x14ac:dyDescent="0.35">
      <c r="A55" s="10"/>
      <c r="F55" s="11"/>
    </row>
    <row r="56" spans="1:29" x14ac:dyDescent="0.35">
      <c r="A56" s="8" t="s">
        <v>46</v>
      </c>
      <c r="C56">
        <v>2016</v>
      </c>
      <c r="D56">
        <v>2017</v>
      </c>
      <c r="E56">
        <v>2018</v>
      </c>
      <c r="F56" s="27" t="s">
        <v>47</v>
      </c>
    </row>
    <row r="57" spans="1:29" ht="15" thickBot="1" x14ac:dyDescent="0.4">
      <c r="A57" s="6"/>
      <c r="B57" s="16"/>
      <c r="C57" s="17">
        <v>0.25</v>
      </c>
      <c r="D57" s="17">
        <v>0.5</v>
      </c>
      <c r="E57" s="17">
        <v>0.75</v>
      </c>
      <c r="F57" s="2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Reeling</dc:creator>
  <cp:lastModifiedBy>Emma Sophia Donnelly</cp:lastModifiedBy>
  <dcterms:created xsi:type="dcterms:W3CDTF">2018-07-16T17:54:06Z</dcterms:created>
  <dcterms:modified xsi:type="dcterms:W3CDTF">2025-02-10T16:18:30Z</dcterms:modified>
</cp:coreProperties>
</file>