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mma\OneDrive - purdue.edu\Desktop\Purdue Classes Spring 2025\AGEC 609\"/>
    </mc:Choice>
  </mc:AlternateContent>
  <xr:revisionPtr revIDLastSave="0" documentId="8_{1FAC8271-8890-4E5C-90C6-659E011DF1CE}" xr6:coauthVersionLast="47" xr6:coauthVersionMax="47" xr10:uidLastSave="{00000000-0000-0000-0000-000000000000}"/>
  <bookViews>
    <workbookView xWindow="-80" yWindow="-80" windowWidth="19360" windowHeight="1024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" i="2" l="1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F35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4" i="2"/>
  <c r="D34" i="2"/>
  <c r="C34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0" i="2"/>
  <c r="E23" i="2" s="1"/>
  <c r="D30" i="2"/>
  <c r="D23" i="2" s="1"/>
  <c r="C30" i="2"/>
  <c r="C23" i="2" s="1"/>
  <c r="C25" i="2"/>
  <c r="D25" i="2" s="1"/>
  <c r="E25" i="2" s="1"/>
  <c r="E18" i="2"/>
  <c r="C4" i="2"/>
  <c r="L30" i="2" l="1"/>
  <c r="U30" i="2"/>
  <c r="U23" i="2" s="1"/>
  <c r="Q30" i="2"/>
  <c r="Q23" i="2" s="1"/>
  <c r="F30" i="2"/>
  <c r="R30" i="2"/>
  <c r="R23" i="2" s="1"/>
  <c r="G30" i="2"/>
  <c r="S30" i="2"/>
  <c r="S23" i="2" s="1"/>
  <c r="N30" i="2"/>
  <c r="H30" i="2"/>
  <c r="T30" i="2"/>
  <c r="T23" i="2" s="1"/>
  <c r="I30" i="2"/>
  <c r="K30" i="2"/>
  <c r="E39" i="2"/>
  <c r="D39" i="2"/>
  <c r="M30" i="2"/>
  <c r="D17" i="2"/>
  <c r="D16" i="2"/>
  <c r="O30" i="2"/>
  <c r="J30" i="2"/>
  <c r="V30" i="2"/>
  <c r="V23" i="2" s="1"/>
  <c r="P30" i="2"/>
  <c r="P23" i="2" s="1"/>
  <c r="C39" i="2"/>
  <c r="K28" i="2"/>
  <c r="I27" i="2"/>
  <c r="G26" i="2"/>
  <c r="L27" i="2"/>
  <c r="J28" i="2"/>
  <c r="H27" i="2"/>
  <c r="F26" i="2"/>
  <c r="N28" i="2"/>
  <c r="L28" i="2"/>
  <c r="H26" i="2"/>
  <c r="I28" i="2"/>
  <c r="G27" i="2"/>
  <c r="N27" i="2"/>
  <c r="H28" i="2"/>
  <c r="F27" i="2"/>
  <c r="G28" i="2"/>
  <c r="O26" i="2"/>
  <c r="F28" i="2"/>
  <c r="N26" i="2"/>
  <c r="L26" i="2"/>
  <c r="J26" i="2"/>
  <c r="J23" i="2" s="1"/>
  <c r="O27" i="2"/>
  <c r="M26" i="2"/>
  <c r="O28" i="2"/>
  <c r="M27" i="2"/>
  <c r="K26" i="2"/>
  <c r="K23" i="2" s="1"/>
  <c r="M28" i="2"/>
  <c r="K27" i="2"/>
  <c r="I26" i="2"/>
  <c r="J27" i="2"/>
  <c r="D18" i="2" l="1"/>
  <c r="F16" i="2" s="1"/>
  <c r="E29" i="2" s="1"/>
  <c r="F23" i="2"/>
  <c r="L23" i="2"/>
  <c r="I23" i="2"/>
  <c r="G23" i="2"/>
  <c r="H23" i="2"/>
  <c r="N23" i="2"/>
  <c r="O23" i="2"/>
  <c r="M23" i="2"/>
  <c r="F17" i="2"/>
  <c r="F18" i="2" l="1"/>
  <c r="R34" i="2" l="1"/>
  <c r="R39" i="2" s="1"/>
  <c r="U34" i="2"/>
  <c r="U39" i="2" s="1"/>
  <c r="Q34" i="2"/>
  <c r="Q39" i="2" s="1"/>
  <c r="P34" i="2"/>
  <c r="P39" i="2" s="1"/>
  <c r="O34" i="2"/>
  <c r="O39" i="2" s="1"/>
  <c r="N34" i="2"/>
  <c r="N39" i="2" s="1"/>
  <c r="M34" i="2"/>
  <c r="M39" i="2" s="1"/>
  <c r="K34" i="2"/>
  <c r="K39" i="2" s="1"/>
  <c r="L34" i="2"/>
  <c r="L39" i="2" s="1"/>
  <c r="I34" i="2"/>
  <c r="I39" i="2" s="1"/>
  <c r="V34" i="2"/>
  <c r="V39" i="2" s="1"/>
  <c r="J34" i="2"/>
  <c r="J39" i="2" s="1"/>
  <c r="T34" i="2"/>
  <c r="T39" i="2" s="1"/>
  <c r="H34" i="2"/>
  <c r="H39" i="2" s="1"/>
  <c r="S34" i="2"/>
  <c r="S39" i="2" s="1"/>
  <c r="G34" i="2"/>
  <c r="G39" i="2" s="1"/>
  <c r="F34" i="2" l="1"/>
  <c r="F39" i="2" l="1"/>
  <c r="W39" i="2" s="1"/>
</calcChain>
</file>

<file path=xl/sharedStrings.xml><?xml version="1.0" encoding="utf-8"?>
<sst xmlns="http://schemas.openxmlformats.org/spreadsheetml/2006/main" count="36" uniqueCount="34">
  <si>
    <t>Parameters</t>
  </si>
  <si>
    <t>Loan interest rate</t>
  </si>
  <si>
    <t>Loan repayment period (yrs)</t>
  </si>
  <si>
    <t>Operating costs</t>
  </si>
  <si>
    <t>Private terminal</t>
  </si>
  <si>
    <t>Commercial terminal</t>
  </si>
  <si>
    <t>Airline royalties ($/year)</t>
  </si>
  <si>
    <t>Commercial arrivals/yr</t>
  </si>
  <si>
    <t>Commercial landing fee ($/arrival)</t>
  </si>
  <si>
    <t>Social discount rate</t>
  </si>
  <si>
    <t>Cost allocation calculation</t>
  </si>
  <si>
    <t>Purpose</t>
  </si>
  <si>
    <t>Benefit</t>
  </si>
  <si>
    <t>Separable share of capital</t>
  </si>
  <si>
    <t>Weights on capital costs</t>
  </si>
  <si>
    <t>Private aircraft servicing</t>
  </si>
  <si>
    <t>Total</t>
  </si>
  <si>
    <t>Year</t>
  </si>
  <si>
    <t>Costs</t>
  </si>
  <si>
    <t>Fixed capital</t>
  </si>
  <si>
    <t>Principal balance</t>
  </si>
  <si>
    <t>Debt payments</t>
  </si>
  <si>
    <t>Interest</t>
  </si>
  <si>
    <t>Principal</t>
  </si>
  <si>
    <t>Private</t>
  </si>
  <si>
    <t>Commercial</t>
  </si>
  <si>
    <t>Benefits</t>
  </si>
  <si>
    <t>Airline royalties</t>
  </si>
  <si>
    <t>Commercial landing fees</t>
  </si>
  <si>
    <t>NPV</t>
  </si>
  <si>
    <t>Net benefits</t>
  </si>
  <si>
    <t>Private aircraft service revenues ($/yr)</t>
  </si>
  <si>
    <t>Commercial aircraft servicing (airline royalties)</t>
  </si>
  <si>
    <t>Commercial share of capital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</si>
</sst>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#,##0_);[Red]\(#,##0\)"/>
    <numFmt numFmtId="165" formatCode="\$#,##0.00_);[Red]&quot;($&quot;#,##0.00\)"/>
    <numFmt numFmtId="166" formatCode="_(\$* #,##0.00_);_(\$* \(#,##0.00\);_(\$* \-??_);_(@_)"/>
    <numFmt numFmtId="167" formatCode="#,##0.000000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theme="0" tint="-0.249977111117893"/>
      <name val="Calibri"/>
      <family val="2"/>
      <charset val="1"/>
    </font>
    <font>
      <sz val="11"/>
      <color theme="0" tint="-0.24997711111789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</borders>
  <cellStyleXfs count="3">
    <xf numFmtId="0" fontId="0" fillId="0" borderId="0"/>
    <xf numFmtId="166" fontId="5" fillId="0" borderId="0" applyBorder="0" applyProtection="0"/>
    <xf numFmtId="9" fontId="5" fillId="0" borderId="0" applyBorder="0" applyProtection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9" fontId="0" fillId="0" borderId="2" xfId="2" applyFont="1" applyBorder="1" applyProtection="1"/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0" fontId="0" fillId="0" borderId="3" xfId="0" applyBorder="1" applyAlignment="1">
      <alignment horizontal="right"/>
    </xf>
    <xf numFmtId="3" fontId="0" fillId="2" borderId="4" xfId="0" applyNumberFormat="1" applyFill="1" applyBorder="1"/>
    <xf numFmtId="0" fontId="0" fillId="0" borderId="5" xfId="0" applyBorder="1"/>
    <xf numFmtId="9" fontId="0" fillId="0" borderId="6" xfId="2" applyFont="1" applyBorder="1" applyProtection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3" fontId="0" fillId="0" borderId="0" xfId="0" applyNumberFormat="1" applyAlignment="1">
      <alignment horizontal="center"/>
    </xf>
    <xf numFmtId="9" fontId="0" fillId="0" borderId="0" xfId="2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9" fontId="0" fillId="0" borderId="4" xfId="2" applyFont="1" applyBorder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3" fontId="0" fillId="0" borderId="11" xfId="0" applyNumberFormat="1" applyBorder="1" applyAlignment="1">
      <alignment horizontal="center"/>
    </xf>
    <xf numFmtId="9" fontId="0" fillId="0" borderId="11" xfId="2" applyFont="1" applyBorder="1" applyAlignment="1" applyProtection="1">
      <alignment horizontal="center"/>
    </xf>
    <xf numFmtId="9" fontId="0" fillId="0" borderId="12" xfId="2" applyFont="1" applyBorder="1" applyAlignment="1" applyProtection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3" fontId="0" fillId="2" borderId="0" xfId="0" applyNumberFormat="1" applyFill="1" applyAlignment="1">
      <alignment horizontal="center"/>
    </xf>
    <xf numFmtId="0" fontId="3" fillId="0" borderId="13" xfId="0" applyFont="1" applyBorder="1"/>
    <xf numFmtId="3" fontId="0" fillId="0" borderId="13" xfId="0" applyNumberFormat="1" applyBorder="1" applyAlignment="1">
      <alignment horizontal="center"/>
    </xf>
    <xf numFmtId="166" fontId="0" fillId="0" borderId="0" xfId="1" applyFont="1" applyBorder="1" applyProtection="1"/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center"/>
    </xf>
    <xf numFmtId="0" fontId="7" fillId="0" borderId="0" xfId="0" applyFon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/>
    <xf numFmtId="0" fontId="0" fillId="0" borderId="16" xfId="0" applyBorder="1"/>
    <xf numFmtId="3" fontId="0" fillId="0" borderId="16" xfId="0" applyNumberFormat="1" applyBorder="1" applyAlignment="1">
      <alignment horizontal="center"/>
    </xf>
    <xf numFmtId="9" fontId="0" fillId="0" borderId="16" xfId="2" applyFont="1" applyBorder="1" applyAlignment="1" applyProtection="1">
      <alignment horizontal="center"/>
    </xf>
    <xf numFmtId="9" fontId="0" fillId="0" borderId="17" xfId="2" applyFont="1" applyBorder="1" applyAlignment="1" applyProtection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0989-2D4C-43AB-AC9D-15602830E7A9}">
  <dimension ref="B1:W43"/>
  <sheetViews>
    <sheetView showGridLines="0" tabSelected="1" zoomScale="88" zoomScaleNormal="130" workbookViewId="0">
      <selection activeCell="D29" sqref="D29"/>
    </sheetView>
  </sheetViews>
  <sheetFormatPr defaultColWidth="8.54296875" defaultRowHeight="14.5" x14ac:dyDescent="0.35"/>
  <cols>
    <col min="2" max="2" width="33.453125" customWidth="1"/>
    <col min="3" max="22" width="18.453125" customWidth="1"/>
    <col min="23" max="23" width="25.81640625" customWidth="1"/>
  </cols>
  <sheetData>
    <row r="1" spans="2:9" x14ac:dyDescent="0.35">
      <c r="B1" s="1" t="s">
        <v>0</v>
      </c>
    </row>
    <row r="2" spans="2:9" x14ac:dyDescent="0.35">
      <c r="B2" s="2" t="s">
        <v>1</v>
      </c>
      <c r="C2" s="3">
        <v>0.1</v>
      </c>
    </row>
    <row r="3" spans="2:9" x14ac:dyDescent="0.35">
      <c r="B3" s="4" t="s">
        <v>2</v>
      </c>
      <c r="C3" s="5">
        <v>10</v>
      </c>
    </row>
    <row r="4" spans="2:9" x14ac:dyDescent="0.35">
      <c r="B4" s="4" t="s">
        <v>3</v>
      </c>
      <c r="C4" s="6">
        <f>SUM(C5:C6)</f>
        <v>6600000</v>
      </c>
    </row>
    <row r="5" spans="2:9" x14ac:dyDescent="0.35">
      <c r="B5" s="7" t="s">
        <v>4</v>
      </c>
      <c r="C5" s="6">
        <v>2000000</v>
      </c>
    </row>
    <row r="6" spans="2:9" x14ac:dyDescent="0.35">
      <c r="B6" s="7" t="s">
        <v>5</v>
      </c>
      <c r="C6" s="6">
        <v>4600000</v>
      </c>
    </row>
    <row r="7" spans="2:9" x14ac:dyDescent="0.35">
      <c r="B7" s="4" t="s">
        <v>6</v>
      </c>
      <c r="C7" s="6">
        <v>7000000</v>
      </c>
    </row>
    <row r="8" spans="2:9" x14ac:dyDescent="0.35">
      <c r="B8" s="4" t="s">
        <v>7</v>
      </c>
      <c r="C8" s="6">
        <v>1000</v>
      </c>
    </row>
    <row r="9" spans="2:9" x14ac:dyDescent="0.35">
      <c r="B9" s="4" t="s">
        <v>31</v>
      </c>
      <c r="C9" s="6">
        <v>150000</v>
      </c>
    </row>
    <row r="10" spans="2:9" x14ac:dyDescent="0.35">
      <c r="B10" s="4" t="s">
        <v>8</v>
      </c>
      <c r="C10" s="8">
        <f>F35/C8</f>
        <v>1286.1167215591904</v>
      </c>
    </row>
    <row r="11" spans="2:9" x14ac:dyDescent="0.35">
      <c r="B11" s="9" t="s">
        <v>9</v>
      </c>
      <c r="C11" s="10">
        <v>0.1</v>
      </c>
    </row>
    <row r="14" spans="2:9" x14ac:dyDescent="0.35">
      <c r="B14" s="1" t="s">
        <v>10</v>
      </c>
    </row>
    <row r="15" spans="2:9" ht="29" x14ac:dyDescent="0.35">
      <c r="B15" s="11" t="s">
        <v>11</v>
      </c>
      <c r="C15" s="12"/>
      <c r="D15" s="13" t="s">
        <v>12</v>
      </c>
      <c r="E15" s="14" t="s">
        <v>13</v>
      </c>
      <c r="F15" s="15" t="s">
        <v>14</v>
      </c>
      <c r="H15" s="40"/>
      <c r="I15" s="40"/>
    </row>
    <row r="16" spans="2:9" x14ac:dyDescent="0.35">
      <c r="B16" s="4" t="s">
        <v>32</v>
      </c>
      <c r="D16" s="16">
        <f>NPV(C11,C36:V36)</f>
        <v>42186982.101420358</v>
      </c>
      <c r="E16" s="17">
        <v>0.5</v>
      </c>
      <c r="F16" s="19">
        <f>D16/$D$18</f>
        <v>0.97902097902097895</v>
      </c>
      <c r="H16" s="18"/>
      <c r="I16" s="17"/>
    </row>
    <row r="17" spans="2:23" ht="15" thickBot="1" x14ac:dyDescent="0.4">
      <c r="B17" s="20" t="s">
        <v>15</v>
      </c>
      <c r="C17" s="21"/>
      <c r="D17" s="22">
        <f>NPV($C$11,C37:V37)</f>
        <v>904006.75931615022</v>
      </c>
      <c r="E17" s="23">
        <v>0.15</v>
      </c>
      <c r="F17" s="24">
        <f>D17/$D$18</f>
        <v>2.0979020979020969E-2</v>
      </c>
      <c r="H17" s="18"/>
      <c r="I17" s="17"/>
    </row>
    <row r="18" spans="2:23" ht="15" thickTop="1" x14ac:dyDescent="0.35">
      <c r="B18" s="41" t="s">
        <v>16</v>
      </c>
      <c r="C18" s="42"/>
      <c r="D18" s="43">
        <f t="shared" ref="D18:E18" si="0">SUM(D16:D17)</f>
        <v>43090988.860736512</v>
      </c>
      <c r="E18" s="44">
        <f t="shared" si="0"/>
        <v>0.65</v>
      </c>
      <c r="F18" s="45">
        <f>SUM(F16:F17)</f>
        <v>0.99999999999999989</v>
      </c>
      <c r="H18" s="25"/>
      <c r="I18" s="17"/>
    </row>
    <row r="19" spans="2:23" x14ac:dyDescent="0.35">
      <c r="D19" s="16"/>
    </row>
    <row r="20" spans="2:23" x14ac:dyDescent="0.35">
      <c r="C20" s="27"/>
    </row>
    <row r="21" spans="2:23" x14ac:dyDescent="0.35">
      <c r="B21" s="28" t="s">
        <v>17</v>
      </c>
      <c r="C21" s="29">
        <v>1</v>
      </c>
      <c r="D21" s="29">
        <v>2</v>
      </c>
      <c r="E21" s="29">
        <v>3</v>
      </c>
      <c r="F21" s="29">
        <v>4</v>
      </c>
      <c r="G21" s="29">
        <v>5</v>
      </c>
      <c r="H21" s="29">
        <v>6</v>
      </c>
      <c r="I21" s="29">
        <v>7</v>
      </c>
      <c r="J21" s="29">
        <v>8</v>
      </c>
      <c r="K21" s="29">
        <v>9</v>
      </c>
      <c r="L21" s="29">
        <v>10</v>
      </c>
      <c r="M21" s="29">
        <v>11</v>
      </c>
      <c r="N21" s="29">
        <v>12</v>
      </c>
      <c r="O21" s="29">
        <v>13</v>
      </c>
      <c r="P21" s="29">
        <v>14</v>
      </c>
      <c r="Q21" s="29">
        <v>15</v>
      </c>
      <c r="R21" s="29">
        <v>16</v>
      </c>
      <c r="S21" s="13">
        <v>17</v>
      </c>
      <c r="T21" s="13">
        <v>18</v>
      </c>
      <c r="U21" s="13">
        <v>19</v>
      </c>
      <c r="V21" s="13">
        <v>20</v>
      </c>
      <c r="W21" s="26"/>
    </row>
    <row r="22" spans="2:23" x14ac:dyDescent="0.35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6"/>
    </row>
    <row r="23" spans="2:23" x14ac:dyDescent="0.35">
      <c r="B23" s="30" t="s">
        <v>18</v>
      </c>
      <c r="C23" s="16">
        <f>SUM(C26:C30)</f>
        <v>0</v>
      </c>
      <c r="D23" s="16">
        <f>SUM(D26:D30)</f>
        <v>0</v>
      </c>
      <c r="E23" s="16">
        <f t="shared" ref="E23:V23" si="1">SUM(E26,E30)</f>
        <v>0</v>
      </c>
      <c r="F23" s="16">
        <f t="shared" si="1"/>
        <v>8592491.8695465904</v>
      </c>
      <c r="G23" s="16">
        <f t="shared" si="1"/>
        <v>8592491.8695465904</v>
      </c>
      <c r="H23" s="16">
        <f t="shared" si="1"/>
        <v>8592491.8695465904</v>
      </c>
      <c r="I23" s="16">
        <f t="shared" si="1"/>
        <v>8592491.8695465904</v>
      </c>
      <c r="J23" s="16">
        <f t="shared" si="1"/>
        <v>8592491.8695465904</v>
      </c>
      <c r="K23" s="16">
        <f t="shared" si="1"/>
        <v>8592491.8695465904</v>
      </c>
      <c r="L23" s="16">
        <f t="shared" si="1"/>
        <v>8592491.8695465904</v>
      </c>
      <c r="M23" s="16">
        <f t="shared" si="1"/>
        <v>8592491.8695465904</v>
      </c>
      <c r="N23" s="16">
        <f t="shared" si="1"/>
        <v>8592491.8695465904</v>
      </c>
      <c r="O23" s="16">
        <f t="shared" si="1"/>
        <v>8592491.8695465904</v>
      </c>
      <c r="P23" s="16">
        <f t="shared" si="1"/>
        <v>6600000</v>
      </c>
      <c r="Q23" s="16">
        <f t="shared" si="1"/>
        <v>6600000</v>
      </c>
      <c r="R23" s="16">
        <f t="shared" si="1"/>
        <v>6600000</v>
      </c>
      <c r="S23" s="16">
        <f t="shared" si="1"/>
        <v>6600000</v>
      </c>
      <c r="T23" s="16">
        <f t="shared" si="1"/>
        <v>6600000</v>
      </c>
      <c r="U23" s="16">
        <f t="shared" si="1"/>
        <v>6600000</v>
      </c>
      <c r="V23" s="16">
        <f t="shared" si="1"/>
        <v>6600000</v>
      </c>
      <c r="W23" s="16"/>
    </row>
    <row r="24" spans="2:23" x14ac:dyDescent="0.35">
      <c r="B24" t="s">
        <v>19</v>
      </c>
      <c r="C24" s="16">
        <v>3000000</v>
      </c>
      <c r="D24" s="16">
        <v>5000000</v>
      </c>
      <c r="E24" s="16">
        <v>2000000</v>
      </c>
      <c r="F24" s="39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2:23" x14ac:dyDescent="0.35">
      <c r="B25" t="s">
        <v>20</v>
      </c>
      <c r="C25" s="16">
        <f>C24+C24*$C$2</f>
        <v>3300000</v>
      </c>
      <c r="D25" s="16">
        <f>(C25 + D24)*(1+$C$2)</f>
        <v>9130000</v>
      </c>
      <c r="E25" s="16">
        <f>(D25 + E24)*(1+$C$2)</f>
        <v>12243000.000000002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2:23" x14ac:dyDescent="0.35">
      <c r="B26" t="s">
        <v>21</v>
      </c>
      <c r="C26" s="16">
        <v>0</v>
      </c>
      <c r="D26" s="16">
        <v>0</v>
      </c>
      <c r="E26" s="16">
        <v>0</v>
      </c>
      <c r="F26" s="16">
        <f t="shared" ref="F26:O26" si="2">-PMT($C$2,$C$3,$E$25)</f>
        <v>1992491.8695465901</v>
      </c>
      <c r="G26" s="16">
        <f t="shared" si="2"/>
        <v>1992491.8695465901</v>
      </c>
      <c r="H26" s="16">
        <f t="shared" si="2"/>
        <v>1992491.8695465901</v>
      </c>
      <c r="I26" s="16">
        <f t="shared" si="2"/>
        <v>1992491.8695465901</v>
      </c>
      <c r="J26" s="16">
        <f t="shared" si="2"/>
        <v>1992491.8695465901</v>
      </c>
      <c r="K26" s="16">
        <f t="shared" si="2"/>
        <v>1992491.8695465901</v>
      </c>
      <c r="L26" s="16">
        <f t="shared" si="2"/>
        <v>1992491.8695465901</v>
      </c>
      <c r="M26" s="16">
        <f t="shared" si="2"/>
        <v>1992491.8695465901</v>
      </c>
      <c r="N26" s="16">
        <f t="shared" si="2"/>
        <v>1992491.8695465901</v>
      </c>
      <c r="O26" s="16">
        <f t="shared" si="2"/>
        <v>1992491.8695465901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/>
    </row>
    <row r="27" spans="2:23" x14ac:dyDescent="0.35">
      <c r="B27" s="31" t="s">
        <v>22</v>
      </c>
      <c r="C27" s="16">
        <v>0</v>
      </c>
      <c r="D27" s="16">
        <v>0</v>
      </c>
      <c r="E27" s="16">
        <v>0</v>
      </c>
      <c r="F27" s="16">
        <f t="shared" ref="F27:O27" si="3">-IPMT($C$2,C21,$C$3,$E$25)</f>
        <v>1224300.0000000002</v>
      </c>
      <c r="G27" s="16">
        <f t="shared" si="3"/>
        <v>1147480.8130453413</v>
      </c>
      <c r="H27" s="16">
        <f t="shared" si="3"/>
        <v>1062979.7073952162</v>
      </c>
      <c r="I27" s="16">
        <f t="shared" si="3"/>
        <v>970028.49118007906</v>
      </c>
      <c r="J27" s="16">
        <f t="shared" si="3"/>
        <v>867782.15334342781</v>
      </c>
      <c r="K27" s="16">
        <f t="shared" si="3"/>
        <v>755311.18172311177</v>
      </c>
      <c r="L27" s="16">
        <f t="shared" si="3"/>
        <v>631593.11294076394</v>
      </c>
      <c r="M27" s="16">
        <f t="shared" si="3"/>
        <v>495503.23728018114</v>
      </c>
      <c r="N27" s="16">
        <f t="shared" si="3"/>
        <v>345804.37405354041</v>
      </c>
      <c r="O27" s="16">
        <f t="shared" si="3"/>
        <v>181135.62450423546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/>
    </row>
    <row r="28" spans="2:23" x14ac:dyDescent="0.35">
      <c r="B28" s="31" t="s">
        <v>23</v>
      </c>
      <c r="C28" s="16">
        <v>0</v>
      </c>
      <c r="D28" s="16">
        <v>0</v>
      </c>
      <c r="E28" s="16">
        <v>0</v>
      </c>
      <c r="F28" s="16">
        <f t="shared" ref="F28:O28" si="4">-PPMT($C$2,C21,$C$3,$E$25)</f>
        <v>768191.86954658991</v>
      </c>
      <c r="G28" s="16">
        <f t="shared" si="4"/>
        <v>845011.05650124885</v>
      </c>
      <c r="H28" s="16">
        <f t="shared" si="4"/>
        <v>929512.16215137357</v>
      </c>
      <c r="I28" s="16">
        <f t="shared" si="4"/>
        <v>1022463.378366511</v>
      </c>
      <c r="J28" s="16">
        <f t="shared" si="4"/>
        <v>1124709.7162031622</v>
      </c>
      <c r="K28" s="16">
        <f t="shared" si="4"/>
        <v>1237180.6878234784</v>
      </c>
      <c r="L28" s="16">
        <f t="shared" si="4"/>
        <v>1360898.7566058263</v>
      </c>
      <c r="M28" s="16">
        <f t="shared" si="4"/>
        <v>1496988.6322664088</v>
      </c>
      <c r="N28" s="16">
        <f t="shared" si="4"/>
        <v>1646687.4954930497</v>
      </c>
      <c r="O28" s="16">
        <f t="shared" si="4"/>
        <v>1811356.2450423548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/>
    </row>
    <row r="29" spans="2:23" s="38" customFormat="1" x14ac:dyDescent="0.35">
      <c r="B29" s="36" t="s">
        <v>33</v>
      </c>
      <c r="C29" s="37"/>
      <c r="D29" s="37"/>
      <c r="E29" s="37">
        <f>$E16*$E$25+$F16*(1-$E$18)*$E$25</f>
        <v>10316653.846153848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2:23" x14ac:dyDescent="0.35">
      <c r="B30" t="s">
        <v>3</v>
      </c>
      <c r="C30" s="16">
        <f t="shared" ref="C30:V30" si="5">SUM(C31:C32)</f>
        <v>0</v>
      </c>
      <c r="D30" s="16">
        <f t="shared" si="5"/>
        <v>0</v>
      </c>
      <c r="E30" s="16">
        <f t="shared" si="5"/>
        <v>0</v>
      </c>
      <c r="F30" s="16">
        <f t="shared" si="5"/>
        <v>6600000</v>
      </c>
      <c r="G30" s="16">
        <f t="shared" si="5"/>
        <v>6600000</v>
      </c>
      <c r="H30" s="16">
        <f t="shared" si="5"/>
        <v>6600000</v>
      </c>
      <c r="I30" s="16">
        <f t="shared" si="5"/>
        <v>6600000</v>
      </c>
      <c r="J30" s="16">
        <f t="shared" si="5"/>
        <v>6600000</v>
      </c>
      <c r="K30" s="16">
        <f t="shared" si="5"/>
        <v>6600000</v>
      </c>
      <c r="L30" s="16">
        <f t="shared" si="5"/>
        <v>6600000</v>
      </c>
      <c r="M30" s="16">
        <f t="shared" si="5"/>
        <v>6600000</v>
      </c>
      <c r="N30" s="16">
        <f t="shared" si="5"/>
        <v>6600000</v>
      </c>
      <c r="O30" s="16">
        <f t="shared" si="5"/>
        <v>6600000</v>
      </c>
      <c r="P30" s="16">
        <f t="shared" si="5"/>
        <v>6600000</v>
      </c>
      <c r="Q30" s="16">
        <f t="shared" si="5"/>
        <v>6600000</v>
      </c>
      <c r="R30" s="16">
        <f t="shared" si="5"/>
        <v>6600000</v>
      </c>
      <c r="S30" s="16">
        <f t="shared" si="5"/>
        <v>6600000</v>
      </c>
      <c r="T30" s="16">
        <f t="shared" si="5"/>
        <v>6600000</v>
      </c>
      <c r="U30" s="16">
        <f t="shared" si="5"/>
        <v>6600000</v>
      </c>
      <c r="V30" s="16">
        <f t="shared" si="5"/>
        <v>6600000</v>
      </c>
      <c r="W30" s="16"/>
    </row>
    <row r="31" spans="2:23" x14ac:dyDescent="0.35">
      <c r="B31" s="31" t="s">
        <v>24</v>
      </c>
      <c r="C31" s="16">
        <v>0</v>
      </c>
      <c r="D31" s="16">
        <v>0</v>
      </c>
      <c r="E31" s="16">
        <v>0</v>
      </c>
      <c r="F31" s="16">
        <f t="shared" ref="F31:V31" si="6">$C5</f>
        <v>2000000</v>
      </c>
      <c r="G31" s="16">
        <f t="shared" si="6"/>
        <v>2000000</v>
      </c>
      <c r="H31" s="16">
        <f t="shared" si="6"/>
        <v>2000000</v>
      </c>
      <c r="I31" s="16">
        <f t="shared" si="6"/>
        <v>2000000</v>
      </c>
      <c r="J31" s="16">
        <f t="shared" si="6"/>
        <v>2000000</v>
      </c>
      <c r="K31" s="16">
        <f t="shared" si="6"/>
        <v>2000000</v>
      </c>
      <c r="L31" s="16">
        <f t="shared" si="6"/>
        <v>2000000</v>
      </c>
      <c r="M31" s="16">
        <f t="shared" si="6"/>
        <v>2000000</v>
      </c>
      <c r="N31" s="16">
        <f t="shared" si="6"/>
        <v>2000000</v>
      </c>
      <c r="O31" s="16">
        <f t="shared" si="6"/>
        <v>2000000</v>
      </c>
      <c r="P31" s="16">
        <f t="shared" si="6"/>
        <v>2000000</v>
      </c>
      <c r="Q31" s="16">
        <f t="shared" si="6"/>
        <v>2000000</v>
      </c>
      <c r="R31" s="16">
        <f t="shared" si="6"/>
        <v>2000000</v>
      </c>
      <c r="S31" s="16">
        <f t="shared" si="6"/>
        <v>2000000</v>
      </c>
      <c r="T31" s="16">
        <f t="shared" si="6"/>
        <v>2000000</v>
      </c>
      <c r="U31" s="16">
        <f t="shared" si="6"/>
        <v>2000000</v>
      </c>
      <c r="V31" s="16">
        <f t="shared" si="6"/>
        <v>2000000</v>
      </c>
      <c r="W31" s="16"/>
    </row>
    <row r="32" spans="2:23" x14ac:dyDescent="0.35">
      <c r="B32" s="31" t="s">
        <v>25</v>
      </c>
      <c r="C32" s="16">
        <v>0</v>
      </c>
      <c r="D32" s="16">
        <v>0</v>
      </c>
      <c r="E32" s="16">
        <v>0</v>
      </c>
      <c r="F32" s="16">
        <f t="shared" ref="F32:V32" si="7">$C6</f>
        <v>4600000</v>
      </c>
      <c r="G32" s="16">
        <f t="shared" si="7"/>
        <v>4600000</v>
      </c>
      <c r="H32" s="16">
        <f t="shared" si="7"/>
        <v>4600000</v>
      </c>
      <c r="I32" s="16">
        <f t="shared" si="7"/>
        <v>4600000</v>
      </c>
      <c r="J32" s="16">
        <f t="shared" si="7"/>
        <v>4600000</v>
      </c>
      <c r="K32" s="16">
        <f t="shared" si="7"/>
        <v>4600000</v>
      </c>
      <c r="L32" s="16">
        <f t="shared" si="7"/>
        <v>4600000</v>
      </c>
      <c r="M32" s="16">
        <f t="shared" si="7"/>
        <v>4600000</v>
      </c>
      <c r="N32" s="16">
        <f t="shared" si="7"/>
        <v>4600000</v>
      </c>
      <c r="O32" s="16">
        <f t="shared" si="7"/>
        <v>4600000</v>
      </c>
      <c r="P32" s="16">
        <f t="shared" si="7"/>
        <v>4600000</v>
      </c>
      <c r="Q32" s="16">
        <f t="shared" si="7"/>
        <v>4600000</v>
      </c>
      <c r="R32" s="16">
        <f t="shared" si="7"/>
        <v>4600000</v>
      </c>
      <c r="S32" s="16">
        <f t="shared" si="7"/>
        <v>4600000</v>
      </c>
      <c r="T32" s="16">
        <f t="shared" si="7"/>
        <v>4600000</v>
      </c>
      <c r="U32" s="16">
        <f t="shared" si="7"/>
        <v>4600000</v>
      </c>
      <c r="V32" s="16">
        <f t="shared" si="7"/>
        <v>4600000</v>
      </c>
      <c r="W32" s="16"/>
    </row>
    <row r="33" spans="2:23" x14ac:dyDescent="0.3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2:23" x14ac:dyDescent="0.35">
      <c r="B34" s="30" t="s">
        <v>26</v>
      </c>
      <c r="C34" s="16">
        <f t="shared" ref="C34:V34" si="8">SUM(C35:C37)</f>
        <v>0</v>
      </c>
      <c r="D34" s="16">
        <f t="shared" si="8"/>
        <v>0</v>
      </c>
      <c r="E34" s="16">
        <f t="shared" si="8"/>
        <v>0</v>
      </c>
      <c r="F34" s="16">
        <f t="shared" si="8"/>
        <v>8436116.7215591893</v>
      </c>
      <c r="G34" s="16">
        <f t="shared" si="8"/>
        <v>8436116.7215591893</v>
      </c>
      <c r="H34" s="16">
        <f t="shared" si="8"/>
        <v>8436116.7215591893</v>
      </c>
      <c r="I34" s="16">
        <f t="shared" si="8"/>
        <v>8436116.7215591893</v>
      </c>
      <c r="J34" s="16">
        <f t="shared" si="8"/>
        <v>8436116.7215591893</v>
      </c>
      <c r="K34" s="16">
        <f t="shared" si="8"/>
        <v>8436116.7215591893</v>
      </c>
      <c r="L34" s="16">
        <f t="shared" si="8"/>
        <v>8436116.7215591893</v>
      </c>
      <c r="M34" s="16">
        <f t="shared" si="8"/>
        <v>8436116.7215591893</v>
      </c>
      <c r="N34" s="16">
        <f t="shared" si="8"/>
        <v>8436116.7215591893</v>
      </c>
      <c r="O34" s="16">
        <f t="shared" si="8"/>
        <v>8436116.7215591893</v>
      </c>
      <c r="P34" s="16">
        <f t="shared" si="8"/>
        <v>8436116.7215591893</v>
      </c>
      <c r="Q34" s="16">
        <f t="shared" si="8"/>
        <v>8436116.7215591893</v>
      </c>
      <c r="R34" s="16">
        <f t="shared" si="8"/>
        <v>8436116.7215591893</v>
      </c>
      <c r="S34" s="16">
        <f t="shared" si="8"/>
        <v>8436116.7215591893</v>
      </c>
      <c r="T34" s="16">
        <f t="shared" si="8"/>
        <v>8436116.7215591893</v>
      </c>
      <c r="U34" s="16">
        <f t="shared" si="8"/>
        <v>8436116.7215591893</v>
      </c>
      <c r="V34" s="16">
        <f t="shared" si="8"/>
        <v>8436116.7215591893</v>
      </c>
      <c r="W34" s="16"/>
    </row>
    <row r="35" spans="2:23" x14ac:dyDescent="0.35">
      <c r="B35" t="s">
        <v>28</v>
      </c>
      <c r="C35" s="32">
        <v>0</v>
      </c>
      <c r="D35" s="32">
        <v>0</v>
      </c>
      <c r="E35" s="32">
        <v>0</v>
      </c>
      <c r="F35" s="32">
        <f>-PMT($C$2,17,$E$29)</f>
        <v>1286116.7215591904</v>
      </c>
      <c r="G35" s="32">
        <f t="shared" ref="G35:V35" si="9">-PMT($C$2,17,$E$29)</f>
        <v>1286116.7215591904</v>
      </c>
      <c r="H35" s="32">
        <f t="shared" si="9"/>
        <v>1286116.7215591904</v>
      </c>
      <c r="I35" s="32">
        <f t="shared" si="9"/>
        <v>1286116.7215591904</v>
      </c>
      <c r="J35" s="32">
        <f t="shared" si="9"/>
        <v>1286116.7215591904</v>
      </c>
      <c r="K35" s="32">
        <f t="shared" si="9"/>
        <v>1286116.7215591904</v>
      </c>
      <c r="L35" s="32">
        <f t="shared" si="9"/>
        <v>1286116.7215591904</v>
      </c>
      <c r="M35" s="32">
        <f t="shared" si="9"/>
        <v>1286116.7215591904</v>
      </c>
      <c r="N35" s="32">
        <f t="shared" si="9"/>
        <v>1286116.7215591904</v>
      </c>
      <c r="O35" s="32">
        <f t="shared" si="9"/>
        <v>1286116.7215591904</v>
      </c>
      <c r="P35" s="32">
        <f t="shared" si="9"/>
        <v>1286116.7215591904</v>
      </c>
      <c r="Q35" s="32">
        <f t="shared" si="9"/>
        <v>1286116.7215591904</v>
      </c>
      <c r="R35" s="32">
        <f t="shared" si="9"/>
        <v>1286116.7215591904</v>
      </c>
      <c r="S35" s="32">
        <f t="shared" si="9"/>
        <v>1286116.7215591904</v>
      </c>
      <c r="T35" s="32">
        <f t="shared" si="9"/>
        <v>1286116.7215591904</v>
      </c>
      <c r="U35" s="32">
        <f t="shared" si="9"/>
        <v>1286116.7215591904</v>
      </c>
      <c r="V35" s="32">
        <f t="shared" si="9"/>
        <v>1286116.7215591904</v>
      </c>
      <c r="W35" s="16"/>
    </row>
    <row r="36" spans="2:23" x14ac:dyDescent="0.35">
      <c r="B36" t="s">
        <v>27</v>
      </c>
      <c r="C36" s="16">
        <v>0</v>
      </c>
      <c r="D36" s="16">
        <v>0</v>
      </c>
      <c r="E36" s="16">
        <v>0</v>
      </c>
      <c r="F36" s="16">
        <f t="shared" ref="F36:V36" si="10">$C$7</f>
        <v>7000000</v>
      </c>
      <c r="G36" s="16">
        <f t="shared" si="10"/>
        <v>7000000</v>
      </c>
      <c r="H36" s="16">
        <f t="shared" si="10"/>
        <v>7000000</v>
      </c>
      <c r="I36" s="16">
        <f t="shared" si="10"/>
        <v>7000000</v>
      </c>
      <c r="J36" s="16">
        <f t="shared" si="10"/>
        <v>7000000</v>
      </c>
      <c r="K36" s="16">
        <f t="shared" si="10"/>
        <v>7000000</v>
      </c>
      <c r="L36" s="16">
        <f t="shared" si="10"/>
        <v>7000000</v>
      </c>
      <c r="M36" s="16">
        <f t="shared" si="10"/>
        <v>7000000</v>
      </c>
      <c r="N36" s="16">
        <f t="shared" si="10"/>
        <v>7000000</v>
      </c>
      <c r="O36" s="16">
        <f t="shared" si="10"/>
        <v>7000000</v>
      </c>
      <c r="P36" s="16">
        <f t="shared" si="10"/>
        <v>7000000</v>
      </c>
      <c r="Q36" s="16">
        <f t="shared" si="10"/>
        <v>7000000</v>
      </c>
      <c r="R36" s="16">
        <f t="shared" si="10"/>
        <v>7000000</v>
      </c>
      <c r="S36" s="16">
        <f t="shared" si="10"/>
        <v>7000000</v>
      </c>
      <c r="T36" s="16">
        <f t="shared" si="10"/>
        <v>7000000</v>
      </c>
      <c r="U36" s="16">
        <f t="shared" si="10"/>
        <v>7000000</v>
      </c>
      <c r="V36" s="16">
        <f t="shared" si="10"/>
        <v>7000000</v>
      </c>
      <c r="W36" s="16"/>
    </row>
    <row r="37" spans="2:23" ht="15" thickBot="1" x14ac:dyDescent="0.4">
      <c r="B37" s="21" t="s">
        <v>15</v>
      </c>
      <c r="C37" s="22">
        <v>0</v>
      </c>
      <c r="D37" s="22">
        <v>0</v>
      </c>
      <c r="E37" s="22">
        <v>0</v>
      </c>
      <c r="F37" s="22">
        <f>$C$9</f>
        <v>150000</v>
      </c>
      <c r="G37" s="22">
        <f t="shared" ref="G37:V37" si="11">$C$9</f>
        <v>150000</v>
      </c>
      <c r="H37" s="22">
        <f t="shared" si="11"/>
        <v>150000</v>
      </c>
      <c r="I37" s="22">
        <f t="shared" si="11"/>
        <v>150000</v>
      </c>
      <c r="J37" s="22">
        <f t="shared" si="11"/>
        <v>150000</v>
      </c>
      <c r="K37" s="22">
        <f t="shared" si="11"/>
        <v>150000</v>
      </c>
      <c r="L37" s="22">
        <f t="shared" si="11"/>
        <v>150000</v>
      </c>
      <c r="M37" s="22">
        <f t="shared" si="11"/>
        <v>150000</v>
      </c>
      <c r="N37" s="22">
        <f t="shared" si="11"/>
        <v>150000</v>
      </c>
      <c r="O37" s="22">
        <f t="shared" si="11"/>
        <v>150000</v>
      </c>
      <c r="P37" s="22">
        <f t="shared" si="11"/>
        <v>150000</v>
      </c>
      <c r="Q37" s="22">
        <f t="shared" si="11"/>
        <v>150000</v>
      </c>
      <c r="R37" s="22">
        <f t="shared" si="11"/>
        <v>150000</v>
      </c>
      <c r="S37" s="22">
        <f t="shared" si="11"/>
        <v>150000</v>
      </c>
      <c r="T37" s="22">
        <f t="shared" si="11"/>
        <v>150000</v>
      </c>
      <c r="U37" s="22">
        <f t="shared" si="11"/>
        <v>150000</v>
      </c>
      <c r="V37" s="22">
        <f t="shared" si="11"/>
        <v>150000</v>
      </c>
      <c r="W37" s="16"/>
    </row>
    <row r="38" spans="2:23" ht="15" thickTop="1" x14ac:dyDescent="0.3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32" t="s">
        <v>29</v>
      </c>
    </row>
    <row r="39" spans="2:23" x14ac:dyDescent="0.35">
      <c r="B39" s="33" t="s">
        <v>30</v>
      </c>
      <c r="C39" s="34">
        <f>C34-C23</f>
        <v>0</v>
      </c>
      <c r="D39" s="34">
        <f>D34-D23</f>
        <v>0</v>
      </c>
      <c r="E39" s="34">
        <f>E34-E23</f>
        <v>0</v>
      </c>
      <c r="F39" s="34">
        <f>F34-F23</f>
        <v>-156375.14798740111</v>
      </c>
      <c r="G39" s="34">
        <f>G34-G23</f>
        <v>-156375.14798740111</v>
      </c>
      <c r="H39" s="34">
        <f t="shared" ref="H39:V39" si="12">H34-H23</f>
        <v>-156375.14798740111</v>
      </c>
      <c r="I39" s="34">
        <f t="shared" si="12"/>
        <v>-156375.14798740111</v>
      </c>
      <c r="J39" s="34">
        <f t="shared" si="12"/>
        <v>-156375.14798740111</v>
      </c>
      <c r="K39" s="34">
        <f t="shared" si="12"/>
        <v>-156375.14798740111</v>
      </c>
      <c r="L39" s="34">
        <f t="shared" si="12"/>
        <v>-156375.14798740111</v>
      </c>
      <c r="M39" s="34">
        <f t="shared" si="12"/>
        <v>-156375.14798740111</v>
      </c>
      <c r="N39" s="34">
        <f t="shared" si="12"/>
        <v>-156375.14798740111</v>
      </c>
      <c r="O39" s="34">
        <f t="shared" si="12"/>
        <v>-156375.14798740111</v>
      </c>
      <c r="P39" s="34">
        <f t="shared" si="12"/>
        <v>1836116.7215591893</v>
      </c>
      <c r="Q39" s="34">
        <f t="shared" si="12"/>
        <v>1836116.7215591893</v>
      </c>
      <c r="R39" s="34">
        <f t="shared" si="12"/>
        <v>1836116.7215591893</v>
      </c>
      <c r="S39" s="34">
        <f t="shared" si="12"/>
        <v>1836116.7215591893</v>
      </c>
      <c r="T39" s="34">
        <f t="shared" si="12"/>
        <v>1836116.7215591893</v>
      </c>
      <c r="U39" s="34">
        <f t="shared" si="12"/>
        <v>1836116.7215591893</v>
      </c>
      <c r="V39" s="34">
        <f t="shared" si="12"/>
        <v>1836116.7215591893</v>
      </c>
      <c r="W39" s="32">
        <f>NPV(C11,C39:V39)</f>
        <v>1867399.0737814333</v>
      </c>
    </row>
    <row r="41" spans="2:23" x14ac:dyDescent="0.35">
      <c r="C41" s="27"/>
    </row>
    <row r="42" spans="2:23" x14ac:dyDescent="0.35">
      <c r="B42" s="27"/>
      <c r="C42" s="35"/>
    </row>
    <row r="43" spans="2:23" x14ac:dyDescent="0.35">
      <c r="B43" s="2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Carson Jon Reeling</dc:creator>
  <dc:description/>
  <cp:lastModifiedBy>Emma Sophia Donnelly</cp:lastModifiedBy>
  <cp:revision>2</cp:revision>
  <dcterms:created xsi:type="dcterms:W3CDTF">2019-04-15T23:47:49Z</dcterms:created>
  <dcterms:modified xsi:type="dcterms:W3CDTF">2025-02-10T16:18:41Z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