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Emma\OneDrive - purdue.edu\Desktop\Purdue Classes Spring 2025\AGEC 609\"/>
    </mc:Choice>
  </mc:AlternateContent>
  <xr:revisionPtr revIDLastSave="0" documentId="8_{1019ED8E-8C33-471C-8352-481C2E25B3A7}" xr6:coauthVersionLast="47" xr6:coauthVersionMax="47" xr10:uidLastSave="{00000000-0000-0000-0000-000000000000}"/>
  <bookViews>
    <workbookView xWindow="9070" yWindow="360" windowWidth="10220" windowHeight="9810" firstSheet="6" activeTab="6" xr2:uid="{E925697A-7D78-4519-AB01-189177548147}"/>
  </bookViews>
  <sheets>
    <sheet name="Problem 1" sheetId="1" r:id="rId1"/>
    <sheet name="Problem 2 (a) (b)" sheetId="12" r:id="rId2"/>
    <sheet name="Problem 2 (c)" sheetId="14" r:id="rId3"/>
    <sheet name="Problem 2 (d)" sheetId="15" r:id="rId4"/>
    <sheet name="Problem 2 (e)" sheetId="16" r:id="rId5"/>
    <sheet name="Problem 3 (a)" sheetId="6" r:id="rId6"/>
    <sheet name="Problem 3 (b)" sheetId="7" r:id="rId7"/>
    <sheet name="Problem 3 (c)" sheetId="8" r:id="rId8"/>
    <sheet name="Problem 4 Coal" sheetId="18" r:id="rId9"/>
    <sheet name="Problem 4 Gas" sheetId="25" r:id="rId10"/>
    <sheet name="Problem 4 Nuclear" sheetId="26" r:id="rId11"/>
    <sheet name="Problem 4 Wind" sheetId="27" r:id="rId12"/>
    <sheet name="Problem 5" sheetId="19" r:id="rId13"/>
  </sheets>
  <definedNames>
    <definedName name="ben">'Problem 1'!$D$5</definedName>
    <definedName name="int">'Problem 1'!$D$2</definedName>
    <definedName name="repay">'Problem 1'!$D$3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7" l="1"/>
  <c r="D12" i="7"/>
  <c r="D11" i="7"/>
  <c r="B11" i="7"/>
  <c r="E10" i="7"/>
  <c r="D10" i="7"/>
  <c r="F13" i="7"/>
  <c r="C11" i="7"/>
  <c r="C10" i="7"/>
  <c r="E11" i="7"/>
  <c r="D13" i="7"/>
  <c r="C13" i="7"/>
  <c r="I22" i="6" l="1"/>
  <c r="D25" i="6"/>
  <c r="D24" i="6"/>
  <c r="B9" i="6"/>
  <c r="H9" i="6"/>
  <c r="D5" i="6"/>
  <c r="O11" i="19" l="1"/>
  <c r="N11" i="19"/>
  <c r="J22" i="19"/>
  <c r="L5" i="19" s="1"/>
  <c r="M5" i="19" s="1"/>
  <c r="J12" i="19"/>
  <c r="K20" i="19"/>
  <c r="E4" i="19"/>
  <c r="F4" i="19"/>
  <c r="G4" i="19"/>
  <c r="L4" i="19"/>
  <c r="M4" i="19" s="1"/>
  <c r="F2" i="19"/>
  <c r="G2" i="19"/>
  <c r="L3" i="19"/>
  <c r="L2" i="19"/>
  <c r="B10" i="19"/>
  <c r="G7" i="25"/>
  <c r="H7" i="18"/>
  <c r="I7" i="18"/>
  <c r="F7" i="18"/>
  <c r="G7" i="18"/>
  <c r="F26" i="7"/>
  <c r="K23" i="7"/>
  <c r="K10" i="7"/>
  <c r="D19" i="7"/>
  <c r="D31" i="6"/>
  <c r="D22" i="6"/>
  <c r="E22" i="6"/>
  <c r="D23" i="6"/>
  <c r="I9" i="6"/>
  <c r="K17" i="12"/>
  <c r="K16" i="12"/>
  <c r="J4" i="12"/>
  <c r="J3" i="12"/>
  <c r="B6" i="12"/>
  <c r="D15" i="1"/>
  <c r="C15" i="1"/>
  <c r="B15" i="1"/>
  <c r="B17" i="1"/>
  <c r="H7" i="27" l="1"/>
  <c r="I7" i="27"/>
  <c r="G7" i="27"/>
  <c r="I7" i="25"/>
  <c r="F7" i="25"/>
  <c r="H7" i="25"/>
  <c r="E14" i="26"/>
  <c r="D12" i="18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7" i="27"/>
  <c r="C7" i="26"/>
  <c r="H7" i="26"/>
  <c r="F12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7" i="18"/>
  <c r="E12" i="18"/>
  <c r="F8" i="18"/>
  <c r="F9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E7" i="18"/>
  <c r="E19" i="19"/>
  <c r="J11" i="19"/>
  <c r="D19" i="19"/>
  <c r="M23" i="7"/>
  <c r="L23" i="7"/>
  <c r="B14" i="1"/>
  <c r="K7" i="27"/>
  <c r="K7" i="26"/>
  <c r="K7" i="25"/>
  <c r="L6" i="18"/>
  <c r="K6" i="27"/>
  <c r="K6" i="26"/>
  <c r="K6" i="25"/>
  <c r="L2" i="18"/>
  <c r="E32" i="27"/>
  <c r="F32" i="27" s="1"/>
  <c r="E32" i="26"/>
  <c r="E34" i="26"/>
  <c r="E35" i="26"/>
  <c r="E38" i="26"/>
  <c r="D32" i="26"/>
  <c r="D33" i="26"/>
  <c r="E33" i="26" s="1"/>
  <c r="D34" i="26"/>
  <c r="D35" i="26"/>
  <c r="D36" i="26"/>
  <c r="E36" i="26" s="1"/>
  <c r="D37" i="26"/>
  <c r="E37" i="26" s="1"/>
  <c r="D38" i="26"/>
  <c r="E32" i="25"/>
  <c r="E33" i="25"/>
  <c r="D32" i="25"/>
  <c r="D33" i="25"/>
  <c r="D32" i="18"/>
  <c r="E32" i="18" s="1"/>
  <c r="D33" i="18"/>
  <c r="E33" i="18" s="1"/>
  <c r="D34" i="18"/>
  <c r="E34" i="18" s="1"/>
  <c r="D35" i="18"/>
  <c r="E35" i="18" s="1"/>
  <c r="D36" i="18"/>
  <c r="E36" i="18" s="1"/>
  <c r="E8" i="27"/>
  <c r="F8" i="27" s="1"/>
  <c r="E9" i="27"/>
  <c r="F9" i="27" s="1"/>
  <c r="E10" i="27"/>
  <c r="F10" i="27" s="1"/>
  <c r="E11" i="27"/>
  <c r="F11" i="27" s="1"/>
  <c r="E12" i="27"/>
  <c r="F12" i="27" s="1"/>
  <c r="E13" i="27"/>
  <c r="F13" i="27" s="1"/>
  <c r="E14" i="27"/>
  <c r="F14" i="27" s="1"/>
  <c r="E15" i="27"/>
  <c r="F15" i="27" s="1"/>
  <c r="E16" i="27"/>
  <c r="F16" i="27" s="1"/>
  <c r="E17" i="27"/>
  <c r="F17" i="27" s="1"/>
  <c r="E18" i="27"/>
  <c r="F18" i="27" s="1"/>
  <c r="E19" i="27"/>
  <c r="F19" i="27" s="1"/>
  <c r="E20" i="27"/>
  <c r="F20" i="27" s="1"/>
  <c r="E21" i="27"/>
  <c r="F21" i="27" s="1"/>
  <c r="E22" i="27"/>
  <c r="F22" i="27" s="1"/>
  <c r="E23" i="27"/>
  <c r="F23" i="27" s="1"/>
  <c r="E24" i="27"/>
  <c r="F24" i="27" s="1"/>
  <c r="E25" i="27"/>
  <c r="F25" i="27" s="1"/>
  <c r="E26" i="27"/>
  <c r="F26" i="27" s="1"/>
  <c r="E27" i="27"/>
  <c r="F27" i="27" s="1"/>
  <c r="E28" i="27"/>
  <c r="F28" i="27" s="1"/>
  <c r="E29" i="27"/>
  <c r="F29" i="27" s="1"/>
  <c r="E30" i="27"/>
  <c r="F30" i="27" s="1"/>
  <c r="E31" i="27"/>
  <c r="F31" i="27" s="1"/>
  <c r="E7" i="27"/>
  <c r="F7" i="27" s="1"/>
  <c r="E22" i="26"/>
  <c r="D14" i="26"/>
  <c r="D15" i="26"/>
  <c r="E15" i="26" s="1"/>
  <c r="D16" i="26"/>
  <c r="E16" i="26" s="1"/>
  <c r="D17" i="26"/>
  <c r="E17" i="26" s="1"/>
  <c r="D18" i="26"/>
  <c r="E18" i="26" s="1"/>
  <c r="D19" i="26"/>
  <c r="E19" i="26" s="1"/>
  <c r="D20" i="26"/>
  <c r="E20" i="26" s="1"/>
  <c r="D21" i="26"/>
  <c r="E21" i="26" s="1"/>
  <c r="D22" i="26"/>
  <c r="D23" i="26"/>
  <c r="E23" i="26" s="1"/>
  <c r="D24" i="26"/>
  <c r="E24" i="26" s="1"/>
  <c r="D25" i="26"/>
  <c r="E25" i="26" s="1"/>
  <c r="D26" i="26"/>
  <c r="E26" i="26" s="1"/>
  <c r="D27" i="26"/>
  <c r="E27" i="26" s="1"/>
  <c r="D28" i="26"/>
  <c r="E28" i="26" s="1"/>
  <c r="D29" i="26"/>
  <c r="E29" i="26" s="1"/>
  <c r="D30" i="26"/>
  <c r="E30" i="26" s="1"/>
  <c r="D31" i="26"/>
  <c r="E31" i="26" s="1"/>
  <c r="D9" i="25"/>
  <c r="E9" i="25" s="1"/>
  <c r="D10" i="25"/>
  <c r="E10" i="25" s="1"/>
  <c r="D11" i="25"/>
  <c r="E11" i="25" s="1"/>
  <c r="D12" i="25"/>
  <c r="E12" i="25" s="1"/>
  <c r="D13" i="25"/>
  <c r="E13" i="25" s="1"/>
  <c r="D14" i="25"/>
  <c r="E14" i="25" s="1"/>
  <c r="D15" i="25"/>
  <c r="E15" i="25" s="1"/>
  <c r="D16" i="25"/>
  <c r="E16" i="25" s="1"/>
  <c r="D17" i="25"/>
  <c r="E17" i="25" s="1"/>
  <c r="D18" i="25"/>
  <c r="E18" i="25" s="1"/>
  <c r="D19" i="25"/>
  <c r="E19" i="25" s="1"/>
  <c r="D20" i="25"/>
  <c r="E20" i="25" s="1"/>
  <c r="D21" i="25"/>
  <c r="E21" i="25" s="1"/>
  <c r="D22" i="25"/>
  <c r="E22" i="25" s="1"/>
  <c r="D23" i="25"/>
  <c r="E23" i="25" s="1"/>
  <c r="D24" i="25"/>
  <c r="E24" i="25" s="1"/>
  <c r="D25" i="25"/>
  <c r="E25" i="25" s="1"/>
  <c r="D26" i="25"/>
  <c r="E26" i="25" s="1"/>
  <c r="D27" i="25"/>
  <c r="E27" i="25" s="1"/>
  <c r="D28" i="25"/>
  <c r="E28" i="25" s="1"/>
  <c r="D29" i="25"/>
  <c r="E29" i="25" s="1"/>
  <c r="D30" i="25"/>
  <c r="E30" i="25" s="1"/>
  <c r="D31" i="25"/>
  <c r="E31" i="25" s="1"/>
  <c r="E13" i="26"/>
  <c r="F13" i="26" s="1"/>
  <c r="E12" i="26"/>
  <c r="E11" i="26"/>
  <c r="F11" i="26" s="1"/>
  <c r="E10" i="26"/>
  <c r="F10" i="26" s="1"/>
  <c r="E9" i="26"/>
  <c r="F9" i="26" s="1"/>
  <c r="E8" i="26"/>
  <c r="F8" i="26" s="1"/>
  <c r="E7" i="26"/>
  <c r="F7" i="26" s="1"/>
  <c r="E15" i="18"/>
  <c r="E30" i="18"/>
  <c r="D13" i="18"/>
  <c r="E13" i="18" s="1"/>
  <c r="D14" i="18"/>
  <c r="E14" i="18" s="1"/>
  <c r="D15" i="18"/>
  <c r="D16" i="18"/>
  <c r="E16" i="18" s="1"/>
  <c r="D17" i="18"/>
  <c r="E17" i="18" s="1"/>
  <c r="D18" i="18"/>
  <c r="E18" i="18" s="1"/>
  <c r="D19" i="18"/>
  <c r="E19" i="18" s="1"/>
  <c r="D20" i="18"/>
  <c r="E20" i="18" s="1"/>
  <c r="D21" i="18"/>
  <c r="E21" i="18" s="1"/>
  <c r="D22" i="18"/>
  <c r="E22" i="18" s="1"/>
  <c r="D23" i="18"/>
  <c r="E23" i="18" s="1"/>
  <c r="D24" i="18"/>
  <c r="E24" i="18" s="1"/>
  <c r="D25" i="18"/>
  <c r="E25" i="18" s="1"/>
  <c r="D26" i="18"/>
  <c r="E26" i="18" s="1"/>
  <c r="D27" i="18"/>
  <c r="E27" i="18" s="1"/>
  <c r="D28" i="18"/>
  <c r="E28" i="18" s="1"/>
  <c r="D29" i="18"/>
  <c r="E29" i="18" s="1"/>
  <c r="D30" i="18"/>
  <c r="D31" i="18"/>
  <c r="E31" i="18" s="1"/>
  <c r="E8" i="25"/>
  <c r="E7" i="25"/>
  <c r="D27" i="8"/>
  <c r="D28" i="8"/>
  <c r="D29" i="8"/>
  <c r="D30" i="8"/>
  <c r="D31" i="8"/>
  <c r="D26" i="8"/>
  <c r="I23" i="8" s="1"/>
  <c r="G27" i="7"/>
  <c r="F29" i="7"/>
  <c r="F27" i="7"/>
  <c r="F28" i="7"/>
  <c r="F30" i="7"/>
  <c r="F31" i="7"/>
  <c r="D23" i="7"/>
  <c r="C26" i="7"/>
  <c r="C23" i="7"/>
  <c r="E5" i="19"/>
  <c r="J21" i="19"/>
  <c r="J13" i="19"/>
  <c r="J14" i="19"/>
  <c r="J15" i="19"/>
  <c r="J16" i="19"/>
  <c r="J17" i="19"/>
  <c r="J18" i="19"/>
  <c r="J19" i="19"/>
  <c r="J20" i="19"/>
  <c r="M12" i="19"/>
  <c r="L20" i="19"/>
  <c r="E2" i="19"/>
  <c r="M2" i="19"/>
  <c r="D26" i="6"/>
  <c r="D27" i="6"/>
  <c r="D28" i="6"/>
  <c r="D29" i="6"/>
  <c r="D30" i="6"/>
  <c r="H22" i="6"/>
  <c r="D26" i="7"/>
  <c r="D25" i="7"/>
  <c r="G26" i="7" s="1"/>
  <c r="D24" i="7"/>
  <c r="K12" i="7"/>
  <c r="C12" i="7"/>
  <c r="F15" i="7"/>
  <c r="E13" i="8"/>
  <c r="F13" i="8"/>
  <c r="E26" i="8"/>
  <c r="C26" i="8"/>
  <c r="I23" i="7"/>
  <c r="J23" i="7"/>
  <c r="C12" i="6"/>
  <c r="C13" i="6"/>
  <c r="I10" i="8"/>
  <c r="D13" i="8"/>
  <c r="C10" i="8"/>
  <c r="B12" i="8"/>
  <c r="B11" i="8"/>
  <c r="I24" i="7"/>
  <c r="E23" i="7"/>
  <c r="C25" i="7"/>
  <c r="E25" i="7" s="1"/>
  <c r="C24" i="7"/>
  <c r="E24" i="7" s="1"/>
  <c r="J24" i="7"/>
  <c r="E12" i="7"/>
  <c r="E11" i="6"/>
  <c r="E10" i="6"/>
  <c r="E9" i="6"/>
  <c r="E23" i="6"/>
  <c r="I10" i="7"/>
  <c r="J10" i="7" s="1"/>
  <c r="D13" i="6"/>
  <c r="D12" i="6"/>
  <c r="D9" i="6"/>
  <c r="C10" i="6"/>
  <c r="C11" i="6"/>
  <c r="I11" i="6"/>
  <c r="E3" i="19"/>
  <c r="F3" i="19"/>
  <c r="C19" i="19"/>
  <c r="C9" i="6"/>
  <c r="B11" i="6"/>
  <c r="B10" i="6"/>
  <c r="B12" i="14"/>
  <c r="J5" i="12"/>
  <c r="J6" i="12"/>
  <c r="J7" i="12"/>
  <c r="J8" i="12"/>
  <c r="J9" i="12"/>
  <c r="J10" i="12"/>
  <c r="J11" i="12"/>
  <c r="J12" i="12"/>
  <c r="J13" i="12"/>
  <c r="J14" i="12"/>
  <c r="B16" i="1"/>
  <c r="H3" i="6"/>
  <c r="G4" i="6"/>
  <c r="H4" i="6"/>
  <c r="B6" i="19"/>
  <c r="G3" i="19"/>
  <c r="B12" i="1"/>
  <c r="E8" i="18"/>
  <c r="E9" i="18"/>
  <c r="E10" i="18"/>
  <c r="F10" i="18" s="1"/>
  <c r="E11" i="18"/>
  <c r="F11" i="18" s="1"/>
  <c r="B7" i="16"/>
  <c r="O13" i="16"/>
  <c r="P13" i="16" s="1"/>
  <c r="J13" i="16"/>
  <c r="K13" i="16" s="1"/>
  <c r="O11" i="16"/>
  <c r="P11" i="16" s="1"/>
  <c r="J11" i="16"/>
  <c r="K11" i="16" s="1"/>
  <c r="J10" i="16"/>
  <c r="K10" i="16" s="1"/>
  <c r="O9" i="16"/>
  <c r="P9" i="16" s="1"/>
  <c r="J9" i="16"/>
  <c r="K9" i="16" s="1"/>
  <c r="J8" i="16"/>
  <c r="K8" i="16" s="1"/>
  <c r="O7" i="16"/>
  <c r="P7" i="16" s="1"/>
  <c r="J7" i="16"/>
  <c r="K7" i="16" s="1"/>
  <c r="C7" i="16"/>
  <c r="O14" i="16" s="1"/>
  <c r="P14" i="16" s="1"/>
  <c r="J14" i="16"/>
  <c r="K14" i="16" s="1"/>
  <c r="O6" i="16"/>
  <c r="J6" i="16"/>
  <c r="O5" i="16"/>
  <c r="J5" i="16"/>
  <c r="C5" i="16"/>
  <c r="C6" i="16" s="1"/>
  <c r="B5" i="16"/>
  <c r="B6" i="16" s="1"/>
  <c r="O4" i="16"/>
  <c r="J4" i="16"/>
  <c r="C4" i="16"/>
  <c r="B4" i="16"/>
  <c r="O3" i="16"/>
  <c r="J3" i="16"/>
  <c r="J13" i="15"/>
  <c r="K13" i="15" s="1"/>
  <c r="J11" i="15"/>
  <c r="K11" i="15" s="1"/>
  <c r="J10" i="15"/>
  <c r="K10" i="15" s="1"/>
  <c r="J9" i="15"/>
  <c r="K9" i="15" s="1"/>
  <c r="J8" i="15"/>
  <c r="K8" i="15" s="1"/>
  <c r="J7" i="15"/>
  <c r="K7" i="15" s="1"/>
  <c r="C7" i="15"/>
  <c r="O14" i="15" s="1"/>
  <c r="P14" i="15" s="1"/>
  <c r="B7" i="15"/>
  <c r="J14" i="15" s="1"/>
  <c r="K14" i="15" s="1"/>
  <c r="O6" i="15"/>
  <c r="J6" i="15"/>
  <c r="O5" i="15"/>
  <c r="J5" i="15"/>
  <c r="C5" i="15"/>
  <c r="C6" i="15" s="1"/>
  <c r="B5" i="15"/>
  <c r="B6" i="15" s="1"/>
  <c r="O4" i="15"/>
  <c r="J4" i="15"/>
  <c r="C4" i="15"/>
  <c r="B4" i="15"/>
  <c r="O3" i="15"/>
  <c r="J3" i="15"/>
  <c r="D15" i="12"/>
  <c r="J13" i="14"/>
  <c r="K13" i="14" s="1"/>
  <c r="O10" i="14"/>
  <c r="P10" i="14" s="1"/>
  <c r="O8" i="14"/>
  <c r="P8" i="14" s="1"/>
  <c r="C7" i="14"/>
  <c r="O12" i="14" s="1"/>
  <c r="P12" i="14" s="1"/>
  <c r="B7" i="14"/>
  <c r="J11" i="14" s="1"/>
  <c r="K11" i="14" s="1"/>
  <c r="C5" i="14"/>
  <c r="C6" i="14" s="1"/>
  <c r="B5" i="14"/>
  <c r="B6" i="14" s="1"/>
  <c r="C4" i="14"/>
  <c r="B4" i="14"/>
  <c r="C7" i="12"/>
  <c r="O11" i="12" s="1"/>
  <c r="P11" i="12" s="1"/>
  <c r="B7" i="12"/>
  <c r="C5" i="12"/>
  <c r="C6" i="12" s="1"/>
  <c r="N5" i="12" s="1"/>
  <c r="B5" i="12"/>
  <c r="C4" i="12"/>
  <c r="B4" i="12"/>
  <c r="C17" i="1"/>
  <c r="D17" i="1"/>
  <c r="D14" i="1"/>
  <c r="B13" i="1"/>
  <c r="D12" i="1"/>
  <c r="C12" i="1"/>
  <c r="D13" i="1"/>
  <c r="C13" i="1"/>
  <c r="C16" i="1"/>
  <c r="D16" i="1"/>
  <c r="G10" i="8"/>
  <c r="G11" i="8"/>
  <c r="G31" i="8"/>
  <c r="G29" i="8"/>
  <c r="G28" i="8"/>
  <c r="G24" i="8"/>
  <c r="G23" i="8"/>
  <c r="H23" i="8" s="1"/>
  <c r="C23" i="8"/>
  <c r="G18" i="8"/>
  <c r="G17" i="8"/>
  <c r="G16" i="8"/>
  <c r="G15" i="8"/>
  <c r="G14" i="8"/>
  <c r="G13" i="8"/>
  <c r="G12" i="8"/>
  <c r="D6" i="8"/>
  <c r="F4" i="7"/>
  <c r="F3" i="7"/>
  <c r="F2" i="7"/>
  <c r="D6" i="7"/>
  <c r="I30" i="7" s="1"/>
  <c r="I18" i="7"/>
  <c r="I17" i="7"/>
  <c r="I16" i="7"/>
  <c r="I15" i="7"/>
  <c r="I14" i="7"/>
  <c r="I13" i="7"/>
  <c r="I12" i="7"/>
  <c r="I11" i="7"/>
  <c r="G29" i="6"/>
  <c r="G23" i="6"/>
  <c r="G24" i="6"/>
  <c r="G25" i="6"/>
  <c r="G26" i="6"/>
  <c r="G27" i="6"/>
  <c r="G28" i="6"/>
  <c r="G30" i="6"/>
  <c r="G22" i="6"/>
  <c r="G11" i="6"/>
  <c r="G10" i="6"/>
  <c r="G12" i="6"/>
  <c r="G13" i="6"/>
  <c r="G14" i="6"/>
  <c r="G15" i="6"/>
  <c r="G16" i="6"/>
  <c r="G17" i="6"/>
  <c r="G9" i="6"/>
  <c r="C22" i="6"/>
  <c r="G7" i="26" l="1"/>
  <c r="I7" i="26" s="1"/>
  <c r="N12" i="19"/>
  <c r="O12" i="19" s="1"/>
  <c r="K25" i="7"/>
  <c r="D5" i="18"/>
  <c r="E37" i="18"/>
  <c r="M3" i="19"/>
  <c r="C10" i="19"/>
  <c r="P11" i="19"/>
  <c r="H4" i="19"/>
  <c r="M11" i="19"/>
  <c r="H17" i="7"/>
  <c r="F14" i="7"/>
  <c r="J14" i="7" s="1"/>
  <c r="G14" i="7"/>
  <c r="G16" i="7"/>
  <c r="H16" i="7"/>
  <c r="F18" i="7"/>
  <c r="G18" i="7"/>
  <c r="G13" i="7"/>
  <c r="F17" i="7"/>
  <c r="F16" i="7"/>
  <c r="J29" i="7"/>
  <c r="G29" i="7"/>
  <c r="H29" i="7"/>
  <c r="J28" i="7"/>
  <c r="G31" i="7"/>
  <c r="J30" i="7"/>
  <c r="H28" i="7"/>
  <c r="H27" i="7"/>
  <c r="J31" i="7"/>
  <c r="G28" i="7"/>
  <c r="G30" i="7"/>
  <c r="H30" i="7"/>
  <c r="H31" i="7"/>
  <c r="H26" i="7"/>
  <c r="G2" i="7"/>
  <c r="H2" i="7" s="1"/>
  <c r="D18" i="6"/>
  <c r="J4" i="7"/>
  <c r="I25" i="7"/>
  <c r="J25" i="7" s="1"/>
  <c r="I27" i="7"/>
  <c r="I29" i="7"/>
  <c r="I28" i="7"/>
  <c r="I26" i="7"/>
  <c r="I31" i="7"/>
  <c r="J2" i="7"/>
  <c r="J3" i="7"/>
  <c r="M18" i="19"/>
  <c r="M17" i="19"/>
  <c r="M16" i="19"/>
  <c r="I3" i="19"/>
  <c r="M13" i="19"/>
  <c r="M19" i="19"/>
  <c r="M15" i="19"/>
  <c r="M14" i="19"/>
  <c r="B11" i="19"/>
  <c r="B20" i="19" s="1"/>
  <c r="I3" i="12"/>
  <c r="B16" i="19"/>
  <c r="B15" i="19"/>
  <c r="B17" i="19"/>
  <c r="B18" i="19"/>
  <c r="B19" i="19"/>
  <c r="B12" i="19"/>
  <c r="B13" i="19"/>
  <c r="B14" i="19"/>
  <c r="C23" i="6"/>
  <c r="H23" i="6" s="1"/>
  <c r="I3" i="16"/>
  <c r="I4" i="16"/>
  <c r="K4" i="16" s="1"/>
  <c r="I6" i="16"/>
  <c r="K6" i="16" s="1"/>
  <c r="I5" i="16"/>
  <c r="K5" i="16" s="1"/>
  <c r="N6" i="16"/>
  <c r="P6" i="16" s="1"/>
  <c r="N5" i="16"/>
  <c r="P5" i="16" s="1"/>
  <c r="N4" i="16"/>
  <c r="P4" i="16" s="1"/>
  <c r="N3" i="16"/>
  <c r="J12" i="16"/>
  <c r="K12" i="16" s="1"/>
  <c r="O8" i="16"/>
  <c r="P8" i="16" s="1"/>
  <c r="O10" i="16"/>
  <c r="P10" i="16" s="1"/>
  <c r="O12" i="16"/>
  <c r="P12" i="16" s="1"/>
  <c r="I6" i="15"/>
  <c r="K6" i="15" s="1"/>
  <c r="I5" i="15"/>
  <c r="K5" i="15" s="1"/>
  <c r="I3" i="15"/>
  <c r="I4" i="15"/>
  <c r="K4" i="15" s="1"/>
  <c r="N6" i="15"/>
  <c r="P6" i="15" s="1"/>
  <c r="N5" i="15"/>
  <c r="P5" i="15" s="1"/>
  <c r="N4" i="15"/>
  <c r="P4" i="15" s="1"/>
  <c r="N3" i="15"/>
  <c r="O7" i="15"/>
  <c r="P7" i="15" s="1"/>
  <c r="O9" i="15"/>
  <c r="P9" i="15" s="1"/>
  <c r="O11" i="15"/>
  <c r="P11" i="15" s="1"/>
  <c r="O13" i="15"/>
  <c r="P13" i="15" s="1"/>
  <c r="J12" i="15"/>
  <c r="K12" i="15" s="1"/>
  <c r="O8" i="15"/>
  <c r="P8" i="15" s="1"/>
  <c r="O10" i="15"/>
  <c r="P10" i="15" s="1"/>
  <c r="O12" i="15"/>
  <c r="P12" i="15" s="1"/>
  <c r="N6" i="14"/>
  <c r="P6" i="14" s="1"/>
  <c r="N5" i="14"/>
  <c r="N4" i="14"/>
  <c r="N3" i="14"/>
  <c r="I6" i="14"/>
  <c r="I5" i="14"/>
  <c r="K5" i="14" s="1"/>
  <c r="I4" i="14"/>
  <c r="K4" i="14" s="1"/>
  <c r="I3" i="14"/>
  <c r="J14" i="14"/>
  <c r="K14" i="14" s="1"/>
  <c r="J3" i="14"/>
  <c r="J4" i="14"/>
  <c r="J5" i="14"/>
  <c r="J6" i="14"/>
  <c r="O14" i="14"/>
  <c r="P14" i="14" s="1"/>
  <c r="O9" i="14"/>
  <c r="P9" i="14" s="1"/>
  <c r="O11" i="14"/>
  <c r="P11" i="14" s="1"/>
  <c r="O3" i="14"/>
  <c r="O4" i="14"/>
  <c r="O5" i="14"/>
  <c r="O6" i="14"/>
  <c r="J8" i="14"/>
  <c r="K8" i="14" s="1"/>
  <c r="J10" i="14"/>
  <c r="K10" i="14" s="1"/>
  <c r="O13" i="14"/>
  <c r="P13" i="14" s="1"/>
  <c r="O7" i="14"/>
  <c r="P7" i="14" s="1"/>
  <c r="J12" i="14"/>
  <c r="K12" i="14" s="1"/>
  <c r="J7" i="14"/>
  <c r="K7" i="14" s="1"/>
  <c r="J9" i="14"/>
  <c r="K9" i="14" s="1"/>
  <c r="O3" i="12"/>
  <c r="O9" i="12"/>
  <c r="P9" i="12" s="1"/>
  <c r="O12" i="12"/>
  <c r="K7" i="12"/>
  <c r="O10" i="12"/>
  <c r="P10" i="12" s="1"/>
  <c r="O8" i="12"/>
  <c r="P8" i="12" s="1"/>
  <c r="N4" i="12"/>
  <c r="O4" i="12"/>
  <c r="O7" i="12"/>
  <c r="P7" i="12" s="1"/>
  <c r="O6" i="12"/>
  <c r="N3" i="12"/>
  <c r="O13" i="12"/>
  <c r="P13" i="12" s="1"/>
  <c r="O5" i="12"/>
  <c r="P5" i="12" s="1"/>
  <c r="N6" i="12"/>
  <c r="O14" i="12"/>
  <c r="P14" i="12" s="1"/>
  <c r="K14" i="12"/>
  <c r="P12" i="12"/>
  <c r="I4" i="12"/>
  <c r="I6" i="12"/>
  <c r="I5" i="12"/>
  <c r="K9" i="12"/>
  <c r="K10" i="12"/>
  <c r="K12" i="12"/>
  <c r="K8" i="12"/>
  <c r="K13" i="12"/>
  <c r="K11" i="12"/>
  <c r="C11" i="8"/>
  <c r="G27" i="8"/>
  <c r="C24" i="8"/>
  <c r="G26" i="8"/>
  <c r="G30" i="8"/>
  <c r="G25" i="8"/>
  <c r="J11" i="7"/>
  <c r="H28" i="6"/>
  <c r="E26" i="6"/>
  <c r="H26" i="6"/>
  <c r="C24" i="6"/>
  <c r="C14" i="1"/>
  <c r="E12" i="19" l="1"/>
  <c r="E13" i="19"/>
  <c r="E10" i="19"/>
  <c r="E14" i="19"/>
  <c r="E18" i="19"/>
  <c r="E15" i="19"/>
  <c r="E16" i="19"/>
  <c r="E17" i="19"/>
  <c r="E11" i="19"/>
  <c r="J26" i="7"/>
  <c r="K24" i="7" s="1"/>
  <c r="D27" i="7"/>
  <c r="D28" i="7"/>
  <c r="D29" i="7" s="1"/>
  <c r="D30" i="7" s="1"/>
  <c r="D31" i="7" s="1"/>
  <c r="H14" i="7"/>
  <c r="G17" i="7"/>
  <c r="H15" i="7"/>
  <c r="G15" i="7"/>
  <c r="H18" i="7"/>
  <c r="H13" i="7"/>
  <c r="J27" i="7"/>
  <c r="C27" i="7"/>
  <c r="C28" i="7" s="1"/>
  <c r="C29" i="7" s="1"/>
  <c r="C30" i="7" s="1"/>
  <c r="C31" i="7" s="1"/>
  <c r="K2" i="7"/>
  <c r="L2" i="7" s="1"/>
  <c r="G32" i="7"/>
  <c r="D10" i="6"/>
  <c r="H10" i="6" s="1"/>
  <c r="K21" i="19"/>
  <c r="M20" i="19"/>
  <c r="M22" i="19" s="1"/>
  <c r="I15" i="12"/>
  <c r="H25" i="6"/>
  <c r="F28" i="6"/>
  <c r="F27" i="6"/>
  <c r="F26" i="6"/>
  <c r="F29" i="6"/>
  <c r="F30" i="6"/>
  <c r="F25" i="6"/>
  <c r="C25" i="6" s="1"/>
  <c r="C26" i="6" s="1"/>
  <c r="C27" i="6" s="1"/>
  <c r="O16" i="16"/>
  <c r="J16" i="16"/>
  <c r="K3" i="16"/>
  <c r="I15" i="16"/>
  <c r="I16" i="16"/>
  <c r="N15" i="16"/>
  <c r="P3" i="16"/>
  <c r="N16" i="16"/>
  <c r="O15" i="16"/>
  <c r="J15" i="16"/>
  <c r="O16" i="15"/>
  <c r="J15" i="15"/>
  <c r="N15" i="15"/>
  <c r="P3" i="15"/>
  <c r="N16" i="15"/>
  <c r="J16" i="15"/>
  <c r="I15" i="15"/>
  <c r="K3" i="15"/>
  <c r="I16" i="15"/>
  <c r="O15" i="15"/>
  <c r="K6" i="14"/>
  <c r="K3" i="14"/>
  <c r="I15" i="14"/>
  <c r="I16" i="14"/>
  <c r="N15" i="14"/>
  <c r="P3" i="14"/>
  <c r="N16" i="14"/>
  <c r="P4" i="14"/>
  <c r="J15" i="14"/>
  <c r="J16" i="14"/>
  <c r="P5" i="14"/>
  <c r="O15" i="14"/>
  <c r="O16" i="14"/>
  <c r="O15" i="12"/>
  <c r="P4" i="12"/>
  <c r="J15" i="12"/>
  <c r="I16" i="12"/>
  <c r="N16" i="12"/>
  <c r="N15" i="12"/>
  <c r="O16" i="12"/>
  <c r="P3" i="12"/>
  <c r="K5" i="12"/>
  <c r="P6" i="12"/>
  <c r="K6" i="12"/>
  <c r="J16" i="12"/>
  <c r="K3" i="12"/>
  <c r="K4" i="12"/>
  <c r="H10" i="8"/>
  <c r="C25" i="8"/>
  <c r="H11" i="8"/>
  <c r="C12" i="8"/>
  <c r="H29" i="6"/>
  <c r="E24" i="6"/>
  <c r="J22" i="6" s="1"/>
  <c r="H27" i="6"/>
  <c r="E27" i="6"/>
  <c r="E30" i="6"/>
  <c r="E29" i="6"/>
  <c r="H30" i="6"/>
  <c r="E28" i="6"/>
  <c r="E25" i="6"/>
  <c r="E20" i="19" l="1"/>
  <c r="C13" i="8"/>
  <c r="J13" i="7"/>
  <c r="K11" i="7" s="1"/>
  <c r="D14" i="7"/>
  <c r="D15" i="7" s="1"/>
  <c r="D16" i="7" s="1"/>
  <c r="D17" i="7" s="1"/>
  <c r="D18" i="7" s="1"/>
  <c r="H13" i="6"/>
  <c r="E12" i="6"/>
  <c r="F12" i="6"/>
  <c r="E13" i="6"/>
  <c r="D15" i="6"/>
  <c r="H15" i="6" s="1"/>
  <c r="E16" i="6"/>
  <c r="D11" i="6"/>
  <c r="H11" i="6" s="1"/>
  <c r="E17" i="6"/>
  <c r="H12" i="6"/>
  <c r="M21" i="19"/>
  <c r="C15" i="19"/>
  <c r="C18" i="19"/>
  <c r="C16" i="19"/>
  <c r="C12" i="19"/>
  <c r="D16" i="19"/>
  <c r="D17" i="19"/>
  <c r="D14" i="19"/>
  <c r="D18" i="19"/>
  <c r="D11" i="19"/>
  <c r="D15" i="19"/>
  <c r="D10" i="19"/>
  <c r="D12" i="19"/>
  <c r="D13" i="19"/>
  <c r="D14" i="12"/>
  <c r="K15" i="12"/>
  <c r="H24" i="6"/>
  <c r="I23" i="6" s="1"/>
  <c r="K22" i="6"/>
  <c r="I24" i="6" s="1"/>
  <c r="P15" i="16"/>
  <c r="P16" i="16"/>
  <c r="K15" i="16"/>
  <c r="K16" i="16"/>
  <c r="K17" i="16" s="1"/>
  <c r="P15" i="15"/>
  <c r="P16" i="15"/>
  <c r="P17" i="15" s="1"/>
  <c r="K15" i="15"/>
  <c r="K16" i="15"/>
  <c r="P15" i="14"/>
  <c r="P16" i="14"/>
  <c r="K15" i="14"/>
  <c r="K16" i="14"/>
  <c r="P15" i="12"/>
  <c r="P16" i="12"/>
  <c r="H25" i="8"/>
  <c r="E27" i="8"/>
  <c r="F28" i="8"/>
  <c r="H27" i="8"/>
  <c r="E28" i="8"/>
  <c r="F31" i="8"/>
  <c r="E31" i="8"/>
  <c r="J23" i="8" s="1"/>
  <c r="H31" i="8"/>
  <c r="H30" i="8"/>
  <c r="F26" i="8"/>
  <c r="H29" i="8"/>
  <c r="H28" i="8"/>
  <c r="H26" i="8"/>
  <c r="F27" i="8"/>
  <c r="F30" i="8"/>
  <c r="E29" i="8"/>
  <c r="F29" i="8"/>
  <c r="E30" i="8"/>
  <c r="H24" i="8"/>
  <c r="D18" i="8"/>
  <c r="H18" i="8" s="1"/>
  <c r="F15" i="8"/>
  <c r="D14" i="8"/>
  <c r="H14" i="8" s="1"/>
  <c r="E15" i="8"/>
  <c r="F16" i="8"/>
  <c r="D15" i="8"/>
  <c r="E16" i="8"/>
  <c r="F17" i="8"/>
  <c r="D16" i="8"/>
  <c r="H16" i="8" s="1"/>
  <c r="E17" i="8"/>
  <c r="F18" i="8"/>
  <c r="D17" i="8"/>
  <c r="H17" i="8" s="1"/>
  <c r="F14" i="8"/>
  <c r="E18" i="8"/>
  <c r="E14" i="8"/>
  <c r="J10" i="8" s="1"/>
  <c r="F31" i="6"/>
  <c r="E14" i="6"/>
  <c r="F16" i="6"/>
  <c r="F15" i="6"/>
  <c r="D17" i="6"/>
  <c r="H17" i="6" s="1"/>
  <c r="E15" i="6"/>
  <c r="F17" i="6"/>
  <c r="F13" i="6"/>
  <c r="D14" i="6"/>
  <c r="D16" i="6"/>
  <c r="H16" i="6" s="1"/>
  <c r="F14" i="6"/>
  <c r="C28" i="6"/>
  <c r="C29" i="6" s="1"/>
  <c r="C30" i="6" s="1"/>
  <c r="D20" i="19" l="1"/>
  <c r="C14" i="8"/>
  <c r="C15" i="8" s="1"/>
  <c r="C16" i="8" s="1"/>
  <c r="C17" i="8" s="1"/>
  <c r="C18" i="8" s="1"/>
  <c r="H14" i="6"/>
  <c r="C14" i="6"/>
  <c r="C15" i="6" s="1"/>
  <c r="C16" i="6" s="1"/>
  <c r="C17" i="6" s="1"/>
  <c r="C13" i="19"/>
  <c r="C14" i="19"/>
  <c r="C17" i="19"/>
  <c r="C11" i="19"/>
  <c r="C20" i="19" s="1"/>
  <c r="J9" i="6"/>
  <c r="P17" i="16"/>
  <c r="B12" i="16"/>
  <c r="K9" i="6"/>
  <c r="F18" i="6"/>
  <c r="K17" i="15"/>
  <c r="B13" i="15"/>
  <c r="P17" i="14"/>
  <c r="K17" i="14"/>
  <c r="P17" i="12"/>
  <c r="D32" i="8"/>
  <c r="H15" i="8"/>
  <c r="I24" i="8"/>
  <c r="H12" i="8"/>
  <c r="F19" i="8"/>
  <c r="K10" i="8"/>
  <c r="I12" i="8" s="1"/>
  <c r="F32" i="8"/>
  <c r="K23" i="8"/>
  <c r="I25" i="8" s="1"/>
  <c r="C27" i="8"/>
  <c r="C28" i="8" s="1"/>
  <c r="C29" i="8" s="1"/>
  <c r="C30" i="8" s="1"/>
  <c r="C31" i="8" s="1"/>
  <c r="D19" i="8"/>
  <c r="H13" i="8"/>
  <c r="J12" i="7"/>
  <c r="J17" i="7"/>
  <c r="J15" i="7"/>
  <c r="J18" i="7"/>
  <c r="J16" i="7"/>
  <c r="M10" i="7" l="1"/>
  <c r="H18" i="6"/>
  <c r="I11" i="8"/>
  <c r="L10" i="7"/>
  <c r="C14" i="7"/>
  <c r="C15" i="7" s="1"/>
  <c r="C16" i="7" s="1"/>
  <c r="C17" i="7" s="1"/>
  <c r="C18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Reeling, Carson J</author>
  </authors>
  <commentList>
    <comment ref="F4" authorId="0" shapeId="0" xr:uid="{226DFE8F-3AD6-40E0-91FF-9DE6597C4868}">
      <text>
        <r>
          <rPr>
            <b/>
            <sz val="9"/>
            <color indexed="81"/>
            <rFont val="Tahoma"/>
            <family val="2"/>
          </rPr>
          <t>Reeling, Carson J:</t>
        </r>
        <r>
          <rPr>
            <sz val="9"/>
            <color indexed="81"/>
            <rFont val="Tahoma"/>
            <family val="2"/>
          </rPr>
          <t xml:space="preserve">
Small typographical error here; should be 3.312. 
Use =PMT() function in future to avoid mistakes and rounding errors
-1</t>
        </r>
      </text>
    </comment>
    <comment ref="D15" authorId="0" shapeId="0" xr:uid="{06ABE232-DF55-46D4-8680-54F0E9F0DE70}">
      <text>
        <r>
          <rPr>
            <b/>
            <sz val="9"/>
            <color indexed="81"/>
            <rFont val="Tahoma"/>
            <family val="2"/>
          </rPr>
          <t>Reeling, Carson J:</t>
        </r>
        <r>
          <rPr>
            <sz val="9"/>
            <color indexed="81"/>
            <rFont val="Tahoma"/>
            <family val="2"/>
          </rPr>
          <t xml:space="preserve">
I know the instructions were unclear on this one, but the timing of what you consider benefits and costs is not treated consistently here. Since the question was poorly written, I won't take points off though.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Reeling, Carson J</author>
  </authors>
  <commentList>
    <comment ref="J3" authorId="0" shapeId="0" xr:uid="{25706B25-8385-4DC5-8E8F-BC265FC5A5A6}">
      <text>
        <r>
          <rPr>
            <b/>
            <sz val="9"/>
            <color indexed="81"/>
            <rFont val="Tahoma"/>
            <family val="2"/>
          </rPr>
          <t>Reeling, Carson J:</t>
        </r>
        <r>
          <rPr>
            <sz val="9"/>
            <color indexed="81"/>
            <rFont val="Tahoma"/>
            <family val="2"/>
          </rPr>
          <t xml:space="preserve">
Careful of timing - $2.50 is the price at the beginning of year 1, so your inflation adjustment is off by 1 year.
-1</t>
        </r>
      </text>
    </comment>
    <comment ref="H14" authorId="0" shapeId="0" xr:uid="{0D09D1E5-A832-4085-B5B3-7113F99BDC8E}">
      <text>
        <r>
          <rPr>
            <b/>
            <sz val="9"/>
            <color indexed="81"/>
            <rFont val="Tahoma"/>
            <family val="2"/>
          </rPr>
          <t>Reeling, Carson J:</t>
        </r>
        <r>
          <rPr>
            <sz val="9"/>
            <color indexed="81"/>
            <rFont val="Tahoma"/>
            <family val="2"/>
          </rPr>
          <t xml:space="preserve">
The vehicle is bought at the beginning of year 1 and lasts 11 years, not 12.
-1</t>
        </r>
      </text>
    </comment>
    <comment ref="K16" authorId="0" shapeId="0" xr:uid="{0462E323-EA23-4B99-BA15-CBB19819BE3B}">
      <text>
        <r>
          <rPr>
            <b/>
            <sz val="9"/>
            <color indexed="81"/>
            <rFont val="Tahoma"/>
            <family val="2"/>
          </rPr>
          <t>Reeling, Carson J:</t>
        </r>
        <r>
          <rPr>
            <sz val="9"/>
            <color indexed="81"/>
            <rFont val="Tahoma"/>
            <family val="2"/>
          </rPr>
          <t xml:space="preserve">
Missing the down payment    -2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Reeling, Carson J</author>
  </authors>
  <commentList>
    <comment ref="F1" authorId="0" shapeId="0" xr:uid="{74D707B7-547B-43F8-A188-20021BB9E11F}">
      <text>
        <r>
          <rPr>
            <b/>
            <sz val="9"/>
            <color indexed="81"/>
            <rFont val="Tahoma"/>
            <family val="2"/>
          </rPr>
          <t>Reeling, Carson J:</t>
        </r>
        <r>
          <rPr>
            <sz val="9"/>
            <color indexed="81"/>
            <rFont val="Tahoma"/>
            <family val="2"/>
          </rPr>
          <t xml:space="preserve">
This asked about the rate of the gas price increase (your "inflation" parameter in F2).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Reeling, Carson J</author>
  </authors>
  <commentList>
    <comment ref="F13" authorId="0" shapeId="0" xr:uid="{9D6DB2CA-D443-4936-8486-4DEBABB43FAF}">
      <text>
        <r>
          <rPr>
            <b/>
            <sz val="9"/>
            <color indexed="81"/>
            <rFont val="Tahoma"/>
            <family val="2"/>
          </rPr>
          <t>Reeling, Carson J:</t>
        </r>
        <r>
          <rPr>
            <sz val="9"/>
            <color indexed="81"/>
            <rFont val="Tahoma"/>
            <family val="2"/>
          </rPr>
          <t xml:space="preserve">
Equal amounts of </t>
        </r>
        <r>
          <rPr>
            <i/>
            <sz val="9"/>
            <color indexed="81"/>
            <rFont val="Tahoma"/>
            <family val="2"/>
          </rPr>
          <t>principal</t>
        </r>
        <r>
          <rPr>
            <sz val="9"/>
            <color indexed="81"/>
            <rFont val="Tahoma"/>
            <family val="2"/>
          </rPr>
          <t xml:space="preserve"> paid each year.                   -5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Reeling, Carson J</author>
  </authors>
  <commentList>
    <comment ref="G7" authorId="0" shapeId="0" xr:uid="{5EB7E889-F829-4EDD-8932-7B6561652E93}">
      <text>
        <r>
          <rPr>
            <b/>
            <sz val="9"/>
            <color indexed="81"/>
            <rFont val="Tahoma"/>
            <family val="2"/>
          </rPr>
          <t>Reeling, Carson J:</t>
        </r>
        <r>
          <rPr>
            <sz val="9"/>
            <color indexed="81"/>
            <rFont val="Tahoma"/>
            <family val="2"/>
          </rPr>
          <t xml:space="preserve">
You've "double discounted" here (taking the NPV of already discounted cash flows). Same in the other analyses
-2.5</t>
        </r>
      </text>
    </comment>
    <comment ref="H7" authorId="0" shapeId="0" xr:uid="{80C8987A-7697-461B-9FB8-A8DAAA7FE617}">
      <text>
        <r>
          <rPr>
            <b/>
            <sz val="9"/>
            <color indexed="81"/>
            <rFont val="Tahoma"/>
            <family val="2"/>
          </rPr>
          <t>Reeling, Carson J:</t>
        </r>
        <r>
          <rPr>
            <sz val="9"/>
            <color indexed="81"/>
            <rFont val="Tahoma"/>
            <family val="2"/>
          </rPr>
          <t xml:space="preserve">
Need to discount by 5 years to reflect construction period.  Same holds for other power plants.        -2.5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Reeling, Carson J</author>
  </authors>
  <commentList>
    <comment ref="L4" authorId="0" shapeId="0" xr:uid="{28EACB8A-B3CB-4C60-92EB-E8E81208D947}">
      <text>
        <r>
          <rPr>
            <b/>
            <sz val="9"/>
            <color indexed="81"/>
            <rFont val="Tahoma"/>
            <family val="2"/>
          </rPr>
          <t>Reeling, Carson J:</t>
        </r>
        <r>
          <rPr>
            <sz val="9"/>
            <color indexed="81"/>
            <rFont val="Tahoma"/>
            <family val="2"/>
          </rPr>
          <t xml:space="preserve">
Operating costs should be added to the annual equivalent capital costs, then the total divided by 300.             -5</t>
        </r>
      </text>
    </comment>
    <comment ref="K20" authorId="0" shapeId="0" xr:uid="{CAE71345-020D-417F-A4CC-E3E91BD9BA19}">
      <text>
        <r>
          <rPr>
            <b/>
            <sz val="9"/>
            <color indexed="81"/>
            <rFont val="Tahoma"/>
            <family val="2"/>
          </rPr>
          <t>Reeling, Carson J:</t>
        </r>
        <r>
          <rPr>
            <sz val="9"/>
            <color indexed="81"/>
            <rFont val="Tahoma"/>
            <family val="2"/>
          </rPr>
          <t xml:space="preserve">
The salvage cost was already discounted in F2
-2.5</t>
        </r>
      </text>
    </comment>
    <comment ref="J22" authorId="0" shapeId="0" xr:uid="{43986FDA-D3D6-482E-93E3-2B96CCF36155}">
      <text>
        <r>
          <rPr>
            <b/>
            <sz val="9"/>
            <color indexed="81"/>
            <rFont val="Tahoma"/>
            <family val="2"/>
          </rPr>
          <t>Reeling, Carson J:</t>
        </r>
        <r>
          <rPr>
            <sz val="9"/>
            <color indexed="81"/>
            <rFont val="Tahoma"/>
            <family val="2"/>
          </rPr>
          <t xml:space="preserve">
Wrong discount rate here (all these are nominal, but you use the real discount rate)   -2.5</t>
        </r>
      </text>
    </comment>
  </commentList>
</comments>
</file>

<file path=xl/sharedStrings.xml><?xml version="1.0" encoding="utf-8"?>
<sst xmlns="http://schemas.openxmlformats.org/spreadsheetml/2006/main" count="428" uniqueCount="121">
  <si>
    <t>Parameters</t>
  </si>
  <si>
    <t>Interest rate</t>
  </si>
  <si>
    <t>Repayment period in years</t>
  </si>
  <si>
    <t>Annual benefits</t>
  </si>
  <si>
    <t>Year</t>
  </si>
  <si>
    <t>Loan</t>
  </si>
  <si>
    <t>Principal Balance</t>
  </si>
  <si>
    <t>Total pd</t>
  </si>
  <si>
    <t>Interest pd</t>
  </si>
  <si>
    <t>Principal pd</t>
  </si>
  <si>
    <t>IRR</t>
  </si>
  <si>
    <t>A</t>
  </si>
  <si>
    <t>B</t>
  </si>
  <si>
    <t>C</t>
  </si>
  <si>
    <t>NPV</t>
  </si>
  <si>
    <t>BCR</t>
  </si>
  <si>
    <t>PV Bens</t>
  </si>
  <si>
    <t>PV Costs</t>
  </si>
  <si>
    <t>AE</t>
  </si>
  <si>
    <t>Annuity Factor</t>
  </si>
  <si>
    <t>12 years</t>
  </si>
  <si>
    <t>8 years</t>
  </si>
  <si>
    <t>4 years</t>
  </si>
  <si>
    <t>Params</t>
  </si>
  <si>
    <t>Fuel Econ</t>
  </si>
  <si>
    <t>Gas</t>
  </si>
  <si>
    <t>Inflation</t>
  </si>
  <si>
    <t>Finance</t>
  </si>
  <si>
    <t>Downpay</t>
  </si>
  <si>
    <t>Last yrs</t>
  </si>
  <si>
    <t>Miles/yr</t>
  </si>
  <si>
    <t>DR</t>
  </si>
  <si>
    <t>Nominal</t>
  </si>
  <si>
    <t>Down Payment</t>
  </si>
  <si>
    <t>Loan Amount</t>
  </si>
  <si>
    <t>Annual Payment</t>
  </si>
  <si>
    <t>Annual Gallons</t>
  </si>
  <si>
    <t>Total Cost</t>
  </si>
  <si>
    <t>Repay period</t>
  </si>
  <si>
    <t>Interest Rate</t>
  </si>
  <si>
    <t>ATC/mile</t>
  </si>
  <si>
    <t>Principal</t>
  </si>
  <si>
    <t>year</t>
  </si>
  <si>
    <t>Part A</t>
  </si>
  <si>
    <t>Nom interest rate</t>
  </si>
  <si>
    <t>Real interest rate</t>
  </si>
  <si>
    <t>Real</t>
  </si>
  <si>
    <t>Inflation Rate</t>
  </si>
  <si>
    <t>PV</t>
  </si>
  <si>
    <t>Discount</t>
  </si>
  <si>
    <t>NPV Total Payment</t>
  </si>
  <si>
    <t>NPV Interest Payment</t>
  </si>
  <si>
    <t>NPV Principal Payment</t>
  </si>
  <si>
    <t>Sum Interest</t>
  </si>
  <si>
    <t>Nominal Interest capitalized</t>
  </si>
  <si>
    <t>Principal Interest capitalized</t>
  </si>
  <si>
    <t>Part B</t>
  </si>
  <si>
    <t>Part C</t>
  </si>
  <si>
    <t>Coal ($)</t>
  </si>
  <si>
    <t>Gas ($)</t>
  </si>
  <si>
    <t>Nuclear ($)</t>
  </si>
  <si>
    <t>Wind ($)</t>
  </si>
  <si>
    <t>Coal fuel cost</t>
  </si>
  <si>
    <t>Gas fuel cost</t>
  </si>
  <si>
    <t>Nuclear fuel cost</t>
  </si>
  <si>
    <t>Coal capacity</t>
  </si>
  <si>
    <t>Nuclear capacity</t>
  </si>
  <si>
    <t>Wind capacity</t>
  </si>
  <si>
    <t>Other coal operating cost</t>
  </si>
  <si>
    <t>Other nuclear operating cost</t>
  </si>
  <si>
    <t>Other wind operating cost</t>
  </si>
  <si>
    <t>Gas capacity (megawatts)</t>
  </si>
  <si>
    <t>Other gas operating cost ($/yr)</t>
  </si>
  <si>
    <t>Discounted Total Output</t>
  </si>
  <si>
    <t>AF</t>
  </si>
  <si>
    <t>Discounted Unit Cost</t>
  </si>
  <si>
    <t>BH cost (real $)</t>
  </si>
  <si>
    <t>BH life (years)</t>
  </si>
  <si>
    <t>Disc rate (real)</t>
  </si>
  <si>
    <t>Annual use (hours)</t>
  </si>
  <si>
    <t>Life use (hours)</t>
  </si>
  <si>
    <t>Part a</t>
  </si>
  <si>
    <t>Part b</t>
  </si>
  <si>
    <t>Part c</t>
  </si>
  <si>
    <t>AE payment</t>
  </si>
  <si>
    <t>Fuel payment</t>
  </si>
  <si>
    <t>Year payment</t>
  </si>
  <si>
    <t>Total</t>
  </si>
  <si>
    <t>Car A</t>
  </si>
  <si>
    <t>Car B</t>
  </si>
  <si>
    <t>Purchasing Price</t>
  </si>
  <si>
    <t>Annual payment</t>
  </si>
  <si>
    <t>NPV Diff</t>
  </si>
  <si>
    <t>Part D</t>
  </si>
  <si>
    <t>Capital Costs</t>
  </si>
  <si>
    <t>Fuel + opp costs</t>
  </si>
  <si>
    <t>Annual Costs</t>
  </si>
  <si>
    <t>AF_5</t>
  </si>
  <si>
    <t>AF_2</t>
  </si>
  <si>
    <t>AF_7</t>
  </si>
  <si>
    <t>AF_1</t>
  </si>
  <si>
    <t>Salvage value</t>
  </si>
  <si>
    <t>Operating costs</t>
  </si>
  <si>
    <t>Salv + Op costs</t>
  </si>
  <si>
    <t>D</t>
  </si>
  <si>
    <t>Part d</t>
  </si>
  <si>
    <t>Hourly Equivalent</t>
  </si>
  <si>
    <t>Annual Equivalent</t>
  </si>
  <si>
    <t>Net</t>
  </si>
  <si>
    <t>Inflation Adjustment</t>
  </si>
  <si>
    <t>Inflation rate</t>
  </si>
  <si>
    <t>Inflation adjusted</t>
  </si>
  <si>
    <t>PV Salvage value</t>
  </si>
  <si>
    <t>PV Operating costs</t>
  </si>
  <si>
    <t>NPV PV</t>
  </si>
  <si>
    <t>Interest accrued</t>
  </si>
  <si>
    <t>Prin Balance (B)</t>
  </si>
  <si>
    <t>PB(part A)</t>
  </si>
  <si>
    <t>AF_25</t>
  </si>
  <si>
    <t>AF_30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</si>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</sst>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"/>
    <numFmt numFmtId="165" formatCode="0.0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9" fontId="0" fillId="0" borderId="0" xfId="1" applyFont="1"/>
    <xf numFmtId="164" fontId="0" fillId="0" borderId="0" xfId="0" applyNumberFormat="1"/>
    <xf numFmtId="8" fontId="0" fillId="0" borderId="0" xfId="0" applyNumberFormat="1"/>
    <xf numFmtId="9" fontId="0" fillId="0" borderId="0" xfId="0" applyNumberFormat="1"/>
    <xf numFmtId="3" fontId="0" fillId="0" borderId="0" xfId="0" applyNumberFormat="1"/>
    <xf numFmtId="10" fontId="0" fillId="0" borderId="0" xfId="0" applyNumberFormat="1"/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9" fontId="0" fillId="0" borderId="0" xfId="0" applyNumberFormat="1" applyAlignment="1">
      <alignment horizontal="left" vertical="top" wrapText="1"/>
    </xf>
    <xf numFmtId="3" fontId="0" fillId="0" borderId="0" xfId="0" applyNumberFormat="1" applyAlignment="1">
      <alignment horizontal="left" vertical="top" wrapText="1"/>
    </xf>
    <xf numFmtId="9" fontId="0" fillId="0" borderId="0" xfId="0" applyNumberFormat="1" applyAlignment="1">
      <alignment horizontal="left" vertical="top"/>
    </xf>
    <xf numFmtId="3" fontId="0" fillId="0" borderId="0" xfId="0" applyNumberFormat="1" applyAlignment="1">
      <alignment horizontal="left" vertical="top"/>
    </xf>
    <xf numFmtId="0" fontId="2" fillId="0" borderId="0" xfId="0" applyFont="1" applyAlignment="1">
      <alignment horizontal="left" vertical="top"/>
    </xf>
    <xf numFmtId="8" fontId="0" fillId="0" borderId="0" xfId="0" applyNumberFormat="1" applyAlignment="1">
      <alignment horizontal="left" vertical="top" wrapText="1"/>
    </xf>
    <xf numFmtId="8" fontId="0" fillId="2" borderId="0" xfId="0" applyNumberFormat="1" applyFill="1"/>
    <xf numFmtId="8" fontId="2" fillId="0" borderId="0" xfId="0" applyNumberFormat="1" applyFont="1"/>
    <xf numFmtId="0" fontId="0" fillId="2" borderId="0" xfId="0" applyFill="1"/>
    <xf numFmtId="8" fontId="0" fillId="0" borderId="0" xfId="0" applyNumberFormat="1" applyAlignment="1">
      <alignment horizontal="left" vertical="top"/>
    </xf>
    <xf numFmtId="9" fontId="0" fillId="2" borderId="0" xfId="0" applyNumberFormat="1" applyFill="1"/>
    <xf numFmtId="3" fontId="0" fillId="2" borderId="0" xfId="0" applyNumberFormat="1" applyFill="1"/>
    <xf numFmtId="0" fontId="0" fillId="2" borderId="0" xfId="0" applyFill="1" applyAlignment="1">
      <alignment horizontal="left" vertical="top"/>
    </xf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DFD2E-0E8C-4349-A20A-4324BE5E030C}">
  <dimension ref="A1:M18"/>
  <sheetViews>
    <sheetView workbookViewId="0">
      <selection activeCell="B24" sqref="B24"/>
    </sheetView>
  </sheetViews>
  <sheetFormatPr defaultRowHeight="14.5" x14ac:dyDescent="0.35"/>
  <cols>
    <col min="2" max="2" width="9.453125" bestFit="1" customWidth="1"/>
    <col min="3" max="3" width="11.453125" customWidth="1"/>
    <col min="4" max="4" width="9.453125" bestFit="1" customWidth="1"/>
    <col min="6" max="6" width="10.08984375" bestFit="1" customWidth="1"/>
    <col min="7" max="8" width="9.453125" bestFit="1" customWidth="1"/>
    <col min="10" max="10" width="10.08984375" bestFit="1" customWidth="1"/>
  </cols>
  <sheetData>
    <row r="1" spans="1:13" s="1" customFormat="1" x14ac:dyDescent="0.35">
      <c r="A1" s="1" t="s">
        <v>0</v>
      </c>
    </row>
    <row r="2" spans="1:13" x14ac:dyDescent="0.35">
      <c r="A2" t="s">
        <v>1</v>
      </c>
      <c r="D2" s="2">
        <v>0.08</v>
      </c>
      <c r="F2" s="5">
        <v>0.1</v>
      </c>
      <c r="G2" s="4"/>
    </row>
    <row r="3" spans="1:13" x14ac:dyDescent="0.35">
      <c r="A3" t="s">
        <v>2</v>
      </c>
      <c r="D3">
        <v>12</v>
      </c>
    </row>
    <row r="4" spans="1:13" x14ac:dyDescent="0.35">
      <c r="A4" t="s">
        <v>19</v>
      </c>
      <c r="D4">
        <v>7.5359999999999996</v>
      </c>
      <c r="E4">
        <v>5.7469999999999999</v>
      </c>
      <c r="F4">
        <v>3.1320000000000001</v>
      </c>
    </row>
    <row r="5" spans="1:13" x14ac:dyDescent="0.35">
      <c r="D5" s="3" t="s">
        <v>20</v>
      </c>
      <c r="E5" t="s">
        <v>21</v>
      </c>
      <c r="F5" t="s">
        <v>22</v>
      </c>
    </row>
    <row r="6" spans="1:13" x14ac:dyDescent="0.35">
      <c r="A6" s="1" t="s">
        <v>4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</row>
    <row r="7" spans="1:13" x14ac:dyDescent="0.35">
      <c r="A7" t="s">
        <v>11</v>
      </c>
      <c r="B7">
        <v>-5000</v>
      </c>
      <c r="C7">
        <v>1200</v>
      </c>
      <c r="D7">
        <v>2000</v>
      </c>
      <c r="E7">
        <v>3000</v>
      </c>
    </row>
    <row r="8" spans="1:13" x14ac:dyDescent="0.35">
      <c r="A8" t="s">
        <v>12</v>
      </c>
      <c r="B8">
        <v>-6000</v>
      </c>
      <c r="C8">
        <v>500</v>
      </c>
      <c r="D8">
        <v>700</v>
      </c>
      <c r="E8">
        <v>1000</v>
      </c>
      <c r="F8">
        <v>2000</v>
      </c>
      <c r="G8">
        <v>2000</v>
      </c>
      <c r="H8">
        <v>2000</v>
      </c>
      <c r="I8">
        <v>2000</v>
      </c>
    </row>
    <row r="9" spans="1:13" x14ac:dyDescent="0.35">
      <c r="A9" t="s">
        <v>13</v>
      </c>
      <c r="B9">
        <v>-15000</v>
      </c>
      <c r="C9">
        <v>5000</v>
      </c>
      <c r="D9">
        <v>4000</v>
      </c>
      <c r="E9">
        <v>-4000</v>
      </c>
      <c r="F9">
        <v>4000</v>
      </c>
      <c r="G9">
        <v>5000</v>
      </c>
      <c r="H9">
        <v>-4000</v>
      </c>
      <c r="I9">
        <v>6000</v>
      </c>
      <c r="J9">
        <v>5000</v>
      </c>
      <c r="K9">
        <v>-2000</v>
      </c>
      <c r="L9">
        <v>6000</v>
      </c>
      <c r="M9">
        <v>6000</v>
      </c>
    </row>
    <row r="11" spans="1:13" x14ac:dyDescent="0.35">
      <c r="B11" t="s">
        <v>11</v>
      </c>
      <c r="C11" t="s">
        <v>12</v>
      </c>
      <c r="D11" t="s">
        <v>13</v>
      </c>
    </row>
    <row r="12" spans="1:13" x14ac:dyDescent="0.35">
      <c r="A12" s="1" t="s">
        <v>14</v>
      </c>
      <c r="B12" s="17">
        <f>NPV(0.08,B7:E7)</f>
        <v>191.93099516220988</v>
      </c>
      <c r="C12" s="17">
        <f>NPV(0.08,B8:I8)</f>
        <v>1032.8504834678422</v>
      </c>
      <c r="D12" s="17">
        <f>NPV(0.08,B9:M9)</f>
        <v>3944.684981418643</v>
      </c>
    </row>
    <row r="13" spans="1:13" x14ac:dyDescent="0.35">
      <c r="A13" s="1" t="s">
        <v>10</v>
      </c>
      <c r="B13" s="21">
        <f>IRR(B7:E7)</f>
        <v>9.9777886398051185E-2</v>
      </c>
      <c r="C13" s="21">
        <f>IRR(B8:I8)</f>
        <v>0.12167905148320757</v>
      </c>
      <c r="D13" s="21">
        <f>IRR(B9:M9)</f>
        <v>0.13191798449711523</v>
      </c>
      <c r="F13" s="4"/>
      <c r="J13" s="4"/>
    </row>
    <row r="14" spans="1:13" x14ac:dyDescent="0.35">
      <c r="A14" s="1" t="s">
        <v>15</v>
      </c>
      <c r="B14" s="19">
        <f>B15/B16</f>
        <v>1.1247736625514402</v>
      </c>
      <c r="C14" s="19">
        <f>C15/C16</f>
        <v>1.2807861339861488</v>
      </c>
      <c r="D14" s="19">
        <f>D15/D16</f>
        <v>1.1003766256171896</v>
      </c>
      <c r="F14" s="4"/>
    </row>
    <row r="15" spans="1:13" x14ac:dyDescent="0.35">
      <c r="A15" t="s">
        <v>16</v>
      </c>
      <c r="B15">
        <f>ABS(NPV(0.08,C7:E7))</f>
        <v>5207.2854747751862</v>
      </c>
      <c r="C15">
        <f>ABS(NPV(0.08,C8:I8))</f>
        <v>7115.4785221452703</v>
      </c>
      <c r="D15">
        <f>ABS(NPV(0.08,C9:G9,I9:J9,L9:M9))</f>
        <v>24168.268190520572</v>
      </c>
      <c r="F15" s="4" t="s">
        <v>120</v>
      </c>
    </row>
    <row r="16" spans="1:13" x14ac:dyDescent="0.35">
      <c r="A16" t="s">
        <v>17</v>
      </c>
      <c r="B16">
        <f>ABS(NPV(0.08,B7))</f>
        <v>4629.6296296296296</v>
      </c>
      <c r="C16">
        <f>ABS(NPV(0.08,B8))</f>
        <v>5555.5555555555547</v>
      </c>
      <c r="D16">
        <f>ABS(NPV(0.08,B9,E9,H9,K9))</f>
        <v>21963.632839769605</v>
      </c>
    </row>
    <row r="17" spans="1:4" x14ac:dyDescent="0.35">
      <c r="A17" s="1" t="s">
        <v>18</v>
      </c>
      <c r="B17" s="17">
        <f>B12/F4</f>
        <v>61.280649796363306</v>
      </c>
      <c r="C17" s="17">
        <f>C12/E4</f>
        <v>179.71993796203972</v>
      </c>
      <c r="D17" s="17">
        <f>D12/D4</f>
        <v>523.44545931776054</v>
      </c>
    </row>
    <row r="18" spans="1:4" x14ac:dyDescent="0.35">
      <c r="B18" s="24"/>
      <c r="C18" s="4"/>
      <c r="D18" s="4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B4891-7571-4C83-A581-7A77A002D00D}">
  <dimension ref="A1:O34"/>
  <sheetViews>
    <sheetView zoomScale="104" workbookViewId="0">
      <selection activeCell="G7" sqref="G7"/>
    </sheetView>
  </sheetViews>
  <sheetFormatPr defaultColWidth="8.7265625" defaultRowHeight="14.5" x14ac:dyDescent="0.35"/>
  <cols>
    <col min="1" max="1" width="14.08984375" style="9" customWidth="1"/>
    <col min="2" max="2" width="12.453125" style="9" customWidth="1"/>
    <col min="3" max="3" width="16.453125" style="9" customWidth="1"/>
    <col min="4" max="4" width="14.453125" style="9" customWidth="1"/>
    <col min="5" max="5" width="9.6328125" style="9" customWidth="1"/>
    <col min="6" max="6" width="16.6328125" style="9" customWidth="1"/>
    <col min="7" max="7" width="24" style="9" customWidth="1"/>
    <col min="8" max="8" width="16.90625" style="9" customWidth="1"/>
    <col min="9" max="16384" width="8.7265625" style="9"/>
  </cols>
  <sheetData>
    <row r="1" spans="1:15" ht="29" x14ac:dyDescent="0.35">
      <c r="A1" s="8" t="s">
        <v>23</v>
      </c>
      <c r="B1" s="8"/>
      <c r="D1" s="10" t="s">
        <v>71</v>
      </c>
      <c r="E1" s="10">
        <v>200</v>
      </c>
      <c r="G1" s="10" t="s">
        <v>72</v>
      </c>
      <c r="H1" s="10">
        <v>3000</v>
      </c>
      <c r="I1" s="15" t="s">
        <v>31</v>
      </c>
      <c r="J1" s="13">
        <v>0.1</v>
      </c>
    </row>
    <row r="2" spans="1:15" ht="24.65" customHeight="1" x14ac:dyDescent="0.35">
      <c r="A2" s="10" t="s">
        <v>62</v>
      </c>
      <c r="B2" s="10">
        <v>20</v>
      </c>
      <c r="D2" s="10" t="s">
        <v>66</v>
      </c>
      <c r="E2" s="10">
        <v>800</v>
      </c>
      <c r="G2" s="10" t="s">
        <v>69</v>
      </c>
      <c r="H2" s="10">
        <v>4000</v>
      </c>
      <c r="I2" s="15" t="s">
        <v>97</v>
      </c>
      <c r="J2" s="9">
        <v>3.7909999999999999</v>
      </c>
      <c r="M2" s="10"/>
      <c r="N2" s="10"/>
    </row>
    <row r="3" spans="1:15" ht="21.65" customHeight="1" x14ac:dyDescent="0.35">
      <c r="A3" s="10" t="s">
        <v>63</v>
      </c>
      <c r="B3" s="10">
        <v>27</v>
      </c>
      <c r="D3" s="10" t="s">
        <v>67</v>
      </c>
      <c r="E3" s="10">
        <v>100</v>
      </c>
      <c r="G3" s="10" t="s">
        <v>70</v>
      </c>
      <c r="H3" s="10">
        <v>300</v>
      </c>
      <c r="I3" s="15" t="s">
        <v>98</v>
      </c>
      <c r="J3" s="9">
        <v>1.736</v>
      </c>
      <c r="M3" s="10"/>
      <c r="N3" s="10"/>
    </row>
    <row r="4" spans="1:15" ht="26.5" customHeight="1" x14ac:dyDescent="0.35">
      <c r="A4" s="10" t="s">
        <v>64</v>
      </c>
      <c r="B4" s="10">
        <v>4</v>
      </c>
      <c r="D4" s="10" t="s">
        <v>65</v>
      </c>
      <c r="E4" s="10">
        <v>500</v>
      </c>
      <c r="G4" s="10" t="s">
        <v>68</v>
      </c>
      <c r="H4" s="10">
        <v>5000</v>
      </c>
      <c r="I4" s="8" t="s">
        <v>99</v>
      </c>
      <c r="J4" s="10">
        <v>4.8680000000000003</v>
      </c>
      <c r="M4" s="10"/>
      <c r="N4" s="10"/>
    </row>
    <row r="5" spans="1:15" x14ac:dyDescent="0.35">
      <c r="B5" s="9" t="s">
        <v>94</v>
      </c>
      <c r="I5" s="8" t="s">
        <v>100</v>
      </c>
      <c r="J5" s="10">
        <v>0.90900000000000003</v>
      </c>
    </row>
    <row r="6" spans="1:15" x14ac:dyDescent="0.35">
      <c r="A6" s="8" t="s">
        <v>4</v>
      </c>
      <c r="B6" s="8" t="s">
        <v>59</v>
      </c>
      <c r="C6" s="8" t="s">
        <v>48</v>
      </c>
      <c r="D6" s="8" t="s">
        <v>95</v>
      </c>
      <c r="E6" s="8" t="s">
        <v>48</v>
      </c>
      <c r="F6" s="8" t="s">
        <v>96</v>
      </c>
      <c r="G6" s="8" t="s">
        <v>14</v>
      </c>
      <c r="H6" s="15" t="s">
        <v>73</v>
      </c>
      <c r="I6" s="15" t="s">
        <v>75</v>
      </c>
      <c r="J6" s="15" t="s">
        <v>74</v>
      </c>
      <c r="K6" s="9">
        <f>(1-(1+J1)^-27)/J1</f>
        <v>9.2372231555614537</v>
      </c>
      <c r="M6" s="12"/>
      <c r="N6" s="12"/>
      <c r="O6" s="12"/>
    </row>
    <row r="7" spans="1:15" x14ac:dyDescent="0.35">
      <c r="A7" s="10">
        <v>1</v>
      </c>
      <c r="B7" s="12">
        <v>20000</v>
      </c>
      <c r="C7" s="12">
        <f>B7/((1+$J$1)^A7)</f>
        <v>18181.81818181818</v>
      </c>
      <c r="D7" s="12">
        <v>0</v>
      </c>
      <c r="E7" s="12">
        <f t="shared" ref="E7:E33" si="0">D7/((1+$J$1)^A7)</f>
        <v>0</v>
      </c>
      <c r="F7" s="12">
        <f>C7+E7</f>
        <v>18181.81818181818</v>
      </c>
      <c r="G7" s="12">
        <f>NPV(J1,F7:F33)</f>
        <v>60692.068812799625</v>
      </c>
      <c r="H7" s="9">
        <f>E1*K7</f>
        <v>1815.408003645872</v>
      </c>
      <c r="I7" s="23">
        <f>G7/H7</f>
        <v>33.431641091651102</v>
      </c>
      <c r="J7" s="15" t="s">
        <v>118</v>
      </c>
      <c r="K7" s="9">
        <f>(1-(1+'Problem 4 Coal'!K1)^-25)/'Problem 4 Coal'!K1</f>
        <v>9.0770400182293596</v>
      </c>
      <c r="M7" s="12"/>
      <c r="N7" s="12"/>
      <c r="O7" s="10"/>
    </row>
    <row r="8" spans="1:15" x14ac:dyDescent="0.35">
      <c r="A8" s="10">
        <v>2</v>
      </c>
      <c r="B8" s="12">
        <v>25000</v>
      </c>
      <c r="C8" s="12">
        <f t="shared" ref="C8:C33" si="1">B8/((1+$J$1)^A8)</f>
        <v>20661.157024793385</v>
      </c>
      <c r="D8" s="12">
        <v>0</v>
      </c>
      <c r="E8" s="12">
        <f t="shared" si="0"/>
        <v>0</v>
      </c>
      <c r="F8" s="12">
        <f t="shared" ref="F8:F33" si="2">C8+E8</f>
        <v>20661.157024793385</v>
      </c>
      <c r="G8" s="10"/>
      <c r="J8" s="15"/>
      <c r="M8" s="12"/>
      <c r="N8" s="10"/>
      <c r="O8" s="10"/>
    </row>
    <row r="9" spans="1:15" x14ac:dyDescent="0.35">
      <c r="A9" s="10">
        <v>3</v>
      </c>
      <c r="B9" s="12">
        <v>0</v>
      </c>
      <c r="C9" s="12">
        <f t="shared" si="1"/>
        <v>0</v>
      </c>
      <c r="D9" s="12">
        <f t="shared" ref="D9:D33" si="3">($B$3*$E$1)+$H$1</f>
        <v>8400</v>
      </c>
      <c r="E9" s="12">
        <f t="shared" si="0"/>
        <v>6311.0443275732514</v>
      </c>
      <c r="F9" s="12">
        <f t="shared" si="2"/>
        <v>6311.0443275732514</v>
      </c>
      <c r="G9" s="10"/>
      <c r="M9" s="12"/>
      <c r="N9" s="10"/>
      <c r="O9" s="10"/>
    </row>
    <row r="10" spans="1:15" x14ac:dyDescent="0.35">
      <c r="A10" s="10">
        <v>4</v>
      </c>
      <c r="B10" s="12">
        <v>0</v>
      </c>
      <c r="C10" s="12">
        <f t="shared" si="1"/>
        <v>0</v>
      </c>
      <c r="D10" s="12">
        <f t="shared" si="3"/>
        <v>8400</v>
      </c>
      <c r="E10" s="12">
        <f t="shared" si="0"/>
        <v>5737.3130250665927</v>
      </c>
      <c r="F10" s="12">
        <f t="shared" si="2"/>
        <v>5737.3130250665927</v>
      </c>
      <c r="M10" s="12"/>
      <c r="N10" s="10"/>
      <c r="O10" s="10"/>
    </row>
    <row r="11" spans="1:15" x14ac:dyDescent="0.35">
      <c r="A11" s="10">
        <v>5</v>
      </c>
      <c r="B11" s="12">
        <v>0</v>
      </c>
      <c r="C11" s="12">
        <f t="shared" si="1"/>
        <v>0</v>
      </c>
      <c r="D11" s="12">
        <f t="shared" si="3"/>
        <v>8400</v>
      </c>
      <c r="E11" s="12">
        <f t="shared" si="0"/>
        <v>5215.7391136969018</v>
      </c>
      <c r="F11" s="12">
        <f t="shared" si="2"/>
        <v>5215.7391136969018</v>
      </c>
      <c r="G11" s="8"/>
      <c r="H11" s="15"/>
      <c r="I11" s="15"/>
    </row>
    <row r="12" spans="1:15" x14ac:dyDescent="0.35">
      <c r="A12" s="10">
        <v>6</v>
      </c>
      <c r="B12" s="12">
        <v>0</v>
      </c>
      <c r="C12" s="12">
        <f t="shared" si="1"/>
        <v>0</v>
      </c>
      <c r="D12" s="12">
        <f t="shared" si="3"/>
        <v>8400</v>
      </c>
      <c r="E12" s="12">
        <f t="shared" si="0"/>
        <v>4741.5810124517284</v>
      </c>
      <c r="F12" s="12">
        <f t="shared" si="2"/>
        <v>4741.5810124517284</v>
      </c>
      <c r="G12" s="12"/>
    </row>
    <row r="13" spans="1:15" x14ac:dyDescent="0.35">
      <c r="A13" s="10">
        <v>7</v>
      </c>
      <c r="B13" s="12">
        <v>0</v>
      </c>
      <c r="C13" s="12">
        <f t="shared" si="1"/>
        <v>0</v>
      </c>
      <c r="D13" s="12">
        <f t="shared" si="3"/>
        <v>8400</v>
      </c>
      <c r="E13" s="12">
        <f t="shared" si="0"/>
        <v>4310.5281931379341</v>
      </c>
      <c r="F13" s="12">
        <f t="shared" si="2"/>
        <v>4310.5281931379341</v>
      </c>
      <c r="G13" s="10"/>
    </row>
    <row r="14" spans="1:15" x14ac:dyDescent="0.35">
      <c r="A14" s="10">
        <v>8</v>
      </c>
      <c r="B14" s="12">
        <v>0</v>
      </c>
      <c r="C14" s="12">
        <f t="shared" si="1"/>
        <v>0</v>
      </c>
      <c r="D14" s="12">
        <f t="shared" si="3"/>
        <v>8400</v>
      </c>
      <c r="E14" s="12">
        <f t="shared" si="0"/>
        <v>3918.6619937617588</v>
      </c>
      <c r="F14" s="12">
        <f t="shared" si="2"/>
        <v>3918.6619937617588</v>
      </c>
      <c r="G14" s="10"/>
    </row>
    <row r="15" spans="1:15" x14ac:dyDescent="0.35">
      <c r="A15" s="10">
        <v>9</v>
      </c>
      <c r="B15" s="12">
        <v>0</v>
      </c>
      <c r="C15" s="12">
        <f t="shared" si="1"/>
        <v>0</v>
      </c>
      <c r="D15" s="12">
        <f t="shared" si="3"/>
        <v>8400</v>
      </c>
      <c r="E15" s="12">
        <f t="shared" si="0"/>
        <v>3562.4199943288713</v>
      </c>
      <c r="F15" s="12">
        <f t="shared" si="2"/>
        <v>3562.4199943288713</v>
      </c>
      <c r="G15" s="10"/>
    </row>
    <row r="16" spans="1:15" x14ac:dyDescent="0.35">
      <c r="A16" s="10">
        <v>10</v>
      </c>
      <c r="B16" s="12">
        <v>0</v>
      </c>
      <c r="C16" s="12">
        <f t="shared" si="1"/>
        <v>0</v>
      </c>
      <c r="D16" s="12">
        <f t="shared" si="3"/>
        <v>8400</v>
      </c>
      <c r="E16" s="12">
        <f t="shared" si="0"/>
        <v>3238.5636312080642</v>
      </c>
      <c r="F16" s="12">
        <f t="shared" si="2"/>
        <v>3238.5636312080642</v>
      </c>
      <c r="G16" s="10"/>
    </row>
    <row r="17" spans="1:9" x14ac:dyDescent="0.35">
      <c r="A17" s="10">
        <v>11</v>
      </c>
      <c r="B17" s="12">
        <v>0</v>
      </c>
      <c r="C17" s="12">
        <f t="shared" si="1"/>
        <v>0</v>
      </c>
      <c r="D17" s="12">
        <f t="shared" si="3"/>
        <v>8400</v>
      </c>
      <c r="E17" s="12">
        <f t="shared" si="0"/>
        <v>2944.1487556436946</v>
      </c>
      <c r="F17" s="12">
        <f t="shared" si="2"/>
        <v>2944.1487556436946</v>
      </c>
    </row>
    <row r="18" spans="1:9" x14ac:dyDescent="0.35">
      <c r="A18" s="10">
        <v>12</v>
      </c>
      <c r="B18" s="12">
        <v>0</v>
      </c>
      <c r="C18" s="12">
        <f t="shared" si="1"/>
        <v>0</v>
      </c>
      <c r="D18" s="12">
        <f t="shared" si="3"/>
        <v>8400</v>
      </c>
      <c r="E18" s="12">
        <f t="shared" si="0"/>
        <v>2676.4988687669952</v>
      </c>
      <c r="F18" s="12">
        <f t="shared" si="2"/>
        <v>2676.4988687669952</v>
      </c>
    </row>
    <row r="19" spans="1:9" x14ac:dyDescent="0.35">
      <c r="A19" s="10">
        <v>13</v>
      </c>
      <c r="B19" s="12">
        <v>0</v>
      </c>
      <c r="C19" s="12">
        <f t="shared" si="1"/>
        <v>0</v>
      </c>
      <c r="D19" s="12">
        <f t="shared" si="3"/>
        <v>8400</v>
      </c>
      <c r="E19" s="12">
        <f t="shared" si="0"/>
        <v>2433.1807897881772</v>
      </c>
      <c r="F19" s="12">
        <f t="shared" si="2"/>
        <v>2433.1807897881772</v>
      </c>
    </row>
    <row r="20" spans="1:9" x14ac:dyDescent="0.35">
      <c r="A20" s="10">
        <v>14</v>
      </c>
      <c r="B20" s="12">
        <v>0</v>
      </c>
      <c r="C20" s="12">
        <f t="shared" si="1"/>
        <v>0</v>
      </c>
      <c r="D20" s="12">
        <f t="shared" si="3"/>
        <v>8400</v>
      </c>
      <c r="E20" s="12">
        <f t="shared" si="0"/>
        <v>2211.98253617107</v>
      </c>
      <c r="F20" s="12">
        <f t="shared" si="2"/>
        <v>2211.98253617107</v>
      </c>
    </row>
    <row r="21" spans="1:9" x14ac:dyDescent="0.35">
      <c r="A21" s="10">
        <v>15</v>
      </c>
      <c r="B21" s="12">
        <v>0</v>
      </c>
      <c r="C21" s="12">
        <f t="shared" si="1"/>
        <v>0</v>
      </c>
      <c r="D21" s="12">
        <f t="shared" si="3"/>
        <v>8400</v>
      </c>
      <c r="E21" s="12">
        <f t="shared" si="0"/>
        <v>2010.8932147009725</v>
      </c>
      <c r="F21" s="12">
        <f t="shared" si="2"/>
        <v>2010.8932147009725</v>
      </c>
      <c r="G21" s="8"/>
      <c r="H21" s="15"/>
      <c r="I21" s="15"/>
    </row>
    <row r="22" spans="1:9" x14ac:dyDescent="0.35">
      <c r="A22" s="10">
        <v>16</v>
      </c>
      <c r="B22" s="12">
        <v>0</v>
      </c>
      <c r="C22" s="12">
        <f t="shared" si="1"/>
        <v>0</v>
      </c>
      <c r="D22" s="12">
        <f t="shared" si="3"/>
        <v>8400</v>
      </c>
      <c r="E22" s="12">
        <f t="shared" si="0"/>
        <v>1828.0847406372477</v>
      </c>
      <c r="F22" s="12">
        <f t="shared" si="2"/>
        <v>1828.0847406372477</v>
      </c>
      <c r="G22" s="12"/>
    </row>
    <row r="23" spans="1:9" x14ac:dyDescent="0.35">
      <c r="A23" s="10">
        <v>17</v>
      </c>
      <c r="B23" s="12">
        <v>0</v>
      </c>
      <c r="C23" s="12">
        <f t="shared" si="1"/>
        <v>0</v>
      </c>
      <c r="D23" s="12">
        <f t="shared" si="3"/>
        <v>8400</v>
      </c>
      <c r="E23" s="12">
        <f t="shared" si="0"/>
        <v>1661.8952187611342</v>
      </c>
      <c r="F23" s="12">
        <f t="shared" si="2"/>
        <v>1661.8952187611342</v>
      </c>
      <c r="G23" s="10"/>
    </row>
    <row r="24" spans="1:9" x14ac:dyDescent="0.35">
      <c r="A24" s="10">
        <v>18</v>
      </c>
      <c r="B24" s="12">
        <v>0</v>
      </c>
      <c r="C24" s="12">
        <f t="shared" si="1"/>
        <v>0</v>
      </c>
      <c r="D24" s="12">
        <f t="shared" si="3"/>
        <v>8400</v>
      </c>
      <c r="E24" s="12">
        <f t="shared" si="0"/>
        <v>1510.8138352373946</v>
      </c>
      <c r="F24" s="12">
        <f t="shared" si="2"/>
        <v>1510.8138352373946</v>
      </c>
      <c r="G24" s="10"/>
    </row>
    <row r="25" spans="1:9" x14ac:dyDescent="0.35">
      <c r="A25" s="10">
        <v>19</v>
      </c>
      <c r="B25" s="12">
        <v>0</v>
      </c>
      <c r="C25" s="12">
        <f t="shared" si="1"/>
        <v>0</v>
      </c>
      <c r="D25" s="12">
        <f t="shared" si="3"/>
        <v>8400</v>
      </c>
      <c r="E25" s="12">
        <f t="shared" si="0"/>
        <v>1373.4671229430858</v>
      </c>
      <c r="F25" s="12">
        <f t="shared" si="2"/>
        <v>1373.4671229430858</v>
      </c>
      <c r="G25" s="10"/>
    </row>
    <row r="26" spans="1:9" x14ac:dyDescent="0.35">
      <c r="A26" s="10">
        <v>20</v>
      </c>
      <c r="B26" s="12">
        <v>0</v>
      </c>
      <c r="C26" s="12">
        <f t="shared" si="1"/>
        <v>0</v>
      </c>
      <c r="D26" s="12">
        <f t="shared" si="3"/>
        <v>8400</v>
      </c>
      <c r="E26" s="12">
        <f t="shared" si="0"/>
        <v>1248.6064754028052</v>
      </c>
      <c r="F26" s="12">
        <f t="shared" si="2"/>
        <v>1248.6064754028052</v>
      </c>
      <c r="G26" s="10"/>
    </row>
    <row r="27" spans="1:9" x14ac:dyDescent="0.35">
      <c r="A27" s="10">
        <v>21</v>
      </c>
      <c r="B27" s="12">
        <v>0</v>
      </c>
      <c r="C27" s="12">
        <f t="shared" si="1"/>
        <v>0</v>
      </c>
      <c r="D27" s="12">
        <f t="shared" si="3"/>
        <v>8400</v>
      </c>
      <c r="E27" s="12">
        <f t="shared" si="0"/>
        <v>1135.096795820732</v>
      </c>
      <c r="F27" s="12">
        <f t="shared" si="2"/>
        <v>1135.096795820732</v>
      </c>
    </row>
    <row r="28" spans="1:9" x14ac:dyDescent="0.35">
      <c r="A28" s="10">
        <v>22</v>
      </c>
      <c r="B28" s="12">
        <v>0</v>
      </c>
      <c r="C28" s="12">
        <f t="shared" si="1"/>
        <v>0</v>
      </c>
      <c r="D28" s="12">
        <f t="shared" si="3"/>
        <v>8400</v>
      </c>
      <c r="E28" s="12">
        <f t="shared" si="0"/>
        <v>1031.9061780188472</v>
      </c>
      <c r="F28" s="12">
        <f t="shared" si="2"/>
        <v>1031.9061780188472</v>
      </c>
    </row>
    <row r="29" spans="1:9" x14ac:dyDescent="0.35">
      <c r="A29" s="10">
        <v>23</v>
      </c>
      <c r="B29" s="12">
        <v>0</v>
      </c>
      <c r="C29" s="12">
        <f t="shared" si="1"/>
        <v>0</v>
      </c>
      <c r="D29" s="12">
        <f t="shared" si="3"/>
        <v>8400</v>
      </c>
      <c r="E29" s="12">
        <f t="shared" si="0"/>
        <v>938.09652547167912</v>
      </c>
      <c r="F29" s="12">
        <f t="shared" si="2"/>
        <v>938.09652547167912</v>
      </c>
    </row>
    <row r="30" spans="1:9" x14ac:dyDescent="0.35">
      <c r="A30" s="10">
        <v>24</v>
      </c>
      <c r="B30" s="12">
        <v>0</v>
      </c>
      <c r="C30" s="12">
        <f t="shared" si="1"/>
        <v>0</v>
      </c>
      <c r="D30" s="12">
        <f t="shared" si="3"/>
        <v>8400</v>
      </c>
      <c r="E30" s="12">
        <f t="shared" si="0"/>
        <v>852.81502315607202</v>
      </c>
      <c r="F30" s="12">
        <f t="shared" si="2"/>
        <v>852.81502315607202</v>
      </c>
    </row>
    <row r="31" spans="1:9" x14ac:dyDescent="0.35">
      <c r="A31" s="10">
        <v>25</v>
      </c>
      <c r="B31" s="12">
        <v>0</v>
      </c>
      <c r="C31" s="12">
        <f t="shared" si="1"/>
        <v>0</v>
      </c>
      <c r="D31" s="12">
        <f t="shared" si="3"/>
        <v>8400</v>
      </c>
      <c r="E31" s="12">
        <f t="shared" si="0"/>
        <v>775.286384687338</v>
      </c>
      <c r="F31" s="12">
        <f t="shared" si="2"/>
        <v>775.286384687338</v>
      </c>
    </row>
    <row r="32" spans="1:9" x14ac:dyDescent="0.35">
      <c r="A32" s="10">
        <v>26</v>
      </c>
      <c r="B32" s="12">
        <v>0</v>
      </c>
      <c r="C32" s="12">
        <f t="shared" si="1"/>
        <v>0</v>
      </c>
      <c r="D32" s="12">
        <f t="shared" si="3"/>
        <v>8400</v>
      </c>
      <c r="E32" s="12">
        <f t="shared" si="0"/>
        <v>704.80580426121639</v>
      </c>
      <c r="F32" s="12">
        <f t="shared" si="2"/>
        <v>704.80580426121639</v>
      </c>
    </row>
    <row r="33" spans="1:6" x14ac:dyDescent="0.35">
      <c r="A33" s="10">
        <v>27</v>
      </c>
      <c r="B33" s="12">
        <v>0</v>
      </c>
      <c r="C33" s="12">
        <f t="shared" si="1"/>
        <v>0</v>
      </c>
      <c r="D33" s="12">
        <f t="shared" si="3"/>
        <v>8400</v>
      </c>
      <c r="E33" s="12">
        <f t="shared" si="0"/>
        <v>640.73254932837847</v>
      </c>
      <c r="F33" s="12">
        <f t="shared" si="2"/>
        <v>640.73254932837847</v>
      </c>
    </row>
    <row r="34" spans="1:6" x14ac:dyDescent="0.35">
      <c r="A34" s="15" t="s">
        <v>87</v>
      </c>
      <c r="B34" s="12"/>
      <c r="C34" s="12"/>
      <c r="D34" s="12"/>
      <c r="E34" s="1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3177F-0AD5-4ABD-BF6C-BA4209E164CE}">
  <dimension ref="A1:O39"/>
  <sheetViews>
    <sheetView zoomScale="88" workbookViewId="0">
      <selection activeCell="D14" sqref="D14"/>
    </sheetView>
  </sheetViews>
  <sheetFormatPr defaultColWidth="8.7265625" defaultRowHeight="14.5" x14ac:dyDescent="0.35"/>
  <cols>
    <col min="1" max="1" width="14.08984375" style="9" customWidth="1"/>
    <col min="2" max="2" width="12.453125" style="9" customWidth="1"/>
    <col min="3" max="3" width="16.453125" style="9" customWidth="1"/>
    <col min="4" max="4" width="14.453125" style="9" customWidth="1"/>
    <col min="5" max="5" width="9.6328125" style="9" customWidth="1"/>
    <col min="6" max="6" width="16.6328125" style="9" customWidth="1"/>
    <col min="7" max="7" width="24" style="9" customWidth="1"/>
    <col min="8" max="8" width="16.90625" style="9" customWidth="1"/>
    <col min="9" max="9" width="8.7265625" style="9"/>
    <col min="10" max="10" width="11.36328125" style="9" bestFit="1" customWidth="1"/>
    <col min="11" max="16384" width="8.7265625" style="9"/>
  </cols>
  <sheetData>
    <row r="1" spans="1:15" ht="29" x14ac:dyDescent="0.35">
      <c r="A1" s="8" t="s">
        <v>23</v>
      </c>
      <c r="B1" s="8"/>
      <c r="D1" s="10" t="s">
        <v>71</v>
      </c>
      <c r="E1" s="10">
        <v>200</v>
      </c>
      <c r="G1" s="10" t="s">
        <v>72</v>
      </c>
      <c r="H1" s="10">
        <v>3000</v>
      </c>
      <c r="I1" s="15" t="s">
        <v>31</v>
      </c>
      <c r="J1" s="13">
        <v>0.1</v>
      </c>
    </row>
    <row r="2" spans="1:15" ht="24.65" customHeight="1" x14ac:dyDescent="0.35">
      <c r="A2" s="10" t="s">
        <v>62</v>
      </c>
      <c r="B2" s="10">
        <v>20</v>
      </c>
      <c r="D2" s="10" t="s">
        <v>66</v>
      </c>
      <c r="E2" s="10">
        <v>800</v>
      </c>
      <c r="G2" s="10" t="s">
        <v>69</v>
      </c>
      <c r="H2" s="10">
        <v>4000</v>
      </c>
      <c r="I2" s="15" t="s">
        <v>97</v>
      </c>
      <c r="J2" s="9">
        <v>3.7909999999999999</v>
      </c>
      <c r="M2" s="10"/>
      <c r="N2" s="10"/>
    </row>
    <row r="3" spans="1:15" ht="21.65" customHeight="1" x14ac:dyDescent="0.35">
      <c r="A3" s="10" t="s">
        <v>63</v>
      </c>
      <c r="B3" s="10">
        <v>27</v>
      </c>
      <c r="D3" s="10" t="s">
        <v>67</v>
      </c>
      <c r="E3" s="10">
        <v>100</v>
      </c>
      <c r="G3" s="10" t="s">
        <v>70</v>
      </c>
      <c r="H3" s="10">
        <v>300</v>
      </c>
      <c r="I3" s="15" t="s">
        <v>98</v>
      </c>
      <c r="J3" s="9">
        <v>1.736</v>
      </c>
      <c r="M3" s="10"/>
      <c r="N3" s="10"/>
    </row>
    <row r="4" spans="1:15" ht="26.5" customHeight="1" x14ac:dyDescent="0.35">
      <c r="A4" s="10" t="s">
        <v>64</v>
      </c>
      <c r="B4" s="10">
        <v>4</v>
      </c>
      <c r="D4" s="10" t="s">
        <v>65</v>
      </c>
      <c r="E4" s="10">
        <v>500</v>
      </c>
      <c r="G4" s="10" t="s">
        <v>68</v>
      </c>
      <c r="H4" s="10">
        <v>5000</v>
      </c>
      <c r="I4" s="8" t="s">
        <v>99</v>
      </c>
      <c r="J4" s="10">
        <v>4.8680000000000003</v>
      </c>
      <c r="M4" s="10"/>
      <c r="N4" s="10"/>
    </row>
    <row r="5" spans="1:15" x14ac:dyDescent="0.35">
      <c r="B5" s="9" t="s">
        <v>94</v>
      </c>
      <c r="I5" s="8" t="s">
        <v>100</v>
      </c>
      <c r="J5" s="10">
        <v>0.90900000000000003</v>
      </c>
    </row>
    <row r="6" spans="1:15" x14ac:dyDescent="0.35">
      <c r="A6" s="8" t="s">
        <v>4</v>
      </c>
      <c r="B6" s="8" t="s">
        <v>60</v>
      </c>
      <c r="C6" s="8" t="s">
        <v>48</v>
      </c>
      <c r="D6" s="8" t="s">
        <v>95</v>
      </c>
      <c r="E6" s="8" t="s">
        <v>48</v>
      </c>
      <c r="F6" s="8" t="s">
        <v>96</v>
      </c>
      <c r="G6" s="8" t="s">
        <v>14</v>
      </c>
      <c r="H6" s="15" t="s">
        <v>73</v>
      </c>
      <c r="I6" s="15" t="s">
        <v>75</v>
      </c>
      <c r="J6" s="9" t="s">
        <v>74</v>
      </c>
      <c r="K6" s="10">
        <f>(1-(1+J1)^-32)/J1</f>
        <v>9.5263755925523306</v>
      </c>
      <c r="L6" s="11"/>
      <c r="M6" s="8"/>
      <c r="N6" s="8"/>
      <c r="O6" s="8"/>
    </row>
    <row r="7" spans="1:15" x14ac:dyDescent="0.35">
      <c r="A7" s="10">
        <v>1</v>
      </c>
      <c r="B7" s="12">
        <v>40000</v>
      </c>
      <c r="C7" s="12">
        <f>B7/((1+$J$1)^A7)</f>
        <v>36363.63636363636</v>
      </c>
      <c r="D7" s="12">
        <v>0</v>
      </c>
      <c r="E7" s="12">
        <f t="shared" ref="E7:E38" si="0">D7/((1+$J$1)^A7)</f>
        <v>0</v>
      </c>
      <c r="F7" s="12">
        <f>C7+E7</f>
        <v>36363.63636363636</v>
      </c>
      <c r="G7" s="12">
        <f>NPV(J1,F7:F38)</f>
        <v>191189.17756789722</v>
      </c>
      <c r="H7" s="9">
        <f>E2*K7</f>
        <v>7261.6320145834879</v>
      </c>
      <c r="I7" s="23">
        <f>G7/H7</f>
        <v>26.328678895313512</v>
      </c>
      <c r="J7" s="9" t="s">
        <v>118</v>
      </c>
      <c r="K7" s="9">
        <f>(1-(1+'Problem 4 Coal'!K1)^-25)/'Problem 4 Coal'!K1</f>
        <v>9.0770400182293596</v>
      </c>
      <c r="M7" s="12"/>
      <c r="N7" s="12"/>
      <c r="O7" s="12"/>
    </row>
    <row r="8" spans="1:15" x14ac:dyDescent="0.35">
      <c r="A8" s="10">
        <v>2</v>
      </c>
      <c r="B8" s="12">
        <v>40000</v>
      </c>
      <c r="C8" s="12">
        <f t="shared" ref="C8:C38" si="1">B8/((1+$J$1)^A8)</f>
        <v>33057.851239669413</v>
      </c>
      <c r="D8" s="12">
        <v>0</v>
      </c>
      <c r="E8" s="12">
        <f t="shared" si="0"/>
        <v>0</v>
      </c>
      <c r="F8" s="12">
        <f t="shared" ref="F8:F38" si="2">C8+E8</f>
        <v>33057.851239669413</v>
      </c>
      <c r="G8" s="10"/>
      <c r="M8" s="12"/>
      <c r="N8" s="12"/>
      <c r="O8" s="10"/>
    </row>
    <row r="9" spans="1:15" x14ac:dyDescent="0.35">
      <c r="A9" s="10">
        <v>3</v>
      </c>
      <c r="B9" s="12">
        <v>50000</v>
      </c>
      <c r="C9" s="12">
        <f t="shared" si="1"/>
        <v>37565.740045078877</v>
      </c>
      <c r="D9" s="12">
        <v>0</v>
      </c>
      <c r="E9" s="12">
        <f t="shared" si="0"/>
        <v>0</v>
      </c>
      <c r="F9" s="12">
        <f t="shared" si="2"/>
        <v>37565.740045078877</v>
      </c>
      <c r="G9" s="10"/>
      <c r="M9" s="12"/>
      <c r="N9" s="10"/>
      <c r="O9" s="10"/>
    </row>
    <row r="10" spans="1:15" x14ac:dyDescent="0.35">
      <c r="A10" s="10">
        <v>4</v>
      </c>
      <c r="B10" s="12">
        <v>60000</v>
      </c>
      <c r="C10" s="12">
        <f t="shared" si="1"/>
        <v>40980.807321904227</v>
      </c>
      <c r="D10" s="12">
        <v>0</v>
      </c>
      <c r="E10" s="12">
        <f t="shared" si="0"/>
        <v>0</v>
      </c>
      <c r="F10" s="12">
        <f t="shared" si="2"/>
        <v>40980.807321904227</v>
      </c>
      <c r="G10" s="10"/>
      <c r="M10" s="12"/>
      <c r="N10" s="10"/>
      <c r="O10" s="10"/>
    </row>
    <row r="11" spans="1:15" x14ac:dyDescent="0.35">
      <c r="A11" s="10">
        <v>5</v>
      </c>
      <c r="B11" s="12">
        <v>70000</v>
      </c>
      <c r="C11" s="12">
        <f t="shared" si="1"/>
        <v>43464.49261414085</v>
      </c>
      <c r="D11" s="12">
        <v>0</v>
      </c>
      <c r="E11" s="12">
        <f t="shared" si="0"/>
        <v>0</v>
      </c>
      <c r="F11" s="12">
        <f t="shared" si="2"/>
        <v>43464.49261414085</v>
      </c>
      <c r="G11" s="10"/>
      <c r="M11" s="12"/>
      <c r="N11" s="10"/>
      <c r="O11" s="10"/>
    </row>
    <row r="12" spans="1:15" x14ac:dyDescent="0.35">
      <c r="A12" s="10">
        <v>6</v>
      </c>
      <c r="B12" s="12">
        <v>80000</v>
      </c>
      <c r="C12" s="12">
        <f t="shared" si="1"/>
        <v>45157.914404302173</v>
      </c>
      <c r="D12" s="12">
        <v>0</v>
      </c>
      <c r="E12" s="12">
        <f t="shared" si="0"/>
        <v>0</v>
      </c>
      <c r="F12" s="12">
        <f t="shared" si="2"/>
        <v>45157.914404302173</v>
      </c>
    </row>
    <row r="13" spans="1:15" x14ac:dyDescent="0.35">
      <c r="A13" s="10">
        <v>7</v>
      </c>
      <c r="B13" s="14">
        <v>50000</v>
      </c>
      <c r="C13" s="12">
        <f t="shared" si="1"/>
        <v>25657.905911535323</v>
      </c>
      <c r="D13" s="12">
        <v>0</v>
      </c>
      <c r="E13" s="12">
        <f t="shared" si="0"/>
        <v>0</v>
      </c>
      <c r="F13" s="12">
        <f t="shared" si="2"/>
        <v>25657.905911535323</v>
      </c>
    </row>
    <row r="14" spans="1:15" x14ac:dyDescent="0.35">
      <c r="A14" s="10">
        <v>8</v>
      </c>
      <c r="B14" s="9">
        <v>0</v>
      </c>
      <c r="C14" s="12">
        <f t="shared" si="1"/>
        <v>0</v>
      </c>
      <c r="D14" s="12">
        <f t="shared" ref="D14:D38" si="3">($B$4*$E$2)+$H$2</f>
        <v>7200</v>
      </c>
      <c r="E14" s="12">
        <f t="shared" si="0"/>
        <v>3358.8531375100788</v>
      </c>
      <c r="F14" s="12">
        <f t="shared" si="2"/>
        <v>3358.8531375100788</v>
      </c>
    </row>
    <row r="15" spans="1:15" x14ac:dyDescent="0.35">
      <c r="A15" s="10">
        <v>9</v>
      </c>
      <c r="B15" s="9">
        <v>0</v>
      </c>
      <c r="C15" s="12">
        <f t="shared" si="1"/>
        <v>0</v>
      </c>
      <c r="D15" s="12">
        <f t="shared" si="3"/>
        <v>7200</v>
      </c>
      <c r="E15" s="12">
        <f t="shared" si="0"/>
        <v>3053.5028522818898</v>
      </c>
      <c r="F15" s="12">
        <f t="shared" si="2"/>
        <v>3053.5028522818898</v>
      </c>
    </row>
    <row r="16" spans="1:15" x14ac:dyDescent="0.35">
      <c r="A16" s="10">
        <v>10</v>
      </c>
      <c r="B16" s="9">
        <v>0</v>
      </c>
      <c r="C16" s="12">
        <f t="shared" si="1"/>
        <v>0</v>
      </c>
      <c r="D16" s="12">
        <f t="shared" si="3"/>
        <v>7200</v>
      </c>
      <c r="E16" s="12">
        <f t="shared" si="0"/>
        <v>2775.9116838926266</v>
      </c>
      <c r="F16" s="12">
        <f t="shared" si="2"/>
        <v>2775.9116838926266</v>
      </c>
    </row>
    <row r="17" spans="1:6" x14ac:dyDescent="0.35">
      <c r="A17" s="10">
        <v>11</v>
      </c>
      <c r="B17" s="9">
        <v>0</v>
      </c>
      <c r="C17" s="12">
        <f t="shared" si="1"/>
        <v>0</v>
      </c>
      <c r="D17" s="12">
        <f t="shared" si="3"/>
        <v>7200</v>
      </c>
      <c r="E17" s="12">
        <f t="shared" si="0"/>
        <v>2523.5560762660239</v>
      </c>
      <c r="F17" s="12">
        <f t="shared" si="2"/>
        <v>2523.5560762660239</v>
      </c>
    </row>
    <row r="18" spans="1:6" x14ac:dyDescent="0.35">
      <c r="A18" s="10">
        <v>12</v>
      </c>
      <c r="B18" s="9">
        <v>0</v>
      </c>
      <c r="C18" s="12">
        <f t="shared" si="1"/>
        <v>0</v>
      </c>
      <c r="D18" s="12">
        <f t="shared" si="3"/>
        <v>7200</v>
      </c>
      <c r="E18" s="12">
        <f t="shared" si="0"/>
        <v>2294.1418875145673</v>
      </c>
      <c r="F18" s="12">
        <f t="shared" si="2"/>
        <v>2294.1418875145673</v>
      </c>
    </row>
    <row r="19" spans="1:6" x14ac:dyDescent="0.35">
      <c r="A19" s="10">
        <v>13</v>
      </c>
      <c r="B19" s="9">
        <v>0</v>
      </c>
      <c r="C19" s="12">
        <f t="shared" si="1"/>
        <v>0</v>
      </c>
      <c r="D19" s="12">
        <f t="shared" si="3"/>
        <v>7200</v>
      </c>
      <c r="E19" s="12">
        <f t="shared" si="0"/>
        <v>2085.583534104152</v>
      </c>
      <c r="F19" s="12">
        <f t="shared" si="2"/>
        <v>2085.583534104152</v>
      </c>
    </row>
    <row r="20" spans="1:6" x14ac:dyDescent="0.35">
      <c r="A20" s="10">
        <v>14</v>
      </c>
      <c r="B20" s="9">
        <v>0</v>
      </c>
      <c r="C20" s="12">
        <f t="shared" si="1"/>
        <v>0</v>
      </c>
      <c r="D20" s="12">
        <f t="shared" si="3"/>
        <v>7200</v>
      </c>
      <c r="E20" s="12">
        <f t="shared" si="0"/>
        <v>1895.9850310037741</v>
      </c>
      <c r="F20" s="12">
        <f t="shared" si="2"/>
        <v>1895.9850310037741</v>
      </c>
    </row>
    <row r="21" spans="1:6" x14ac:dyDescent="0.35">
      <c r="A21" s="10">
        <v>15</v>
      </c>
      <c r="B21" s="9">
        <v>0</v>
      </c>
      <c r="C21" s="12">
        <f t="shared" si="1"/>
        <v>0</v>
      </c>
      <c r="D21" s="12">
        <f t="shared" si="3"/>
        <v>7200</v>
      </c>
      <c r="E21" s="12">
        <f t="shared" si="0"/>
        <v>1723.6227554579764</v>
      </c>
      <c r="F21" s="12">
        <f t="shared" si="2"/>
        <v>1723.6227554579764</v>
      </c>
    </row>
    <row r="22" spans="1:6" x14ac:dyDescent="0.35">
      <c r="A22" s="10">
        <v>16</v>
      </c>
      <c r="B22" s="9">
        <v>0</v>
      </c>
      <c r="C22" s="12">
        <f t="shared" si="1"/>
        <v>0</v>
      </c>
      <c r="D22" s="12">
        <f t="shared" si="3"/>
        <v>7200</v>
      </c>
      <c r="E22" s="12">
        <f t="shared" si="0"/>
        <v>1566.9297776890694</v>
      </c>
      <c r="F22" s="12">
        <f t="shared" si="2"/>
        <v>1566.9297776890694</v>
      </c>
    </row>
    <row r="23" spans="1:6" x14ac:dyDescent="0.35">
      <c r="A23" s="10">
        <v>17</v>
      </c>
      <c r="B23" s="9">
        <v>0</v>
      </c>
      <c r="C23" s="12">
        <f t="shared" si="1"/>
        <v>0</v>
      </c>
      <c r="D23" s="12">
        <f t="shared" si="3"/>
        <v>7200</v>
      </c>
      <c r="E23" s="12">
        <f t="shared" si="0"/>
        <v>1424.4816160809721</v>
      </c>
      <c r="F23" s="12">
        <f t="shared" si="2"/>
        <v>1424.4816160809721</v>
      </c>
    </row>
    <row r="24" spans="1:6" x14ac:dyDescent="0.35">
      <c r="A24" s="10">
        <v>18</v>
      </c>
      <c r="B24" s="9">
        <v>0</v>
      </c>
      <c r="C24" s="12">
        <f t="shared" si="1"/>
        <v>0</v>
      </c>
      <c r="D24" s="12">
        <f t="shared" si="3"/>
        <v>7200</v>
      </c>
      <c r="E24" s="12">
        <f t="shared" si="0"/>
        <v>1294.9832873463383</v>
      </c>
      <c r="F24" s="12">
        <f t="shared" si="2"/>
        <v>1294.9832873463383</v>
      </c>
    </row>
    <row r="25" spans="1:6" x14ac:dyDescent="0.35">
      <c r="A25" s="10">
        <v>19</v>
      </c>
      <c r="B25" s="9">
        <v>0</v>
      </c>
      <c r="C25" s="12">
        <f t="shared" si="1"/>
        <v>0</v>
      </c>
      <c r="D25" s="12">
        <f t="shared" si="3"/>
        <v>7200</v>
      </c>
      <c r="E25" s="12">
        <f t="shared" si="0"/>
        <v>1177.2575339512164</v>
      </c>
      <c r="F25" s="12">
        <f t="shared" si="2"/>
        <v>1177.2575339512164</v>
      </c>
    </row>
    <row r="26" spans="1:6" x14ac:dyDescent="0.35">
      <c r="A26" s="10">
        <v>20</v>
      </c>
      <c r="B26" s="9">
        <v>0</v>
      </c>
      <c r="C26" s="12">
        <f t="shared" si="1"/>
        <v>0</v>
      </c>
      <c r="D26" s="12">
        <f t="shared" si="3"/>
        <v>7200</v>
      </c>
      <c r="E26" s="12">
        <f t="shared" si="0"/>
        <v>1070.2341217738331</v>
      </c>
      <c r="F26" s="12">
        <f t="shared" si="2"/>
        <v>1070.2341217738331</v>
      </c>
    </row>
    <row r="27" spans="1:6" x14ac:dyDescent="0.35">
      <c r="A27" s="10">
        <v>21</v>
      </c>
      <c r="B27" s="9">
        <v>0</v>
      </c>
      <c r="C27" s="12">
        <f t="shared" si="1"/>
        <v>0</v>
      </c>
      <c r="D27" s="12">
        <f t="shared" si="3"/>
        <v>7200</v>
      </c>
      <c r="E27" s="12">
        <f t="shared" si="0"/>
        <v>972.94011070348449</v>
      </c>
      <c r="F27" s="12">
        <f t="shared" si="2"/>
        <v>972.94011070348449</v>
      </c>
    </row>
    <row r="28" spans="1:6" x14ac:dyDescent="0.35">
      <c r="A28" s="10">
        <v>22</v>
      </c>
      <c r="B28" s="9">
        <v>0</v>
      </c>
      <c r="C28" s="12">
        <f t="shared" si="1"/>
        <v>0</v>
      </c>
      <c r="D28" s="12">
        <f t="shared" si="3"/>
        <v>7200</v>
      </c>
      <c r="E28" s="12">
        <f t="shared" si="0"/>
        <v>884.4910097304404</v>
      </c>
      <c r="F28" s="12">
        <f t="shared" si="2"/>
        <v>884.4910097304404</v>
      </c>
    </row>
    <row r="29" spans="1:6" x14ac:dyDescent="0.35">
      <c r="A29" s="10">
        <v>23</v>
      </c>
      <c r="B29" s="9">
        <v>0</v>
      </c>
      <c r="C29" s="12">
        <f t="shared" si="1"/>
        <v>0</v>
      </c>
      <c r="D29" s="12">
        <f t="shared" si="3"/>
        <v>7200</v>
      </c>
      <c r="E29" s="12">
        <f t="shared" si="0"/>
        <v>804.08273611858203</v>
      </c>
      <c r="F29" s="12">
        <f t="shared" si="2"/>
        <v>804.08273611858203</v>
      </c>
    </row>
    <row r="30" spans="1:6" x14ac:dyDescent="0.35">
      <c r="A30" s="10">
        <v>24</v>
      </c>
      <c r="B30" s="9">
        <v>0</v>
      </c>
      <c r="C30" s="12">
        <f t="shared" si="1"/>
        <v>0</v>
      </c>
      <c r="D30" s="12">
        <f t="shared" si="3"/>
        <v>7200</v>
      </c>
      <c r="E30" s="12">
        <f t="shared" si="0"/>
        <v>730.98430556234746</v>
      </c>
      <c r="F30" s="12">
        <f t="shared" si="2"/>
        <v>730.98430556234746</v>
      </c>
    </row>
    <row r="31" spans="1:6" x14ac:dyDescent="0.35">
      <c r="A31" s="10">
        <v>25</v>
      </c>
      <c r="B31" s="9">
        <v>0</v>
      </c>
      <c r="C31" s="12">
        <f t="shared" si="1"/>
        <v>0</v>
      </c>
      <c r="D31" s="12">
        <f t="shared" si="3"/>
        <v>7200</v>
      </c>
      <c r="E31" s="12">
        <f t="shared" si="0"/>
        <v>664.53118687486119</v>
      </c>
      <c r="F31" s="12">
        <f t="shared" si="2"/>
        <v>664.53118687486119</v>
      </c>
    </row>
    <row r="32" spans="1:6" x14ac:dyDescent="0.35">
      <c r="A32" s="10">
        <v>26</v>
      </c>
      <c r="B32" s="9">
        <v>0</v>
      </c>
      <c r="C32" s="12">
        <f t="shared" si="1"/>
        <v>0</v>
      </c>
      <c r="D32" s="12">
        <f t="shared" si="3"/>
        <v>7200</v>
      </c>
      <c r="E32" s="12">
        <f t="shared" si="0"/>
        <v>604.11926079532827</v>
      </c>
      <c r="F32" s="12">
        <f t="shared" si="2"/>
        <v>604.11926079532827</v>
      </c>
    </row>
    <row r="33" spans="1:6" x14ac:dyDescent="0.35">
      <c r="A33" s="10">
        <v>27</v>
      </c>
      <c r="B33" s="9">
        <v>0</v>
      </c>
      <c r="C33" s="12">
        <f t="shared" si="1"/>
        <v>0</v>
      </c>
      <c r="D33" s="12">
        <f t="shared" si="3"/>
        <v>7200</v>
      </c>
      <c r="E33" s="12">
        <f t="shared" si="0"/>
        <v>549.19932799575292</v>
      </c>
      <c r="F33" s="12">
        <f t="shared" si="2"/>
        <v>549.19932799575292</v>
      </c>
    </row>
    <row r="34" spans="1:6" x14ac:dyDescent="0.35">
      <c r="A34" s="10">
        <v>28</v>
      </c>
      <c r="B34" s="9">
        <v>0</v>
      </c>
      <c r="C34" s="12">
        <f t="shared" si="1"/>
        <v>0</v>
      </c>
      <c r="D34" s="12">
        <f t="shared" si="3"/>
        <v>7200</v>
      </c>
      <c r="E34" s="12">
        <f t="shared" si="0"/>
        <v>499.2721163597754</v>
      </c>
      <c r="F34" s="12">
        <f t="shared" si="2"/>
        <v>499.2721163597754</v>
      </c>
    </row>
    <row r="35" spans="1:6" x14ac:dyDescent="0.35">
      <c r="A35" s="10">
        <v>29</v>
      </c>
      <c r="B35" s="9">
        <v>0</v>
      </c>
      <c r="C35" s="12">
        <f t="shared" si="1"/>
        <v>0</v>
      </c>
      <c r="D35" s="12">
        <f t="shared" si="3"/>
        <v>7200</v>
      </c>
      <c r="E35" s="12">
        <f t="shared" si="0"/>
        <v>453.88374214525032</v>
      </c>
      <c r="F35" s="12">
        <f t="shared" si="2"/>
        <v>453.88374214525032</v>
      </c>
    </row>
    <row r="36" spans="1:6" x14ac:dyDescent="0.35">
      <c r="A36" s="10">
        <v>30</v>
      </c>
      <c r="B36" s="9">
        <v>0</v>
      </c>
      <c r="C36" s="12">
        <f t="shared" si="1"/>
        <v>0</v>
      </c>
      <c r="D36" s="12">
        <f t="shared" si="3"/>
        <v>7200</v>
      </c>
      <c r="E36" s="12">
        <f t="shared" si="0"/>
        <v>412.62158376840932</v>
      </c>
      <c r="F36" s="12">
        <f t="shared" si="2"/>
        <v>412.62158376840932</v>
      </c>
    </row>
    <row r="37" spans="1:6" x14ac:dyDescent="0.35">
      <c r="A37" s="10">
        <v>31</v>
      </c>
      <c r="B37" s="9">
        <v>0</v>
      </c>
      <c r="C37" s="12">
        <f t="shared" si="1"/>
        <v>0</v>
      </c>
      <c r="D37" s="12">
        <f t="shared" si="3"/>
        <v>7200</v>
      </c>
      <c r="E37" s="12">
        <f t="shared" si="0"/>
        <v>375.11053069855393</v>
      </c>
      <c r="F37" s="12">
        <f t="shared" si="2"/>
        <v>375.11053069855393</v>
      </c>
    </row>
    <row r="38" spans="1:6" x14ac:dyDescent="0.35">
      <c r="A38" s="10">
        <v>32</v>
      </c>
      <c r="B38" s="9">
        <v>0</v>
      </c>
      <c r="C38" s="12">
        <f t="shared" si="1"/>
        <v>0</v>
      </c>
      <c r="D38" s="12">
        <f t="shared" si="3"/>
        <v>7200</v>
      </c>
      <c r="E38" s="12">
        <f t="shared" si="0"/>
        <v>341.00957336232176</v>
      </c>
      <c r="F38" s="12">
        <f t="shared" si="2"/>
        <v>341.00957336232176</v>
      </c>
    </row>
    <row r="39" spans="1:6" x14ac:dyDescent="0.35">
      <c r="A39" s="15" t="s">
        <v>87</v>
      </c>
      <c r="C39" s="12"/>
      <c r="D39" s="12"/>
      <c r="E39" s="1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59820-6147-4853-A804-3F15CCE7B29B}">
  <dimension ref="A1:O33"/>
  <sheetViews>
    <sheetView topLeftCell="A4" workbookViewId="0">
      <selection activeCell="H8" sqref="H8"/>
    </sheetView>
  </sheetViews>
  <sheetFormatPr defaultColWidth="8.7265625" defaultRowHeight="14.5" x14ac:dyDescent="0.35"/>
  <cols>
    <col min="1" max="1" width="14.08984375" style="9" customWidth="1"/>
    <col min="2" max="2" width="12.453125" style="9" customWidth="1"/>
    <col min="3" max="3" width="16.453125" style="9" customWidth="1"/>
    <col min="4" max="4" width="14.453125" style="9" customWidth="1"/>
    <col min="5" max="5" width="9.6328125" style="9" customWidth="1"/>
    <col min="6" max="6" width="16.6328125" style="9" customWidth="1"/>
    <col min="7" max="7" width="24" style="9" customWidth="1"/>
    <col min="8" max="8" width="16.90625" style="9" customWidth="1"/>
    <col min="9" max="16384" width="8.7265625" style="9"/>
  </cols>
  <sheetData>
    <row r="1" spans="1:15" ht="29" x14ac:dyDescent="0.35">
      <c r="A1" s="8" t="s">
        <v>23</v>
      </c>
      <c r="B1" s="8"/>
      <c r="D1" s="10" t="s">
        <v>71</v>
      </c>
      <c r="E1" s="10">
        <v>200</v>
      </c>
      <c r="G1" s="10" t="s">
        <v>72</v>
      </c>
      <c r="H1" s="10">
        <v>3000</v>
      </c>
      <c r="I1" s="10"/>
      <c r="J1" s="15" t="s">
        <v>31</v>
      </c>
      <c r="K1" s="13">
        <v>0.1</v>
      </c>
    </row>
    <row r="2" spans="1:15" ht="24.65" customHeight="1" x14ac:dyDescent="0.35">
      <c r="A2" s="10" t="s">
        <v>62</v>
      </c>
      <c r="B2" s="10">
        <v>20</v>
      </c>
      <c r="D2" s="10" t="s">
        <v>66</v>
      </c>
      <c r="E2" s="10">
        <v>800</v>
      </c>
      <c r="G2" s="10" t="s">
        <v>69</v>
      </c>
      <c r="H2" s="10">
        <v>4000</v>
      </c>
      <c r="I2" s="10"/>
      <c r="J2" s="15" t="s">
        <v>97</v>
      </c>
      <c r="K2" s="9">
        <v>3.7909999999999999</v>
      </c>
      <c r="N2" s="10"/>
      <c r="O2" s="10"/>
    </row>
    <row r="3" spans="1:15" ht="21.65" customHeight="1" x14ac:dyDescent="0.35">
      <c r="A3" s="10" t="s">
        <v>63</v>
      </c>
      <c r="B3" s="10">
        <v>27</v>
      </c>
      <c r="D3" s="10" t="s">
        <v>67</v>
      </c>
      <c r="E3" s="10">
        <v>100</v>
      </c>
      <c r="G3" s="10" t="s">
        <v>70</v>
      </c>
      <c r="H3" s="10">
        <v>300</v>
      </c>
      <c r="I3" s="10"/>
      <c r="J3" s="15" t="s">
        <v>98</v>
      </c>
      <c r="K3" s="9">
        <v>1.736</v>
      </c>
      <c r="N3" s="10"/>
      <c r="O3" s="10"/>
    </row>
    <row r="4" spans="1:15" ht="26.5" customHeight="1" x14ac:dyDescent="0.35">
      <c r="A4" s="10" t="s">
        <v>64</v>
      </c>
      <c r="B4" s="10">
        <v>4</v>
      </c>
      <c r="D4" s="10" t="s">
        <v>65</v>
      </c>
      <c r="E4" s="10">
        <v>500</v>
      </c>
      <c r="G4" s="10" t="s">
        <v>68</v>
      </c>
      <c r="H4" s="10">
        <v>5000</v>
      </c>
      <c r="I4" s="10"/>
      <c r="J4" s="8" t="s">
        <v>99</v>
      </c>
      <c r="K4" s="10">
        <v>4.8680000000000003</v>
      </c>
      <c r="N4" s="10"/>
      <c r="O4" s="10"/>
    </row>
    <row r="5" spans="1:15" x14ac:dyDescent="0.35">
      <c r="B5" s="9" t="s">
        <v>94</v>
      </c>
      <c r="J5" s="8" t="s">
        <v>100</v>
      </c>
      <c r="K5" s="10">
        <v>0.90900000000000003</v>
      </c>
    </row>
    <row r="6" spans="1:15" x14ac:dyDescent="0.35">
      <c r="A6" s="8" t="s">
        <v>4</v>
      </c>
      <c r="B6" s="8" t="s">
        <v>61</v>
      </c>
      <c r="C6" s="8" t="s">
        <v>48</v>
      </c>
      <c r="D6" s="8" t="s">
        <v>95</v>
      </c>
      <c r="E6" s="8" t="s">
        <v>48</v>
      </c>
      <c r="F6" s="8" t="s">
        <v>96</v>
      </c>
      <c r="G6" s="8" t="s">
        <v>14</v>
      </c>
      <c r="H6" s="15" t="s">
        <v>73</v>
      </c>
      <c r="I6" s="15" t="s">
        <v>75</v>
      </c>
      <c r="J6" s="15" t="s">
        <v>74</v>
      </c>
      <c r="K6" s="9">
        <f>(1-(1+K1)^-26)/K1</f>
        <v>9.1609454711175999</v>
      </c>
    </row>
    <row r="7" spans="1:15" x14ac:dyDescent="0.35">
      <c r="A7" s="10">
        <v>1</v>
      </c>
      <c r="B7" s="12">
        <v>60000</v>
      </c>
      <c r="C7" s="12">
        <f t="shared" ref="C7:C32" si="0">B7/((1+$K$1)^A7)</f>
        <v>54545.454545454544</v>
      </c>
      <c r="D7" s="12">
        <v>0</v>
      </c>
      <c r="E7" s="12">
        <f t="shared" ref="E7:E32" si="1">D7/((1+$K$1)^A7)</f>
        <v>0</v>
      </c>
      <c r="F7" s="12">
        <f t="shared" ref="F7:F32" si="2">B7+E7</f>
        <v>60000</v>
      </c>
      <c r="G7" s="12">
        <f>NPV(K1,F7:F32)</f>
        <v>55716.034768265054</v>
      </c>
      <c r="H7" s="9">
        <f>(E3*K7)</f>
        <v>907.70400182293599</v>
      </c>
      <c r="I7" s="23">
        <f>G7/H7</f>
        <v>61.381281404919342</v>
      </c>
      <c r="J7" s="15" t="s">
        <v>118</v>
      </c>
      <c r="K7" s="9">
        <f>(1-(1+'Problem 4 Coal'!K1)^-25)/'Problem 4 Coal'!K1</f>
        <v>9.0770400182293596</v>
      </c>
    </row>
    <row r="8" spans="1:15" x14ac:dyDescent="0.35">
      <c r="A8" s="10">
        <v>2</v>
      </c>
      <c r="B8" s="12">
        <v>0</v>
      </c>
      <c r="C8" s="12">
        <f t="shared" si="0"/>
        <v>0</v>
      </c>
      <c r="D8" s="12">
        <v>300</v>
      </c>
      <c r="E8" s="12">
        <f t="shared" si="1"/>
        <v>247.93388429752062</v>
      </c>
      <c r="F8" s="12">
        <f t="shared" si="2"/>
        <v>247.93388429752062</v>
      </c>
      <c r="G8" s="10"/>
    </row>
    <row r="9" spans="1:15" x14ac:dyDescent="0.35">
      <c r="A9" s="10">
        <v>3</v>
      </c>
      <c r="B9" s="12">
        <v>0</v>
      </c>
      <c r="C9" s="12">
        <f t="shared" si="0"/>
        <v>0</v>
      </c>
      <c r="D9" s="12">
        <v>300</v>
      </c>
      <c r="E9" s="12">
        <f t="shared" si="1"/>
        <v>225.39444027047327</v>
      </c>
      <c r="F9" s="12">
        <f t="shared" si="2"/>
        <v>225.39444027047327</v>
      </c>
      <c r="G9" s="10"/>
    </row>
    <row r="10" spans="1:15" x14ac:dyDescent="0.35">
      <c r="A10" s="10">
        <v>4</v>
      </c>
      <c r="B10" s="12">
        <v>0</v>
      </c>
      <c r="C10" s="12">
        <f t="shared" si="0"/>
        <v>0</v>
      </c>
      <c r="D10" s="12">
        <v>300</v>
      </c>
      <c r="E10" s="12">
        <f t="shared" si="1"/>
        <v>204.90403660952114</v>
      </c>
      <c r="F10" s="12">
        <f t="shared" si="2"/>
        <v>204.90403660952114</v>
      </c>
      <c r="G10" s="10"/>
    </row>
    <row r="11" spans="1:15" x14ac:dyDescent="0.35">
      <c r="A11" s="10">
        <v>5</v>
      </c>
      <c r="B11" s="12">
        <v>0</v>
      </c>
      <c r="C11" s="12">
        <f t="shared" si="0"/>
        <v>0</v>
      </c>
      <c r="D11" s="12">
        <v>300</v>
      </c>
      <c r="E11" s="12">
        <f t="shared" si="1"/>
        <v>186.2763969177465</v>
      </c>
      <c r="F11" s="12">
        <f t="shared" si="2"/>
        <v>186.2763969177465</v>
      </c>
      <c r="G11" s="10"/>
    </row>
    <row r="12" spans="1:15" x14ac:dyDescent="0.35">
      <c r="A12" s="10">
        <v>6</v>
      </c>
      <c r="B12" s="12">
        <v>0</v>
      </c>
      <c r="C12" s="12">
        <f t="shared" si="0"/>
        <v>0</v>
      </c>
      <c r="D12" s="12">
        <v>300</v>
      </c>
      <c r="E12" s="12">
        <f t="shared" si="1"/>
        <v>169.34217901613314</v>
      </c>
      <c r="F12" s="12">
        <f t="shared" si="2"/>
        <v>169.34217901613314</v>
      </c>
    </row>
    <row r="13" spans="1:15" x14ac:dyDescent="0.35">
      <c r="A13" s="10">
        <v>7</v>
      </c>
      <c r="B13" s="12">
        <v>0</v>
      </c>
      <c r="C13" s="12">
        <f t="shared" si="0"/>
        <v>0</v>
      </c>
      <c r="D13" s="12">
        <v>300</v>
      </c>
      <c r="E13" s="12">
        <f t="shared" si="1"/>
        <v>153.94743546921194</v>
      </c>
      <c r="F13" s="12">
        <f t="shared" si="2"/>
        <v>153.94743546921194</v>
      </c>
    </row>
    <row r="14" spans="1:15" x14ac:dyDescent="0.35">
      <c r="A14" s="10">
        <v>8</v>
      </c>
      <c r="B14" s="12">
        <v>0</v>
      </c>
      <c r="C14" s="12">
        <f t="shared" si="0"/>
        <v>0</v>
      </c>
      <c r="D14" s="12">
        <v>300</v>
      </c>
      <c r="E14" s="12">
        <f t="shared" si="1"/>
        <v>139.95221406291995</v>
      </c>
      <c r="F14" s="12">
        <f t="shared" si="2"/>
        <v>139.95221406291995</v>
      </c>
    </row>
    <row r="15" spans="1:15" x14ac:dyDescent="0.35">
      <c r="A15" s="10">
        <v>9</v>
      </c>
      <c r="B15" s="12">
        <v>0</v>
      </c>
      <c r="C15" s="12">
        <f t="shared" si="0"/>
        <v>0</v>
      </c>
      <c r="D15" s="12">
        <v>300</v>
      </c>
      <c r="E15" s="12">
        <f t="shared" si="1"/>
        <v>127.2292855117454</v>
      </c>
      <c r="F15" s="12">
        <f t="shared" si="2"/>
        <v>127.2292855117454</v>
      </c>
    </row>
    <row r="16" spans="1:15" x14ac:dyDescent="0.35">
      <c r="A16" s="10">
        <v>10</v>
      </c>
      <c r="B16" s="12">
        <v>0</v>
      </c>
      <c r="C16" s="12">
        <f t="shared" si="0"/>
        <v>0</v>
      </c>
      <c r="D16" s="12">
        <v>300</v>
      </c>
      <c r="E16" s="12">
        <f t="shared" si="1"/>
        <v>115.66298682885945</v>
      </c>
      <c r="F16" s="12">
        <f t="shared" si="2"/>
        <v>115.66298682885945</v>
      </c>
    </row>
    <row r="17" spans="1:6" x14ac:dyDescent="0.35">
      <c r="A17" s="10">
        <v>11</v>
      </c>
      <c r="B17" s="12">
        <v>0</v>
      </c>
      <c r="C17" s="12">
        <f t="shared" si="0"/>
        <v>0</v>
      </c>
      <c r="D17" s="12">
        <v>300</v>
      </c>
      <c r="E17" s="12">
        <f t="shared" si="1"/>
        <v>105.14816984441767</v>
      </c>
      <c r="F17" s="12">
        <f t="shared" si="2"/>
        <v>105.14816984441767</v>
      </c>
    </row>
    <row r="18" spans="1:6" x14ac:dyDescent="0.35">
      <c r="A18" s="10">
        <v>12</v>
      </c>
      <c r="B18" s="12">
        <v>0</v>
      </c>
      <c r="C18" s="12">
        <f t="shared" si="0"/>
        <v>0</v>
      </c>
      <c r="D18" s="12">
        <v>300</v>
      </c>
      <c r="E18" s="12">
        <f t="shared" si="1"/>
        <v>95.589245313106971</v>
      </c>
      <c r="F18" s="12">
        <f t="shared" si="2"/>
        <v>95.589245313106971</v>
      </c>
    </row>
    <row r="19" spans="1:6" x14ac:dyDescent="0.35">
      <c r="A19" s="10">
        <v>13</v>
      </c>
      <c r="B19" s="12">
        <v>0</v>
      </c>
      <c r="C19" s="12">
        <f t="shared" si="0"/>
        <v>0</v>
      </c>
      <c r="D19" s="12">
        <v>300</v>
      </c>
      <c r="E19" s="12">
        <f t="shared" si="1"/>
        <v>86.899313921006325</v>
      </c>
      <c r="F19" s="12">
        <f t="shared" si="2"/>
        <v>86.899313921006325</v>
      </c>
    </row>
    <row r="20" spans="1:6" x14ac:dyDescent="0.35">
      <c r="A20" s="10">
        <v>14</v>
      </c>
      <c r="B20" s="12">
        <v>0</v>
      </c>
      <c r="C20" s="12">
        <f t="shared" si="0"/>
        <v>0</v>
      </c>
      <c r="D20" s="12">
        <v>300</v>
      </c>
      <c r="E20" s="12">
        <f t="shared" si="1"/>
        <v>78.999376291823921</v>
      </c>
      <c r="F20" s="12">
        <f t="shared" si="2"/>
        <v>78.999376291823921</v>
      </c>
    </row>
    <row r="21" spans="1:6" x14ac:dyDescent="0.35">
      <c r="A21" s="10">
        <v>15</v>
      </c>
      <c r="B21" s="12">
        <v>0</v>
      </c>
      <c r="C21" s="12">
        <f t="shared" si="0"/>
        <v>0</v>
      </c>
      <c r="D21" s="12">
        <v>300</v>
      </c>
      <c r="E21" s="12">
        <f t="shared" si="1"/>
        <v>71.817614810749021</v>
      </c>
      <c r="F21" s="12">
        <f t="shared" si="2"/>
        <v>71.817614810749021</v>
      </c>
    </row>
    <row r="22" spans="1:6" x14ac:dyDescent="0.35">
      <c r="A22" s="10">
        <v>16</v>
      </c>
      <c r="B22" s="12">
        <v>0</v>
      </c>
      <c r="C22" s="12">
        <f t="shared" si="0"/>
        <v>0</v>
      </c>
      <c r="D22" s="12">
        <v>300</v>
      </c>
      <c r="E22" s="12">
        <f t="shared" si="1"/>
        <v>65.288740737044563</v>
      </c>
      <c r="F22" s="12">
        <f t="shared" si="2"/>
        <v>65.288740737044563</v>
      </c>
    </row>
    <row r="23" spans="1:6" x14ac:dyDescent="0.35">
      <c r="A23" s="10">
        <v>17</v>
      </c>
      <c r="B23" s="12">
        <v>0</v>
      </c>
      <c r="C23" s="12">
        <f t="shared" si="0"/>
        <v>0</v>
      </c>
      <c r="D23" s="12">
        <v>300</v>
      </c>
      <c r="E23" s="12">
        <f t="shared" si="1"/>
        <v>59.353400670040507</v>
      </c>
      <c r="F23" s="12">
        <f t="shared" si="2"/>
        <v>59.353400670040507</v>
      </c>
    </row>
    <row r="24" spans="1:6" x14ac:dyDescent="0.35">
      <c r="A24" s="10">
        <v>18</v>
      </c>
      <c r="B24" s="12">
        <v>0</v>
      </c>
      <c r="C24" s="12">
        <f t="shared" si="0"/>
        <v>0</v>
      </c>
      <c r="D24" s="12">
        <v>300</v>
      </c>
      <c r="E24" s="12">
        <f t="shared" si="1"/>
        <v>53.957636972764092</v>
      </c>
      <c r="F24" s="12">
        <f t="shared" si="2"/>
        <v>53.957636972764092</v>
      </c>
    </row>
    <row r="25" spans="1:6" x14ac:dyDescent="0.35">
      <c r="A25" s="10">
        <v>19</v>
      </c>
      <c r="B25" s="12">
        <v>0</v>
      </c>
      <c r="C25" s="12">
        <f t="shared" si="0"/>
        <v>0</v>
      </c>
      <c r="D25" s="12">
        <v>300</v>
      </c>
      <c r="E25" s="12">
        <f t="shared" si="1"/>
        <v>49.052397247967349</v>
      </c>
      <c r="F25" s="12">
        <f t="shared" si="2"/>
        <v>49.052397247967349</v>
      </c>
    </row>
    <row r="26" spans="1:6" x14ac:dyDescent="0.35">
      <c r="A26" s="10">
        <v>20</v>
      </c>
      <c r="B26" s="12">
        <v>0</v>
      </c>
      <c r="C26" s="12">
        <f t="shared" si="0"/>
        <v>0</v>
      </c>
      <c r="D26" s="12">
        <v>300</v>
      </c>
      <c r="E26" s="12">
        <f t="shared" si="1"/>
        <v>44.593088407243044</v>
      </c>
      <c r="F26" s="12">
        <f t="shared" si="2"/>
        <v>44.593088407243044</v>
      </c>
    </row>
    <row r="27" spans="1:6" x14ac:dyDescent="0.35">
      <c r="A27" s="10">
        <v>21</v>
      </c>
      <c r="B27" s="12">
        <v>0</v>
      </c>
      <c r="C27" s="12">
        <f t="shared" si="0"/>
        <v>0</v>
      </c>
      <c r="D27" s="12">
        <v>300</v>
      </c>
      <c r="E27" s="12">
        <f t="shared" si="1"/>
        <v>40.539171279311859</v>
      </c>
      <c r="F27" s="12">
        <f t="shared" si="2"/>
        <v>40.539171279311859</v>
      </c>
    </row>
    <row r="28" spans="1:6" x14ac:dyDescent="0.35">
      <c r="A28" s="10">
        <v>22</v>
      </c>
      <c r="B28" s="12">
        <v>0</v>
      </c>
      <c r="C28" s="12">
        <f t="shared" si="0"/>
        <v>0</v>
      </c>
      <c r="D28" s="12">
        <v>300</v>
      </c>
      <c r="E28" s="12">
        <f t="shared" si="1"/>
        <v>36.853792072101683</v>
      </c>
      <c r="F28" s="12">
        <f t="shared" si="2"/>
        <v>36.853792072101683</v>
      </c>
    </row>
    <row r="29" spans="1:6" x14ac:dyDescent="0.35">
      <c r="A29" s="10">
        <v>23</v>
      </c>
      <c r="B29" s="12">
        <v>0</v>
      </c>
      <c r="C29" s="12">
        <f t="shared" si="0"/>
        <v>0</v>
      </c>
      <c r="D29" s="12">
        <v>300</v>
      </c>
      <c r="E29" s="12">
        <f t="shared" si="1"/>
        <v>33.503447338274256</v>
      </c>
      <c r="F29" s="12">
        <f t="shared" si="2"/>
        <v>33.503447338274256</v>
      </c>
    </row>
    <row r="30" spans="1:6" x14ac:dyDescent="0.35">
      <c r="A30" s="10">
        <v>24</v>
      </c>
      <c r="B30" s="12">
        <v>0</v>
      </c>
      <c r="C30" s="12">
        <f t="shared" si="0"/>
        <v>0</v>
      </c>
      <c r="D30" s="12">
        <v>300</v>
      </c>
      <c r="E30" s="12">
        <f t="shared" si="1"/>
        <v>30.457679398431143</v>
      </c>
      <c r="F30" s="12">
        <f t="shared" si="2"/>
        <v>30.457679398431143</v>
      </c>
    </row>
    <row r="31" spans="1:6" x14ac:dyDescent="0.35">
      <c r="A31" s="10">
        <v>25</v>
      </c>
      <c r="B31" s="12">
        <v>0</v>
      </c>
      <c r="C31" s="12">
        <f t="shared" si="0"/>
        <v>0</v>
      </c>
      <c r="D31" s="12">
        <v>300</v>
      </c>
      <c r="E31" s="12">
        <f t="shared" si="1"/>
        <v>27.688799453119216</v>
      </c>
      <c r="F31" s="12">
        <f t="shared" si="2"/>
        <v>27.688799453119216</v>
      </c>
    </row>
    <row r="32" spans="1:6" x14ac:dyDescent="0.35">
      <c r="A32" s="10">
        <v>26</v>
      </c>
      <c r="B32" s="12">
        <v>0</v>
      </c>
      <c r="C32" s="12">
        <f t="shared" si="0"/>
        <v>0</v>
      </c>
      <c r="D32" s="12">
        <v>300</v>
      </c>
      <c r="E32" s="12">
        <f t="shared" si="1"/>
        <v>25.171635866472013</v>
      </c>
      <c r="F32" s="12">
        <f t="shared" si="2"/>
        <v>25.171635866472013</v>
      </c>
    </row>
    <row r="33" spans="1:5" x14ac:dyDescent="0.35">
      <c r="A33" s="15" t="s">
        <v>87</v>
      </c>
      <c r="B33" s="12"/>
      <c r="C33" s="12"/>
      <c r="D33" s="12"/>
      <c r="E33" s="1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09D88-D3FD-4387-B8D6-941B70BD6CFF}">
  <dimension ref="A1:P22"/>
  <sheetViews>
    <sheetView zoomScale="76" workbookViewId="0">
      <selection activeCell="O35" sqref="O35"/>
    </sheetView>
  </sheetViews>
  <sheetFormatPr defaultRowHeight="14.5" x14ac:dyDescent="0.35"/>
  <cols>
    <col min="1" max="1" width="15.7265625" customWidth="1"/>
    <col min="2" max="2" width="16.90625" customWidth="1"/>
    <col min="3" max="3" width="15" customWidth="1"/>
    <col min="4" max="4" width="13.08984375" bestFit="1" customWidth="1"/>
    <col min="5" max="5" width="15.08984375" customWidth="1"/>
    <col min="9" max="10" width="15.90625" customWidth="1"/>
    <col min="11" max="11" width="11.90625" customWidth="1"/>
    <col min="12" max="12" width="14.90625" customWidth="1"/>
    <col min="13" max="13" width="12.6328125" customWidth="1"/>
    <col min="14" max="14" width="12.26953125" bestFit="1" customWidth="1"/>
    <col min="15" max="15" width="11.08984375" bestFit="1" customWidth="1"/>
  </cols>
  <sheetData>
    <row r="1" spans="1:16" x14ac:dyDescent="0.35">
      <c r="A1" s="1" t="s">
        <v>23</v>
      </c>
      <c r="F1" s="1" t="s">
        <v>48</v>
      </c>
      <c r="G1" s="1" t="s">
        <v>108</v>
      </c>
      <c r="H1" s="1"/>
      <c r="I1" s="1" t="s">
        <v>109</v>
      </c>
      <c r="J1" s="1"/>
      <c r="L1" t="s">
        <v>107</v>
      </c>
      <c r="M1" t="s">
        <v>106</v>
      </c>
    </row>
    <row r="2" spans="1:16" x14ac:dyDescent="0.35">
      <c r="A2" s="1" t="s">
        <v>76</v>
      </c>
      <c r="B2">
        <v>125000</v>
      </c>
      <c r="D2" s="1" t="s">
        <v>101</v>
      </c>
      <c r="E2">
        <f>B2*0.2</f>
        <v>25000</v>
      </c>
      <c r="F2">
        <f>E2/(1+B5)^10</f>
        <v>15347.831338518983</v>
      </c>
      <c r="G2">
        <f>B2-F2</f>
        <v>109652.16866148102</v>
      </c>
      <c r="K2" t="s">
        <v>11</v>
      </c>
      <c r="L2" s="4">
        <f>B2/E5</f>
        <v>16188.071870682084</v>
      </c>
      <c r="M2" s="19">
        <f>L2/B3</f>
        <v>53.960239568940281</v>
      </c>
    </row>
    <row r="3" spans="1:16" x14ac:dyDescent="0.35">
      <c r="A3" s="1" t="s">
        <v>79</v>
      </c>
      <c r="B3">
        <v>300</v>
      </c>
      <c r="D3" s="1" t="s">
        <v>102</v>
      </c>
      <c r="E3">
        <f>B2*0.1</f>
        <v>12500</v>
      </c>
      <c r="F3">
        <f>E3/(1+B5)^10</f>
        <v>7673.9156692594916</v>
      </c>
      <c r="G3">
        <f>B2-F3</f>
        <v>117326.0843307405</v>
      </c>
      <c r="I3" s="6">
        <f>(E3*(1+B7)^10)/(1.05^10)</f>
        <v>10313.100961623339</v>
      </c>
      <c r="K3" t="s">
        <v>12</v>
      </c>
      <c r="L3" s="4">
        <f>G2/E5</f>
        <v>14200.457496545667</v>
      </c>
      <c r="M3" s="19">
        <f>L3/300</f>
        <v>47.334858321818892</v>
      </c>
    </row>
    <row r="4" spans="1:16" x14ac:dyDescent="0.35">
      <c r="A4" s="1" t="s">
        <v>77</v>
      </c>
      <c r="B4">
        <v>10</v>
      </c>
      <c r="D4" s="1" t="s">
        <v>103</v>
      </c>
      <c r="E4">
        <f>SUM(E2:E3)</f>
        <v>37500</v>
      </c>
      <c r="F4">
        <f>E4/(1+B5)^10</f>
        <v>23021.747007778475</v>
      </c>
      <c r="G4">
        <f>B2-F4</f>
        <v>101978.25299222153</v>
      </c>
      <c r="H4">
        <f>J21+K21</f>
        <v>160260.1448660747</v>
      </c>
      <c r="K4" t="s">
        <v>13</v>
      </c>
      <c r="L4" s="4">
        <f>G4/E5</f>
        <v>13206.65030947746</v>
      </c>
      <c r="M4" s="19">
        <f>L4/B3</f>
        <v>44.022167698258201</v>
      </c>
    </row>
    <row r="5" spans="1:16" x14ac:dyDescent="0.35">
      <c r="A5" s="1" t="s">
        <v>78</v>
      </c>
      <c r="B5" s="5">
        <v>0.05</v>
      </c>
      <c r="D5" s="1" t="s">
        <v>74</v>
      </c>
      <c r="E5" s="4">
        <f>1/(-PMT(B5,10,1))</f>
        <v>7.7217349291848141</v>
      </c>
      <c r="K5" t="s">
        <v>104</v>
      </c>
      <c r="L5">
        <f>N11/E5</f>
        <v>29133.686122175426</v>
      </c>
      <c r="M5" s="19">
        <f>L5/B3</f>
        <v>97.112287073918083</v>
      </c>
    </row>
    <row r="6" spans="1:16" x14ac:dyDescent="0.35">
      <c r="A6" s="1" t="s">
        <v>80</v>
      </c>
      <c r="B6">
        <f>B3*B4</f>
        <v>3000</v>
      </c>
      <c r="D6" s="1"/>
    </row>
    <row r="7" spans="1:16" x14ac:dyDescent="0.35">
      <c r="A7" s="1" t="s">
        <v>110</v>
      </c>
      <c r="B7" s="5">
        <v>0.03</v>
      </c>
      <c r="D7" s="1"/>
    </row>
    <row r="8" spans="1:16" x14ac:dyDescent="0.35">
      <c r="I8" t="s">
        <v>93</v>
      </c>
    </row>
    <row r="9" spans="1:16" x14ac:dyDescent="0.35">
      <c r="A9" t="s">
        <v>4</v>
      </c>
      <c r="B9" t="s">
        <v>81</v>
      </c>
      <c r="C9" t="s">
        <v>82</v>
      </c>
      <c r="D9" t="s">
        <v>83</v>
      </c>
      <c r="E9" t="s">
        <v>105</v>
      </c>
      <c r="I9" s="6" t="s">
        <v>111</v>
      </c>
    </row>
    <row r="10" spans="1:16" x14ac:dyDescent="0.35">
      <c r="A10">
        <v>1</v>
      </c>
      <c r="B10" s="4">
        <f>$M$2*$B$3</f>
        <v>16188.071870682084</v>
      </c>
      <c r="C10">
        <f>L3</f>
        <v>14200.457496545667</v>
      </c>
      <c r="D10">
        <f t="shared" ref="D10:D18" si="0">$L$4</f>
        <v>13206.65030947746</v>
      </c>
      <c r="E10" s="4">
        <f>$L$5</f>
        <v>29133.686122175426</v>
      </c>
      <c r="I10" t="s">
        <v>4</v>
      </c>
      <c r="J10" s="1" t="s">
        <v>113</v>
      </c>
      <c r="K10" s="1" t="s">
        <v>112</v>
      </c>
      <c r="L10" s="1" t="s">
        <v>108</v>
      </c>
      <c r="M10" s="1" t="s">
        <v>103</v>
      </c>
      <c r="N10" s="1" t="s">
        <v>114</v>
      </c>
    </row>
    <row r="11" spans="1:16" x14ac:dyDescent="0.35">
      <c r="A11">
        <v>2</v>
      </c>
      <c r="B11" s="4">
        <f t="shared" ref="B11:B19" si="1">$M$2*$B$3</f>
        <v>16188.071870682084</v>
      </c>
      <c r="C11">
        <f t="shared" ref="C11:C18" si="2">$L$3</f>
        <v>14200.457496545667</v>
      </c>
      <c r="D11">
        <f t="shared" si="0"/>
        <v>13206.65030947746</v>
      </c>
      <c r="E11" s="4">
        <f t="shared" ref="E11:E18" si="3">$L$5</f>
        <v>29133.686122175426</v>
      </c>
      <c r="I11">
        <v>1</v>
      </c>
      <c r="J11">
        <f>$E$3*(1+$B$7)^I11</f>
        <v>12875</v>
      </c>
      <c r="K11">
        <v>0</v>
      </c>
      <c r="L11">
        <v>0</v>
      </c>
      <c r="M11">
        <f t="shared" ref="M11:M21" si="4">SUM(J11:K11)</f>
        <v>12875</v>
      </c>
      <c r="N11" s="4">
        <f>B2-K20+J22</f>
        <v>224962.60174550887</v>
      </c>
      <c r="O11" s="4">
        <f>N11/E5</f>
        <v>29133.686122175426</v>
      </c>
      <c r="P11" s="17">
        <f>O11/300</f>
        <v>97.112287073918083</v>
      </c>
    </row>
    <row r="12" spans="1:16" x14ac:dyDescent="0.35">
      <c r="A12">
        <v>3</v>
      </c>
      <c r="B12" s="4">
        <f t="shared" si="1"/>
        <v>16188.071870682084</v>
      </c>
      <c r="C12">
        <f t="shared" si="2"/>
        <v>14200.457496545667</v>
      </c>
      <c r="D12">
        <f t="shared" si="0"/>
        <v>13206.65030947746</v>
      </c>
      <c r="E12" s="4">
        <f t="shared" si="3"/>
        <v>29133.686122175426</v>
      </c>
      <c r="I12">
        <v>2</v>
      </c>
      <c r="J12">
        <f>$E$3*(1+$B$7)^I12</f>
        <v>13261.25</v>
      </c>
      <c r="K12">
        <v>0</v>
      </c>
      <c r="L12">
        <v>0</v>
      </c>
      <c r="M12">
        <f t="shared" si="4"/>
        <v>13261.25</v>
      </c>
      <c r="N12" s="4">
        <f>-PMT(B5,10,N11)</f>
        <v>29133.686122175422</v>
      </c>
      <c r="O12" s="4">
        <f>N12/300</f>
        <v>97.112287073918068</v>
      </c>
    </row>
    <row r="13" spans="1:16" x14ac:dyDescent="0.35">
      <c r="A13">
        <v>4</v>
      </c>
      <c r="B13" s="4">
        <f t="shared" si="1"/>
        <v>16188.071870682084</v>
      </c>
      <c r="C13">
        <f t="shared" si="2"/>
        <v>14200.457496545667</v>
      </c>
      <c r="D13">
        <f t="shared" si="0"/>
        <v>13206.65030947746</v>
      </c>
      <c r="E13" s="4">
        <f t="shared" si="3"/>
        <v>29133.686122175426</v>
      </c>
      <c r="I13">
        <v>3</v>
      </c>
      <c r="J13">
        <f t="shared" ref="J13:J20" si="5">$E$3*(1+$B$7)^I13</f>
        <v>13659.0875</v>
      </c>
      <c r="K13">
        <v>0</v>
      </c>
      <c r="L13">
        <v>0</v>
      </c>
      <c r="M13">
        <f t="shared" si="4"/>
        <v>13659.0875</v>
      </c>
    </row>
    <row r="14" spans="1:16" x14ac:dyDescent="0.35">
      <c r="A14">
        <v>5</v>
      </c>
      <c r="B14" s="4">
        <f t="shared" si="1"/>
        <v>16188.071870682084</v>
      </c>
      <c r="C14">
        <f t="shared" si="2"/>
        <v>14200.457496545667</v>
      </c>
      <c r="D14">
        <f t="shared" si="0"/>
        <v>13206.65030947746</v>
      </c>
      <c r="E14" s="4">
        <f t="shared" si="3"/>
        <v>29133.686122175426</v>
      </c>
      <c r="I14">
        <v>4</v>
      </c>
      <c r="J14">
        <f t="shared" si="5"/>
        <v>14068.860124999999</v>
      </c>
      <c r="K14">
        <v>0</v>
      </c>
      <c r="L14">
        <v>0</v>
      </c>
      <c r="M14">
        <f t="shared" si="4"/>
        <v>14068.860124999999</v>
      </c>
    </row>
    <row r="15" spans="1:16" x14ac:dyDescent="0.35">
      <c r="A15">
        <v>6</v>
      </c>
      <c r="B15" s="4">
        <f t="shared" si="1"/>
        <v>16188.071870682084</v>
      </c>
      <c r="C15">
        <f t="shared" si="2"/>
        <v>14200.457496545667</v>
      </c>
      <c r="D15">
        <f t="shared" si="0"/>
        <v>13206.65030947746</v>
      </c>
      <c r="E15" s="4">
        <f t="shared" si="3"/>
        <v>29133.686122175426</v>
      </c>
      <c r="I15">
        <v>5</v>
      </c>
      <c r="J15">
        <f t="shared" si="5"/>
        <v>14490.925928749997</v>
      </c>
      <c r="K15">
        <v>0</v>
      </c>
      <c r="L15">
        <v>0</v>
      </c>
      <c r="M15">
        <f t="shared" si="4"/>
        <v>14490.925928749997</v>
      </c>
    </row>
    <row r="16" spans="1:16" x14ac:dyDescent="0.35">
      <c r="A16">
        <v>7</v>
      </c>
      <c r="B16" s="4">
        <f t="shared" si="1"/>
        <v>16188.071870682084</v>
      </c>
      <c r="C16">
        <f t="shared" si="2"/>
        <v>14200.457496545667</v>
      </c>
      <c r="D16">
        <f t="shared" si="0"/>
        <v>13206.65030947746</v>
      </c>
      <c r="E16" s="4">
        <f t="shared" si="3"/>
        <v>29133.686122175426</v>
      </c>
      <c r="I16">
        <v>6</v>
      </c>
      <c r="J16">
        <f t="shared" si="5"/>
        <v>14925.653706612498</v>
      </c>
      <c r="K16">
        <v>0</v>
      </c>
      <c r="L16">
        <v>0</v>
      </c>
      <c r="M16">
        <f t="shared" si="4"/>
        <v>14925.653706612498</v>
      </c>
    </row>
    <row r="17" spans="1:13" x14ac:dyDescent="0.35">
      <c r="A17">
        <v>8</v>
      </c>
      <c r="B17" s="4">
        <f t="shared" si="1"/>
        <v>16188.071870682084</v>
      </c>
      <c r="C17">
        <f t="shared" si="2"/>
        <v>14200.457496545667</v>
      </c>
      <c r="D17">
        <f t="shared" si="0"/>
        <v>13206.65030947746</v>
      </c>
      <c r="E17" s="4">
        <f t="shared" si="3"/>
        <v>29133.686122175426</v>
      </c>
      <c r="I17">
        <v>7</v>
      </c>
      <c r="J17">
        <f t="shared" si="5"/>
        <v>15373.423317810875</v>
      </c>
      <c r="K17">
        <v>0</v>
      </c>
      <c r="L17">
        <v>0</v>
      </c>
      <c r="M17">
        <f t="shared" si="4"/>
        <v>15373.423317810875</v>
      </c>
    </row>
    <row r="18" spans="1:13" x14ac:dyDescent="0.35">
      <c r="A18">
        <v>9</v>
      </c>
      <c r="B18" s="4">
        <f t="shared" si="1"/>
        <v>16188.071870682084</v>
      </c>
      <c r="C18">
        <f t="shared" si="2"/>
        <v>14200.457496545667</v>
      </c>
      <c r="D18">
        <f t="shared" si="0"/>
        <v>13206.65030947746</v>
      </c>
      <c r="E18" s="4">
        <f t="shared" si="3"/>
        <v>29133.686122175426</v>
      </c>
      <c r="I18">
        <v>8</v>
      </c>
      <c r="J18">
        <f t="shared" si="5"/>
        <v>15834.626017345199</v>
      </c>
      <c r="K18">
        <v>0</v>
      </c>
      <c r="L18">
        <v>0</v>
      </c>
      <c r="M18">
        <f t="shared" si="4"/>
        <v>15834.626017345199</v>
      </c>
    </row>
    <row r="19" spans="1:13" x14ac:dyDescent="0.35">
      <c r="A19">
        <v>10</v>
      </c>
      <c r="B19" s="4">
        <f t="shared" si="1"/>
        <v>16188.071870682084</v>
      </c>
      <c r="C19">
        <f>$L$3+E2</f>
        <v>39200.45749654567</v>
      </c>
      <c r="D19">
        <f>$L$4+E4</f>
        <v>50706.65030947746</v>
      </c>
      <c r="E19" s="4">
        <f>$L$5</f>
        <v>29133.686122175426</v>
      </c>
      <c r="I19">
        <v>9</v>
      </c>
      <c r="J19">
        <f t="shared" si="5"/>
        <v>16309.664797865556</v>
      </c>
      <c r="K19">
        <v>0</v>
      </c>
      <c r="L19">
        <v>0</v>
      </c>
      <c r="M19">
        <f t="shared" si="4"/>
        <v>16309.664797865556</v>
      </c>
    </row>
    <row r="20" spans="1:13" x14ac:dyDescent="0.35">
      <c r="A20" t="s">
        <v>14</v>
      </c>
      <c r="B20" s="4">
        <f>NPV(B5,B10:B19)</f>
        <v>124999.99999999994</v>
      </c>
      <c r="C20" s="4">
        <f>NPV(B5,C10:C19)</f>
        <v>124999.99999999997</v>
      </c>
      <c r="D20" s="4">
        <f>NPV(B5,D10:D19)</f>
        <v>124999.99999999997</v>
      </c>
      <c r="E20" s="4">
        <f>NPV(B5,E10:E19)</f>
        <v>224962.60174550879</v>
      </c>
      <c r="I20">
        <v>10</v>
      </c>
      <c r="J20">
        <f t="shared" si="5"/>
        <v>16798.954741801521</v>
      </c>
      <c r="K20">
        <f>(F2*(1+$B$7)^I20)/(1.05^I20)</f>
        <v>12662.698730889035</v>
      </c>
      <c r="L20">
        <f>G2</f>
        <v>109652.16866148102</v>
      </c>
      <c r="M20">
        <f t="shared" si="4"/>
        <v>29461.653472690556</v>
      </c>
    </row>
    <row r="21" spans="1:13" x14ac:dyDescent="0.35">
      <c r="I21" t="s">
        <v>87</v>
      </c>
      <c r="J21">
        <f>SUM(J11:J20)</f>
        <v>147597.44613518566</v>
      </c>
      <c r="K21">
        <f>SUM(K11:K20)</f>
        <v>12662.698730889035</v>
      </c>
      <c r="M21">
        <f t="shared" si="4"/>
        <v>160260.1448660747</v>
      </c>
    </row>
    <row r="22" spans="1:13" x14ac:dyDescent="0.35">
      <c r="I22" t="s">
        <v>14</v>
      </c>
      <c r="J22" s="4">
        <f>NPV(B5,J11:J20)</f>
        <v>112625.30047639791</v>
      </c>
      <c r="M22" s="4">
        <f>NPV(B5,M11:M20)</f>
        <v>120399.09905288443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5A5B5-A095-4C01-A6B3-75DFEB92E4E6}">
  <dimension ref="A1:P19"/>
  <sheetViews>
    <sheetView zoomScale="86" zoomScaleNormal="110" workbookViewId="0">
      <selection activeCell="D46" sqref="D46"/>
    </sheetView>
  </sheetViews>
  <sheetFormatPr defaultRowHeight="14.5" x14ac:dyDescent="0.35"/>
  <cols>
    <col min="1" max="1" width="16.90625" bestFit="1" customWidth="1"/>
    <col min="2" max="2" width="11.08984375" bestFit="1" customWidth="1"/>
    <col min="3" max="3" width="10.453125" bestFit="1" customWidth="1"/>
    <col min="4" max="4" width="13.7265625" customWidth="1"/>
    <col min="5" max="5" width="12" customWidth="1"/>
    <col min="9" max="9" width="16" customWidth="1"/>
    <col min="10" max="10" width="17.90625" customWidth="1"/>
    <col min="11" max="11" width="14" customWidth="1"/>
    <col min="13" max="13" width="9.453125" bestFit="1" customWidth="1"/>
    <col min="14" max="14" width="16.26953125" customWidth="1"/>
    <col min="15" max="15" width="10.6328125" customWidth="1"/>
    <col min="16" max="16" width="12.7265625" customWidth="1"/>
  </cols>
  <sheetData>
    <row r="1" spans="1:16" x14ac:dyDescent="0.35">
      <c r="A1" s="1" t="s">
        <v>0</v>
      </c>
      <c r="B1" s="1" t="s">
        <v>11</v>
      </c>
      <c r="C1" s="1" t="s">
        <v>12</v>
      </c>
      <c r="E1" s="1" t="s">
        <v>25</v>
      </c>
      <c r="F1">
        <v>2.5</v>
      </c>
      <c r="H1" t="s">
        <v>88</v>
      </c>
      <c r="M1" t="s">
        <v>89</v>
      </c>
    </row>
    <row r="2" spans="1:16" x14ac:dyDescent="0.35">
      <c r="A2" s="1" t="s">
        <v>90</v>
      </c>
      <c r="B2" s="6">
        <v>22000</v>
      </c>
      <c r="C2" s="6">
        <v>28000</v>
      </c>
      <c r="E2" s="1" t="s">
        <v>26</v>
      </c>
      <c r="F2">
        <v>0.03</v>
      </c>
      <c r="H2" s="1" t="s">
        <v>42</v>
      </c>
      <c r="I2" s="1" t="s">
        <v>84</v>
      </c>
      <c r="J2" s="1" t="s">
        <v>85</v>
      </c>
      <c r="K2" s="1" t="s">
        <v>91</v>
      </c>
      <c r="M2" s="1" t="s">
        <v>42</v>
      </c>
      <c r="N2" s="1" t="s">
        <v>84</v>
      </c>
      <c r="O2" s="1" t="s">
        <v>85</v>
      </c>
      <c r="P2" s="1" t="s">
        <v>86</v>
      </c>
    </row>
    <row r="3" spans="1:16" x14ac:dyDescent="0.35">
      <c r="A3" s="1" t="s">
        <v>24</v>
      </c>
      <c r="B3">
        <v>20</v>
      </c>
      <c r="C3">
        <v>40</v>
      </c>
      <c r="E3" s="1" t="s">
        <v>39</v>
      </c>
      <c r="F3">
        <v>0.06</v>
      </c>
      <c r="H3">
        <v>1</v>
      </c>
      <c r="I3" s="4">
        <f>$B$6</f>
        <v>5396.6609073802138</v>
      </c>
      <c r="J3">
        <f>$B$7*$F$1</f>
        <v>1500</v>
      </c>
      <c r="K3" s="4">
        <f>SUM(I3:J3)</f>
        <v>6896.6609073802138</v>
      </c>
      <c r="M3">
        <v>1</v>
      </c>
      <c r="N3" s="4">
        <f>$C$6</f>
        <v>6868.4775184839082</v>
      </c>
      <c r="O3">
        <f>$C$7*$F$1</f>
        <v>750</v>
      </c>
      <c r="P3" s="4">
        <f>SUM(N3:O3)</f>
        <v>7618.4775184839082</v>
      </c>
    </row>
    <row r="4" spans="1:16" x14ac:dyDescent="0.35">
      <c r="A4" s="1" t="s">
        <v>33</v>
      </c>
      <c r="B4">
        <f>B2*F5</f>
        <v>3300</v>
      </c>
      <c r="C4">
        <f>C2*F5</f>
        <v>4200</v>
      </c>
      <c r="E4" s="1" t="s">
        <v>27</v>
      </c>
      <c r="F4" s="5">
        <v>0.85</v>
      </c>
      <c r="H4">
        <v>2</v>
      </c>
      <c r="I4" s="4">
        <f t="shared" ref="I4:I6" si="0">$B$6</f>
        <v>5396.6609073802138</v>
      </c>
      <c r="J4">
        <f>$B$7*$F$1*(1+$F$2)^H3</f>
        <v>1545</v>
      </c>
      <c r="K4" s="4">
        <f>SUM(I4:J4)</f>
        <v>6941.6609073802138</v>
      </c>
      <c r="M4">
        <v>2</v>
      </c>
      <c r="N4" s="4">
        <f t="shared" ref="N4:N6" si="1">$C$6</f>
        <v>6868.4775184839082</v>
      </c>
      <c r="O4">
        <f>$C$7*$F$1*(1+$F$2)^M3</f>
        <v>772.5</v>
      </c>
      <c r="P4" s="4">
        <f>SUM(N4:O4)</f>
        <v>7640.9775184839082</v>
      </c>
    </row>
    <row r="5" spans="1:16" x14ac:dyDescent="0.35">
      <c r="A5" s="1" t="s">
        <v>34</v>
      </c>
      <c r="B5">
        <f>B2*F4</f>
        <v>18700</v>
      </c>
      <c r="C5">
        <f>C2*F4</f>
        <v>23800</v>
      </c>
      <c r="E5" s="1" t="s">
        <v>28</v>
      </c>
      <c r="F5" s="5">
        <v>0.15</v>
      </c>
      <c r="H5">
        <v>3</v>
      </c>
      <c r="I5" s="4">
        <f t="shared" si="0"/>
        <v>5396.6609073802138</v>
      </c>
      <c r="J5">
        <f>$B$7*$F$1*(1+$F$2)^H4</f>
        <v>1591.35</v>
      </c>
      <c r="K5" s="4">
        <f t="shared" ref="K5:K14" si="2">SUM(I5:J5)</f>
        <v>6988.0109073802141</v>
      </c>
      <c r="M5">
        <v>3</v>
      </c>
      <c r="N5" s="4">
        <f t="shared" si="1"/>
        <v>6868.4775184839082</v>
      </c>
      <c r="O5">
        <f t="shared" ref="O5:O13" si="3">$C$7*$F$1*(1+$F$2)^M4</f>
        <v>795.67499999999995</v>
      </c>
      <c r="P5" s="4">
        <f t="shared" ref="P5:P14" si="4">SUM(N5:O5)</f>
        <v>7664.1525184839084</v>
      </c>
    </row>
    <row r="6" spans="1:16" x14ac:dyDescent="0.35">
      <c r="A6" s="1" t="s">
        <v>35</v>
      </c>
      <c r="B6" s="4">
        <f>-PMT(F3,F7,B5)</f>
        <v>5396.6609073802138</v>
      </c>
      <c r="C6" s="4">
        <f>-PMT(F3,F7,C5)</f>
        <v>6868.4775184839082</v>
      </c>
      <c r="E6" s="1" t="s">
        <v>30</v>
      </c>
      <c r="F6">
        <v>12000</v>
      </c>
      <c r="H6">
        <v>4</v>
      </c>
      <c r="I6" s="4">
        <f t="shared" si="0"/>
        <v>5396.6609073802138</v>
      </c>
      <c r="J6">
        <f t="shared" ref="J6:J13" si="5">$B$7*$F$1*(1+$F$2)^H5</f>
        <v>1639.0905</v>
      </c>
      <c r="K6" s="4">
        <f t="shared" si="2"/>
        <v>7035.751407380214</v>
      </c>
      <c r="M6">
        <v>4</v>
      </c>
      <c r="N6" s="4">
        <f t="shared" si="1"/>
        <v>6868.4775184839082</v>
      </c>
      <c r="O6">
        <f t="shared" si="3"/>
        <v>819.54525000000001</v>
      </c>
      <c r="P6" s="4">
        <f t="shared" si="4"/>
        <v>7688.0227684839083</v>
      </c>
    </row>
    <row r="7" spans="1:16" x14ac:dyDescent="0.35">
      <c r="A7" s="1" t="s">
        <v>36</v>
      </c>
      <c r="B7">
        <f>F6/B3</f>
        <v>600</v>
      </c>
      <c r="C7">
        <f>F6/C3</f>
        <v>300</v>
      </c>
      <c r="E7" s="1" t="s">
        <v>38</v>
      </c>
      <c r="F7">
        <v>4</v>
      </c>
      <c r="H7">
        <v>5</v>
      </c>
      <c r="I7" s="4">
        <v>0</v>
      </c>
      <c r="J7">
        <f t="shared" si="5"/>
        <v>1688.2632149999999</v>
      </c>
      <c r="K7" s="4">
        <f t="shared" si="2"/>
        <v>1688.2632149999999</v>
      </c>
      <c r="M7">
        <v>5</v>
      </c>
      <c r="N7" s="4">
        <v>0</v>
      </c>
      <c r="O7">
        <f t="shared" si="3"/>
        <v>844.13160749999997</v>
      </c>
      <c r="P7" s="4">
        <f t="shared" si="4"/>
        <v>844.13160749999997</v>
      </c>
    </row>
    <row r="8" spans="1:16" x14ac:dyDescent="0.35">
      <c r="A8" s="1" t="s">
        <v>74</v>
      </c>
      <c r="B8">
        <v>7.1390000000000002</v>
      </c>
      <c r="E8" s="1" t="s">
        <v>29</v>
      </c>
      <c r="F8">
        <v>11</v>
      </c>
      <c r="H8">
        <v>6</v>
      </c>
      <c r="I8" s="4">
        <v>0</v>
      </c>
      <c r="J8">
        <f>$B$7*$F$1*(1+$F$2)^H7</f>
        <v>1738.9111114499997</v>
      </c>
      <c r="K8" s="4">
        <f t="shared" si="2"/>
        <v>1738.9111114499997</v>
      </c>
      <c r="M8">
        <v>6</v>
      </c>
      <c r="N8" s="4">
        <v>0</v>
      </c>
      <c r="O8">
        <f>$C$7*$F$1*(1+$F$2)^M7</f>
        <v>869.45555572499984</v>
      </c>
      <c r="P8" s="4">
        <f t="shared" si="4"/>
        <v>869.45555572499984</v>
      </c>
    </row>
    <row r="9" spans="1:16" x14ac:dyDescent="0.35">
      <c r="B9" s="4"/>
      <c r="E9" s="1" t="s">
        <v>31</v>
      </c>
      <c r="F9">
        <v>0.08</v>
      </c>
      <c r="H9">
        <v>7</v>
      </c>
      <c r="I9" s="4">
        <v>0</v>
      </c>
      <c r="J9">
        <f>$B$7*$F$1*(1+$F$2)^H8</f>
        <v>1791.0784447934998</v>
      </c>
      <c r="K9" s="4">
        <f t="shared" si="2"/>
        <v>1791.0784447934998</v>
      </c>
      <c r="M9">
        <v>7</v>
      </c>
      <c r="N9" s="4">
        <v>0</v>
      </c>
      <c r="O9">
        <f>$C$7*$F$1*(1+$F$2)^M8</f>
        <v>895.53922239674989</v>
      </c>
      <c r="P9" s="4">
        <f t="shared" si="4"/>
        <v>895.53922239674989</v>
      </c>
    </row>
    <row r="10" spans="1:16" x14ac:dyDescent="0.35">
      <c r="B10" s="4"/>
      <c r="H10">
        <v>8</v>
      </c>
      <c r="I10" s="4">
        <v>0</v>
      </c>
      <c r="J10">
        <f t="shared" si="5"/>
        <v>1844.810798137305</v>
      </c>
      <c r="K10" s="4">
        <f t="shared" si="2"/>
        <v>1844.810798137305</v>
      </c>
      <c r="M10">
        <v>8</v>
      </c>
      <c r="N10" s="4">
        <v>0</v>
      </c>
      <c r="O10">
        <f t="shared" si="3"/>
        <v>922.40539906865251</v>
      </c>
      <c r="P10" s="4">
        <f t="shared" si="4"/>
        <v>922.40539906865251</v>
      </c>
    </row>
    <row r="11" spans="1:16" x14ac:dyDescent="0.35">
      <c r="A11" s="1"/>
      <c r="H11">
        <v>9</v>
      </c>
      <c r="I11" s="4">
        <v>0</v>
      </c>
      <c r="J11">
        <f t="shared" si="5"/>
        <v>1900.155122081424</v>
      </c>
      <c r="K11" s="4">
        <f t="shared" si="2"/>
        <v>1900.155122081424</v>
      </c>
      <c r="M11">
        <v>9</v>
      </c>
      <c r="N11" s="4">
        <v>0</v>
      </c>
      <c r="O11">
        <f t="shared" si="3"/>
        <v>950.077561040712</v>
      </c>
      <c r="P11" s="4">
        <f t="shared" si="4"/>
        <v>950.077561040712</v>
      </c>
    </row>
    <row r="12" spans="1:16" x14ac:dyDescent="0.35">
      <c r="A12" s="1"/>
      <c r="B12" s="4"/>
      <c r="H12">
        <v>10</v>
      </c>
      <c r="I12" s="4">
        <v>0</v>
      </c>
      <c r="J12">
        <f>$B$7*$F$1*(1+$F$2)^H11</f>
        <v>1957.1597757438667</v>
      </c>
      <c r="K12" s="4">
        <f t="shared" si="2"/>
        <v>1957.1597757438667</v>
      </c>
      <c r="M12">
        <v>10</v>
      </c>
      <c r="N12" s="4">
        <v>0</v>
      </c>
      <c r="O12">
        <f>$C$7*$F$1*(1+$F$2)^M11</f>
        <v>978.57988787193335</v>
      </c>
      <c r="P12" s="4">
        <f t="shared" si="4"/>
        <v>978.57988787193335</v>
      </c>
    </row>
    <row r="13" spans="1:16" x14ac:dyDescent="0.35">
      <c r="A13" s="1"/>
      <c r="B13" s="4"/>
      <c r="H13">
        <v>11</v>
      </c>
      <c r="I13" s="4">
        <v>0</v>
      </c>
      <c r="J13">
        <f t="shared" si="5"/>
        <v>2015.8745690161827</v>
      </c>
      <c r="K13" s="4">
        <f t="shared" si="2"/>
        <v>2015.8745690161827</v>
      </c>
      <c r="M13">
        <v>11</v>
      </c>
      <c r="N13" s="4">
        <v>0</v>
      </c>
      <c r="O13">
        <f t="shared" si="3"/>
        <v>1007.9372845080914</v>
      </c>
      <c r="P13" s="4">
        <f t="shared" si="4"/>
        <v>1007.9372845080914</v>
      </c>
    </row>
    <row r="14" spans="1:16" x14ac:dyDescent="0.35">
      <c r="A14" s="1"/>
      <c r="D14" s="4">
        <f>NPV(0.187061,K3:K14)</f>
        <v>22131.324451982251</v>
      </c>
      <c r="H14">
        <v>12</v>
      </c>
      <c r="I14" s="4">
        <v>0</v>
      </c>
      <c r="J14">
        <f>$B$7*$F$1*(1+$F$2)^H13</f>
        <v>2076.3508060866684</v>
      </c>
      <c r="K14" s="4">
        <f t="shared" si="2"/>
        <v>2076.3508060866684</v>
      </c>
      <c r="M14">
        <v>12</v>
      </c>
      <c r="N14" s="4">
        <v>0</v>
      </c>
      <c r="O14">
        <f>$C$7*$F$1*(1+$F$2)^M13</f>
        <v>1038.1754030433342</v>
      </c>
      <c r="P14" s="4">
        <f t="shared" si="4"/>
        <v>1038.1754030433342</v>
      </c>
    </row>
    <row r="15" spans="1:16" x14ac:dyDescent="0.35">
      <c r="A15" s="1"/>
      <c r="D15" s="4">
        <f>NPV(0.187061,P3:P14)</f>
        <v>22131.325198075705</v>
      </c>
      <c r="H15" s="1" t="s">
        <v>37</v>
      </c>
      <c r="I15" s="4">
        <f>SUM(I3:I14)</f>
        <v>21586.643629520855</v>
      </c>
      <c r="J15">
        <f>SUM(J3:J14)</f>
        <v>21288.044342308949</v>
      </c>
      <c r="K15" s="17">
        <f>SUM(K3:K14)</f>
        <v>42874.687971829793</v>
      </c>
      <c r="M15" s="1" t="s">
        <v>37</v>
      </c>
      <c r="N15" s="4">
        <f>SUM(N3:N14)</f>
        <v>27473.910073935633</v>
      </c>
      <c r="O15">
        <f>SUM(O3:O14)</f>
        <v>10644.022171154475</v>
      </c>
      <c r="P15" s="17">
        <f>SUM(P3:P14)</f>
        <v>38117.932245090109</v>
      </c>
    </row>
    <row r="16" spans="1:16" x14ac:dyDescent="0.35">
      <c r="H16" s="1" t="s">
        <v>14</v>
      </c>
      <c r="I16" s="4">
        <f>NPV(F9,I3:I14)</f>
        <v>17874.425437952006</v>
      </c>
      <c r="J16" s="4">
        <f>NPV(F9,J3:J14)</f>
        <v>13014.322058822143</v>
      </c>
      <c r="K16" s="4">
        <f>NPV(F9,K3:K14)</f>
        <v>30888.747496774151</v>
      </c>
      <c r="M16" s="1" t="s">
        <v>14</v>
      </c>
      <c r="N16" s="4">
        <f>NPV(F9,N3:N14)</f>
        <v>22749.268739211642</v>
      </c>
      <c r="O16" s="4">
        <f>NPV(F9,O3:O14)</f>
        <v>6507.1610294110715</v>
      </c>
      <c r="P16" s="4">
        <f>NPV(F9,P3:P14)</f>
        <v>29256.429768622715</v>
      </c>
    </row>
    <row r="17" spans="8:16" x14ac:dyDescent="0.35">
      <c r="H17" s="1" t="s">
        <v>40</v>
      </c>
      <c r="K17" s="19">
        <f>(-PMT(F9,F8,K16))/F6</f>
        <v>0.36056523023107795</v>
      </c>
      <c r="M17" s="1" t="s">
        <v>40</v>
      </c>
      <c r="P17" s="19">
        <f>(-PMT(F9,F8,P16))/F6</f>
        <v>0.34151113884965639</v>
      </c>
    </row>
    <row r="18" spans="8:16" x14ac:dyDescent="0.35">
      <c r="K18" s="4"/>
    </row>
    <row r="19" spans="8:16" x14ac:dyDescent="0.35">
      <c r="K19" s="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AED56-B463-46E5-B398-C2911B37CC57}">
  <dimension ref="A1:P17"/>
  <sheetViews>
    <sheetView workbookViewId="0">
      <selection activeCell="B12" sqref="B12"/>
    </sheetView>
  </sheetViews>
  <sheetFormatPr defaultRowHeight="14.5" x14ac:dyDescent="0.35"/>
  <cols>
    <col min="1" max="1" width="13" customWidth="1"/>
    <col min="2" max="2" width="11.90625" bestFit="1" customWidth="1"/>
    <col min="3" max="3" width="10.453125" bestFit="1" customWidth="1"/>
    <col min="5" max="5" width="12" customWidth="1"/>
    <col min="9" max="11" width="10.453125" bestFit="1" customWidth="1"/>
    <col min="13" max="13" width="9.453125" bestFit="1" customWidth="1"/>
    <col min="14" max="14" width="10.453125" bestFit="1" customWidth="1"/>
    <col min="15" max="15" width="9.453125" bestFit="1" customWidth="1"/>
    <col min="16" max="16" width="10.453125" bestFit="1" customWidth="1"/>
  </cols>
  <sheetData>
    <row r="1" spans="1:16" x14ac:dyDescent="0.35">
      <c r="A1" s="1" t="s">
        <v>0</v>
      </c>
      <c r="B1" s="1" t="s">
        <v>11</v>
      </c>
      <c r="C1" s="1" t="s">
        <v>12</v>
      </c>
      <c r="E1" s="1" t="s">
        <v>25</v>
      </c>
      <c r="F1">
        <v>2.5</v>
      </c>
      <c r="H1" t="s">
        <v>88</v>
      </c>
      <c r="M1" t="s">
        <v>89</v>
      </c>
    </row>
    <row r="2" spans="1:16" x14ac:dyDescent="0.35">
      <c r="A2" s="1" t="s">
        <v>90</v>
      </c>
      <c r="B2" s="6">
        <v>22000</v>
      </c>
      <c r="C2" s="6">
        <v>28000</v>
      </c>
      <c r="E2" s="1" t="s">
        <v>26</v>
      </c>
      <c r="F2">
        <v>0.03</v>
      </c>
      <c r="H2" s="1" t="s">
        <v>42</v>
      </c>
      <c r="I2" s="1" t="s">
        <v>84</v>
      </c>
      <c r="J2" s="1" t="s">
        <v>85</v>
      </c>
      <c r="K2" s="1" t="s">
        <v>91</v>
      </c>
      <c r="M2" s="1" t="s">
        <v>42</v>
      </c>
      <c r="N2" s="1" t="s">
        <v>84</v>
      </c>
      <c r="O2" s="1" t="s">
        <v>85</v>
      </c>
      <c r="P2" s="1" t="s">
        <v>86</v>
      </c>
    </row>
    <row r="3" spans="1:16" x14ac:dyDescent="0.35">
      <c r="A3" s="1" t="s">
        <v>24</v>
      </c>
      <c r="B3">
        <v>20</v>
      </c>
      <c r="C3">
        <v>40</v>
      </c>
      <c r="E3" s="1" t="s">
        <v>39</v>
      </c>
      <c r="F3">
        <v>0.06</v>
      </c>
      <c r="H3">
        <v>1</v>
      </c>
      <c r="I3" s="4">
        <f>$B$6</f>
        <v>5396.6609073802138</v>
      </c>
      <c r="J3">
        <f>$B$7*$F$1</f>
        <v>1500</v>
      </c>
      <c r="K3" s="4">
        <f>SUM(I3:J3)</f>
        <v>6896.6609073802138</v>
      </c>
      <c r="M3">
        <v>1</v>
      </c>
      <c r="N3" s="4">
        <f>$C$6</f>
        <v>6868.4775184839082</v>
      </c>
      <c r="O3">
        <f>$C$7*$F$1</f>
        <v>750</v>
      </c>
      <c r="P3" s="4">
        <f>SUM(N3:O3)</f>
        <v>7618.4775184839082</v>
      </c>
    </row>
    <row r="4" spans="1:16" x14ac:dyDescent="0.35">
      <c r="A4" s="1" t="s">
        <v>33</v>
      </c>
      <c r="B4">
        <f>B2*F5</f>
        <v>3300</v>
      </c>
      <c r="C4">
        <f>C2*F5</f>
        <v>4200</v>
      </c>
      <c r="E4" s="1" t="s">
        <v>27</v>
      </c>
      <c r="F4" s="5">
        <v>0.85</v>
      </c>
      <c r="H4">
        <v>2</v>
      </c>
      <c r="I4" s="4">
        <f t="shared" ref="I4:I6" si="0">$B$6</f>
        <v>5396.6609073802138</v>
      </c>
      <c r="J4">
        <f>$B$7*$F$1*(1+$F$2)^H3</f>
        <v>1545</v>
      </c>
      <c r="K4" s="4">
        <f>SUM(I4:J4)</f>
        <v>6941.6609073802138</v>
      </c>
      <c r="M4">
        <v>2</v>
      </c>
      <c r="N4" s="4">
        <f t="shared" ref="N4:N6" si="1">$C$6</f>
        <v>6868.4775184839082</v>
      </c>
      <c r="O4">
        <f>$C$7*$F$1*(1+$F$2)^M3</f>
        <v>772.5</v>
      </c>
      <c r="P4" s="4">
        <f>SUM(N4:O4)</f>
        <v>7640.9775184839082</v>
      </c>
    </row>
    <row r="5" spans="1:16" x14ac:dyDescent="0.35">
      <c r="A5" s="1" t="s">
        <v>34</v>
      </c>
      <c r="B5">
        <f>B2*F4</f>
        <v>18700</v>
      </c>
      <c r="C5">
        <f>C2*F4</f>
        <v>23800</v>
      </c>
      <c r="E5" s="1" t="s">
        <v>28</v>
      </c>
      <c r="F5" s="5">
        <v>0.15</v>
      </c>
      <c r="H5">
        <v>3</v>
      </c>
      <c r="I5" s="4">
        <f t="shared" si="0"/>
        <v>5396.6609073802138</v>
      </c>
      <c r="J5">
        <f>$B$7*$F$1*(1+$F$2)^H4</f>
        <v>1591.35</v>
      </c>
      <c r="K5" s="4">
        <f t="shared" ref="K5:K14" si="2">SUM(I5:J5)</f>
        <v>6988.0109073802141</v>
      </c>
      <c r="M5">
        <v>3</v>
      </c>
      <c r="N5" s="4">
        <f t="shared" si="1"/>
        <v>6868.4775184839082</v>
      </c>
      <c r="O5">
        <f t="shared" ref="O5:O13" si="3">$C$7*$F$1*(1+$F$2)^M4</f>
        <v>795.67499999999995</v>
      </c>
      <c r="P5" s="4">
        <f t="shared" ref="P5:P14" si="4">SUM(N5:O5)</f>
        <v>7664.1525184839084</v>
      </c>
    </row>
    <row r="6" spans="1:16" x14ac:dyDescent="0.35">
      <c r="A6" s="1" t="s">
        <v>35</v>
      </c>
      <c r="B6" s="4">
        <f>-PMT(F3,F7,B5)</f>
        <v>5396.6609073802138</v>
      </c>
      <c r="C6" s="4">
        <f>-PMT(F3,F7,C5)</f>
        <v>6868.4775184839082</v>
      </c>
      <c r="E6" s="1" t="s">
        <v>30</v>
      </c>
      <c r="F6">
        <v>12000</v>
      </c>
      <c r="H6">
        <v>4</v>
      </c>
      <c r="I6" s="4">
        <f t="shared" si="0"/>
        <v>5396.6609073802138</v>
      </c>
      <c r="J6">
        <f t="shared" ref="J6:J13" si="5">$B$7*$F$1*(1+$F$2)^H5</f>
        <v>1639.0905</v>
      </c>
      <c r="K6" s="4">
        <f t="shared" si="2"/>
        <v>7035.751407380214</v>
      </c>
      <c r="M6">
        <v>4</v>
      </c>
      <c r="N6" s="4">
        <f t="shared" si="1"/>
        <v>6868.4775184839082</v>
      </c>
      <c r="O6">
        <f t="shared" si="3"/>
        <v>819.54525000000001</v>
      </c>
      <c r="P6" s="4">
        <f t="shared" si="4"/>
        <v>7688.0227684839083</v>
      </c>
    </row>
    <row r="7" spans="1:16" x14ac:dyDescent="0.35">
      <c r="A7" s="1" t="s">
        <v>36</v>
      </c>
      <c r="B7">
        <f>F6/B3</f>
        <v>600</v>
      </c>
      <c r="C7">
        <f>F6/C3</f>
        <v>300</v>
      </c>
      <c r="E7" s="1" t="s">
        <v>38</v>
      </c>
      <c r="F7">
        <v>4</v>
      </c>
      <c r="H7">
        <v>5</v>
      </c>
      <c r="I7" s="4">
        <v>0</v>
      </c>
      <c r="J7">
        <f t="shared" si="5"/>
        <v>1688.2632149999999</v>
      </c>
      <c r="K7" s="4">
        <f t="shared" si="2"/>
        <v>1688.2632149999999</v>
      </c>
      <c r="M7">
        <v>5</v>
      </c>
      <c r="N7" s="4">
        <v>0</v>
      </c>
      <c r="O7">
        <f t="shared" si="3"/>
        <v>844.13160749999997</v>
      </c>
      <c r="P7" s="4">
        <f t="shared" si="4"/>
        <v>844.13160749999997</v>
      </c>
    </row>
    <row r="8" spans="1:16" x14ac:dyDescent="0.35">
      <c r="A8" s="1" t="s">
        <v>74</v>
      </c>
      <c r="B8">
        <v>7.1390000000000002</v>
      </c>
      <c r="E8" s="1" t="s">
        <v>29</v>
      </c>
      <c r="F8">
        <v>11</v>
      </c>
      <c r="H8">
        <v>6</v>
      </c>
      <c r="I8" s="4">
        <v>0</v>
      </c>
      <c r="J8">
        <f>$B$7*$F$1*(1+$F$2)^H7</f>
        <v>1738.9111114499997</v>
      </c>
      <c r="K8" s="4">
        <f t="shared" si="2"/>
        <v>1738.9111114499997</v>
      </c>
      <c r="M8">
        <v>6</v>
      </c>
      <c r="N8" s="4">
        <v>0</v>
      </c>
      <c r="O8">
        <f>$C$7*$F$1*(1+$F$2)^M7</f>
        <v>869.45555572499984</v>
      </c>
      <c r="P8" s="4">
        <f t="shared" si="4"/>
        <v>869.45555572499984</v>
      </c>
    </row>
    <row r="9" spans="1:16" x14ac:dyDescent="0.35">
      <c r="B9" s="4"/>
      <c r="E9" s="1" t="s">
        <v>31</v>
      </c>
      <c r="F9" s="19">
        <v>0.18706090498455924</v>
      </c>
      <c r="H9">
        <v>7</v>
      </c>
      <c r="I9" s="4">
        <v>0</v>
      </c>
      <c r="J9">
        <f>$B$7*$F$1*(1+$F$2)^H8</f>
        <v>1791.0784447934998</v>
      </c>
      <c r="K9" s="4">
        <f t="shared" si="2"/>
        <v>1791.0784447934998</v>
      </c>
      <c r="M9">
        <v>7</v>
      </c>
      <c r="N9" s="4">
        <v>0</v>
      </c>
      <c r="O9">
        <f>$C$7*$F$1*(1+$F$2)^M8</f>
        <v>895.53922239674989</v>
      </c>
      <c r="P9" s="4">
        <f t="shared" si="4"/>
        <v>895.53922239674989</v>
      </c>
    </row>
    <row r="10" spans="1:16" x14ac:dyDescent="0.35">
      <c r="B10" s="4"/>
      <c r="H10">
        <v>8</v>
      </c>
      <c r="I10" s="4">
        <v>0</v>
      </c>
      <c r="J10">
        <f t="shared" si="5"/>
        <v>1844.810798137305</v>
      </c>
      <c r="K10" s="4">
        <f t="shared" si="2"/>
        <v>1844.810798137305</v>
      </c>
      <c r="M10">
        <v>8</v>
      </c>
      <c r="N10" s="4">
        <v>0</v>
      </c>
      <c r="O10">
        <f t="shared" si="3"/>
        <v>922.40539906865251</v>
      </c>
      <c r="P10" s="4">
        <f t="shared" si="4"/>
        <v>922.40539906865251</v>
      </c>
    </row>
    <row r="11" spans="1:16" x14ac:dyDescent="0.35">
      <c r="A11" s="1" t="s">
        <v>57</v>
      </c>
      <c r="H11">
        <v>9</v>
      </c>
      <c r="I11" s="4">
        <v>0</v>
      </c>
      <c r="J11">
        <f t="shared" si="5"/>
        <v>1900.155122081424</v>
      </c>
      <c r="K11" s="4">
        <f t="shared" si="2"/>
        <v>1900.155122081424</v>
      </c>
      <c r="M11">
        <v>9</v>
      </c>
      <c r="N11" s="4">
        <v>0</v>
      </c>
      <c r="O11">
        <f t="shared" si="3"/>
        <v>950.077561040712</v>
      </c>
      <c r="P11" s="4">
        <f t="shared" si="4"/>
        <v>950.077561040712</v>
      </c>
    </row>
    <row r="12" spans="1:16" x14ac:dyDescent="0.35">
      <c r="A12" s="1" t="s">
        <v>92</v>
      </c>
      <c r="B12">
        <f>ABS(K16-P16)</f>
        <v>6.6180116846226156E-5</v>
      </c>
      <c r="H12">
        <v>10</v>
      </c>
      <c r="I12" s="4">
        <v>0</v>
      </c>
      <c r="J12">
        <f>$B$7*$F$1*(1+$F$2)^H11</f>
        <v>1957.1597757438667</v>
      </c>
      <c r="K12" s="4">
        <f t="shared" si="2"/>
        <v>1957.1597757438667</v>
      </c>
      <c r="M12">
        <v>10</v>
      </c>
      <c r="N12" s="4">
        <v>0</v>
      </c>
      <c r="O12">
        <f>$C$7*$F$1*(1+$F$2)^M11</f>
        <v>978.57988787193335</v>
      </c>
      <c r="P12" s="4">
        <f t="shared" si="4"/>
        <v>978.57988787193335</v>
      </c>
    </row>
    <row r="13" spans="1:16" x14ac:dyDescent="0.35">
      <c r="A13" s="1"/>
      <c r="B13" s="4"/>
      <c r="H13">
        <v>11</v>
      </c>
      <c r="I13" s="4">
        <v>0</v>
      </c>
      <c r="J13">
        <f t="shared" si="5"/>
        <v>2015.8745690161827</v>
      </c>
      <c r="K13" s="4">
        <f t="shared" si="2"/>
        <v>2015.8745690161827</v>
      </c>
      <c r="M13">
        <v>11</v>
      </c>
      <c r="N13" s="4">
        <v>0</v>
      </c>
      <c r="O13">
        <f t="shared" si="3"/>
        <v>1007.9372845080914</v>
      </c>
      <c r="P13" s="4">
        <f t="shared" si="4"/>
        <v>1007.9372845080914</v>
      </c>
    </row>
    <row r="14" spans="1:16" x14ac:dyDescent="0.35">
      <c r="A14" s="1"/>
      <c r="H14">
        <v>12</v>
      </c>
      <c r="I14" s="4">
        <v>0</v>
      </c>
      <c r="J14">
        <f>$B$7*$F$1*(1+$F$2)^H13</f>
        <v>2076.3508060866684</v>
      </c>
      <c r="K14" s="4">
        <f t="shared" si="2"/>
        <v>2076.3508060866684</v>
      </c>
      <c r="M14">
        <v>12</v>
      </c>
      <c r="N14" s="4">
        <v>0</v>
      </c>
      <c r="O14">
        <f>$C$7*$F$1*(1+$F$2)^M13</f>
        <v>1038.1754030433342</v>
      </c>
      <c r="P14" s="4">
        <f t="shared" si="4"/>
        <v>1038.1754030433342</v>
      </c>
    </row>
    <row r="15" spans="1:16" x14ac:dyDescent="0.35">
      <c r="A15" s="1"/>
      <c r="H15" s="1" t="s">
        <v>37</v>
      </c>
      <c r="I15" s="4">
        <f>SUM(I3:I14)</f>
        <v>21586.643629520855</v>
      </c>
      <c r="J15">
        <f>SUM(J3:J14)</f>
        <v>21288.044342308949</v>
      </c>
      <c r="K15" s="4">
        <f>SUM(K3:K14)</f>
        <v>42874.687971829793</v>
      </c>
      <c r="M15" s="1" t="s">
        <v>37</v>
      </c>
      <c r="N15" s="4">
        <f>SUM(N3:N14)</f>
        <v>27473.910073935633</v>
      </c>
      <c r="O15">
        <f>SUM(O3:O14)</f>
        <v>10644.022171154475</v>
      </c>
      <c r="P15" s="4">
        <f>SUM(P3:P14)</f>
        <v>38117.932245090109</v>
      </c>
    </row>
    <row r="16" spans="1:16" x14ac:dyDescent="0.35">
      <c r="H16" s="1" t="s">
        <v>14</v>
      </c>
      <c r="I16" s="4">
        <f>NPV(F9,I3:I14)</f>
        <v>14320.272350488094</v>
      </c>
      <c r="J16" s="4">
        <f>NPV(F9,J3:J14)</f>
        <v>7811.0577780810263</v>
      </c>
      <c r="K16" s="4">
        <f>NPV(F9,K3:K14)</f>
        <v>22131.33012856912</v>
      </c>
      <c r="M16" s="1" t="s">
        <v>14</v>
      </c>
      <c r="N16" s="4">
        <f>NPV(F9,N3:N14)</f>
        <v>18225.801173348482</v>
      </c>
      <c r="O16" s="4">
        <f>NPV(F9,O3:O14)</f>
        <v>3905.5288890405131</v>
      </c>
      <c r="P16" s="4">
        <f>NPV(F9,P3:P14)</f>
        <v>22131.330062389003</v>
      </c>
    </row>
    <row r="17" spans="8:16" x14ac:dyDescent="0.35">
      <c r="H17" s="1" t="s">
        <v>40</v>
      </c>
      <c r="K17">
        <f>(-PMT(F9,F8,K16))/F6</f>
        <v>0.40665499915397085</v>
      </c>
      <c r="M17" s="1" t="s">
        <v>40</v>
      </c>
      <c r="P17">
        <f>(-PMT(F9,F8,P16))/F6</f>
        <v>0.40665499793793569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5B97A-2177-4816-B0AB-8F1308532485}">
  <dimension ref="A1:P17"/>
  <sheetViews>
    <sheetView workbookViewId="0">
      <selection activeCell="F1" sqref="F1"/>
    </sheetView>
  </sheetViews>
  <sheetFormatPr defaultRowHeight="14.5" x14ac:dyDescent="0.35"/>
  <cols>
    <col min="1" max="1" width="13" customWidth="1"/>
    <col min="2" max="2" width="11.08984375" bestFit="1" customWidth="1"/>
    <col min="3" max="4" width="10.453125" bestFit="1" customWidth="1"/>
    <col min="5" max="5" width="12" customWidth="1"/>
    <col min="9" max="11" width="10.453125" bestFit="1" customWidth="1"/>
    <col min="13" max="13" width="9.453125" bestFit="1" customWidth="1"/>
    <col min="14" max="14" width="10.453125" bestFit="1" customWidth="1"/>
    <col min="15" max="15" width="9.453125" bestFit="1" customWidth="1"/>
    <col min="16" max="16" width="10.453125" bestFit="1" customWidth="1"/>
  </cols>
  <sheetData>
    <row r="1" spans="1:16" x14ac:dyDescent="0.35">
      <c r="A1" s="1" t="s">
        <v>0</v>
      </c>
      <c r="B1" s="1" t="s">
        <v>11</v>
      </c>
      <c r="C1" s="1" t="s">
        <v>12</v>
      </c>
      <c r="E1" s="1" t="s">
        <v>25</v>
      </c>
      <c r="F1" s="19">
        <v>1.8728763892680478</v>
      </c>
      <c r="H1" t="s">
        <v>88</v>
      </c>
      <c r="M1" t="s">
        <v>89</v>
      </c>
    </row>
    <row r="2" spans="1:16" x14ac:dyDescent="0.35">
      <c r="A2" s="1" t="s">
        <v>90</v>
      </c>
      <c r="B2" s="6">
        <v>22000</v>
      </c>
      <c r="C2" s="6">
        <v>28000</v>
      </c>
      <c r="E2" s="1" t="s">
        <v>26</v>
      </c>
      <c r="F2">
        <v>0.03</v>
      </c>
      <c r="H2" s="1" t="s">
        <v>42</v>
      </c>
      <c r="I2" s="1" t="s">
        <v>84</v>
      </c>
      <c r="J2" s="1" t="s">
        <v>85</v>
      </c>
      <c r="K2" s="1" t="s">
        <v>91</v>
      </c>
      <c r="M2" s="1" t="s">
        <v>42</v>
      </c>
      <c r="N2" s="1" t="s">
        <v>84</v>
      </c>
      <c r="O2" s="1" t="s">
        <v>85</v>
      </c>
      <c r="P2" s="1" t="s">
        <v>86</v>
      </c>
    </row>
    <row r="3" spans="1:16" x14ac:dyDescent="0.35">
      <c r="A3" s="1" t="s">
        <v>24</v>
      </c>
      <c r="B3">
        <v>20</v>
      </c>
      <c r="C3">
        <v>40</v>
      </c>
      <c r="E3" s="1" t="s">
        <v>39</v>
      </c>
      <c r="F3">
        <v>0.06</v>
      </c>
      <c r="H3">
        <v>1</v>
      </c>
      <c r="I3" s="4">
        <f>$B$6</f>
        <v>5396.6609073802138</v>
      </c>
      <c r="J3">
        <f>$B$7*$F$1</f>
        <v>1123.7258335608287</v>
      </c>
      <c r="K3" s="4">
        <f>SUM(I3:J3)</f>
        <v>6520.3867409410423</v>
      </c>
      <c r="M3">
        <v>1</v>
      </c>
      <c r="N3" s="4">
        <f>$C$6</f>
        <v>6868.4775184839082</v>
      </c>
      <c r="O3">
        <f>$C$7*$F$1</f>
        <v>561.86291678041437</v>
      </c>
      <c r="P3" s="4">
        <f>SUM(N3:O3)</f>
        <v>7430.3404352643229</v>
      </c>
    </row>
    <row r="4" spans="1:16" x14ac:dyDescent="0.35">
      <c r="A4" s="1" t="s">
        <v>33</v>
      </c>
      <c r="B4">
        <f>B2*F5</f>
        <v>3300</v>
      </c>
      <c r="C4">
        <f>C2*F5</f>
        <v>4200</v>
      </c>
      <c r="E4" s="1" t="s">
        <v>27</v>
      </c>
      <c r="F4" s="5">
        <v>0.85</v>
      </c>
      <c r="H4">
        <v>2</v>
      </c>
      <c r="I4" s="4">
        <f t="shared" ref="I4:I6" si="0">$B$6</f>
        <v>5396.6609073802138</v>
      </c>
      <c r="J4">
        <f>$B$7*$F$1*(1+$F$2)^H3</f>
        <v>1157.4376085676536</v>
      </c>
      <c r="K4" s="4">
        <f>SUM(I4:J4)</f>
        <v>6554.0985159478678</v>
      </c>
      <c r="M4">
        <v>2</v>
      </c>
      <c r="N4" s="4">
        <f t="shared" ref="N4:N6" si="1">$C$6</f>
        <v>6868.4775184839082</v>
      </c>
      <c r="O4">
        <f>$C$7*$F$1*(1+$F$2)^M3</f>
        <v>578.71880428382678</v>
      </c>
      <c r="P4" s="4">
        <f>SUM(N4:O4)</f>
        <v>7447.1963227677352</v>
      </c>
    </row>
    <row r="5" spans="1:16" x14ac:dyDescent="0.35">
      <c r="A5" s="1" t="s">
        <v>34</v>
      </c>
      <c r="B5">
        <f>B2*F4</f>
        <v>18700</v>
      </c>
      <c r="C5">
        <f>C2*F4</f>
        <v>23800</v>
      </c>
      <c r="E5" s="1" t="s">
        <v>28</v>
      </c>
      <c r="F5" s="5">
        <v>0.15</v>
      </c>
      <c r="H5">
        <v>3</v>
      </c>
      <c r="I5" s="4">
        <f t="shared" si="0"/>
        <v>5396.6609073802138</v>
      </c>
      <c r="J5">
        <f>$B$7*$F$1*(1+$F$2)^H4</f>
        <v>1192.1607368246832</v>
      </c>
      <c r="K5" s="4">
        <f t="shared" ref="K5:K14" si="2">SUM(I5:J5)</f>
        <v>6588.821644204897</v>
      </c>
      <c r="M5">
        <v>3</v>
      </c>
      <c r="N5" s="4">
        <f t="shared" si="1"/>
        <v>6868.4775184839082</v>
      </c>
      <c r="O5">
        <f t="shared" ref="O5:O13" si="3">$C$7*$F$1*(1+$F$2)^M4</f>
        <v>596.08036841234161</v>
      </c>
      <c r="P5" s="4">
        <f t="shared" ref="P5:P14" si="4">SUM(N5:O5)</f>
        <v>7464.5578868962493</v>
      </c>
    </row>
    <row r="6" spans="1:16" x14ac:dyDescent="0.35">
      <c r="A6" s="1" t="s">
        <v>35</v>
      </c>
      <c r="B6" s="4">
        <f>-PMT(F3,F7,B5)</f>
        <v>5396.6609073802138</v>
      </c>
      <c r="C6" s="4">
        <f>-PMT(F3,F7,C5)</f>
        <v>6868.4775184839082</v>
      </c>
      <c r="E6" s="1" t="s">
        <v>30</v>
      </c>
      <c r="F6">
        <v>12000</v>
      </c>
      <c r="H6">
        <v>4</v>
      </c>
      <c r="I6" s="4">
        <f t="shared" si="0"/>
        <v>5396.6609073802138</v>
      </c>
      <c r="J6">
        <f t="shared" ref="J6:J13" si="5">$B$7*$F$1*(1+$F$2)^H5</f>
        <v>1227.9255589294237</v>
      </c>
      <c r="K6" s="4">
        <f t="shared" si="2"/>
        <v>6624.5864663096372</v>
      </c>
      <c r="M6">
        <v>4</v>
      </c>
      <c r="N6" s="4">
        <f t="shared" si="1"/>
        <v>6868.4775184839082</v>
      </c>
      <c r="O6">
        <f t="shared" si="3"/>
        <v>613.96277946471184</v>
      </c>
      <c r="P6" s="4">
        <f t="shared" si="4"/>
        <v>7482.4402979486204</v>
      </c>
    </row>
    <row r="7" spans="1:16" x14ac:dyDescent="0.35">
      <c r="A7" s="1" t="s">
        <v>36</v>
      </c>
      <c r="B7">
        <f>F6/B3</f>
        <v>600</v>
      </c>
      <c r="C7">
        <f>F6/C3</f>
        <v>300</v>
      </c>
      <c r="E7" s="1" t="s">
        <v>38</v>
      </c>
      <c r="F7">
        <v>4</v>
      </c>
      <c r="H7">
        <v>5</v>
      </c>
      <c r="I7" s="4">
        <v>0</v>
      </c>
      <c r="J7">
        <f t="shared" si="5"/>
        <v>1264.7633256973063</v>
      </c>
      <c r="K7" s="4">
        <f t="shared" si="2"/>
        <v>1264.7633256973063</v>
      </c>
      <c r="M7">
        <v>5</v>
      </c>
      <c r="N7" s="4">
        <v>0</v>
      </c>
      <c r="O7">
        <f t="shared" si="3"/>
        <v>632.38166284865315</v>
      </c>
      <c r="P7" s="4">
        <f t="shared" si="4"/>
        <v>632.38166284865315</v>
      </c>
    </row>
    <row r="8" spans="1:16" x14ac:dyDescent="0.35">
      <c r="A8" s="1" t="s">
        <v>74</v>
      </c>
      <c r="B8">
        <v>7.1390000000000002</v>
      </c>
      <c r="E8" s="1" t="s">
        <v>29</v>
      </c>
      <c r="F8">
        <v>11</v>
      </c>
      <c r="H8">
        <v>6</v>
      </c>
      <c r="I8" s="4">
        <v>0</v>
      </c>
      <c r="J8">
        <f>$B$7*$F$1*(1+$F$2)^H7</f>
        <v>1302.7062254682255</v>
      </c>
      <c r="K8" s="4">
        <f t="shared" si="2"/>
        <v>1302.7062254682255</v>
      </c>
      <c r="M8">
        <v>6</v>
      </c>
      <c r="N8" s="4">
        <v>0</v>
      </c>
      <c r="O8">
        <f>$C$7*$F$1*(1+$F$2)^M7</f>
        <v>651.35311273411276</v>
      </c>
      <c r="P8" s="4">
        <f t="shared" si="4"/>
        <v>651.35311273411276</v>
      </c>
    </row>
    <row r="9" spans="1:16" x14ac:dyDescent="0.35">
      <c r="B9" s="4"/>
      <c r="E9" s="1" t="s">
        <v>31</v>
      </c>
      <c r="F9">
        <v>0.08</v>
      </c>
      <c r="H9">
        <v>7</v>
      </c>
      <c r="I9" s="4">
        <v>0</v>
      </c>
      <c r="J9">
        <f>$B$7*$F$1*(1+$F$2)^H8</f>
        <v>1341.7874122322723</v>
      </c>
      <c r="K9" s="4">
        <f t="shared" si="2"/>
        <v>1341.7874122322723</v>
      </c>
      <c r="M9">
        <v>7</v>
      </c>
      <c r="N9" s="4">
        <v>0</v>
      </c>
      <c r="O9">
        <f>$C$7*$F$1*(1+$F$2)^M8</f>
        <v>670.89370611613617</v>
      </c>
      <c r="P9" s="4">
        <f t="shared" si="4"/>
        <v>670.89370611613617</v>
      </c>
    </row>
    <row r="10" spans="1:16" x14ac:dyDescent="0.35">
      <c r="B10" s="4"/>
      <c r="H10">
        <v>8</v>
      </c>
      <c r="I10" s="4">
        <v>0</v>
      </c>
      <c r="J10">
        <f t="shared" si="5"/>
        <v>1382.0410345992404</v>
      </c>
      <c r="K10" s="4">
        <f t="shared" si="2"/>
        <v>1382.0410345992404</v>
      </c>
      <c r="M10">
        <v>8</v>
      </c>
      <c r="N10" s="4">
        <v>0</v>
      </c>
      <c r="O10">
        <f t="shared" si="3"/>
        <v>691.02051729962022</v>
      </c>
      <c r="P10" s="4">
        <f t="shared" si="4"/>
        <v>691.02051729962022</v>
      </c>
    </row>
    <row r="11" spans="1:16" x14ac:dyDescent="0.35">
      <c r="A11" s="1"/>
      <c r="H11">
        <v>9</v>
      </c>
      <c r="I11" s="4">
        <v>0</v>
      </c>
      <c r="J11">
        <f t="shared" si="5"/>
        <v>1423.5022656372175</v>
      </c>
      <c r="K11" s="4">
        <f t="shared" si="2"/>
        <v>1423.5022656372175</v>
      </c>
      <c r="M11">
        <v>9</v>
      </c>
      <c r="N11" s="4">
        <v>0</v>
      </c>
      <c r="O11">
        <f t="shared" si="3"/>
        <v>711.75113281860877</v>
      </c>
      <c r="P11" s="4">
        <f t="shared" si="4"/>
        <v>711.75113281860877</v>
      </c>
    </row>
    <row r="12" spans="1:16" x14ac:dyDescent="0.35">
      <c r="A12" s="1" t="s">
        <v>93</v>
      </c>
      <c r="B12" s="4"/>
      <c r="H12">
        <v>10</v>
      </c>
      <c r="I12" s="4">
        <v>0</v>
      </c>
      <c r="J12">
        <f>$B$7*$F$1*(1+$F$2)^H11</f>
        <v>1466.207333606334</v>
      </c>
      <c r="K12" s="4">
        <f t="shared" si="2"/>
        <v>1466.207333606334</v>
      </c>
      <c r="M12">
        <v>10</v>
      </c>
      <c r="N12" s="4">
        <v>0</v>
      </c>
      <c r="O12">
        <f>$C$7*$F$1*(1+$F$2)^M11</f>
        <v>733.10366680316702</v>
      </c>
      <c r="P12" s="4">
        <f t="shared" si="4"/>
        <v>733.10366680316702</v>
      </c>
    </row>
    <row r="13" spans="1:16" x14ac:dyDescent="0.35">
      <c r="A13" s="1" t="s">
        <v>92</v>
      </c>
      <c r="B13" s="4">
        <f>ABS(K16-P16)</f>
        <v>3.637978807091713E-11</v>
      </c>
      <c r="H13">
        <v>11</v>
      </c>
      <c r="I13" s="4">
        <v>0</v>
      </c>
      <c r="J13">
        <f t="shared" si="5"/>
        <v>1510.1935536145243</v>
      </c>
      <c r="K13" s="4">
        <f t="shared" si="2"/>
        <v>1510.1935536145243</v>
      </c>
      <c r="M13">
        <v>11</v>
      </c>
      <c r="N13" s="4">
        <v>0</v>
      </c>
      <c r="O13">
        <f t="shared" si="3"/>
        <v>755.09677680726213</v>
      </c>
      <c r="P13" s="4">
        <f t="shared" si="4"/>
        <v>755.09677680726213</v>
      </c>
    </row>
    <row r="14" spans="1:16" x14ac:dyDescent="0.35">
      <c r="A14" s="1"/>
      <c r="D14" s="4"/>
      <c r="H14">
        <v>12</v>
      </c>
      <c r="I14" s="4">
        <v>0</v>
      </c>
      <c r="J14">
        <f>$B$7*$F$1*(1+$F$2)^H13</f>
        <v>1555.4993602229599</v>
      </c>
      <c r="K14" s="4">
        <f t="shared" si="2"/>
        <v>1555.4993602229599</v>
      </c>
      <c r="M14">
        <v>12</v>
      </c>
      <c r="N14" s="4">
        <v>0</v>
      </c>
      <c r="O14">
        <f>$C$7*$F$1*(1+$F$2)^M13</f>
        <v>777.74968011147996</v>
      </c>
      <c r="P14" s="4">
        <f t="shared" si="4"/>
        <v>777.74968011147996</v>
      </c>
    </row>
    <row r="15" spans="1:16" x14ac:dyDescent="0.35">
      <c r="A15" s="1"/>
      <c r="D15" s="4"/>
      <c r="H15" s="1" t="s">
        <v>37</v>
      </c>
      <c r="I15" s="4">
        <f>SUM(I3:I14)</f>
        <v>21586.643629520855</v>
      </c>
      <c r="J15">
        <f>SUM(J3:J14)</f>
        <v>15947.950248960669</v>
      </c>
      <c r="K15" s="4">
        <f>SUM(K3:K14)</f>
        <v>37534.593878481523</v>
      </c>
      <c r="M15" s="1" t="s">
        <v>37</v>
      </c>
      <c r="N15" s="4">
        <f>SUM(N3:N14)</f>
        <v>27473.910073935633</v>
      </c>
      <c r="O15">
        <f>SUM(O3:O14)</f>
        <v>7973.9751244803347</v>
      </c>
      <c r="P15" s="4">
        <f>SUM(P3:P14)</f>
        <v>35447.88519841597</v>
      </c>
    </row>
    <row r="16" spans="1:16" x14ac:dyDescent="0.35">
      <c r="H16" s="1" t="s">
        <v>14</v>
      </c>
      <c r="I16" s="4">
        <f>NPV(F9,I3:I14)</f>
        <v>17874.425437952006</v>
      </c>
      <c r="J16" s="4">
        <f>NPV(F9,J3:J14)</f>
        <v>9749.6866025193303</v>
      </c>
      <c r="K16" s="4">
        <f>NPV(F9,K3:K14)</f>
        <v>27624.112040471337</v>
      </c>
      <c r="M16" s="1" t="s">
        <v>14</v>
      </c>
      <c r="N16" s="4">
        <f>NPV(F9,N3:N14)</f>
        <v>22749.268739211642</v>
      </c>
      <c r="O16" s="4">
        <f>NPV(F9,O3:O14)</f>
        <v>4874.8433012596652</v>
      </c>
      <c r="P16" s="4">
        <f>NPV(F9,P3:P14)</f>
        <v>27624.1120404713</v>
      </c>
    </row>
    <row r="17" spans="8:16" x14ac:dyDescent="0.35">
      <c r="H17" s="1" t="s">
        <v>40</v>
      </c>
      <c r="K17">
        <f>(-PMT(F9,F8,K16))/F6</f>
        <v>0.32245704746823539</v>
      </c>
      <c r="M17" s="1" t="s">
        <v>40</v>
      </c>
      <c r="P17">
        <f>(-PMT(F9,F8,P16))/F6</f>
        <v>0.32245704746823506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BA036-AC9C-4E49-951E-39B56F3CCB5A}">
  <dimension ref="A1:P17"/>
  <sheetViews>
    <sheetView workbookViewId="0">
      <selection activeCell="B12" sqref="B12"/>
    </sheetView>
  </sheetViews>
  <sheetFormatPr defaultRowHeight="14.5" x14ac:dyDescent="0.35"/>
  <cols>
    <col min="1" max="1" width="13" customWidth="1"/>
    <col min="2" max="2" width="13.7265625" customWidth="1"/>
    <col min="3" max="4" width="10.453125" bestFit="1" customWidth="1"/>
    <col min="5" max="5" width="12" customWidth="1"/>
    <col min="9" max="11" width="10.453125" bestFit="1" customWidth="1"/>
    <col min="13" max="13" width="9.453125" bestFit="1" customWidth="1"/>
    <col min="14" max="14" width="10.453125" bestFit="1" customWidth="1"/>
    <col min="15" max="15" width="9.453125" bestFit="1" customWidth="1"/>
    <col min="16" max="16" width="10.453125" bestFit="1" customWidth="1"/>
  </cols>
  <sheetData>
    <row r="1" spans="1:16" x14ac:dyDescent="0.35">
      <c r="A1" s="1" t="s">
        <v>0</v>
      </c>
      <c r="B1" s="1" t="s">
        <v>11</v>
      </c>
      <c r="C1" s="1" t="s">
        <v>12</v>
      </c>
      <c r="E1" s="1" t="s">
        <v>25</v>
      </c>
      <c r="F1">
        <v>2.5</v>
      </c>
      <c r="H1" t="s">
        <v>88</v>
      </c>
      <c r="M1" t="s">
        <v>89</v>
      </c>
    </row>
    <row r="2" spans="1:16" x14ac:dyDescent="0.35">
      <c r="A2" s="1" t="s">
        <v>90</v>
      </c>
      <c r="B2" s="6">
        <v>22000</v>
      </c>
      <c r="C2" s="22">
        <v>30009.071012883262</v>
      </c>
      <c r="E2" s="1" t="s">
        <v>26</v>
      </c>
      <c r="F2">
        <v>0.03</v>
      </c>
      <c r="H2" s="1" t="s">
        <v>42</v>
      </c>
      <c r="I2" s="1" t="s">
        <v>84</v>
      </c>
      <c r="J2" s="1" t="s">
        <v>85</v>
      </c>
      <c r="K2" s="1" t="s">
        <v>91</v>
      </c>
      <c r="M2" s="1" t="s">
        <v>42</v>
      </c>
      <c r="N2" s="1" t="s">
        <v>84</v>
      </c>
      <c r="O2" s="1" t="s">
        <v>85</v>
      </c>
      <c r="P2" s="1" t="s">
        <v>86</v>
      </c>
    </row>
    <row r="3" spans="1:16" x14ac:dyDescent="0.35">
      <c r="A3" s="1" t="s">
        <v>24</v>
      </c>
      <c r="B3">
        <v>20</v>
      </c>
      <c r="C3">
        <v>40</v>
      </c>
      <c r="E3" s="1" t="s">
        <v>39</v>
      </c>
      <c r="F3">
        <v>0.06</v>
      </c>
      <c r="H3">
        <v>1</v>
      </c>
      <c r="I3" s="4">
        <f>$B$6</f>
        <v>5396.6609073802138</v>
      </c>
      <c r="J3">
        <f>$B$7*$F$1</f>
        <v>1500</v>
      </c>
      <c r="K3" s="4">
        <f>SUM(I3:J3)</f>
        <v>6896.6609073802138</v>
      </c>
      <c r="M3">
        <v>1</v>
      </c>
      <c r="N3" s="4">
        <f>$C$6</f>
        <v>7361.3082000919931</v>
      </c>
      <c r="O3">
        <f>$C$7*$F$1</f>
        <v>750</v>
      </c>
      <c r="P3" s="4">
        <f>SUM(N3:O3)</f>
        <v>8111.3082000919931</v>
      </c>
    </row>
    <row r="4" spans="1:16" x14ac:dyDescent="0.35">
      <c r="A4" s="1" t="s">
        <v>33</v>
      </c>
      <c r="B4">
        <f>B2*F5</f>
        <v>3300</v>
      </c>
      <c r="C4">
        <f>C2*F5</f>
        <v>4501.3606519324894</v>
      </c>
      <c r="E4" s="1" t="s">
        <v>27</v>
      </c>
      <c r="F4" s="5">
        <v>0.85</v>
      </c>
      <c r="H4">
        <v>2</v>
      </c>
      <c r="I4" s="4">
        <f t="shared" ref="I4:I6" si="0">$B$6</f>
        <v>5396.6609073802138</v>
      </c>
      <c r="J4">
        <f>$B$7*$F$1*(1+$F$2)^H3</f>
        <v>1545</v>
      </c>
      <c r="K4" s="4">
        <f>SUM(I4:J4)</f>
        <v>6941.6609073802138</v>
      </c>
      <c r="M4">
        <v>2</v>
      </c>
      <c r="N4" s="4">
        <f t="shared" ref="N4:N6" si="1">$C$6</f>
        <v>7361.3082000919931</v>
      </c>
      <c r="O4">
        <f>$C$7*$F$1*(1+$F$2)^M3</f>
        <v>772.5</v>
      </c>
      <c r="P4" s="4">
        <f>SUM(N4:O4)</f>
        <v>8133.8082000919931</v>
      </c>
    </row>
    <row r="5" spans="1:16" x14ac:dyDescent="0.35">
      <c r="A5" s="1" t="s">
        <v>34</v>
      </c>
      <c r="B5">
        <f>B2*F4</f>
        <v>18700</v>
      </c>
      <c r="C5">
        <f>C2*F4</f>
        <v>25507.710360950772</v>
      </c>
      <c r="E5" s="1" t="s">
        <v>28</v>
      </c>
      <c r="F5" s="5">
        <v>0.15</v>
      </c>
      <c r="H5">
        <v>3</v>
      </c>
      <c r="I5" s="4">
        <f t="shared" si="0"/>
        <v>5396.6609073802138</v>
      </c>
      <c r="J5">
        <f>$B$7*$F$1*(1+$F$2)^H4</f>
        <v>1591.35</v>
      </c>
      <c r="K5" s="4">
        <f t="shared" ref="K5:K14" si="2">SUM(I5:J5)</f>
        <v>6988.0109073802141</v>
      </c>
      <c r="M5">
        <v>3</v>
      </c>
      <c r="N5" s="4">
        <f t="shared" si="1"/>
        <v>7361.3082000919931</v>
      </c>
      <c r="O5">
        <f t="shared" ref="O5:O13" si="3">$C$7*$F$1*(1+$F$2)^M4</f>
        <v>795.67499999999995</v>
      </c>
      <c r="P5" s="4">
        <f t="shared" ref="P5:P14" si="4">SUM(N5:O5)</f>
        <v>8156.9832000919932</v>
      </c>
    </row>
    <row r="6" spans="1:16" x14ac:dyDescent="0.35">
      <c r="A6" s="1" t="s">
        <v>35</v>
      </c>
      <c r="B6" s="4">
        <f>-PMT(F3,F7,B5)</f>
        <v>5396.6609073802138</v>
      </c>
      <c r="C6" s="4">
        <f>-PMT(F3,F7,C5)</f>
        <v>7361.3082000919931</v>
      </c>
      <c r="E6" s="1" t="s">
        <v>30</v>
      </c>
      <c r="F6">
        <v>12000</v>
      </c>
      <c r="H6">
        <v>4</v>
      </c>
      <c r="I6" s="4">
        <f t="shared" si="0"/>
        <v>5396.6609073802138</v>
      </c>
      <c r="J6">
        <f t="shared" ref="J6:J13" si="5">$B$7*$F$1*(1+$F$2)^H5</f>
        <v>1639.0905</v>
      </c>
      <c r="K6" s="4">
        <f t="shared" si="2"/>
        <v>7035.751407380214</v>
      </c>
      <c r="M6">
        <v>4</v>
      </c>
      <c r="N6" s="4">
        <f t="shared" si="1"/>
        <v>7361.3082000919931</v>
      </c>
      <c r="O6">
        <f t="shared" si="3"/>
        <v>819.54525000000001</v>
      </c>
      <c r="P6" s="4">
        <f t="shared" si="4"/>
        <v>8180.8534500919932</v>
      </c>
    </row>
    <row r="7" spans="1:16" x14ac:dyDescent="0.35">
      <c r="A7" s="1" t="s">
        <v>36</v>
      </c>
      <c r="B7">
        <f>F6/B3</f>
        <v>600</v>
      </c>
      <c r="C7">
        <f>F6/C3</f>
        <v>300</v>
      </c>
      <c r="E7" s="1" t="s">
        <v>38</v>
      </c>
      <c r="F7">
        <v>4</v>
      </c>
      <c r="H7">
        <v>5</v>
      </c>
      <c r="I7" s="4">
        <v>0</v>
      </c>
      <c r="J7">
        <f t="shared" si="5"/>
        <v>1688.2632149999999</v>
      </c>
      <c r="K7" s="4">
        <f t="shared" si="2"/>
        <v>1688.2632149999999</v>
      </c>
      <c r="M7">
        <v>5</v>
      </c>
      <c r="N7" s="4">
        <v>0</v>
      </c>
      <c r="O7">
        <f t="shared" si="3"/>
        <v>844.13160749999997</v>
      </c>
      <c r="P7" s="4">
        <f t="shared" si="4"/>
        <v>844.13160749999997</v>
      </c>
    </row>
    <row r="8" spans="1:16" x14ac:dyDescent="0.35">
      <c r="A8" s="1" t="s">
        <v>74</v>
      </c>
      <c r="B8">
        <v>7.1390000000000002</v>
      </c>
      <c r="E8" s="1" t="s">
        <v>29</v>
      </c>
      <c r="F8">
        <v>11</v>
      </c>
      <c r="H8">
        <v>6</v>
      </c>
      <c r="I8" s="4">
        <v>0</v>
      </c>
      <c r="J8">
        <f>$B$7*$F$1*(1+$F$2)^H7</f>
        <v>1738.9111114499997</v>
      </c>
      <c r="K8" s="4">
        <f t="shared" si="2"/>
        <v>1738.9111114499997</v>
      </c>
      <c r="M8">
        <v>6</v>
      </c>
      <c r="N8" s="4">
        <v>0</v>
      </c>
      <c r="O8">
        <f>$C$7*$F$1*(1+$F$2)^M7</f>
        <v>869.45555572499984</v>
      </c>
      <c r="P8" s="4">
        <f t="shared" si="4"/>
        <v>869.45555572499984</v>
      </c>
    </row>
    <row r="9" spans="1:16" x14ac:dyDescent="0.35">
      <c r="B9" s="4"/>
      <c r="E9" s="1" t="s">
        <v>31</v>
      </c>
      <c r="F9">
        <v>0.08</v>
      </c>
      <c r="H9">
        <v>7</v>
      </c>
      <c r="I9" s="4">
        <v>0</v>
      </c>
      <c r="J9">
        <f>$B$7*$F$1*(1+$F$2)^H8</f>
        <v>1791.0784447934998</v>
      </c>
      <c r="K9" s="4">
        <f t="shared" si="2"/>
        <v>1791.0784447934998</v>
      </c>
      <c r="M9">
        <v>7</v>
      </c>
      <c r="N9" s="4">
        <v>0</v>
      </c>
      <c r="O9">
        <f>$C$7*$F$1*(1+$F$2)^M8</f>
        <v>895.53922239674989</v>
      </c>
      <c r="P9" s="4">
        <f t="shared" si="4"/>
        <v>895.53922239674989</v>
      </c>
    </row>
    <row r="10" spans="1:16" x14ac:dyDescent="0.35">
      <c r="B10" s="4"/>
      <c r="H10">
        <v>8</v>
      </c>
      <c r="I10" s="4">
        <v>0</v>
      </c>
      <c r="J10">
        <f t="shared" si="5"/>
        <v>1844.810798137305</v>
      </c>
      <c r="K10" s="4">
        <f t="shared" si="2"/>
        <v>1844.810798137305</v>
      </c>
      <c r="M10">
        <v>8</v>
      </c>
      <c r="N10" s="4">
        <v>0</v>
      </c>
      <c r="O10">
        <f t="shared" si="3"/>
        <v>922.40539906865251</v>
      </c>
      <c r="P10" s="4">
        <f t="shared" si="4"/>
        <v>922.40539906865251</v>
      </c>
    </row>
    <row r="11" spans="1:16" x14ac:dyDescent="0.35">
      <c r="A11" s="1" t="s">
        <v>93</v>
      </c>
      <c r="H11">
        <v>9</v>
      </c>
      <c r="I11" s="4">
        <v>0</v>
      </c>
      <c r="J11">
        <f t="shared" si="5"/>
        <v>1900.155122081424</v>
      </c>
      <c r="K11" s="4">
        <f t="shared" si="2"/>
        <v>1900.155122081424</v>
      </c>
      <c r="M11">
        <v>9</v>
      </c>
      <c r="N11" s="4">
        <v>0</v>
      </c>
      <c r="O11">
        <f t="shared" si="3"/>
        <v>950.077561040712</v>
      </c>
      <c r="P11" s="4">
        <f t="shared" si="4"/>
        <v>950.077561040712</v>
      </c>
    </row>
    <row r="12" spans="1:16" x14ac:dyDescent="0.35">
      <c r="A12" s="1" t="s">
        <v>92</v>
      </c>
      <c r="B12" s="4">
        <f>ABS(K16-P16)</f>
        <v>4.7293724492192268E-11</v>
      </c>
      <c r="H12">
        <v>10</v>
      </c>
      <c r="I12" s="4">
        <v>0</v>
      </c>
      <c r="J12">
        <f>$B$7*$F$1*(1+$F$2)^H11</f>
        <v>1957.1597757438667</v>
      </c>
      <c r="K12" s="4">
        <f t="shared" si="2"/>
        <v>1957.1597757438667</v>
      </c>
      <c r="M12">
        <v>10</v>
      </c>
      <c r="N12" s="4">
        <v>0</v>
      </c>
      <c r="O12">
        <f>$C$7*$F$1*(1+$F$2)^M11</f>
        <v>978.57988787193335</v>
      </c>
      <c r="P12" s="4">
        <f t="shared" si="4"/>
        <v>978.57988787193335</v>
      </c>
    </row>
    <row r="13" spans="1:16" x14ac:dyDescent="0.35">
      <c r="A13" s="1"/>
      <c r="B13" s="4"/>
      <c r="H13">
        <v>11</v>
      </c>
      <c r="I13" s="4">
        <v>0</v>
      </c>
      <c r="J13">
        <f t="shared" si="5"/>
        <v>2015.8745690161827</v>
      </c>
      <c r="K13" s="4">
        <f t="shared" si="2"/>
        <v>2015.8745690161827</v>
      </c>
      <c r="M13">
        <v>11</v>
      </c>
      <c r="N13" s="4">
        <v>0</v>
      </c>
      <c r="O13">
        <f t="shared" si="3"/>
        <v>1007.9372845080914</v>
      </c>
      <c r="P13" s="4">
        <f t="shared" si="4"/>
        <v>1007.9372845080914</v>
      </c>
    </row>
    <row r="14" spans="1:16" x14ac:dyDescent="0.35">
      <c r="A14" s="1"/>
      <c r="D14" s="4"/>
      <c r="H14">
        <v>12</v>
      </c>
      <c r="I14" s="4">
        <v>0</v>
      </c>
      <c r="J14">
        <f>$B$7*$F$1*(1+$F$2)^H13</f>
        <v>2076.3508060866684</v>
      </c>
      <c r="K14" s="4">
        <f t="shared" si="2"/>
        <v>2076.3508060866684</v>
      </c>
      <c r="M14">
        <v>12</v>
      </c>
      <c r="N14" s="4">
        <v>0</v>
      </c>
      <c r="O14">
        <f>$C$7*$F$1*(1+$F$2)^M13</f>
        <v>1038.1754030433342</v>
      </c>
      <c r="P14" s="4">
        <f t="shared" si="4"/>
        <v>1038.1754030433342</v>
      </c>
    </row>
    <row r="15" spans="1:16" x14ac:dyDescent="0.35">
      <c r="A15" s="1"/>
      <c r="D15" s="4"/>
      <c r="H15" s="1" t="s">
        <v>37</v>
      </c>
      <c r="I15" s="4">
        <f>SUM(I3:I14)</f>
        <v>21586.643629520855</v>
      </c>
      <c r="J15">
        <f>SUM(J3:J14)</f>
        <v>21288.044342308949</v>
      </c>
      <c r="K15" s="4">
        <f>SUM(K3:K14)</f>
        <v>42874.687971829793</v>
      </c>
      <c r="M15" s="1" t="s">
        <v>37</v>
      </c>
      <c r="N15" s="4">
        <f>SUM(N3:N14)</f>
        <v>29445.232800367972</v>
      </c>
      <c r="O15">
        <f>SUM(O3:O14)</f>
        <v>10644.022171154475</v>
      </c>
      <c r="P15" s="4">
        <f>SUM(P3:P14)</f>
        <v>40089.254971522452</v>
      </c>
    </row>
    <row r="16" spans="1:16" x14ac:dyDescent="0.35">
      <c r="H16" s="1" t="s">
        <v>14</v>
      </c>
      <c r="I16" s="4">
        <f>NPV(F9,I3:I14)</f>
        <v>17874.425437952006</v>
      </c>
      <c r="J16" s="4">
        <f>NPV(F9,J3:J14)</f>
        <v>13014.322058822143</v>
      </c>
      <c r="K16" s="4">
        <f>NPV(F9,K3:K14)</f>
        <v>30888.747496774151</v>
      </c>
      <c r="M16" s="1" t="s">
        <v>14</v>
      </c>
      <c r="N16" s="4">
        <f>NPV(F9,N3:N14)</f>
        <v>24381.586467363122</v>
      </c>
      <c r="O16" s="4">
        <f>NPV(F9,O3:O14)</f>
        <v>6507.1610294110715</v>
      </c>
      <c r="P16" s="4">
        <f>NPV(F9,P3:P14)</f>
        <v>30888.747496774198</v>
      </c>
    </row>
    <row r="17" spans="8:16" x14ac:dyDescent="0.35">
      <c r="H17" s="1" t="s">
        <v>40</v>
      </c>
      <c r="K17">
        <f>(-PMT(F9,F8,K16))/F6</f>
        <v>0.36056523023107795</v>
      </c>
      <c r="M17" s="1" t="s">
        <v>40</v>
      </c>
      <c r="P17">
        <f>(-PMT(F9,F8,P16))/F6</f>
        <v>0.3605652302310785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C75D4-1473-4C3E-AA5B-CC5AC3C7B7E8}">
  <dimension ref="A1:P31"/>
  <sheetViews>
    <sheetView topLeftCell="A19" zoomScale="82" workbookViewId="0">
      <selection activeCell="C24" sqref="C24"/>
    </sheetView>
  </sheetViews>
  <sheetFormatPr defaultRowHeight="14.5" x14ac:dyDescent="0.35"/>
  <cols>
    <col min="3" max="3" width="12.90625" customWidth="1"/>
    <col min="4" max="4" width="10.7265625" bestFit="1" customWidth="1"/>
    <col min="5" max="5" width="10" customWidth="1"/>
    <col min="6" max="6" width="10.7265625" bestFit="1" customWidth="1"/>
    <col min="7" max="7" width="10.7265625" customWidth="1"/>
    <col min="8" max="8" width="11.08984375" bestFit="1" customWidth="1"/>
    <col min="9" max="9" width="17.90625" bestFit="1" customWidth="1"/>
    <col min="10" max="10" width="22.90625" customWidth="1"/>
    <col min="11" max="11" width="16.453125" customWidth="1"/>
    <col min="12" max="13" width="10.7265625" bestFit="1" customWidth="1"/>
    <col min="14" max="14" width="8.90625" bestFit="1" customWidth="1"/>
  </cols>
  <sheetData>
    <row r="1" spans="1:16" x14ac:dyDescent="0.35">
      <c r="A1" s="1" t="s">
        <v>0</v>
      </c>
    </row>
    <row r="2" spans="1:16" x14ac:dyDescent="0.35">
      <c r="A2" s="1" t="s">
        <v>44</v>
      </c>
      <c r="D2" s="2">
        <v>0.08</v>
      </c>
    </row>
    <row r="3" spans="1:16" x14ac:dyDescent="0.35">
      <c r="A3" s="1" t="s">
        <v>2</v>
      </c>
      <c r="D3">
        <v>6</v>
      </c>
      <c r="G3">
        <v>100</v>
      </c>
      <c r="H3">
        <f>G3*(1+0.03)</f>
        <v>103</v>
      </c>
    </row>
    <row r="4" spans="1:16" x14ac:dyDescent="0.35">
      <c r="A4" s="1" t="s">
        <v>47</v>
      </c>
      <c r="D4" s="5">
        <v>0.03</v>
      </c>
      <c r="G4" s="4">
        <f>NPV(D5,G3)</f>
        <v>95.370370370370367</v>
      </c>
      <c r="H4" s="4">
        <f>NPV(D2,H3)</f>
        <v>95.370370370370367</v>
      </c>
    </row>
    <row r="5" spans="1:16" x14ac:dyDescent="0.35">
      <c r="A5" s="1" t="s">
        <v>45</v>
      </c>
      <c r="D5" s="7">
        <f>((1+0.08)/(1+0.03))-1</f>
        <v>4.8543689320388328E-2</v>
      </c>
    </row>
    <row r="7" spans="1:16" x14ac:dyDescent="0.35">
      <c r="A7" t="s">
        <v>43</v>
      </c>
      <c r="B7" t="s">
        <v>32</v>
      </c>
    </row>
    <row r="8" spans="1:16" s="1" customFormat="1" x14ac:dyDescent="0.35">
      <c r="A8" s="1" t="s">
        <v>4</v>
      </c>
      <c r="B8" s="1" t="s">
        <v>5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49</v>
      </c>
      <c r="H8" s="1" t="s">
        <v>48</v>
      </c>
      <c r="I8" s="1" t="s">
        <v>50</v>
      </c>
      <c r="J8" s="1" t="s">
        <v>51</v>
      </c>
      <c r="K8" s="1" t="s">
        <v>52</v>
      </c>
    </row>
    <row r="9" spans="1:16" x14ac:dyDescent="0.35">
      <c r="A9">
        <v>1</v>
      </c>
      <c r="B9">
        <f>B22</f>
        <v>4000</v>
      </c>
      <c r="C9">
        <f>B9</f>
        <v>4000</v>
      </c>
      <c r="D9">
        <f>C9*$D$2</f>
        <v>320</v>
      </c>
      <c r="E9">
        <f>$D$2*C9</f>
        <v>320</v>
      </c>
      <c r="F9">
        <v>0</v>
      </c>
      <c r="G9">
        <f>((1+$D$2)^A9)-1</f>
        <v>8.0000000000000071E-2</v>
      </c>
      <c r="H9" s="4">
        <f>NPV($D$2,D9)</f>
        <v>296.2962962962963</v>
      </c>
      <c r="I9" s="17">
        <f>NPV(D2,D9:D17)</f>
        <v>11453.017832647458</v>
      </c>
      <c r="J9" s="4">
        <f>NPV(D2,E9:E17)</f>
        <v>4020.3272688916804</v>
      </c>
      <c r="K9" s="4">
        <f>NPV(D2,F9:F17)</f>
        <v>7432.6905637557766</v>
      </c>
    </row>
    <row r="10" spans="1:16" x14ac:dyDescent="0.35">
      <c r="A10">
        <v>2</v>
      </c>
      <c r="B10">
        <f>B23*(1+0.03)</f>
        <v>4120</v>
      </c>
      <c r="C10">
        <f>C9+B10</f>
        <v>8120</v>
      </c>
      <c r="D10">
        <f>C10*$D$2</f>
        <v>649.6</v>
      </c>
      <c r="E10">
        <f>$D$2*C10</f>
        <v>649.6</v>
      </c>
      <c r="F10">
        <v>0</v>
      </c>
      <c r="G10">
        <f t="shared" ref="G10:G17" si="0">((1+$D$2)^A10)-1</f>
        <v>0.1664000000000001</v>
      </c>
      <c r="H10" s="4">
        <f t="shared" ref="H10:H17" si="1">NPV($D$2,D10)</f>
        <v>601.48148148148141</v>
      </c>
      <c r="I10" s="4"/>
    </row>
    <row r="11" spans="1:16" x14ac:dyDescent="0.35">
      <c r="A11">
        <v>3</v>
      </c>
      <c r="B11">
        <f>B24*(1+0.03)^A10</f>
        <v>4243.5999999999995</v>
      </c>
      <c r="C11">
        <f>C10+B11</f>
        <v>12363.599999999999</v>
      </c>
      <c r="D11">
        <f>C11*$D$2</f>
        <v>989.08799999999985</v>
      </c>
      <c r="E11">
        <f>$D$2*C11</f>
        <v>989.08799999999985</v>
      </c>
      <c r="F11">
        <v>0</v>
      </c>
      <c r="G11">
        <f>((1+$D$2)^A11)-1</f>
        <v>0.25971200000000016</v>
      </c>
      <c r="H11" s="4">
        <f t="shared" si="1"/>
        <v>915.82222222222208</v>
      </c>
      <c r="I11" s="4">
        <f>J9+K9</f>
        <v>11453.017832647456</v>
      </c>
      <c r="K11" s="4"/>
    </row>
    <row r="12" spans="1:16" x14ac:dyDescent="0.35">
      <c r="A12">
        <v>4</v>
      </c>
      <c r="C12" s="4">
        <f>C11-F12</f>
        <v>10678.251090819012</v>
      </c>
      <c r="D12" s="4">
        <f>-PMT($D$2,$D$3,$C$11)</f>
        <v>2674.4369091809854</v>
      </c>
      <c r="E12" s="4">
        <f t="shared" ref="E12:E17" si="2">-IPMT($D$2,$A9,$D$3,$C$11)</f>
        <v>989.08799999999985</v>
      </c>
      <c r="F12" s="4">
        <f t="shared" ref="F12:F17" si="3">-PPMT($D$2,$A9,$D$3,$C$11)</f>
        <v>1685.3489091809861</v>
      </c>
      <c r="G12">
        <f t="shared" si="0"/>
        <v>0.3604889600000003</v>
      </c>
      <c r="H12" s="4">
        <f t="shared" si="1"/>
        <v>2476.3304714638753</v>
      </c>
      <c r="I12" s="4"/>
      <c r="M12" s="4"/>
      <c r="N12" s="4"/>
      <c r="O12" s="4"/>
      <c r="P12" s="4"/>
    </row>
    <row r="13" spans="1:16" x14ac:dyDescent="0.35">
      <c r="A13">
        <v>5</v>
      </c>
      <c r="C13" s="4">
        <f>C12-F13</f>
        <v>8858.0742689035469</v>
      </c>
      <c r="D13" s="4">
        <f>-PMT($D$2,$D$3,$C$11)</f>
        <v>2674.4369091809854</v>
      </c>
      <c r="E13" s="4">
        <f t="shared" si="2"/>
        <v>854.26008726552118</v>
      </c>
      <c r="F13" s="4">
        <f t="shared" si="3"/>
        <v>1820.1768219154646</v>
      </c>
      <c r="G13">
        <f t="shared" si="0"/>
        <v>0.46932807680000033</v>
      </c>
      <c r="H13" s="4">
        <f t="shared" si="1"/>
        <v>2476.3304714638753</v>
      </c>
      <c r="M13" s="4"/>
      <c r="N13" s="4"/>
      <c r="O13" s="4"/>
      <c r="P13" s="4"/>
    </row>
    <row r="14" spans="1:16" x14ac:dyDescent="0.35">
      <c r="A14">
        <v>6</v>
      </c>
      <c r="C14" s="4">
        <f>C13-F14</f>
        <v>6892.2833012348456</v>
      </c>
      <c r="D14" s="4">
        <f t="shared" ref="D14:D17" si="4">-PMT($D$2,$D$3,$C$11)</f>
        <v>2674.4369091809854</v>
      </c>
      <c r="E14" s="4">
        <f t="shared" si="2"/>
        <v>708.6459415122838</v>
      </c>
      <c r="F14" s="4">
        <f t="shared" si="3"/>
        <v>1965.7909676687016</v>
      </c>
      <c r="G14">
        <f t="shared" si="0"/>
        <v>0.58687432294400055</v>
      </c>
      <c r="H14" s="4">
        <f t="shared" si="1"/>
        <v>2476.3304714638753</v>
      </c>
      <c r="M14" s="4"/>
      <c r="N14" s="4"/>
      <c r="O14" s="4"/>
      <c r="P14" s="4"/>
    </row>
    <row r="15" spans="1:16" x14ac:dyDescent="0.35">
      <c r="A15">
        <v>7</v>
      </c>
      <c r="C15" s="4">
        <f>C14-F15</f>
        <v>4769.2290561526479</v>
      </c>
      <c r="D15" s="4">
        <f>-PMT($D$2,$D$3,$C$11)</f>
        <v>2674.4369091809854</v>
      </c>
      <c r="E15" s="4">
        <f t="shared" si="2"/>
        <v>551.3826640987877</v>
      </c>
      <c r="F15" s="4">
        <f t="shared" si="3"/>
        <v>2123.0542450821981</v>
      </c>
      <c r="G15">
        <f t="shared" si="0"/>
        <v>0.71382426877952065</v>
      </c>
      <c r="H15" s="4">
        <f t="shared" si="1"/>
        <v>2476.3304714638753</v>
      </c>
      <c r="M15" s="4"/>
      <c r="N15" s="4"/>
      <c r="O15" s="4"/>
      <c r="P15" s="4"/>
    </row>
    <row r="16" spans="1:16" x14ac:dyDescent="0.35">
      <c r="A16">
        <v>8</v>
      </c>
      <c r="C16" s="4">
        <f>C15-F16</f>
        <v>2476.3304714638743</v>
      </c>
      <c r="D16" s="4">
        <f t="shared" si="4"/>
        <v>2674.4369091809854</v>
      </c>
      <c r="E16" s="4">
        <f t="shared" si="2"/>
        <v>381.53832449221193</v>
      </c>
      <c r="F16" s="4">
        <f t="shared" si="3"/>
        <v>2292.8985846887736</v>
      </c>
      <c r="G16">
        <f t="shared" si="0"/>
        <v>0.85093021028188232</v>
      </c>
      <c r="H16" s="4">
        <f t="shared" si="1"/>
        <v>2476.3304714638753</v>
      </c>
      <c r="M16" s="4"/>
      <c r="N16" s="4"/>
      <c r="O16" s="4"/>
      <c r="P16" s="4"/>
    </row>
    <row r="17" spans="1:16" x14ac:dyDescent="0.35">
      <c r="A17">
        <v>9</v>
      </c>
      <c r="C17" s="4">
        <f t="shared" ref="C17" si="5">C16-F17</f>
        <v>0</v>
      </c>
      <c r="D17" s="4">
        <f t="shared" si="4"/>
        <v>2674.4369091809854</v>
      </c>
      <c r="E17" s="4">
        <f t="shared" si="2"/>
        <v>198.10643771711003</v>
      </c>
      <c r="F17" s="4">
        <f t="shared" si="3"/>
        <v>2476.3304714638757</v>
      </c>
      <c r="G17">
        <f t="shared" si="0"/>
        <v>0.99900462710443305</v>
      </c>
      <c r="H17" s="4">
        <f t="shared" si="1"/>
        <v>2476.3304714638753</v>
      </c>
      <c r="M17" s="4"/>
      <c r="N17" s="4"/>
      <c r="O17" s="4"/>
      <c r="P17" s="4"/>
    </row>
    <row r="18" spans="1:16" x14ac:dyDescent="0.35">
      <c r="D18" s="4">
        <f>NPV(8%,D9:D17)</f>
        <v>11453.017832647458</v>
      </c>
      <c r="E18" s="4"/>
      <c r="F18" s="4">
        <f>SUM(F12:F17)</f>
        <v>12363.6</v>
      </c>
      <c r="G18" s="4"/>
      <c r="H18" s="4">
        <f>SUM(H9:H17)</f>
        <v>16671.582828783252</v>
      </c>
      <c r="M18" s="4"/>
      <c r="N18" s="4"/>
      <c r="O18" s="4"/>
    </row>
    <row r="20" spans="1:16" x14ac:dyDescent="0.35">
      <c r="A20" t="s">
        <v>43</v>
      </c>
      <c r="B20" t="s">
        <v>46</v>
      </c>
    </row>
    <row r="21" spans="1:16" x14ac:dyDescent="0.35">
      <c r="A21" s="1" t="s">
        <v>4</v>
      </c>
      <c r="B21" s="1" t="s">
        <v>5</v>
      </c>
      <c r="C21" s="1" t="s">
        <v>6</v>
      </c>
      <c r="D21" s="1" t="s">
        <v>7</v>
      </c>
      <c r="E21" s="1" t="s">
        <v>8</v>
      </c>
      <c r="F21" s="1" t="s">
        <v>9</v>
      </c>
      <c r="G21" s="1" t="s">
        <v>49</v>
      </c>
      <c r="H21" s="1" t="s">
        <v>48</v>
      </c>
      <c r="I21" s="1" t="s">
        <v>14</v>
      </c>
      <c r="J21" s="1" t="s">
        <v>51</v>
      </c>
      <c r="K21" s="1" t="s">
        <v>52</v>
      </c>
    </row>
    <row r="22" spans="1:16" x14ac:dyDescent="0.35">
      <c r="A22">
        <v>1</v>
      </c>
      <c r="B22">
        <v>4000</v>
      </c>
      <c r="C22">
        <f>B22</f>
        <v>4000</v>
      </c>
      <c r="D22">
        <f>D9/(1+$D$4)^A22</f>
        <v>310.67961165048541</v>
      </c>
      <c r="E22">
        <f>$D$5*C22</f>
        <v>194.1747572815533</v>
      </c>
      <c r="F22">
        <v>0</v>
      </c>
      <c r="G22">
        <f>((1+$D$5)^A22)-1</f>
        <v>4.8543689320388328E-2</v>
      </c>
      <c r="H22" s="4">
        <f>NPV(G22,D22)</f>
        <v>296.2962962962963</v>
      </c>
      <c r="I22" s="17">
        <f>NPV(D5,D22:D30)</f>
        <v>11453.017832647465</v>
      </c>
      <c r="J22" s="4">
        <f>NPV(D5,E22:E30)</f>
        <v>2663.8720202726872</v>
      </c>
      <c r="K22" s="4">
        <f>NPV(D5,F22:F30)</f>
        <v>8789.1458123747761</v>
      </c>
    </row>
    <row r="23" spans="1:16" x14ac:dyDescent="0.35">
      <c r="A23">
        <v>2</v>
      </c>
      <c r="B23">
        <v>4000</v>
      </c>
      <c r="C23">
        <f>C22+B23</f>
        <v>8000</v>
      </c>
      <c r="D23">
        <f>D10/(1+$D$4)^A23</f>
        <v>612.31030257328689</v>
      </c>
      <c r="E23">
        <f>$D$5*C23</f>
        <v>388.3495145631066</v>
      </c>
      <c r="F23">
        <v>0</v>
      </c>
      <c r="G23">
        <f t="shared" ref="G23:G30" si="6">((1+$D$5)^A23)-1</f>
        <v>9.944386841361097E-2</v>
      </c>
      <c r="H23" s="4">
        <f t="shared" ref="H23:H30" si="7">NPV(G23,D23)</f>
        <v>556.92729766803848</v>
      </c>
      <c r="I23" s="4">
        <f>SUM(H22:H30)</f>
        <v>11453.017832647465</v>
      </c>
    </row>
    <row r="24" spans="1:16" x14ac:dyDescent="0.35">
      <c r="A24">
        <v>3</v>
      </c>
      <c r="B24">
        <v>4000</v>
      </c>
      <c r="C24">
        <f>C23+B24</f>
        <v>12000</v>
      </c>
      <c r="D24">
        <f>D11/(1+$D$4)^A24</f>
        <v>905.15563356629775</v>
      </c>
      <c r="E24">
        <f>$D$5*C24</f>
        <v>582.52427184465989</v>
      </c>
      <c r="F24">
        <v>0</v>
      </c>
      <c r="G24">
        <f t="shared" si="6"/>
        <v>0.15281492998708712</v>
      </c>
      <c r="H24" s="4">
        <f>NPV(G24,D24)</f>
        <v>785.16994360615763</v>
      </c>
      <c r="I24" s="4">
        <f>J22+K22</f>
        <v>11453.017832647463</v>
      </c>
    </row>
    <row r="25" spans="1:16" x14ac:dyDescent="0.35">
      <c r="A25">
        <v>4</v>
      </c>
      <c r="C25" s="4">
        <f>C24-F25</f>
        <v>10229.314046037824</v>
      </c>
      <c r="D25" s="4">
        <f>D12/(1+$D$4)^A25</f>
        <v>2376.2025542749734</v>
      </c>
      <c r="E25" s="4">
        <f t="shared" ref="E25:E30" si="8">-IPMT($D$5,$A22,$D$3,$C$24)</f>
        <v>582.52427184465989</v>
      </c>
      <c r="F25" s="4">
        <f t="shared" ref="F25:F30" si="9">-PPMT($D$5,$A22,$D$3,$C$24)</f>
        <v>1770.6859539621773</v>
      </c>
      <c r="G25">
        <f t="shared" si="6"/>
        <v>0.20877681979228546</v>
      </c>
      <c r="H25" s="4">
        <f>NPV(G25,D25)</f>
        <v>1965.7909676687023</v>
      </c>
    </row>
    <row r="26" spans="1:16" x14ac:dyDescent="0.35">
      <c r="A26">
        <v>5</v>
      </c>
      <c r="C26" s="4">
        <f>C25-F26</f>
        <v>8372.6724632425303</v>
      </c>
      <c r="D26">
        <f t="shared" ref="D24:D30" si="10">D13/(1+$D$4)^A26</f>
        <v>2306.9927711407508</v>
      </c>
      <c r="E26" s="4">
        <f t="shared" si="8"/>
        <v>496.56864301154451</v>
      </c>
      <c r="F26" s="4">
        <f t="shared" si="9"/>
        <v>1856.6415827952928</v>
      </c>
      <c r="G26">
        <f t="shared" si="6"/>
        <v>0.26745530618996916</v>
      </c>
      <c r="H26" s="4">
        <f>NPV(G26,D26)</f>
        <v>1820.1768219154651</v>
      </c>
    </row>
    <row r="27" spans="1:16" x14ac:dyDescent="0.35">
      <c r="A27">
        <v>6</v>
      </c>
      <c r="C27" s="4">
        <f t="shared" ref="C27:C30" si="11">C26-F27</f>
        <v>6425.9026482727086</v>
      </c>
      <c r="D27">
        <f t="shared" si="10"/>
        <v>2239.7988069327675</v>
      </c>
      <c r="E27" s="4">
        <f t="shared" si="8"/>
        <v>406.44041083701575</v>
      </c>
      <c r="F27" s="4">
        <f t="shared" si="9"/>
        <v>1946.7698149698215</v>
      </c>
      <c r="G27">
        <f t="shared" si="6"/>
        <v>0.32898226280113274</v>
      </c>
      <c r="H27" s="4">
        <f t="shared" si="7"/>
        <v>1685.3489091809861</v>
      </c>
    </row>
    <row r="28" spans="1:16" x14ac:dyDescent="0.35">
      <c r="A28">
        <v>7</v>
      </c>
      <c r="C28" s="4">
        <f>C27-F28</f>
        <v>4384.6294442266817</v>
      </c>
      <c r="D28">
        <f t="shared" si="10"/>
        <v>2174.5619484784152</v>
      </c>
      <c r="E28" s="4">
        <f t="shared" si="8"/>
        <v>311.93702176081086</v>
      </c>
      <c r="F28" s="4">
        <f t="shared" si="9"/>
        <v>2041.2732040460266</v>
      </c>
      <c r="G28">
        <f t="shared" si="6"/>
        <v>0.39349596487885741</v>
      </c>
      <c r="H28" s="4">
        <f t="shared" si="7"/>
        <v>1560.5082492416541</v>
      </c>
    </row>
    <row r="29" spans="1:16" x14ac:dyDescent="0.35">
      <c r="A29">
        <v>8</v>
      </c>
      <c r="C29" s="4">
        <f t="shared" si="11"/>
        <v>2244.2653079454112</v>
      </c>
      <c r="D29">
        <f t="shared" si="10"/>
        <v>2111.2251926974905</v>
      </c>
      <c r="E29" s="4">
        <f t="shared" si="8"/>
        <v>212.84608952556692</v>
      </c>
      <c r="F29" s="4">
        <f t="shared" si="9"/>
        <v>2140.3641362812705</v>
      </c>
      <c r="G29">
        <f>((1+$D$5)^A29)-1</f>
        <v>0.46114140006715143</v>
      </c>
      <c r="H29" s="4">
        <f t="shared" si="7"/>
        <v>1444.9150455941242</v>
      </c>
    </row>
    <row r="30" spans="1:16" x14ac:dyDescent="0.35">
      <c r="A30">
        <v>9</v>
      </c>
      <c r="C30" s="4">
        <f t="shared" si="11"/>
        <v>0</v>
      </c>
      <c r="D30">
        <f t="shared" si="10"/>
        <v>2049.7331967936802</v>
      </c>
      <c r="E30" s="4">
        <f t="shared" si="8"/>
        <v>108.9449178614276</v>
      </c>
      <c r="F30" s="4">
        <f t="shared" si="9"/>
        <v>2244.2653079454099</v>
      </c>
      <c r="G30">
        <f t="shared" si="6"/>
        <v>0.53207059424516845</v>
      </c>
      <c r="H30" s="4">
        <f t="shared" si="7"/>
        <v>1337.8843014760409</v>
      </c>
    </row>
    <row r="31" spans="1:16" x14ac:dyDescent="0.35">
      <c r="D31" s="4">
        <f>NPV(D14,D25:D30)</f>
        <v>0.88847737186701659</v>
      </c>
      <c r="E31" s="4"/>
      <c r="F31" s="4">
        <f>SUM(F25:F30)</f>
        <v>12000</v>
      </c>
      <c r="G31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FA88C-C4C0-48D6-A6B6-155F429EEFCA}">
  <dimension ref="A1:R32"/>
  <sheetViews>
    <sheetView tabSelected="1" topLeftCell="A2" zoomScale="66" zoomScaleNormal="55" workbookViewId="0">
      <selection activeCell="D10" sqref="D10"/>
    </sheetView>
  </sheetViews>
  <sheetFormatPr defaultRowHeight="14.5" x14ac:dyDescent="0.35"/>
  <cols>
    <col min="3" max="3" width="21" customWidth="1"/>
    <col min="4" max="4" width="14.90625" customWidth="1"/>
    <col min="5" max="5" width="17.36328125" customWidth="1"/>
    <col min="6" max="6" width="16.26953125" customWidth="1"/>
    <col min="7" max="7" width="16.08984375" customWidth="1"/>
    <col min="8" max="8" width="10.453125" bestFit="1" customWidth="1"/>
    <col min="9" max="9" width="13.36328125" customWidth="1"/>
    <col min="10" max="10" width="22.90625" customWidth="1"/>
    <col min="11" max="11" width="16.453125" customWidth="1"/>
    <col min="12" max="13" width="10.7265625" bestFit="1" customWidth="1"/>
    <col min="14" max="14" width="8.90625" bestFit="1" customWidth="1"/>
  </cols>
  <sheetData>
    <row r="1" spans="1:18" x14ac:dyDescent="0.35">
      <c r="A1" t="s">
        <v>0</v>
      </c>
      <c r="F1" s="1" t="s">
        <v>54</v>
      </c>
      <c r="G1" t="s">
        <v>53</v>
      </c>
      <c r="H1" t="s">
        <v>41</v>
      </c>
      <c r="J1" s="1" t="s">
        <v>55</v>
      </c>
      <c r="K1" t="s">
        <v>53</v>
      </c>
      <c r="L1" t="s">
        <v>41</v>
      </c>
    </row>
    <row r="2" spans="1:18" x14ac:dyDescent="0.35">
      <c r="A2" t="s">
        <v>44</v>
      </c>
      <c r="D2" s="2">
        <v>0.08</v>
      </c>
      <c r="F2">
        <f>(4000*$D$2)</f>
        <v>320</v>
      </c>
      <c r="G2">
        <f>SUM(F2:F4)</f>
        <v>1920</v>
      </c>
      <c r="H2">
        <f>12000+G2</f>
        <v>13920</v>
      </c>
      <c r="J2">
        <f>(4000*$D$6)</f>
        <v>194.1747572815533</v>
      </c>
      <c r="K2">
        <f>SUM(J2:J4)</f>
        <v>1165.0485436893198</v>
      </c>
      <c r="L2">
        <f>12000+K2</f>
        <v>13165.04854368932</v>
      </c>
    </row>
    <row r="3" spans="1:18" x14ac:dyDescent="0.35">
      <c r="A3" t="s">
        <v>2</v>
      </c>
      <c r="D3">
        <v>6</v>
      </c>
      <c r="F3">
        <f>(8000*$D$2)</f>
        <v>640</v>
      </c>
      <c r="J3">
        <f>(8000*$D$6)</f>
        <v>388.3495145631066</v>
      </c>
    </row>
    <row r="4" spans="1:18" x14ac:dyDescent="0.35">
      <c r="A4" t="s">
        <v>3</v>
      </c>
      <c r="D4" s="3"/>
      <c r="F4">
        <f>(12000*$D$2)</f>
        <v>960</v>
      </c>
      <c r="J4">
        <f>(12000*$D$6)</f>
        <v>582.52427184465989</v>
      </c>
    </row>
    <row r="5" spans="1:18" x14ac:dyDescent="0.35">
      <c r="A5" t="s">
        <v>47</v>
      </c>
      <c r="D5" s="5">
        <v>0.03</v>
      </c>
    </row>
    <row r="6" spans="1:18" x14ac:dyDescent="0.35">
      <c r="A6" t="s">
        <v>45</v>
      </c>
      <c r="D6" s="7">
        <f>((1+0.08)/(1+0.03))-1</f>
        <v>4.8543689320388328E-2</v>
      </c>
    </row>
    <row r="8" spans="1:18" x14ac:dyDescent="0.35">
      <c r="A8" t="s">
        <v>56</v>
      </c>
      <c r="B8" t="s">
        <v>32</v>
      </c>
    </row>
    <row r="9" spans="1:18" s="1" customFormat="1" x14ac:dyDescent="0.35">
      <c r="A9" s="1" t="s">
        <v>4</v>
      </c>
      <c r="B9" s="1" t="s">
        <v>5</v>
      </c>
      <c r="C9" s="1" t="s">
        <v>117</v>
      </c>
      <c r="D9" s="1" t="s">
        <v>116</v>
      </c>
      <c r="E9" s="1" t="s">
        <v>115</v>
      </c>
      <c r="F9" s="1" t="s">
        <v>7</v>
      </c>
      <c r="G9" s="1" t="s">
        <v>8</v>
      </c>
      <c r="H9" s="1" t="s">
        <v>9</v>
      </c>
      <c r="I9" s="1" t="s">
        <v>49</v>
      </c>
      <c r="J9" s="1" t="s">
        <v>48</v>
      </c>
      <c r="K9" s="1" t="s">
        <v>50</v>
      </c>
      <c r="L9" s="1" t="s">
        <v>51</v>
      </c>
      <c r="M9" s="1" t="s">
        <v>52</v>
      </c>
    </row>
    <row r="10" spans="1:18" x14ac:dyDescent="0.35">
      <c r="A10">
        <v>1</v>
      </c>
      <c r="B10">
        <v>4000</v>
      </c>
      <c r="C10">
        <f>B10</f>
        <v>4000</v>
      </c>
      <c r="D10">
        <f>B10+E10</f>
        <v>4320</v>
      </c>
      <c r="E10">
        <f>C10*$D$2</f>
        <v>320</v>
      </c>
      <c r="F10">
        <v>0</v>
      </c>
      <c r="G10">
        <v>0</v>
      </c>
      <c r="H10">
        <v>0</v>
      </c>
      <c r="I10">
        <f t="shared" ref="I10:I18" si="0">((1+$D$2)^A10)-1</f>
        <v>8.0000000000000071E-2</v>
      </c>
      <c r="J10" s="4">
        <f>NPV(I10,F10)</f>
        <v>0</v>
      </c>
      <c r="K10" s="17">
        <f>NPV(D2,F10:F18)</f>
        <v>11453.017832647458</v>
      </c>
      <c r="L10" s="4">
        <f>NPV(D2,G10:G18)</f>
        <v>2779.5592251748185</v>
      </c>
      <c r="M10" s="4">
        <f>NPV(D2,H10:H18)</f>
        <v>8673.4586074726412</v>
      </c>
    </row>
    <row r="11" spans="1:18" x14ac:dyDescent="0.35">
      <c r="A11">
        <v>2</v>
      </c>
      <c r="B11">
        <f>4000*(1.03)^A10</f>
        <v>4120</v>
      </c>
      <c r="C11">
        <f>C10+B11</f>
        <v>8120</v>
      </c>
      <c r="D11">
        <f>(D10+B11)*(1+D2)</f>
        <v>9115.2000000000007</v>
      </c>
      <c r="E11">
        <f>C11*$D$2</f>
        <v>649.6</v>
      </c>
      <c r="F11">
        <v>0</v>
      </c>
      <c r="G11">
        <v>0</v>
      </c>
      <c r="H11">
        <v>0</v>
      </c>
      <c r="I11">
        <f t="shared" si="0"/>
        <v>0.1664000000000001</v>
      </c>
      <c r="J11" s="4">
        <f t="shared" ref="J11:J18" si="1">NPV(I11,F11)</f>
        <v>0</v>
      </c>
      <c r="K11" s="4">
        <f>SUM(J10:J18)</f>
        <v>11453.017832647458</v>
      </c>
    </row>
    <row r="12" spans="1:18" x14ac:dyDescent="0.35">
      <c r="A12">
        <v>3</v>
      </c>
      <c r="B12">
        <f>4000*(1.03)^A11</f>
        <v>4243.5999999999995</v>
      </c>
      <c r="C12">
        <f>SUM(B10:B12)</f>
        <v>12363.599999999999</v>
      </c>
      <c r="D12">
        <f>(D11+B12)*(1+D2)</f>
        <v>14427.504000000001</v>
      </c>
      <c r="E12">
        <f>C12*$D$2</f>
        <v>989.08799999999985</v>
      </c>
      <c r="F12">
        <v>0</v>
      </c>
      <c r="G12">
        <v>0</v>
      </c>
      <c r="H12">
        <v>0</v>
      </c>
      <c r="I12">
        <f t="shared" si="0"/>
        <v>0.25971200000000016</v>
      </c>
      <c r="J12" s="4">
        <f t="shared" si="1"/>
        <v>0</v>
      </c>
      <c r="K12" s="4">
        <f>L10+M10</f>
        <v>11453.01783264746</v>
      </c>
      <c r="M12" s="4"/>
    </row>
    <row r="13" spans="1:18" x14ac:dyDescent="0.35">
      <c r="A13">
        <v>4</v>
      </c>
      <c r="C13" s="4">
        <f>(C12-H13)</f>
        <v>10396.909219919415</v>
      </c>
      <c r="D13" s="4">
        <f>(D12-H13)</f>
        <v>12460.813219919417</v>
      </c>
      <c r="E13">
        <v>0</v>
      </c>
      <c r="F13" s="4">
        <f>-PMT($D$2,$D$3,$D$12)</f>
        <v>3120.8911000805842</v>
      </c>
      <c r="G13" s="4">
        <f>-IPMT($D$2,$A10,$D$3,$D$12)</f>
        <v>1154.2003200000001</v>
      </c>
      <c r="H13" s="4">
        <f>-PPMT($D$2,$A10,$D$3,$D$12)</f>
        <v>1966.6907800805845</v>
      </c>
      <c r="I13">
        <f t="shared" si="0"/>
        <v>0.3604889600000003</v>
      </c>
      <c r="J13" s="4">
        <f>NPV(I13,F13)</f>
        <v>2293.9481258859928</v>
      </c>
      <c r="K13" s="4"/>
      <c r="O13" s="4"/>
      <c r="P13" s="4"/>
      <c r="Q13" s="4"/>
      <c r="R13" s="4"/>
    </row>
    <row r="14" spans="1:18" x14ac:dyDescent="0.35">
      <c r="A14">
        <v>5</v>
      </c>
      <c r="C14" s="4">
        <f t="shared" ref="C13:C18" si="2">(C13-H14)</f>
        <v>8272.8831774323844</v>
      </c>
      <c r="D14" s="4">
        <f>(D13-H14)</f>
        <v>10336.787177432387</v>
      </c>
      <c r="E14">
        <v>0</v>
      </c>
      <c r="F14" s="4">
        <f>-PMT($D$2,$D$3,$D$12)</f>
        <v>3120.8911000805842</v>
      </c>
      <c r="G14" s="4">
        <f>-IPMT($D$2,$A11,$D$3,$D$12)</f>
        <v>996.86505759355339</v>
      </c>
      <c r="H14" s="4">
        <f t="shared" ref="H14:H18" si="3">-PPMT($D$2,$A11,$D$3,$D$12)</f>
        <v>2124.0260424870307</v>
      </c>
      <c r="I14">
        <f t="shared" si="0"/>
        <v>0.46932807680000033</v>
      </c>
      <c r="J14" s="4">
        <f>NPV(I14,F14)</f>
        <v>2124.0260424870303</v>
      </c>
      <c r="O14" s="4"/>
      <c r="P14" s="4"/>
      <c r="Q14" s="4"/>
      <c r="R14" s="4"/>
    </row>
    <row r="15" spans="1:18" x14ac:dyDescent="0.35">
      <c r="A15">
        <v>6</v>
      </c>
      <c r="C15" s="4">
        <f t="shared" si="2"/>
        <v>5978.9350515463912</v>
      </c>
      <c r="D15" s="4">
        <f t="shared" ref="D15:D17" si="4">(D14-H15)</f>
        <v>8042.8390515463934</v>
      </c>
      <c r="E15">
        <v>0</v>
      </c>
      <c r="F15" s="4">
        <f t="shared" ref="F15:F18" si="5">-PMT($D$2,$D$3,$D$12)</f>
        <v>3120.8911000805842</v>
      </c>
      <c r="G15" s="4">
        <f t="shared" ref="G15:G17" si="6">-IPMT($D$2,$A12,$D$3,$D$12)</f>
        <v>826.94297419459076</v>
      </c>
      <c r="H15" s="4">
        <f t="shared" si="3"/>
        <v>2293.9481258859932</v>
      </c>
      <c r="I15">
        <f t="shared" si="0"/>
        <v>0.58687432294400055</v>
      </c>
      <c r="J15" s="4">
        <f>NPV(I15,F15)</f>
        <v>1966.6907800805834</v>
      </c>
      <c r="O15" s="4"/>
      <c r="P15" s="4"/>
      <c r="Q15" s="4"/>
      <c r="R15" s="4"/>
    </row>
    <row r="16" spans="1:18" x14ac:dyDescent="0.35">
      <c r="A16">
        <v>7</v>
      </c>
      <c r="C16" s="4">
        <f t="shared" si="2"/>
        <v>3501.471075589518</v>
      </c>
      <c r="D16" s="4">
        <f t="shared" si="4"/>
        <v>5565.3750755895198</v>
      </c>
      <c r="E16">
        <v>0</v>
      </c>
      <c r="F16" s="4">
        <f t="shared" si="5"/>
        <v>3120.8911000805842</v>
      </c>
      <c r="G16" s="4">
        <f>-IPMT($D$2,$A13,$D$3,$D$12)</f>
        <v>643.42712412371145</v>
      </c>
      <c r="H16" s="4">
        <f>-PPMT($D$2,$A13,$D$3,$D$12)</f>
        <v>2477.4639759568731</v>
      </c>
      <c r="I16">
        <f t="shared" si="0"/>
        <v>0.71382426877952065</v>
      </c>
      <c r="J16" s="4">
        <f t="shared" si="1"/>
        <v>1821.0099815560957</v>
      </c>
      <c r="O16" s="4"/>
      <c r="P16" s="4"/>
      <c r="Q16" s="4"/>
      <c r="R16" s="4"/>
    </row>
    <row r="17" spans="1:18" x14ac:dyDescent="0.35">
      <c r="A17">
        <v>8</v>
      </c>
      <c r="C17" s="4">
        <f t="shared" si="2"/>
        <v>825.80998155609541</v>
      </c>
      <c r="D17" s="4">
        <f t="shared" si="4"/>
        <v>2889.7139815560972</v>
      </c>
      <c r="E17">
        <v>0</v>
      </c>
      <c r="F17" s="4">
        <f t="shared" si="5"/>
        <v>3120.8911000805842</v>
      </c>
      <c r="G17" s="4">
        <f t="shared" si="6"/>
        <v>445.23000604716151</v>
      </c>
      <c r="H17" s="4">
        <f>-PPMT($D$2,$A14,$D$3,$D$12)</f>
        <v>2675.6610940334226</v>
      </c>
      <c r="I17">
        <f t="shared" si="0"/>
        <v>0.85093021028188232</v>
      </c>
      <c r="J17" s="4">
        <f t="shared" si="1"/>
        <v>1686.1203532926813</v>
      </c>
      <c r="O17" s="4"/>
      <c r="P17" s="4"/>
      <c r="Q17" s="4"/>
      <c r="R17" s="4"/>
    </row>
    <row r="18" spans="1:18" x14ac:dyDescent="0.35">
      <c r="A18">
        <v>9</v>
      </c>
      <c r="C18" s="4">
        <f t="shared" si="2"/>
        <v>-2063.9040000000014</v>
      </c>
      <c r="D18" s="4">
        <f>(D17-H18)</f>
        <v>4.5474735088646412E-13</v>
      </c>
      <c r="E18">
        <v>0</v>
      </c>
      <c r="F18" s="4">
        <f t="shared" si="5"/>
        <v>3120.8911000805842</v>
      </c>
      <c r="G18" s="4">
        <f>-IPMT($D$2,$A15,$D$3,$D$12)</f>
        <v>231.1771185244877</v>
      </c>
      <c r="H18" s="4">
        <f t="shared" si="3"/>
        <v>2889.7139815560968</v>
      </c>
      <c r="I18">
        <f t="shared" si="0"/>
        <v>0.99900462710443305</v>
      </c>
      <c r="J18" s="4">
        <f t="shared" si="1"/>
        <v>1561.2225493450751</v>
      </c>
      <c r="O18" s="4"/>
      <c r="P18" s="4"/>
      <c r="Q18" s="4"/>
      <c r="R18" s="4"/>
    </row>
    <row r="19" spans="1:18" x14ac:dyDescent="0.35">
      <c r="D19" s="18">
        <f>NPV(D2,F10:F18)</f>
        <v>11453.017832647458</v>
      </c>
      <c r="E19" s="4"/>
      <c r="F19" s="4"/>
      <c r="G19" s="4"/>
      <c r="H19" s="4"/>
      <c r="I19" s="4"/>
      <c r="O19" s="4"/>
      <c r="P19" s="4"/>
      <c r="Q19" s="4"/>
    </row>
    <row r="20" spans="1:18" x14ac:dyDescent="0.35">
      <c r="D20" s="1"/>
    </row>
    <row r="21" spans="1:18" x14ac:dyDescent="0.35">
      <c r="A21" t="s">
        <v>56</v>
      </c>
      <c r="B21" t="s">
        <v>46</v>
      </c>
      <c r="D21" s="1"/>
    </row>
    <row r="22" spans="1:18" x14ac:dyDescent="0.35">
      <c r="A22" s="1" t="s">
        <v>4</v>
      </c>
      <c r="B22" s="1" t="s">
        <v>5</v>
      </c>
      <c r="C22" s="1" t="s">
        <v>6</v>
      </c>
      <c r="D22" s="1" t="s">
        <v>116</v>
      </c>
      <c r="E22" s="1" t="s">
        <v>115</v>
      </c>
      <c r="F22" s="1" t="s">
        <v>7</v>
      </c>
      <c r="G22" s="1" t="s">
        <v>8</v>
      </c>
      <c r="H22" s="1" t="s">
        <v>9</v>
      </c>
      <c r="I22" s="1" t="s">
        <v>49</v>
      </c>
      <c r="J22" s="1" t="s">
        <v>48</v>
      </c>
      <c r="K22" s="1" t="s">
        <v>50</v>
      </c>
      <c r="L22" s="1" t="s">
        <v>51</v>
      </c>
      <c r="M22" s="1" t="s">
        <v>52</v>
      </c>
      <c r="N22" s="1"/>
    </row>
    <row r="23" spans="1:18" x14ac:dyDescent="0.35">
      <c r="A23">
        <v>1</v>
      </c>
      <c r="B23">
        <v>4000</v>
      </c>
      <c r="C23">
        <f>B23</f>
        <v>4000</v>
      </c>
      <c r="D23">
        <f>B23+E23</f>
        <v>4194.174757281553</v>
      </c>
      <c r="E23">
        <f>C23*$D$6</f>
        <v>194.1747572815533</v>
      </c>
      <c r="F23">
        <v>0</v>
      </c>
      <c r="G23">
        <v>0</v>
      </c>
      <c r="H23">
        <v>0</v>
      </c>
      <c r="I23">
        <f t="shared" ref="I23:I31" si="7">((1+$D$6)^A23)-1</f>
        <v>4.8543689320388328E-2</v>
      </c>
      <c r="J23" s="4">
        <f>NPV(I23,F23)</f>
        <v>0</v>
      </c>
      <c r="K23" s="17">
        <f>NPV(D6,F23:F31)</f>
        <v>11453.017832647469</v>
      </c>
      <c r="L23" s="4">
        <f>NPV(D6,G23:G31)</f>
        <v>1672.5895404184992</v>
      </c>
      <c r="M23" s="4">
        <f>NPV(D6,H23:H31)</f>
        <v>9073.5841881797824</v>
      </c>
      <c r="N23" s="4"/>
    </row>
    <row r="24" spans="1:18" x14ac:dyDescent="0.35">
      <c r="A24">
        <v>2</v>
      </c>
      <c r="B24">
        <v>4000</v>
      </c>
      <c r="C24">
        <f>SUM(B23:B24)</f>
        <v>8000</v>
      </c>
      <c r="D24">
        <f>B24+C23*(1+D6)</f>
        <v>8194.174757281553</v>
      </c>
      <c r="E24">
        <f>C24*$D$6</f>
        <v>388.3495145631066</v>
      </c>
      <c r="F24">
        <v>0</v>
      </c>
      <c r="G24">
        <v>0</v>
      </c>
      <c r="H24">
        <v>0</v>
      </c>
      <c r="I24">
        <f t="shared" si="7"/>
        <v>9.944386841361097E-2</v>
      </c>
      <c r="J24" s="4">
        <f>NPV(I24,F24)</f>
        <v>0</v>
      </c>
      <c r="K24" s="4">
        <f>SUM(J23:J31)</f>
        <v>11453.017832647469</v>
      </c>
    </row>
    <row r="25" spans="1:18" x14ac:dyDescent="0.35">
      <c r="A25">
        <v>3</v>
      </c>
      <c r="B25">
        <v>4000</v>
      </c>
      <c r="C25">
        <f>SUM(B23:B25)</f>
        <v>12000</v>
      </c>
      <c r="D25">
        <f>D24+C23*(1+D6)</f>
        <v>12388.349514563106</v>
      </c>
      <c r="E25">
        <f>C25*$D$6</f>
        <v>582.52427184465989</v>
      </c>
      <c r="F25">
        <v>0</v>
      </c>
      <c r="G25">
        <v>0</v>
      </c>
      <c r="H25">
        <v>0</v>
      </c>
      <c r="I25">
        <f t="shared" si="7"/>
        <v>0.15281492998708712</v>
      </c>
      <c r="J25" s="4">
        <f t="shared" ref="J25:J30" si="8">NPV(I25,F25)</f>
        <v>0</v>
      </c>
      <c r="K25" s="4">
        <f>L23+M23</f>
        <v>10746.173728598282</v>
      </c>
      <c r="M25" s="4"/>
    </row>
    <row r="26" spans="1:18" x14ac:dyDescent="0.35">
      <c r="A26">
        <v>4</v>
      </c>
      <c r="C26" s="4">
        <f t="shared" ref="C26:C31" si="9">(C25-H26)</f>
        <v>10172.010293482412</v>
      </c>
      <c r="D26" s="4">
        <f>D25-H26</f>
        <v>10560.359808045518</v>
      </c>
      <c r="F26" s="4">
        <f>F13/(1+$D$5)^A26</f>
        <v>2772.8713203769453</v>
      </c>
      <c r="G26" s="4">
        <f>-IPMT($D$6,$A23,$D$3,$D$25)</f>
        <v>601.37619002733493</v>
      </c>
      <c r="H26" s="4">
        <f>-PPMT($D$6,$A23,$D$3,$D$25)</f>
        <v>1827.9897065175876</v>
      </c>
      <c r="I26">
        <f t="shared" si="7"/>
        <v>0.20877681979228546</v>
      </c>
      <c r="J26" s="4">
        <f>NPV(I26,F26)</f>
        <v>2293.9481258859942</v>
      </c>
      <c r="K26" s="4"/>
    </row>
    <row r="27" spans="1:18" x14ac:dyDescent="0.35">
      <c r="A27">
        <v>5</v>
      </c>
      <c r="C27" s="4">
        <f t="shared" si="9"/>
        <v>8255.2832225707662</v>
      </c>
      <c r="D27" s="4">
        <f t="shared" ref="D27:D30" si="10">D26-H27</f>
        <v>8643.6327371338721</v>
      </c>
      <c r="F27" s="4">
        <f t="shared" ref="F27:F31" si="11">F14/(1+$D$5)^A27</f>
        <v>2692.1080780358693</v>
      </c>
      <c r="G27" s="4">
        <f>-IPMT($D$6,$A24,$D$3,$D$25)</f>
        <v>512.63882563327729</v>
      </c>
      <c r="H27" s="4">
        <f t="shared" ref="H27:H31" si="12">-PPMT($D$6,$A24,$D$3,$D$25)</f>
        <v>1916.7270709116451</v>
      </c>
      <c r="I27">
        <f t="shared" si="7"/>
        <v>0.26745530618996916</v>
      </c>
      <c r="J27" s="4">
        <f>NPV(I27,F27)</f>
        <v>2124.0260424870316</v>
      </c>
    </row>
    <row r="28" spans="1:18" x14ac:dyDescent="0.35">
      <c r="A28">
        <v>6</v>
      </c>
      <c r="C28" s="4">
        <f t="shared" si="9"/>
        <v>6245.5111482168086</v>
      </c>
      <c r="D28" s="4">
        <f t="shared" si="10"/>
        <v>6633.8606627799145</v>
      </c>
      <c r="F28" s="4">
        <f t="shared" si="11"/>
        <v>2613.6971631416204</v>
      </c>
      <c r="G28" s="4">
        <f t="shared" ref="G28:G30" si="13">-IPMT($D$6,$A25,$D$3,$D$25)</f>
        <v>419.59382219096449</v>
      </c>
      <c r="H28" s="4">
        <f t="shared" si="12"/>
        <v>2009.7720743539578</v>
      </c>
      <c r="I28">
        <f t="shared" si="7"/>
        <v>0.32898226280113274</v>
      </c>
      <c r="J28" s="4">
        <f>NPV(I28,F28)</f>
        <v>1966.6907800805848</v>
      </c>
    </row>
    <row r="29" spans="1:18" x14ac:dyDescent="0.35">
      <c r="A29">
        <v>7</v>
      </c>
      <c r="C29" s="4">
        <f t="shared" si="9"/>
        <v>4138.1773226806199</v>
      </c>
      <c r="D29" s="4">
        <f t="shared" si="10"/>
        <v>4526.5268372437258</v>
      </c>
      <c r="F29" s="4">
        <f>F16/(1+$D$5)^A29</f>
        <v>2537.5700613025442</v>
      </c>
      <c r="G29" s="4">
        <f>-IPMT($D$6,$A26,$D$3,$D$25)</f>
        <v>322.03207100873351</v>
      </c>
      <c r="H29" s="4">
        <f t="shared" si="12"/>
        <v>2107.3338255361887</v>
      </c>
      <c r="I29">
        <f t="shared" si="7"/>
        <v>0.39349596487885741</v>
      </c>
      <c r="J29" s="4">
        <f t="shared" si="8"/>
        <v>1821.0099815560973</v>
      </c>
    </row>
    <row r="30" spans="1:18" x14ac:dyDescent="0.35">
      <c r="A30">
        <v>8</v>
      </c>
      <c r="C30" s="4">
        <f t="shared" si="9"/>
        <v>1928.5457386232565</v>
      </c>
      <c r="D30" s="4">
        <f t="shared" si="10"/>
        <v>2316.8952531863624</v>
      </c>
      <c r="F30" s="4">
        <f t="shared" si="11"/>
        <v>2463.6602536917908</v>
      </c>
      <c r="G30" s="4">
        <f t="shared" si="13"/>
        <v>219.73431248755935</v>
      </c>
      <c r="H30" s="4">
        <f t="shared" si="12"/>
        <v>2209.6315840573634</v>
      </c>
      <c r="I30">
        <f t="shared" si="7"/>
        <v>0.46114140006715143</v>
      </c>
      <c r="J30" s="4">
        <f t="shared" si="8"/>
        <v>1686.1203532926829</v>
      </c>
    </row>
    <row r="31" spans="1:18" x14ac:dyDescent="0.35">
      <c r="A31">
        <v>9</v>
      </c>
      <c r="C31" s="4">
        <f t="shared" si="9"/>
        <v>-388.34951456310455</v>
      </c>
      <c r="D31" s="4">
        <f>D30-H31</f>
        <v>0</v>
      </c>
      <c r="F31" s="4">
        <f t="shared" si="11"/>
        <v>2391.9031589240685</v>
      </c>
      <c r="G31" s="4">
        <f>-IPMT($D$6,$A28,$D$3,$D$25)</f>
        <v>112.47064335856116</v>
      </c>
      <c r="H31" s="4">
        <f t="shared" si="12"/>
        <v>2316.8952531863611</v>
      </c>
      <c r="I31">
        <f t="shared" si="7"/>
        <v>0.53207059424516845</v>
      </c>
      <c r="J31" s="4">
        <f>NPV(I31,F31)</f>
        <v>1561.2225493450767</v>
      </c>
    </row>
    <row r="32" spans="1:18" x14ac:dyDescent="0.35">
      <c r="D32" s="1"/>
      <c r="G32" s="4">
        <f>NPV(D6,G23:G31)</f>
        <v>1672.5895404184992</v>
      </c>
      <c r="H32" s="4"/>
      <c r="I32" s="4"/>
      <c r="J32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39D0-849A-4751-AB99-053CA699ABE6}">
  <dimension ref="A1:K32"/>
  <sheetViews>
    <sheetView topLeftCell="A9" zoomScale="72" workbookViewId="0">
      <selection activeCell="F13" sqref="F13"/>
    </sheetView>
  </sheetViews>
  <sheetFormatPr defaultRowHeight="14.5" x14ac:dyDescent="0.35"/>
  <cols>
    <col min="3" max="3" width="11.90625" customWidth="1"/>
    <col min="4" max="4" width="13.26953125" customWidth="1"/>
    <col min="5" max="5" width="12.6328125" customWidth="1"/>
    <col min="6" max="6" width="13.6328125" customWidth="1"/>
    <col min="7" max="7" width="13.26953125" customWidth="1"/>
    <col min="8" max="8" width="12.7265625" customWidth="1"/>
    <col min="9" max="9" width="15.90625" customWidth="1"/>
    <col min="10" max="10" width="17.90625" customWidth="1"/>
    <col min="11" max="11" width="20.90625" customWidth="1"/>
  </cols>
  <sheetData>
    <row r="1" spans="1:11" x14ac:dyDescent="0.35">
      <c r="A1" t="s">
        <v>0</v>
      </c>
    </row>
    <row r="2" spans="1:11" x14ac:dyDescent="0.35">
      <c r="A2" t="s">
        <v>44</v>
      </c>
      <c r="D2" s="2">
        <v>0.08</v>
      </c>
    </row>
    <row r="3" spans="1:11" x14ac:dyDescent="0.35">
      <c r="A3" t="s">
        <v>2</v>
      </c>
      <c r="D3">
        <v>6</v>
      </c>
    </row>
    <row r="4" spans="1:11" x14ac:dyDescent="0.35">
      <c r="A4" t="s">
        <v>3</v>
      </c>
      <c r="D4" s="3"/>
    </row>
    <row r="5" spans="1:11" x14ac:dyDescent="0.35">
      <c r="A5" t="s">
        <v>47</v>
      </c>
      <c r="D5" s="5">
        <v>0.03</v>
      </c>
    </row>
    <row r="6" spans="1:11" x14ac:dyDescent="0.35">
      <c r="A6" t="s">
        <v>45</v>
      </c>
      <c r="D6" s="7">
        <f>((1+0.08)/(1+0.03))-1</f>
        <v>4.8543689320388328E-2</v>
      </c>
    </row>
    <row r="8" spans="1:11" x14ac:dyDescent="0.35">
      <c r="A8" t="s">
        <v>57</v>
      </c>
      <c r="B8" t="s">
        <v>32</v>
      </c>
    </row>
    <row r="9" spans="1:11" x14ac:dyDescent="0.35">
      <c r="A9" s="1" t="s">
        <v>4</v>
      </c>
      <c r="B9" s="1" t="s">
        <v>5</v>
      </c>
      <c r="C9" s="1" t="s">
        <v>6</v>
      </c>
      <c r="D9" s="1" t="s">
        <v>7</v>
      </c>
      <c r="E9" s="1" t="s">
        <v>8</v>
      </c>
      <c r="F9" s="1" t="s">
        <v>9</v>
      </c>
      <c r="G9" s="1" t="s">
        <v>49</v>
      </c>
      <c r="H9" s="1" t="s">
        <v>48</v>
      </c>
      <c r="I9" s="1" t="s">
        <v>50</v>
      </c>
      <c r="J9" s="1" t="s">
        <v>51</v>
      </c>
      <c r="K9" s="1" t="s">
        <v>52</v>
      </c>
    </row>
    <row r="10" spans="1:11" x14ac:dyDescent="0.35">
      <c r="A10">
        <v>1</v>
      </c>
      <c r="B10">
        <v>4000</v>
      </c>
      <c r="C10">
        <f>B10</f>
        <v>4000</v>
      </c>
      <c r="D10">
        <v>0</v>
      </c>
      <c r="E10">
        <v>0</v>
      </c>
      <c r="F10">
        <v>0</v>
      </c>
      <c r="G10">
        <f>((1+$D$2)^A10)-1</f>
        <v>8.0000000000000071E-2</v>
      </c>
      <c r="H10" s="4">
        <f>NPV(G10,D10)</f>
        <v>0</v>
      </c>
      <c r="I10" s="17">
        <f>NPV(D2,D10:D18)</f>
        <v>9814.6242950769665</v>
      </c>
      <c r="J10" s="4">
        <f>NPV(D2,E10:E18)</f>
        <v>2381.9337313211886</v>
      </c>
      <c r="K10" s="4">
        <f>NPV(D2,F10:F18)</f>
        <v>7432.6905637557766</v>
      </c>
    </row>
    <row r="11" spans="1:11" x14ac:dyDescent="0.35">
      <c r="A11">
        <v>2</v>
      </c>
      <c r="B11">
        <f>4000*(1.03)^A10</f>
        <v>4120</v>
      </c>
      <c r="C11">
        <f>C10+B11</f>
        <v>8120</v>
      </c>
      <c r="D11">
        <v>0</v>
      </c>
      <c r="E11">
        <v>0</v>
      </c>
      <c r="F11">
        <v>0</v>
      </c>
      <c r="G11">
        <f>((1+$D$2)^A11)-1</f>
        <v>0.1664000000000001</v>
      </c>
      <c r="H11" s="4">
        <f t="shared" ref="H11:H18" si="0">NPV(G11,D11)</f>
        <v>0</v>
      </c>
      <c r="I11" s="4">
        <f>SUM(H10:H18)</f>
        <v>9814.6242950769665</v>
      </c>
    </row>
    <row r="12" spans="1:11" x14ac:dyDescent="0.35">
      <c r="A12">
        <v>3</v>
      </c>
      <c r="B12">
        <f>4000*(1.03)^A11</f>
        <v>4243.5999999999995</v>
      </c>
      <c r="C12">
        <f>C11+B12</f>
        <v>12363.599999999999</v>
      </c>
      <c r="D12">
        <v>0</v>
      </c>
      <c r="E12">
        <v>0</v>
      </c>
      <c r="F12">
        <v>0</v>
      </c>
      <c r="G12">
        <f>((1+$D$2)^A12)-1</f>
        <v>0.25971200000000016</v>
      </c>
      <c r="H12" s="4">
        <f>NPV(G12,D12)</f>
        <v>0</v>
      </c>
      <c r="I12" s="4">
        <f>J10+K10</f>
        <v>9814.6242950769647</v>
      </c>
      <c r="K12" s="4"/>
    </row>
    <row r="13" spans="1:11" x14ac:dyDescent="0.35">
      <c r="A13">
        <v>4</v>
      </c>
      <c r="C13" s="4">
        <f>C12-F13</f>
        <v>10678.251090819012</v>
      </c>
      <c r="D13" s="4">
        <f>-PMT($D$2,$D$3,$C$12)</f>
        <v>2674.4369091809854</v>
      </c>
      <c r="E13" s="4">
        <f>-IPMT($D$2,$A10,$D$3,$C$12)</f>
        <v>989.08799999999985</v>
      </c>
      <c r="F13" s="4">
        <f>-PPMT($D$2,$A10,$D$3,$C$12)</f>
        <v>1685.3489091809861</v>
      </c>
      <c r="G13">
        <f t="shared" ref="G13:G18" si="1">((1+$D$2)^A13)-1</f>
        <v>0.3604889600000003</v>
      </c>
      <c r="H13" s="4">
        <f>NPV(G13,D13)</f>
        <v>1965.7909676687011</v>
      </c>
      <c r="I13" s="4"/>
    </row>
    <row r="14" spans="1:11" x14ac:dyDescent="0.35">
      <c r="A14">
        <v>5</v>
      </c>
      <c r="C14" s="4">
        <f>C13-F14</f>
        <v>8858.0742689035469</v>
      </c>
      <c r="D14" s="4">
        <f t="shared" ref="D14:D17" si="2">-PMT($D$2,$D$3,$C$12)</f>
        <v>2674.4369091809854</v>
      </c>
      <c r="E14" s="4">
        <f t="shared" ref="E14:E18" si="3">-IPMT($D$2,$A11,$D$3,$C$12)</f>
        <v>854.26008726552118</v>
      </c>
      <c r="F14" s="4">
        <f t="shared" ref="F14:F17" si="4">-PPMT($D$2,$A11,$D$3,$C$12)</f>
        <v>1820.1768219154646</v>
      </c>
      <c r="G14">
        <f t="shared" si="1"/>
        <v>0.46932807680000033</v>
      </c>
      <c r="H14" s="4">
        <f>NPV(G14,D14)</f>
        <v>1820.176821915464</v>
      </c>
    </row>
    <row r="15" spans="1:11" x14ac:dyDescent="0.35">
      <c r="A15">
        <v>6</v>
      </c>
      <c r="C15" s="4">
        <f t="shared" ref="C15:C18" si="5">C14-F15</f>
        <v>6892.2833012348456</v>
      </c>
      <c r="D15" s="4">
        <f>-PMT($D$2,$D$3,$C$12)</f>
        <v>2674.4369091809854</v>
      </c>
      <c r="E15" s="4">
        <f t="shared" si="3"/>
        <v>708.6459415122838</v>
      </c>
      <c r="F15" s="4">
        <f t="shared" si="4"/>
        <v>1965.7909676687016</v>
      </c>
      <c r="G15">
        <f t="shared" si="1"/>
        <v>0.58687432294400055</v>
      </c>
      <c r="H15" s="4">
        <f t="shared" si="0"/>
        <v>1685.3489091809849</v>
      </c>
    </row>
    <row r="16" spans="1:11" x14ac:dyDescent="0.35">
      <c r="A16">
        <v>7</v>
      </c>
      <c r="C16" s="4">
        <f t="shared" si="5"/>
        <v>4769.2290561526479</v>
      </c>
      <c r="D16" s="4">
        <f t="shared" si="2"/>
        <v>2674.4369091809854</v>
      </c>
      <c r="E16" s="4">
        <f t="shared" si="3"/>
        <v>551.3826640987877</v>
      </c>
      <c r="F16" s="4">
        <f t="shared" si="4"/>
        <v>2123.0542450821981</v>
      </c>
      <c r="G16">
        <f t="shared" si="1"/>
        <v>0.71382426877952065</v>
      </c>
      <c r="H16" s="4">
        <f t="shared" si="0"/>
        <v>1560.5082492416527</v>
      </c>
    </row>
    <row r="17" spans="1:11" x14ac:dyDescent="0.35">
      <c r="A17">
        <v>8</v>
      </c>
      <c r="C17" s="4">
        <f t="shared" si="5"/>
        <v>2476.3304714638743</v>
      </c>
      <c r="D17" s="4">
        <f t="shared" si="2"/>
        <v>2674.4369091809854</v>
      </c>
      <c r="E17" s="4">
        <f t="shared" si="3"/>
        <v>381.53832449221193</v>
      </c>
      <c r="F17" s="4">
        <f t="shared" si="4"/>
        <v>2292.8985846887736</v>
      </c>
      <c r="G17">
        <f t="shared" si="1"/>
        <v>0.85093021028188232</v>
      </c>
      <c r="H17" s="4">
        <f t="shared" si="0"/>
        <v>1444.9150455941228</v>
      </c>
    </row>
    <row r="18" spans="1:11" x14ac:dyDescent="0.35">
      <c r="A18">
        <v>9</v>
      </c>
      <c r="C18" s="4">
        <f t="shared" si="5"/>
        <v>0</v>
      </c>
      <c r="D18" s="4">
        <f>-PMT($D$2,$D$3,$C$12)</f>
        <v>2674.4369091809854</v>
      </c>
      <c r="E18" s="4">
        <f t="shared" si="3"/>
        <v>198.10643771711003</v>
      </c>
      <c r="F18" s="4">
        <f>-PPMT($D$2,$A15,$D$3,$C$12)</f>
        <v>2476.3304714638757</v>
      </c>
      <c r="G18">
        <f t="shared" si="1"/>
        <v>0.99900462710443305</v>
      </c>
      <c r="H18" s="4">
        <f t="shared" si="0"/>
        <v>1337.8843014760396</v>
      </c>
    </row>
    <row r="19" spans="1:11" x14ac:dyDescent="0.35">
      <c r="D19" s="4">
        <f>NPV(D2,D13:D18)</f>
        <v>12363.599999999997</v>
      </c>
      <c r="E19" s="4"/>
      <c r="F19" s="4">
        <f>SUM(F13:F18)</f>
        <v>12363.6</v>
      </c>
      <c r="G19" s="4"/>
    </row>
    <row r="21" spans="1:11" x14ac:dyDescent="0.35">
      <c r="A21" t="s">
        <v>57</v>
      </c>
      <c r="B21" t="s">
        <v>46</v>
      </c>
    </row>
    <row r="22" spans="1:11" x14ac:dyDescent="0.35">
      <c r="A22" s="1" t="s">
        <v>4</v>
      </c>
      <c r="B22" s="1" t="s">
        <v>5</v>
      </c>
      <c r="C22" s="1" t="s">
        <v>6</v>
      </c>
      <c r="D22" s="1" t="s">
        <v>7</v>
      </c>
      <c r="E22" s="1" t="s">
        <v>8</v>
      </c>
      <c r="F22" s="1" t="s">
        <v>9</v>
      </c>
      <c r="G22" s="1" t="s">
        <v>49</v>
      </c>
      <c r="H22" s="1" t="s">
        <v>48</v>
      </c>
      <c r="I22" s="1" t="s">
        <v>14</v>
      </c>
      <c r="J22" s="1" t="s">
        <v>51</v>
      </c>
      <c r="K22" s="1" t="s">
        <v>52</v>
      </c>
    </row>
    <row r="23" spans="1:11" x14ac:dyDescent="0.35">
      <c r="A23">
        <v>1</v>
      </c>
      <c r="B23">
        <v>4000</v>
      </c>
      <c r="C23">
        <f>B23</f>
        <v>4000</v>
      </c>
      <c r="D23">
        <v>0</v>
      </c>
      <c r="E23">
        <v>0</v>
      </c>
      <c r="F23">
        <v>0</v>
      </c>
      <c r="G23">
        <f>((1+$D$6)^A23)-1</f>
        <v>4.8543689320388328E-2</v>
      </c>
      <c r="H23" s="4">
        <f>NPV(G23,D23)</f>
        <v>0</v>
      </c>
      <c r="I23" s="17">
        <f>NPV(D6,D23:D31)</f>
        <v>9814.6242950769738</v>
      </c>
      <c r="J23" s="4">
        <f>NPV(D6,E23:E31)</f>
        <v>1620.1572664241887</v>
      </c>
      <c r="K23" s="4">
        <f>NPV(D6,F23:F31)</f>
        <v>8789.1458123747761</v>
      </c>
    </row>
    <row r="24" spans="1:11" x14ac:dyDescent="0.35">
      <c r="A24">
        <v>2</v>
      </c>
      <c r="B24">
        <v>4000</v>
      </c>
      <c r="C24">
        <f>C23+B24</f>
        <v>8000</v>
      </c>
      <c r="D24">
        <v>0</v>
      </c>
      <c r="E24">
        <v>0</v>
      </c>
      <c r="F24">
        <v>0</v>
      </c>
      <c r="G24">
        <f t="shared" ref="G24:G31" si="6">((1+$D$6)^A24)-1</f>
        <v>9.944386841361097E-2</v>
      </c>
      <c r="H24" s="4">
        <f t="shared" ref="H24:H31" si="7">NPV(G24,D24)</f>
        <v>0</v>
      </c>
      <c r="I24" s="4">
        <f>SUM(H23:H31)</f>
        <v>9814.624295076972</v>
      </c>
    </row>
    <row r="25" spans="1:11" x14ac:dyDescent="0.35">
      <c r="A25">
        <v>3</v>
      </c>
      <c r="B25">
        <v>4000</v>
      </c>
      <c r="C25">
        <f>C24+B25</f>
        <v>12000</v>
      </c>
      <c r="D25">
        <v>0</v>
      </c>
      <c r="E25">
        <v>0</v>
      </c>
      <c r="F25">
        <v>0</v>
      </c>
      <c r="G25">
        <f t="shared" si="6"/>
        <v>0.15281492998708712</v>
      </c>
      <c r="H25" s="4">
        <f>NPV(G25,D25)</f>
        <v>0</v>
      </c>
      <c r="I25" s="4">
        <f>J23+K23</f>
        <v>10409.303078798965</v>
      </c>
    </row>
    <row r="26" spans="1:11" x14ac:dyDescent="0.35">
      <c r="A26">
        <v>4</v>
      </c>
      <c r="C26" s="4">
        <f>C25-F26</f>
        <v>10229.314046037824</v>
      </c>
      <c r="D26" s="4">
        <f>D13/(1+$D$5)^A26</f>
        <v>2376.2025542749734</v>
      </c>
      <c r="E26" s="4">
        <f>-IPMT($D$6,$A23,$D$3,$C$25)</f>
        <v>582.52427184465989</v>
      </c>
      <c r="F26" s="4">
        <f>-PPMT($D$6,$A23,$D$3,$C$25)</f>
        <v>1770.6859539621773</v>
      </c>
      <c r="G26">
        <f t="shared" si="6"/>
        <v>0.20877681979228546</v>
      </c>
      <c r="H26" s="4">
        <f>NPV(G26,D26)</f>
        <v>1965.7909676687023</v>
      </c>
    </row>
    <row r="27" spans="1:11" x14ac:dyDescent="0.35">
      <c r="A27">
        <v>5</v>
      </c>
      <c r="C27" s="4">
        <f>C26-F27</f>
        <v>8372.6724632425303</v>
      </c>
      <c r="D27" s="4">
        <f t="shared" ref="D27:D31" si="8">D14/(1+$D$5)^A27</f>
        <v>2306.9927711407508</v>
      </c>
      <c r="E27" s="4">
        <f t="shared" ref="E27:E31" si="9">-IPMT($D$6,$A24,$D$3,$C$25)</f>
        <v>496.56864301154451</v>
      </c>
      <c r="F27" s="4">
        <f t="shared" ref="F27:F31" si="10">-PPMT($D$6,$A24,$D$3,$C$25)</f>
        <v>1856.6415827952928</v>
      </c>
      <c r="G27">
        <f t="shared" si="6"/>
        <v>0.26745530618996916</v>
      </c>
      <c r="H27" s="4">
        <f>NPV(G27,D27)</f>
        <v>1820.1768219154651</v>
      </c>
    </row>
    <row r="28" spans="1:11" x14ac:dyDescent="0.35">
      <c r="A28">
        <v>6</v>
      </c>
      <c r="C28" s="4">
        <f t="shared" ref="C28:C31" si="11">C27-F28</f>
        <v>6425.9026482727086</v>
      </c>
      <c r="D28" s="4">
        <f t="shared" si="8"/>
        <v>2239.7988069327675</v>
      </c>
      <c r="E28" s="4">
        <f t="shared" si="9"/>
        <v>406.44041083701575</v>
      </c>
      <c r="F28" s="4">
        <f t="shared" si="10"/>
        <v>1946.7698149698215</v>
      </c>
      <c r="G28">
        <f t="shared" si="6"/>
        <v>0.32898226280113274</v>
      </c>
      <c r="H28" s="4">
        <f t="shared" si="7"/>
        <v>1685.3489091809861</v>
      </c>
    </row>
    <row r="29" spans="1:11" x14ac:dyDescent="0.35">
      <c r="A29">
        <v>7</v>
      </c>
      <c r="C29" s="4">
        <f>C28-F29</f>
        <v>4384.6294442266817</v>
      </c>
      <c r="D29" s="4">
        <f t="shared" si="8"/>
        <v>2174.5619484784152</v>
      </c>
      <c r="E29" s="4">
        <f t="shared" si="9"/>
        <v>311.93702176081086</v>
      </c>
      <c r="F29" s="4">
        <f t="shared" si="10"/>
        <v>2041.2732040460266</v>
      </c>
      <c r="G29">
        <f t="shared" si="6"/>
        <v>0.39349596487885741</v>
      </c>
      <c r="H29" s="4">
        <f t="shared" si="7"/>
        <v>1560.5082492416541</v>
      </c>
    </row>
    <row r="30" spans="1:11" x14ac:dyDescent="0.35">
      <c r="A30">
        <v>8</v>
      </c>
      <c r="C30" s="4">
        <f t="shared" si="11"/>
        <v>2244.2653079454112</v>
      </c>
      <c r="D30" s="4">
        <f t="shared" si="8"/>
        <v>2111.2251926974905</v>
      </c>
      <c r="E30" s="4">
        <f>-IPMT($D$6,$A27,$D$3,$C$25)</f>
        <v>212.84608952556692</v>
      </c>
      <c r="F30" s="4">
        <f t="shared" si="10"/>
        <v>2140.3641362812705</v>
      </c>
      <c r="G30">
        <f>((1+$D$6)^A30)-1</f>
        <v>0.46114140006715143</v>
      </c>
      <c r="H30" s="4">
        <f t="shared" si="7"/>
        <v>1444.9150455941242</v>
      </c>
    </row>
    <row r="31" spans="1:11" x14ac:dyDescent="0.35">
      <c r="A31">
        <v>9</v>
      </c>
      <c r="C31" s="4">
        <f t="shared" si="11"/>
        <v>0</v>
      </c>
      <c r="D31" s="4">
        <f t="shared" si="8"/>
        <v>2049.7331967936802</v>
      </c>
      <c r="E31" s="4">
        <f t="shared" si="9"/>
        <v>108.9449178614276</v>
      </c>
      <c r="F31" s="4">
        <f t="shared" si="10"/>
        <v>2244.2653079454099</v>
      </c>
      <c r="G31">
        <f t="shared" si="6"/>
        <v>0.53207059424516845</v>
      </c>
      <c r="H31" s="4">
        <f t="shared" si="7"/>
        <v>1337.8843014760409</v>
      </c>
    </row>
    <row r="32" spans="1:11" x14ac:dyDescent="0.35">
      <c r="D32" s="4">
        <f>NPV(D15,D26:D31)</f>
        <v>0.88847737186701659</v>
      </c>
      <c r="E32" s="4"/>
      <c r="F32" s="4">
        <f>SUM(F26:F31)</f>
        <v>12000</v>
      </c>
      <c r="G32" s="4"/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B8752-044B-4845-8DD7-2704C6245F2E}">
  <dimension ref="A1:P62"/>
  <sheetViews>
    <sheetView zoomScale="70" zoomScaleNormal="70" workbookViewId="0">
      <selection activeCell="K32" sqref="K32"/>
    </sheetView>
  </sheetViews>
  <sheetFormatPr defaultColWidth="8.7265625" defaultRowHeight="14.5" x14ac:dyDescent="0.35"/>
  <cols>
    <col min="1" max="1" width="14.08984375" style="9" customWidth="1"/>
    <col min="2" max="2" width="12.453125" style="9" customWidth="1"/>
    <col min="3" max="3" width="16.453125" style="9" customWidth="1"/>
    <col min="4" max="4" width="14.453125" style="9" customWidth="1"/>
    <col min="5" max="5" width="9.6328125" style="9" customWidth="1"/>
    <col min="6" max="6" width="16.6328125" style="9" customWidth="1"/>
    <col min="7" max="7" width="24" style="9" customWidth="1"/>
    <col min="8" max="9" width="16.90625" style="9" customWidth="1"/>
    <col min="10" max="10" width="8.7265625" style="9"/>
    <col min="11" max="11" width="12.08984375" style="9" bestFit="1" customWidth="1"/>
    <col min="12" max="12" width="11.36328125" style="9" bestFit="1" customWidth="1"/>
    <col min="13" max="16384" width="8.7265625" style="9"/>
  </cols>
  <sheetData>
    <row r="1" spans="1:16" ht="29" x14ac:dyDescent="0.35">
      <c r="A1" s="8" t="s">
        <v>23</v>
      </c>
      <c r="B1" s="8"/>
      <c r="D1" s="10" t="s">
        <v>71</v>
      </c>
      <c r="E1" s="10">
        <v>200</v>
      </c>
      <c r="G1" s="10" t="s">
        <v>72</v>
      </c>
      <c r="H1" s="10">
        <v>3000</v>
      </c>
      <c r="I1" s="10"/>
      <c r="J1" s="15" t="s">
        <v>31</v>
      </c>
      <c r="K1" s="13">
        <v>0.1</v>
      </c>
    </row>
    <row r="2" spans="1:16" ht="24.65" customHeight="1" x14ac:dyDescent="0.35">
      <c r="A2" s="10" t="s">
        <v>62</v>
      </c>
      <c r="B2" s="10">
        <v>20</v>
      </c>
      <c r="D2" s="10" t="s">
        <v>66</v>
      </c>
      <c r="E2" s="10">
        <v>800</v>
      </c>
      <c r="G2" s="10" t="s">
        <v>69</v>
      </c>
      <c r="H2" s="10">
        <v>4000</v>
      </c>
      <c r="I2" s="10"/>
      <c r="J2" s="15" t="s">
        <v>97</v>
      </c>
      <c r="K2" s="9">
        <v>3.7909999999999999</v>
      </c>
      <c r="L2" s="9">
        <f>(1-(1+K1)^-5)/K1</f>
        <v>3.7907867694084505</v>
      </c>
      <c r="N2" s="10"/>
      <c r="O2" s="10"/>
    </row>
    <row r="3" spans="1:16" ht="21.65" customHeight="1" x14ac:dyDescent="0.35">
      <c r="A3" s="10" t="s">
        <v>63</v>
      </c>
      <c r="B3" s="10">
        <v>27</v>
      </c>
      <c r="D3" s="10" t="s">
        <v>67</v>
      </c>
      <c r="E3" s="10">
        <v>100</v>
      </c>
      <c r="G3" s="10" t="s">
        <v>70</v>
      </c>
      <c r="H3" s="10">
        <v>300</v>
      </c>
      <c r="I3" s="10"/>
      <c r="J3" s="15" t="s">
        <v>98</v>
      </c>
      <c r="K3" s="9">
        <v>1.736</v>
      </c>
      <c r="N3" s="10"/>
      <c r="O3" s="10"/>
    </row>
    <row r="4" spans="1:16" ht="26.5" customHeight="1" x14ac:dyDescent="0.35">
      <c r="A4" s="10" t="s">
        <v>64</v>
      </c>
      <c r="B4" s="10">
        <v>4</v>
      </c>
      <c r="D4" s="10" t="s">
        <v>65</v>
      </c>
      <c r="E4" s="10">
        <v>500</v>
      </c>
      <c r="G4" s="10" t="s">
        <v>68</v>
      </c>
      <c r="H4" s="10">
        <v>5000</v>
      </c>
      <c r="I4" s="10"/>
      <c r="J4" s="8" t="s">
        <v>99</v>
      </c>
      <c r="K4" s="10">
        <v>4.8680000000000003</v>
      </c>
      <c r="N4" s="10"/>
      <c r="O4" s="10"/>
    </row>
    <row r="5" spans="1:16" x14ac:dyDescent="0.35">
      <c r="B5" s="9" t="s">
        <v>94</v>
      </c>
      <c r="D5" s="20">
        <f>NPV(0.1,D7)</f>
        <v>0</v>
      </c>
      <c r="J5" s="8" t="s">
        <v>100</v>
      </c>
      <c r="K5" s="10">
        <v>0.90900000000000003</v>
      </c>
    </row>
    <row r="6" spans="1:16" x14ac:dyDescent="0.35">
      <c r="A6" s="8" t="s">
        <v>4</v>
      </c>
      <c r="B6" s="8" t="s">
        <v>58</v>
      </c>
      <c r="C6" s="8" t="s">
        <v>48</v>
      </c>
      <c r="D6" s="8" t="s">
        <v>95</v>
      </c>
      <c r="E6" s="8" t="s">
        <v>48</v>
      </c>
      <c r="F6" s="8" t="s">
        <v>96</v>
      </c>
      <c r="G6" s="8" t="s">
        <v>14</v>
      </c>
      <c r="H6" s="15" t="s">
        <v>73</v>
      </c>
      <c r="I6" s="15" t="s">
        <v>75</v>
      </c>
      <c r="J6" s="15"/>
      <c r="K6" s="15" t="s">
        <v>119</v>
      </c>
      <c r="L6" s="10">
        <f>(1-(1+K1)^-30)/K1</f>
        <v>9.42691446698832</v>
      </c>
      <c r="M6" s="11"/>
      <c r="N6" s="8"/>
      <c r="O6" s="8"/>
      <c r="P6" s="8"/>
    </row>
    <row r="7" spans="1:16" x14ac:dyDescent="0.35">
      <c r="A7" s="10">
        <v>1</v>
      </c>
      <c r="B7" s="12">
        <v>30000</v>
      </c>
      <c r="C7" s="12">
        <f>B7/((1+$K$1)^A7)</f>
        <v>27272.727272727272</v>
      </c>
      <c r="D7" s="12">
        <v>0</v>
      </c>
      <c r="E7" s="12">
        <f t="shared" ref="E7:E36" si="0">D7/((1+$K$1)^A7)</f>
        <v>0</v>
      </c>
      <c r="F7" s="12">
        <f>C7+E7</f>
        <v>27272.727272727272</v>
      </c>
      <c r="G7" s="12">
        <f>NPV(K1,F7:F36)</f>
        <v>116116.80897895462</v>
      </c>
      <c r="H7" s="9">
        <f>(E4*L7)</f>
        <v>4538.5200091146799</v>
      </c>
      <c r="I7" s="23">
        <f>G7/H7</f>
        <v>25.584729988136662</v>
      </c>
      <c r="K7" s="9" t="s">
        <v>118</v>
      </c>
      <c r="L7" s="9">
        <v>9.0770400182293596</v>
      </c>
      <c r="N7" s="12"/>
      <c r="O7" s="12"/>
      <c r="P7" s="12"/>
    </row>
    <row r="8" spans="1:16" x14ac:dyDescent="0.35">
      <c r="A8" s="10">
        <v>2</v>
      </c>
      <c r="B8" s="12">
        <v>30000</v>
      </c>
      <c r="C8" s="12">
        <f t="shared" ref="C8:C36" si="1">B8/((1+$K$1)^A8)</f>
        <v>24793.388429752064</v>
      </c>
      <c r="D8" s="12">
        <v>0</v>
      </c>
      <c r="E8" s="12">
        <f t="shared" si="0"/>
        <v>0</v>
      </c>
      <c r="F8" s="12">
        <f>C8+E8</f>
        <v>24793.388429752064</v>
      </c>
      <c r="G8" s="16"/>
      <c r="N8" s="12"/>
      <c r="O8" s="12"/>
      <c r="P8" s="10"/>
    </row>
    <row r="9" spans="1:16" x14ac:dyDescent="0.35">
      <c r="A9" s="10">
        <v>3</v>
      </c>
      <c r="B9" s="12">
        <v>25000</v>
      </c>
      <c r="C9" s="12">
        <f t="shared" si="1"/>
        <v>18782.870022539439</v>
      </c>
      <c r="D9" s="12">
        <v>0</v>
      </c>
      <c r="E9" s="12">
        <f t="shared" si="0"/>
        <v>0</v>
      </c>
      <c r="F9" s="12">
        <f t="shared" ref="F9:F36" si="2">C9+E9</f>
        <v>18782.870022539439</v>
      </c>
      <c r="G9" s="16"/>
      <c r="N9" s="12"/>
      <c r="O9" s="10"/>
      <c r="P9" s="10"/>
    </row>
    <row r="10" spans="1:16" x14ac:dyDescent="0.35">
      <c r="A10" s="10">
        <v>4</v>
      </c>
      <c r="B10" s="12">
        <v>30000</v>
      </c>
      <c r="C10" s="12">
        <f t="shared" si="1"/>
        <v>20490.403660952114</v>
      </c>
      <c r="D10" s="12">
        <v>0</v>
      </c>
      <c r="E10" s="12">
        <f t="shared" si="0"/>
        <v>0</v>
      </c>
      <c r="F10" s="12">
        <f t="shared" si="2"/>
        <v>20490.403660952114</v>
      </c>
      <c r="G10" s="10"/>
      <c r="N10" s="12"/>
      <c r="O10" s="10"/>
      <c r="P10" s="10"/>
    </row>
    <row r="11" spans="1:16" x14ac:dyDescent="0.35">
      <c r="A11" s="10">
        <v>5</v>
      </c>
      <c r="B11" s="12">
        <v>40000</v>
      </c>
      <c r="C11" s="12">
        <f t="shared" si="1"/>
        <v>24836.852922366197</v>
      </c>
      <c r="D11" s="12">
        <v>0</v>
      </c>
      <c r="E11" s="12">
        <f t="shared" si="0"/>
        <v>0</v>
      </c>
      <c r="F11" s="12">
        <f t="shared" si="2"/>
        <v>24836.852922366197</v>
      </c>
      <c r="G11" s="10"/>
      <c r="N11" s="12"/>
      <c r="O11" s="10"/>
      <c r="P11" s="10"/>
    </row>
    <row r="12" spans="1:16" x14ac:dyDescent="0.35">
      <c r="A12" s="10">
        <v>6</v>
      </c>
      <c r="B12" s="12">
        <v>0</v>
      </c>
      <c r="C12" s="12">
        <f t="shared" si="1"/>
        <v>0</v>
      </c>
      <c r="D12" s="12">
        <f>($B$2*$E$4)+$H$4</f>
        <v>15000</v>
      </c>
      <c r="E12" s="12">
        <f t="shared" si="0"/>
        <v>8467.108950806658</v>
      </c>
      <c r="F12" s="12">
        <f t="shared" si="2"/>
        <v>8467.108950806658</v>
      </c>
      <c r="G12" s="10"/>
      <c r="N12" s="12"/>
      <c r="O12" s="10"/>
      <c r="P12" s="10"/>
    </row>
    <row r="13" spans="1:16" x14ac:dyDescent="0.35">
      <c r="A13" s="10">
        <v>7</v>
      </c>
      <c r="B13" s="12">
        <v>0</v>
      </c>
      <c r="C13" s="12">
        <f t="shared" si="1"/>
        <v>0</v>
      </c>
      <c r="D13" s="12">
        <f t="shared" ref="D13:D36" si="3">($B$2*$E$4)+$H$4</f>
        <v>15000</v>
      </c>
      <c r="E13" s="12">
        <f t="shared" si="0"/>
        <v>7697.3717734605962</v>
      </c>
      <c r="F13" s="12">
        <f t="shared" si="2"/>
        <v>7697.3717734605962</v>
      </c>
      <c r="G13" s="10"/>
      <c r="N13" s="12"/>
      <c r="O13" s="10"/>
      <c r="P13" s="10"/>
    </row>
    <row r="14" spans="1:16" x14ac:dyDescent="0.35">
      <c r="A14" s="10">
        <v>8</v>
      </c>
      <c r="B14" s="12">
        <v>0</v>
      </c>
      <c r="C14" s="12">
        <f t="shared" si="1"/>
        <v>0</v>
      </c>
      <c r="D14" s="12">
        <f t="shared" si="3"/>
        <v>15000</v>
      </c>
      <c r="E14" s="12">
        <f t="shared" si="0"/>
        <v>6997.6107031459978</v>
      </c>
      <c r="F14" s="12">
        <f t="shared" si="2"/>
        <v>6997.6107031459978</v>
      </c>
      <c r="G14" s="10"/>
      <c r="N14" s="12"/>
      <c r="O14" s="10"/>
      <c r="P14" s="10"/>
    </row>
    <row r="15" spans="1:16" x14ac:dyDescent="0.35">
      <c r="A15" s="10">
        <v>9</v>
      </c>
      <c r="B15" s="12">
        <v>0</v>
      </c>
      <c r="C15" s="12">
        <f t="shared" si="1"/>
        <v>0</v>
      </c>
      <c r="D15" s="12">
        <f t="shared" si="3"/>
        <v>15000</v>
      </c>
      <c r="E15" s="12">
        <f t="shared" si="0"/>
        <v>6361.4642755872701</v>
      </c>
      <c r="F15" s="12">
        <f t="shared" si="2"/>
        <v>6361.4642755872701</v>
      </c>
      <c r="G15" s="10"/>
      <c r="N15" s="12"/>
      <c r="O15" s="10"/>
      <c r="P15" s="10"/>
    </row>
    <row r="16" spans="1:16" x14ac:dyDescent="0.35">
      <c r="A16" s="10">
        <v>10</v>
      </c>
      <c r="B16" s="12">
        <v>0</v>
      </c>
      <c r="C16" s="12">
        <f t="shared" si="1"/>
        <v>0</v>
      </c>
      <c r="D16" s="12">
        <f t="shared" si="3"/>
        <v>15000</v>
      </c>
      <c r="E16" s="12">
        <f t="shared" si="0"/>
        <v>5783.1493414429724</v>
      </c>
      <c r="F16" s="12">
        <f t="shared" si="2"/>
        <v>5783.1493414429724</v>
      </c>
      <c r="G16" s="10"/>
      <c r="N16" s="12"/>
      <c r="O16" s="10"/>
      <c r="P16" s="10"/>
    </row>
    <row r="17" spans="1:16" x14ac:dyDescent="0.35">
      <c r="A17" s="10">
        <v>11</v>
      </c>
      <c r="B17" s="12">
        <v>0</v>
      </c>
      <c r="C17" s="12">
        <f t="shared" si="1"/>
        <v>0</v>
      </c>
      <c r="D17" s="12">
        <f t="shared" si="3"/>
        <v>15000</v>
      </c>
      <c r="E17" s="12">
        <f t="shared" si="0"/>
        <v>5257.4084922208831</v>
      </c>
      <c r="F17" s="12">
        <f t="shared" si="2"/>
        <v>5257.4084922208831</v>
      </c>
      <c r="G17" s="10"/>
      <c r="N17" s="12"/>
      <c r="O17" s="10"/>
      <c r="P17" s="10"/>
    </row>
    <row r="18" spans="1:16" x14ac:dyDescent="0.35">
      <c r="A18" s="10">
        <v>12</v>
      </c>
      <c r="B18" s="12">
        <v>0</v>
      </c>
      <c r="C18" s="12">
        <f t="shared" si="1"/>
        <v>0</v>
      </c>
      <c r="D18" s="12">
        <f t="shared" si="3"/>
        <v>15000</v>
      </c>
      <c r="E18" s="12">
        <f t="shared" si="0"/>
        <v>4779.4622656553483</v>
      </c>
      <c r="F18" s="12">
        <f t="shared" si="2"/>
        <v>4779.4622656553483</v>
      </c>
      <c r="G18" s="10"/>
      <c r="N18" s="12"/>
      <c r="O18" s="10"/>
      <c r="P18" s="10"/>
    </row>
    <row r="19" spans="1:16" x14ac:dyDescent="0.35">
      <c r="A19" s="10">
        <v>13</v>
      </c>
      <c r="B19" s="12">
        <v>0</v>
      </c>
      <c r="C19" s="12">
        <f t="shared" si="1"/>
        <v>0</v>
      </c>
      <c r="D19" s="12">
        <f t="shared" si="3"/>
        <v>15000</v>
      </c>
      <c r="E19" s="12">
        <f t="shared" si="0"/>
        <v>4344.9656960503162</v>
      </c>
      <c r="F19" s="12">
        <f t="shared" si="2"/>
        <v>4344.9656960503162</v>
      </c>
      <c r="G19" s="10"/>
      <c r="N19" s="12"/>
      <c r="O19" s="10"/>
      <c r="P19" s="10"/>
    </row>
    <row r="20" spans="1:16" x14ac:dyDescent="0.35">
      <c r="A20" s="10">
        <v>14</v>
      </c>
      <c r="B20" s="12">
        <v>0</v>
      </c>
      <c r="C20" s="12">
        <f t="shared" si="1"/>
        <v>0</v>
      </c>
      <c r="D20" s="12">
        <f t="shared" si="3"/>
        <v>15000</v>
      </c>
      <c r="E20" s="12">
        <f t="shared" si="0"/>
        <v>3949.968814591196</v>
      </c>
      <c r="F20" s="12">
        <f t="shared" si="2"/>
        <v>3949.968814591196</v>
      </c>
      <c r="G20" s="10"/>
      <c r="N20" s="12"/>
      <c r="O20" s="10"/>
      <c r="P20" s="10"/>
    </row>
    <row r="21" spans="1:16" x14ac:dyDescent="0.35">
      <c r="A21" s="10">
        <v>15</v>
      </c>
      <c r="B21" s="12">
        <v>0</v>
      </c>
      <c r="C21" s="12">
        <f t="shared" si="1"/>
        <v>0</v>
      </c>
      <c r="D21" s="12">
        <f t="shared" si="3"/>
        <v>15000</v>
      </c>
      <c r="E21" s="12">
        <f t="shared" si="0"/>
        <v>3590.8807405374509</v>
      </c>
      <c r="F21" s="12">
        <f t="shared" si="2"/>
        <v>3590.8807405374509</v>
      </c>
      <c r="G21" s="10"/>
      <c r="N21" s="12"/>
      <c r="O21" s="10"/>
      <c r="P21" s="10"/>
    </row>
    <row r="22" spans="1:16" x14ac:dyDescent="0.35">
      <c r="A22" s="10">
        <v>16</v>
      </c>
      <c r="B22" s="12">
        <v>0</v>
      </c>
      <c r="C22" s="12">
        <f t="shared" si="1"/>
        <v>0</v>
      </c>
      <c r="D22" s="12">
        <f t="shared" si="3"/>
        <v>15000</v>
      </c>
      <c r="E22" s="12">
        <f t="shared" si="0"/>
        <v>3264.4370368522282</v>
      </c>
      <c r="F22" s="12">
        <f t="shared" si="2"/>
        <v>3264.4370368522282</v>
      </c>
      <c r="G22" s="10"/>
      <c r="N22" s="12"/>
      <c r="O22" s="10"/>
      <c r="P22" s="10"/>
    </row>
    <row r="23" spans="1:16" x14ac:dyDescent="0.35">
      <c r="A23" s="10">
        <v>17</v>
      </c>
      <c r="B23" s="12">
        <v>0</v>
      </c>
      <c r="C23" s="12">
        <f t="shared" si="1"/>
        <v>0</v>
      </c>
      <c r="D23" s="12">
        <f t="shared" si="3"/>
        <v>15000</v>
      </c>
      <c r="E23" s="12">
        <f t="shared" si="0"/>
        <v>2967.6700335020255</v>
      </c>
      <c r="F23" s="12">
        <f t="shared" si="2"/>
        <v>2967.6700335020255</v>
      </c>
      <c r="G23" s="10"/>
      <c r="N23" s="12"/>
      <c r="O23" s="10"/>
      <c r="P23" s="10"/>
    </row>
    <row r="24" spans="1:16" x14ac:dyDescent="0.35">
      <c r="A24" s="10">
        <v>18</v>
      </c>
      <c r="B24" s="12">
        <v>0</v>
      </c>
      <c r="C24" s="12">
        <f t="shared" si="1"/>
        <v>0</v>
      </c>
      <c r="D24" s="12">
        <f t="shared" si="3"/>
        <v>15000</v>
      </c>
      <c r="E24" s="12">
        <f t="shared" si="0"/>
        <v>2697.8818486382047</v>
      </c>
      <c r="F24" s="12">
        <f t="shared" si="2"/>
        <v>2697.8818486382047</v>
      </c>
      <c r="G24" s="10"/>
      <c r="N24" s="12"/>
      <c r="O24" s="10"/>
      <c r="P24" s="10"/>
    </row>
    <row r="25" spans="1:16" x14ac:dyDescent="0.35">
      <c r="A25" s="10">
        <v>19</v>
      </c>
      <c r="B25" s="12">
        <v>0</v>
      </c>
      <c r="C25" s="12">
        <f t="shared" si="1"/>
        <v>0</v>
      </c>
      <c r="D25" s="12">
        <f t="shared" si="3"/>
        <v>15000</v>
      </c>
      <c r="E25" s="12">
        <f t="shared" si="0"/>
        <v>2452.6198623983673</v>
      </c>
      <c r="F25" s="12">
        <f t="shared" si="2"/>
        <v>2452.6198623983673</v>
      </c>
      <c r="G25" s="10"/>
      <c r="N25" s="12"/>
      <c r="O25" s="10"/>
      <c r="P25" s="10"/>
    </row>
    <row r="26" spans="1:16" x14ac:dyDescent="0.35">
      <c r="A26" s="10">
        <v>20</v>
      </c>
      <c r="B26" s="12">
        <v>0</v>
      </c>
      <c r="C26" s="12">
        <f t="shared" si="1"/>
        <v>0</v>
      </c>
      <c r="D26" s="12">
        <f t="shared" si="3"/>
        <v>15000</v>
      </c>
      <c r="E26" s="12">
        <f t="shared" si="0"/>
        <v>2229.6544203621525</v>
      </c>
      <c r="F26" s="12">
        <f t="shared" si="2"/>
        <v>2229.6544203621525</v>
      </c>
      <c r="G26" s="10"/>
      <c r="N26" s="12"/>
      <c r="O26" s="10"/>
      <c r="P26" s="10"/>
    </row>
    <row r="27" spans="1:16" x14ac:dyDescent="0.35">
      <c r="A27" s="10">
        <v>21</v>
      </c>
      <c r="B27" s="12">
        <v>0</v>
      </c>
      <c r="C27" s="12">
        <f t="shared" si="1"/>
        <v>0</v>
      </c>
      <c r="D27" s="12">
        <f t="shared" si="3"/>
        <v>15000</v>
      </c>
      <c r="E27" s="12">
        <f t="shared" si="0"/>
        <v>2026.9585639655927</v>
      </c>
      <c r="F27" s="12">
        <f t="shared" si="2"/>
        <v>2026.9585639655927</v>
      </c>
      <c r="G27" s="10"/>
      <c r="N27" s="12"/>
      <c r="O27" s="10"/>
      <c r="P27" s="10"/>
    </row>
    <row r="28" spans="1:16" x14ac:dyDescent="0.35">
      <c r="A28" s="10">
        <v>22</v>
      </c>
      <c r="B28" s="12">
        <v>0</v>
      </c>
      <c r="C28" s="12">
        <f t="shared" si="1"/>
        <v>0</v>
      </c>
      <c r="D28" s="12">
        <f t="shared" si="3"/>
        <v>15000</v>
      </c>
      <c r="E28" s="12">
        <f t="shared" si="0"/>
        <v>1842.6896036050841</v>
      </c>
      <c r="F28" s="12">
        <f t="shared" si="2"/>
        <v>1842.6896036050841</v>
      </c>
      <c r="G28" s="10"/>
      <c r="N28" s="12"/>
      <c r="O28" s="10"/>
      <c r="P28" s="10"/>
    </row>
    <row r="29" spans="1:16" x14ac:dyDescent="0.35">
      <c r="A29" s="10">
        <v>23</v>
      </c>
      <c r="B29" s="12">
        <v>0</v>
      </c>
      <c r="C29" s="12">
        <f t="shared" si="1"/>
        <v>0</v>
      </c>
      <c r="D29" s="12">
        <f t="shared" si="3"/>
        <v>15000</v>
      </c>
      <c r="E29" s="12">
        <f t="shared" si="0"/>
        <v>1675.1723669137127</v>
      </c>
      <c r="F29" s="12">
        <f t="shared" si="2"/>
        <v>1675.1723669137127</v>
      </c>
      <c r="G29" s="10"/>
      <c r="N29" s="12"/>
      <c r="O29" s="10"/>
      <c r="P29" s="10"/>
    </row>
    <row r="30" spans="1:16" x14ac:dyDescent="0.35">
      <c r="A30" s="10">
        <v>24</v>
      </c>
      <c r="B30" s="12">
        <v>0</v>
      </c>
      <c r="C30" s="12">
        <f t="shared" si="1"/>
        <v>0</v>
      </c>
      <c r="D30" s="12">
        <f t="shared" si="3"/>
        <v>15000</v>
      </c>
      <c r="E30" s="12">
        <f t="shared" si="0"/>
        <v>1522.8839699215571</v>
      </c>
      <c r="F30" s="12">
        <f t="shared" si="2"/>
        <v>1522.8839699215571</v>
      </c>
      <c r="G30" s="10"/>
      <c r="N30" s="12"/>
      <c r="O30" s="10"/>
      <c r="P30" s="10"/>
    </row>
    <row r="31" spans="1:16" x14ac:dyDescent="0.35">
      <c r="A31" s="10">
        <v>25</v>
      </c>
      <c r="B31" s="12">
        <v>0</v>
      </c>
      <c r="C31" s="12">
        <f t="shared" si="1"/>
        <v>0</v>
      </c>
      <c r="D31" s="12">
        <f t="shared" si="3"/>
        <v>15000</v>
      </c>
      <c r="E31" s="12">
        <f t="shared" si="0"/>
        <v>1384.4399726559609</v>
      </c>
      <c r="F31" s="12">
        <f t="shared" si="2"/>
        <v>1384.4399726559609</v>
      </c>
      <c r="G31" s="10"/>
      <c r="N31" s="12"/>
      <c r="O31" s="10"/>
      <c r="P31" s="10"/>
    </row>
    <row r="32" spans="1:16" x14ac:dyDescent="0.35">
      <c r="A32" s="10">
        <v>26</v>
      </c>
      <c r="B32" s="12">
        <v>0</v>
      </c>
      <c r="C32" s="12">
        <f t="shared" si="1"/>
        <v>0</v>
      </c>
      <c r="D32" s="12">
        <f t="shared" si="3"/>
        <v>15000</v>
      </c>
      <c r="E32" s="12">
        <f t="shared" si="0"/>
        <v>1258.5817933236008</v>
      </c>
      <c r="F32" s="12">
        <f t="shared" si="2"/>
        <v>1258.5817933236008</v>
      </c>
      <c r="G32" s="10"/>
      <c r="N32" s="12"/>
      <c r="O32" s="10"/>
      <c r="P32" s="10"/>
    </row>
    <row r="33" spans="1:16" x14ac:dyDescent="0.35">
      <c r="A33" s="10">
        <v>27</v>
      </c>
      <c r="B33" s="12">
        <v>0</v>
      </c>
      <c r="C33" s="12">
        <f t="shared" si="1"/>
        <v>0</v>
      </c>
      <c r="D33" s="12">
        <f t="shared" si="3"/>
        <v>15000</v>
      </c>
      <c r="E33" s="12">
        <f t="shared" si="0"/>
        <v>1144.1652666578186</v>
      </c>
      <c r="F33" s="12">
        <f t="shared" si="2"/>
        <v>1144.1652666578186</v>
      </c>
      <c r="G33" s="10"/>
      <c r="N33" s="12"/>
      <c r="O33" s="10"/>
      <c r="P33" s="10"/>
    </row>
    <row r="34" spans="1:16" x14ac:dyDescent="0.35">
      <c r="A34" s="10">
        <v>28</v>
      </c>
      <c r="B34" s="12">
        <v>0</v>
      </c>
      <c r="C34" s="12">
        <f t="shared" si="1"/>
        <v>0</v>
      </c>
      <c r="D34" s="12">
        <f t="shared" si="3"/>
        <v>15000</v>
      </c>
      <c r="E34" s="12">
        <f t="shared" si="0"/>
        <v>1040.1502424161988</v>
      </c>
      <c r="F34" s="12">
        <f t="shared" si="2"/>
        <v>1040.1502424161988</v>
      </c>
      <c r="G34" s="10"/>
      <c r="N34" s="12"/>
      <c r="O34" s="10"/>
      <c r="P34" s="10"/>
    </row>
    <row r="35" spans="1:16" x14ac:dyDescent="0.35">
      <c r="A35" s="10">
        <v>29</v>
      </c>
      <c r="B35" s="12">
        <v>0</v>
      </c>
      <c r="C35" s="12">
        <f t="shared" si="1"/>
        <v>0</v>
      </c>
      <c r="D35" s="12">
        <f t="shared" si="3"/>
        <v>15000</v>
      </c>
      <c r="E35" s="12">
        <f t="shared" si="0"/>
        <v>945.59112946927155</v>
      </c>
      <c r="F35" s="12">
        <f t="shared" si="2"/>
        <v>945.59112946927155</v>
      </c>
      <c r="G35" s="10"/>
      <c r="N35" s="12"/>
      <c r="O35" s="10"/>
      <c r="P35" s="10"/>
    </row>
    <row r="36" spans="1:16" x14ac:dyDescent="0.35">
      <c r="A36" s="10">
        <v>30</v>
      </c>
      <c r="B36" s="12">
        <v>0</v>
      </c>
      <c r="C36" s="12">
        <f t="shared" si="1"/>
        <v>0</v>
      </c>
      <c r="D36" s="12">
        <f t="shared" si="3"/>
        <v>15000</v>
      </c>
      <c r="E36" s="12">
        <f t="shared" si="0"/>
        <v>859.62829951751939</v>
      </c>
      <c r="F36" s="12">
        <f t="shared" si="2"/>
        <v>859.62829951751939</v>
      </c>
      <c r="G36" s="10"/>
      <c r="N36" s="12"/>
      <c r="O36" s="10"/>
      <c r="P36" s="10"/>
    </row>
    <row r="37" spans="1:16" x14ac:dyDescent="0.35">
      <c r="A37" s="15" t="s">
        <v>87</v>
      </c>
      <c r="C37" s="12"/>
      <c r="D37" s="14"/>
      <c r="E37" s="14">
        <f>SUM(F7:F11)</f>
        <v>116176.2423083371</v>
      </c>
    </row>
    <row r="38" spans="1:16" x14ac:dyDescent="0.35">
      <c r="C38" s="14"/>
    </row>
    <row r="39" spans="1:16" x14ac:dyDescent="0.35">
      <c r="A39" s="8"/>
      <c r="B39" s="8"/>
      <c r="C39" s="8"/>
      <c r="E39" s="8"/>
      <c r="F39" s="15"/>
      <c r="G39" s="15"/>
    </row>
    <row r="40" spans="1:16" x14ac:dyDescent="0.35">
      <c r="A40" s="10"/>
      <c r="B40" s="12"/>
      <c r="C40" s="12"/>
      <c r="D40" s="12"/>
      <c r="E40" s="12"/>
    </row>
    <row r="41" spans="1:16" x14ac:dyDescent="0.35">
      <c r="A41" s="10"/>
      <c r="B41" s="12"/>
      <c r="C41" s="12"/>
      <c r="D41" s="12"/>
      <c r="E41" s="10"/>
    </row>
    <row r="42" spans="1:16" x14ac:dyDescent="0.35">
      <c r="A42" s="10"/>
      <c r="B42" s="12"/>
      <c r="C42" s="12"/>
      <c r="D42" s="12"/>
      <c r="E42" s="10"/>
    </row>
    <row r="44" spans="1:16" x14ac:dyDescent="0.35">
      <c r="A44" s="8"/>
      <c r="B44" s="8"/>
      <c r="C44" s="8"/>
      <c r="D44" s="8"/>
      <c r="E44" s="8"/>
      <c r="F44" s="15"/>
      <c r="G44" s="15"/>
    </row>
    <row r="45" spans="1:16" x14ac:dyDescent="0.35">
      <c r="A45" s="10"/>
      <c r="B45" s="12"/>
      <c r="C45" s="12"/>
      <c r="D45" s="12"/>
      <c r="E45" s="12"/>
    </row>
    <row r="46" spans="1:16" x14ac:dyDescent="0.35">
      <c r="A46" s="10"/>
      <c r="B46" s="12"/>
      <c r="C46" s="12"/>
      <c r="D46" s="12"/>
      <c r="E46" s="10"/>
    </row>
    <row r="47" spans="1:16" x14ac:dyDescent="0.35">
      <c r="A47" s="10"/>
      <c r="B47" s="12"/>
      <c r="C47" s="12"/>
      <c r="D47" s="12"/>
      <c r="E47" s="10"/>
    </row>
    <row r="48" spans="1:16" x14ac:dyDescent="0.35">
      <c r="A48" s="10"/>
      <c r="B48" s="12"/>
      <c r="C48" s="12"/>
      <c r="D48" s="12"/>
      <c r="E48" s="10"/>
    </row>
    <row r="49" spans="1:7" x14ac:dyDescent="0.35">
      <c r="A49" s="10"/>
      <c r="B49" s="12"/>
      <c r="C49" s="12"/>
      <c r="D49" s="12"/>
      <c r="E49" s="10"/>
    </row>
    <row r="50" spans="1:7" x14ac:dyDescent="0.35">
      <c r="A50" s="10"/>
      <c r="B50" s="12"/>
      <c r="C50" s="12"/>
      <c r="D50" s="12"/>
    </row>
    <row r="51" spans="1:7" x14ac:dyDescent="0.35">
      <c r="A51" s="10"/>
      <c r="B51" s="14"/>
      <c r="C51" s="12"/>
      <c r="D51" s="12"/>
    </row>
    <row r="52" spans="1:7" x14ac:dyDescent="0.35">
      <c r="C52" s="14"/>
    </row>
    <row r="54" spans="1:7" x14ac:dyDescent="0.35">
      <c r="A54" s="8"/>
      <c r="B54" s="8"/>
      <c r="C54" s="8"/>
      <c r="D54" s="8"/>
      <c r="E54" s="8"/>
      <c r="F54" s="15"/>
      <c r="G54" s="15"/>
    </row>
    <row r="55" spans="1:7" x14ac:dyDescent="0.35">
      <c r="A55" s="10"/>
      <c r="B55" s="12"/>
      <c r="C55" s="12"/>
      <c r="D55" s="12"/>
      <c r="E55" s="12"/>
    </row>
    <row r="56" spans="1:7" x14ac:dyDescent="0.35">
      <c r="A56" s="10"/>
      <c r="B56" s="12"/>
      <c r="C56" s="12"/>
      <c r="D56" s="12"/>
      <c r="E56" s="10"/>
    </row>
    <row r="57" spans="1:7" x14ac:dyDescent="0.35">
      <c r="A57" s="10"/>
      <c r="B57" s="12"/>
      <c r="C57" s="12"/>
      <c r="D57" s="10"/>
      <c r="E57" s="10"/>
    </row>
    <row r="58" spans="1:7" x14ac:dyDescent="0.35">
      <c r="A58" s="10"/>
      <c r="B58" s="12"/>
      <c r="C58" s="12"/>
      <c r="D58" s="10"/>
      <c r="E58" s="10"/>
    </row>
    <row r="59" spans="1:7" x14ac:dyDescent="0.35">
      <c r="A59" s="10"/>
      <c r="B59" s="12"/>
      <c r="C59" s="12"/>
      <c r="D59" s="10"/>
      <c r="E59" s="10"/>
    </row>
    <row r="60" spans="1:7" x14ac:dyDescent="0.35">
      <c r="A60" s="10"/>
      <c r="B60" s="12"/>
      <c r="C60" s="12"/>
    </row>
    <row r="61" spans="1:7" x14ac:dyDescent="0.35">
      <c r="A61" s="10"/>
      <c r="B61" s="14"/>
      <c r="C61" s="12"/>
    </row>
    <row r="62" spans="1:7" x14ac:dyDescent="0.35">
      <c r="C62" s="1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</vt:i4>
      </vt:variant>
    </vt:vector>
  </HeadingPairs>
  <TitlesOfParts>
    <vt:vector size="16" baseType="lpstr">
      <vt:lpstr>Problem 1</vt:lpstr>
      <vt:lpstr>Problem 2 (a) (b)</vt:lpstr>
      <vt:lpstr>Problem 2 (c)</vt:lpstr>
      <vt:lpstr>Problem 2 (d)</vt:lpstr>
      <vt:lpstr>Problem 2 (e)</vt:lpstr>
      <vt:lpstr>Problem 3 (a)</vt:lpstr>
      <vt:lpstr>Problem 3 (b)</vt:lpstr>
      <vt:lpstr>Problem 3 (c)</vt:lpstr>
      <vt:lpstr>Problem 4 Coal</vt:lpstr>
      <vt:lpstr>Problem 4 Gas</vt:lpstr>
      <vt:lpstr>Problem 4 Nuclear</vt:lpstr>
      <vt:lpstr>Problem 4 Wind</vt:lpstr>
      <vt:lpstr>Problem 5</vt:lpstr>
      <vt:lpstr>ben</vt:lpstr>
      <vt:lpstr>int</vt:lpstr>
      <vt:lpstr>repay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Sophia Donnelly</dc:creator>
  <cp:lastModifiedBy>Emma Sophia Donnelly</cp:lastModifiedBy>
  <dcterms:created xsi:type="dcterms:W3CDTF">2025-01-25T15:38:30Z</dcterms:created>
  <dcterms:modified xsi:type="dcterms:W3CDTF">2025-02-10T16:18:14Z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2025-01-25T15:38:36Z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5dac714a-b008-4dac-99e1-2d0b60e13625</vt:lpwstr>
  </property>
  <property fmtid="{D5CDD505-2E9C-101B-9397-08002B2CF9AE}" pid="8" name="MSIP_Label_4044bd30-2ed7-4c9d-9d12-46200872a97b_ContentBits">
    <vt:lpwstr>0</vt:lpwstr>
  </property>
</Properties>
</file>