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8_{ED04CCE7-28F5-49BA-913D-801BCEB477D0}" xr6:coauthVersionLast="47" xr6:coauthVersionMax="47" xr10:uidLastSave="{00000000-0000-0000-0000-000000000000}"/>
  <bookViews>
    <workbookView xWindow="-110" yWindow="-110" windowWidth="19420" windowHeight="10300" firstSheet="2" activeTab="3" xr2:uid="{61B41BEC-A4E3-45DF-A8B2-636DF7572DB2}"/>
  </bookViews>
  <sheets>
    <sheet name="Problem 1" sheetId="1" r:id="rId1"/>
    <sheet name="Problem 1 Breakeven" sheetId="2" r:id="rId2"/>
    <sheet name="delete" sheetId="3" r:id="rId3"/>
    <sheet name="Problem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H12" i="4" s="1"/>
  <c r="I12" i="4" s="1"/>
  <c r="J12" i="4" s="1"/>
  <c r="E19" i="4"/>
  <c r="F19" i="4" s="1"/>
  <c r="D19" i="4"/>
  <c r="B3" i="4"/>
  <c r="B2" i="4"/>
  <c r="G18" i="4"/>
  <c r="H18" i="4"/>
  <c r="I18" i="4"/>
  <c r="J18" i="4"/>
  <c r="K18" i="4"/>
  <c r="L18" i="4"/>
  <c r="M18" i="4"/>
  <c r="N18" i="4"/>
  <c r="O18" i="4"/>
  <c r="F18" i="4"/>
  <c r="F12" i="3"/>
  <c r="B32" i="3"/>
  <c r="D30" i="1"/>
  <c r="D16" i="1"/>
  <c r="H18" i="3"/>
  <c r="I18" i="3"/>
  <c r="J18" i="3"/>
  <c r="K18" i="3"/>
  <c r="L18" i="3"/>
  <c r="M18" i="3"/>
  <c r="N18" i="3"/>
  <c r="O18" i="3"/>
  <c r="G18" i="3"/>
  <c r="F18" i="3"/>
  <c r="F20" i="3"/>
  <c r="G19" i="3"/>
  <c r="H19" i="3"/>
  <c r="I19" i="3"/>
  <c r="J19" i="3"/>
  <c r="F19" i="3"/>
  <c r="G12" i="3"/>
  <c r="H12" i="3" s="1"/>
  <c r="I12" i="3" s="1"/>
  <c r="J12" i="3" s="1"/>
  <c r="K12" i="3" s="1"/>
  <c r="L12" i="3" s="1"/>
  <c r="M12" i="3" s="1"/>
  <c r="N12" i="3" s="1"/>
  <c r="O12" i="3" s="1"/>
  <c r="E17" i="3"/>
  <c r="D17" i="3"/>
  <c r="C17" i="3"/>
  <c r="E19" i="3" s="1"/>
  <c r="E2" i="1"/>
  <c r="B3" i="3"/>
  <c r="B2" i="3"/>
  <c r="I3" i="2"/>
  <c r="I6" i="2"/>
  <c r="O6" i="2"/>
  <c r="N6" i="2"/>
  <c r="M6" i="2"/>
  <c r="L6" i="2"/>
  <c r="K6" i="2"/>
  <c r="J6" i="2"/>
  <c r="I5" i="2"/>
  <c r="L5" i="2"/>
  <c r="K5" i="2"/>
  <c r="J5" i="2"/>
  <c r="M5" i="2"/>
  <c r="N5" i="2"/>
  <c r="O5" i="2"/>
  <c r="B11" i="2"/>
  <c r="B11" i="1"/>
  <c r="E9" i="2"/>
  <c r="E5" i="2"/>
  <c r="D16" i="2" s="1"/>
  <c r="E2" i="2"/>
  <c r="C19" i="2" s="1"/>
  <c r="C33" i="2" s="1"/>
  <c r="E5" i="1"/>
  <c r="I33" i="2"/>
  <c r="H33" i="2"/>
  <c r="G33" i="2"/>
  <c r="F33" i="2"/>
  <c r="E33" i="2"/>
  <c r="D33" i="2"/>
  <c r="B33" i="2"/>
  <c r="C30" i="2"/>
  <c r="B30" i="2"/>
  <c r="C29" i="2"/>
  <c r="B29" i="2"/>
  <c r="B31" i="2" s="1"/>
  <c r="C17" i="2"/>
  <c r="B17" i="2"/>
  <c r="B21" i="2" s="1"/>
  <c r="I15" i="2"/>
  <c r="I29" i="2" s="1"/>
  <c r="H15" i="2"/>
  <c r="H29" i="2" s="1"/>
  <c r="G15" i="2"/>
  <c r="G29" i="2" s="1"/>
  <c r="F15" i="2"/>
  <c r="F29" i="2" s="1"/>
  <c r="E15" i="2"/>
  <c r="E29" i="2" s="1"/>
  <c r="D15" i="2"/>
  <c r="D29" i="2" s="1"/>
  <c r="K12" i="4" l="1"/>
  <c r="L12" i="4" s="1"/>
  <c r="M12" i="4" s="1"/>
  <c r="N12" i="4" s="1"/>
  <c r="O12" i="4" s="1"/>
  <c r="C19" i="4"/>
  <c r="C19" i="3"/>
  <c r="D19" i="3"/>
  <c r="C31" i="2"/>
  <c r="B35" i="2"/>
  <c r="C35" i="2"/>
  <c r="D30" i="2"/>
  <c r="D31" i="2" s="1"/>
  <c r="D35" i="2" s="1"/>
  <c r="E16" i="2"/>
  <c r="D17" i="2"/>
  <c r="D21" i="2" s="1"/>
  <c r="C21" i="2"/>
  <c r="J19" i="4" l="1"/>
  <c r="I19" i="4"/>
  <c r="H19" i="4"/>
  <c r="G19" i="4"/>
  <c r="F16" i="2"/>
  <c r="E17" i="2"/>
  <c r="E21" i="2" s="1"/>
  <c r="E30" i="2"/>
  <c r="E31" i="2" s="1"/>
  <c r="E35" i="2" s="1"/>
  <c r="F20" i="4" l="1"/>
  <c r="G16" i="2"/>
  <c r="F17" i="2"/>
  <c r="F30" i="2"/>
  <c r="F31" i="2" s="1"/>
  <c r="F35" i="2" s="1"/>
  <c r="F21" i="2" l="1"/>
  <c r="H16" i="2"/>
  <c r="G17" i="2"/>
  <c r="G30" i="2"/>
  <c r="G31" i="2" s="1"/>
  <c r="G35" i="2" s="1"/>
  <c r="H17" i="2" l="1"/>
  <c r="H21" i="2" s="1"/>
  <c r="H30" i="2"/>
  <c r="H31" i="2" s="1"/>
  <c r="H35" i="2" s="1"/>
  <c r="I16" i="2"/>
  <c r="G21" i="2"/>
  <c r="D35" i="1"/>
  <c r="E35" i="1"/>
  <c r="F35" i="1"/>
  <c r="G35" i="1"/>
  <c r="H35" i="1"/>
  <c r="I35" i="1"/>
  <c r="B35" i="1"/>
  <c r="D31" i="1"/>
  <c r="D29" i="1"/>
  <c r="D17" i="1"/>
  <c r="D15" i="1"/>
  <c r="I16" i="1"/>
  <c r="E16" i="1"/>
  <c r="E15" i="1"/>
  <c r="F15" i="1"/>
  <c r="G15" i="1"/>
  <c r="H15" i="1"/>
  <c r="I15" i="1"/>
  <c r="E29" i="1"/>
  <c r="C17" i="1"/>
  <c r="D33" i="1"/>
  <c r="E33" i="1"/>
  <c r="F33" i="1"/>
  <c r="G33" i="1"/>
  <c r="H33" i="1"/>
  <c r="I33" i="1"/>
  <c r="B33" i="1"/>
  <c r="B29" i="1"/>
  <c r="B31" i="1"/>
  <c r="C19" i="1"/>
  <c r="B39" i="1" s="1"/>
  <c r="C30" i="1"/>
  <c r="B30" i="1"/>
  <c r="F29" i="1"/>
  <c r="B21" i="1"/>
  <c r="E9" i="1"/>
  <c r="B17" i="1"/>
  <c r="C33" i="1" l="1"/>
  <c r="C35" i="1" s="1"/>
  <c r="I30" i="2"/>
  <c r="I31" i="2" s="1"/>
  <c r="I35" i="2" s="1"/>
  <c r="I17" i="2"/>
  <c r="C29" i="1"/>
  <c r="C31" i="1" s="1"/>
  <c r="C21" i="1"/>
  <c r="B23" i="1" s="1"/>
  <c r="H29" i="1"/>
  <c r="I29" i="1"/>
  <c r="G29" i="1"/>
  <c r="E30" i="1"/>
  <c r="E31" i="1" s="1"/>
  <c r="B38" i="1" l="1"/>
  <c r="B37" i="1"/>
  <c r="I21" i="2"/>
  <c r="B39" i="2"/>
  <c r="B25" i="2"/>
  <c r="B37" i="2"/>
  <c r="B38" i="2"/>
  <c r="F16" i="1"/>
  <c r="D21" i="1"/>
  <c r="E17" i="1"/>
  <c r="B23" i="2" l="1"/>
  <c r="B24" i="2"/>
  <c r="G16" i="1"/>
  <c r="F30" i="1"/>
  <c r="F31" i="1" s="1"/>
  <c r="E21" i="1"/>
  <c r="F17" i="1"/>
  <c r="F21" i="1" s="1"/>
  <c r="G17" i="1"/>
  <c r="G21" i="1" s="1"/>
  <c r="H16" i="1" l="1"/>
  <c r="H17" i="1" s="1"/>
  <c r="H21" i="1" s="1"/>
  <c r="G30" i="1"/>
  <c r="G31" i="1" s="1"/>
  <c r="H30" i="1" l="1"/>
  <c r="H31" i="1" s="1"/>
  <c r="I30" i="1" l="1"/>
  <c r="I31" i="1" s="1"/>
  <c r="I17" i="1"/>
  <c r="I21" i="1" l="1"/>
  <c r="B25" i="1"/>
  <c r="B24" i="1" l="1"/>
</calcChain>
</file>

<file path=xl/sharedStrings.xml><?xml version="1.0" encoding="utf-8"?>
<sst xmlns="http://schemas.openxmlformats.org/spreadsheetml/2006/main" count="207" uniqueCount="50">
  <si>
    <t>Parameters</t>
  </si>
  <si>
    <t>Fixed cost</t>
  </si>
  <si>
    <t>Benefits (annual)</t>
  </si>
  <si>
    <t>Avoided costs (annual)</t>
  </si>
  <si>
    <t>Benefits decline rate (deprec)</t>
  </si>
  <si>
    <t>Bens decline start year</t>
  </si>
  <si>
    <t>First use year</t>
  </si>
  <si>
    <t>Parameters (real terms)</t>
  </si>
  <si>
    <t>Useful life (years)</t>
  </si>
  <si>
    <t>Year</t>
  </si>
  <si>
    <t>Benefits_a</t>
  </si>
  <si>
    <t>Benefits_b</t>
  </si>
  <si>
    <t>Benefits_sum</t>
  </si>
  <si>
    <t>Costs</t>
  </si>
  <si>
    <t>Discount rate</t>
  </si>
  <si>
    <t>Inflation rate</t>
  </si>
  <si>
    <t>Discount rate (center)</t>
  </si>
  <si>
    <t>Parameters (nominal terms)</t>
  </si>
  <si>
    <t>Medical inflation rate (uncertain)</t>
  </si>
  <si>
    <t>Nominal</t>
  </si>
  <si>
    <t>NPV</t>
  </si>
  <si>
    <t>IRR</t>
  </si>
  <si>
    <t>BCR</t>
  </si>
  <si>
    <t>Cash flow</t>
  </si>
  <si>
    <t>Real</t>
  </si>
  <si>
    <t>* this is less than DR 12% ==&gt; no!</t>
  </si>
  <si>
    <t>* this is less than 1 ==&gt; no!</t>
  </si>
  <si>
    <t>* this is less than DR 10% ==&gt; no!</t>
  </si>
  <si>
    <t>BREAKEVEN</t>
  </si>
  <si>
    <t>NPV BENS</t>
  </si>
  <si>
    <t>Bens</t>
  </si>
  <si>
    <t>flows</t>
  </si>
  <si>
    <t>dvlpmt</t>
  </si>
  <si>
    <t>bens</t>
  </si>
  <si>
    <t>Investments</t>
  </si>
  <si>
    <t>Downpayment</t>
  </si>
  <si>
    <t>Financing</t>
  </si>
  <si>
    <t>Loan interest rate</t>
  </si>
  <si>
    <t>*interest capitalized</t>
  </si>
  <si>
    <t>repay</t>
  </si>
  <si>
    <t>deprec</t>
  </si>
  <si>
    <t>Operating</t>
  </si>
  <si>
    <t>ben growth</t>
  </si>
  <si>
    <t>Capitalized investments</t>
  </si>
  <si>
    <t xml:space="preserve">Tax Rate </t>
  </si>
  <si>
    <t>Principal Balance</t>
  </si>
  <si>
    <t>Total pd</t>
  </si>
  <si>
    <t>Interest pd</t>
  </si>
  <si>
    <t>Principal pd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</si>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</sst>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5" formatCode="0.0000000000000000%"/>
    <numFmt numFmtId="166" formatCode="0.0000%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1" fillId="0" borderId="0" xfId="0" applyNumberFormat="1" applyFont="1"/>
    <xf numFmtId="0" fontId="0" fillId="2" borderId="0" xfId="0" applyFill="1"/>
    <xf numFmtId="8" fontId="0" fillId="0" borderId="0" xfId="0" applyNumberFormat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0" fillId="0" borderId="0" xfId="0" applyNumberFormat="1" applyFont="1"/>
    <xf numFmtId="0" fontId="1" fillId="0" borderId="0" xfId="0" applyFont="1"/>
    <xf numFmtId="0" fontId="5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ED9-79EF-4253-803B-84B71E9731F1}">
  <dimension ref="A1:I39"/>
  <sheetViews>
    <sheetView topLeftCell="A14" workbookViewId="0">
      <selection activeCell="D31" sqref="D31"/>
    </sheetView>
  </sheetViews>
  <sheetFormatPr defaultRowHeight="14.5" x14ac:dyDescent="0.35"/>
  <cols>
    <col min="1" max="1" width="17.453125" customWidth="1"/>
    <col min="2" max="2" width="20.08984375" bestFit="1" customWidth="1"/>
    <col min="4" max="4" width="23.81640625" customWidth="1"/>
    <col min="5" max="5" width="20.1796875" customWidth="1"/>
  </cols>
  <sheetData>
    <row r="1" spans="1:9" x14ac:dyDescent="0.35">
      <c r="A1" s="3" t="s">
        <v>7</v>
      </c>
      <c r="D1" s="3" t="s">
        <v>17</v>
      </c>
    </row>
    <row r="2" spans="1:9" x14ac:dyDescent="0.35">
      <c r="A2" s="3" t="s">
        <v>1</v>
      </c>
      <c r="B2" s="1">
        <v>600000</v>
      </c>
      <c r="D2" s="3" t="s">
        <v>1</v>
      </c>
      <c r="E2" s="12">
        <f>B2*(1+$B$10)^1</f>
        <v>612000</v>
      </c>
    </row>
    <row r="3" spans="1:9" x14ac:dyDescent="0.35">
      <c r="A3" s="3" t="s">
        <v>3</v>
      </c>
      <c r="B3" s="1">
        <v>85000</v>
      </c>
      <c r="E3" s="12"/>
    </row>
    <row r="4" spans="1:9" x14ac:dyDescent="0.35">
      <c r="A4" s="3" t="s">
        <v>2</v>
      </c>
      <c r="B4" s="1">
        <v>60000</v>
      </c>
      <c r="E4" s="12"/>
    </row>
    <row r="5" spans="1:9" x14ac:dyDescent="0.35">
      <c r="A5" s="3" t="s">
        <v>4</v>
      </c>
      <c r="B5" s="2">
        <v>0.06</v>
      </c>
      <c r="D5" s="3" t="s">
        <v>4</v>
      </c>
      <c r="E5" s="4">
        <f>(1+$B$5)*(1+$B$10)-1</f>
        <v>8.1200000000000161E-2</v>
      </c>
    </row>
    <row r="6" spans="1:9" x14ac:dyDescent="0.35">
      <c r="A6" s="3" t="s">
        <v>5</v>
      </c>
      <c r="B6" s="1">
        <v>2</v>
      </c>
    </row>
    <row r="7" spans="1:9" x14ac:dyDescent="0.35">
      <c r="A7" s="3" t="s">
        <v>6</v>
      </c>
      <c r="B7" s="1">
        <v>2</v>
      </c>
    </row>
    <row r="8" spans="1:9" x14ac:dyDescent="0.35">
      <c r="A8" s="3" t="s">
        <v>8</v>
      </c>
      <c r="B8" s="1">
        <v>6</v>
      </c>
    </row>
    <row r="9" spans="1:9" x14ac:dyDescent="0.35">
      <c r="A9" s="3" t="s">
        <v>16</v>
      </c>
      <c r="B9" s="2">
        <v>0.1</v>
      </c>
      <c r="D9" s="3" t="s">
        <v>16</v>
      </c>
      <c r="E9" s="2">
        <f>(1+$B$9)*(1+$B$10)-1</f>
        <v>0.12200000000000011</v>
      </c>
    </row>
    <row r="10" spans="1:9" x14ac:dyDescent="0.35">
      <c r="A10" s="3" t="s">
        <v>15</v>
      </c>
      <c r="B10" s="2">
        <v>0.02</v>
      </c>
      <c r="D10" s="5"/>
      <c r="E10" s="6"/>
    </row>
    <row r="11" spans="1:9" x14ac:dyDescent="0.35">
      <c r="A11" s="3" t="s">
        <v>18</v>
      </c>
      <c r="B11" s="4">
        <f>(1+E11)/(1+B10)-1</f>
        <v>5.8823529411764719E-2</v>
      </c>
      <c r="D11" s="3" t="s">
        <v>18</v>
      </c>
      <c r="E11" s="2">
        <v>0.08</v>
      </c>
    </row>
    <row r="13" spans="1:9" x14ac:dyDescent="0.35">
      <c r="A13" s="11" t="s">
        <v>19</v>
      </c>
    </row>
    <row r="14" spans="1:9" x14ac:dyDescent="0.35">
      <c r="A14" s="3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</row>
    <row r="15" spans="1:9" x14ac:dyDescent="0.35">
      <c r="A15" t="s">
        <v>10</v>
      </c>
      <c r="B15">
        <v>0</v>
      </c>
      <c r="C15" s="1">
        <v>0</v>
      </c>
      <c r="D15" s="1">
        <f>$B$3*(1+$B$10)^D14</f>
        <v>88434</v>
      </c>
      <c r="E15" s="1">
        <f t="shared" ref="E15:I15" si="0">$B$3*(1+$B$10)^E14</f>
        <v>90202.68</v>
      </c>
      <c r="F15" s="1">
        <f t="shared" si="0"/>
        <v>92006.733599999992</v>
      </c>
      <c r="G15" s="1">
        <f t="shared" si="0"/>
        <v>93846.868272000007</v>
      </c>
      <c r="H15" s="1">
        <f t="shared" si="0"/>
        <v>95723.805637440004</v>
      </c>
      <c r="I15" s="1">
        <f t="shared" si="0"/>
        <v>97638.281750188791</v>
      </c>
    </row>
    <row r="16" spans="1:9" x14ac:dyDescent="0.35">
      <c r="A16" t="s">
        <v>11</v>
      </c>
      <c r="B16">
        <v>0</v>
      </c>
      <c r="C16" s="1">
        <v>0</v>
      </c>
      <c r="D16">
        <f>$B$4*(1-$E$5)</f>
        <v>55127.999999999993</v>
      </c>
      <c r="E16">
        <f>D16*(1-$E$5)</f>
        <v>50651.606399999982</v>
      </c>
      <c r="F16">
        <f t="shared" ref="F16:H16" si="1">E16*(1-$E$5)</f>
        <v>46538.695960319972</v>
      </c>
      <c r="G16">
        <f t="shared" si="1"/>
        <v>42759.753848341985</v>
      </c>
      <c r="H16">
        <f t="shared" si="1"/>
        <v>39287.661835856612</v>
      </c>
      <c r="I16">
        <f>H16*(1-$E$5)</f>
        <v>36097.503694785046</v>
      </c>
    </row>
    <row r="17" spans="1:9" x14ac:dyDescent="0.35">
      <c r="A17" t="s">
        <v>12</v>
      </c>
      <c r="B17">
        <f>B16+B15</f>
        <v>0</v>
      </c>
      <c r="C17" s="1">
        <f>C16+C15</f>
        <v>0</v>
      </c>
      <c r="D17" s="1">
        <f>D16+D15</f>
        <v>143562</v>
      </c>
      <c r="E17">
        <f t="shared" ref="E17:I17" si="2">E16+E15</f>
        <v>140854.28639999998</v>
      </c>
      <c r="F17">
        <f t="shared" si="2"/>
        <v>138545.42956031996</v>
      </c>
      <c r="G17">
        <f t="shared" si="2"/>
        <v>136606.62212034198</v>
      </c>
      <c r="H17">
        <f t="shared" si="2"/>
        <v>135011.46747329662</v>
      </c>
      <c r="I17">
        <f t="shared" si="2"/>
        <v>133735.78544497385</v>
      </c>
    </row>
    <row r="19" spans="1:9" x14ac:dyDescent="0.35">
      <c r="A19" t="s">
        <v>13</v>
      </c>
      <c r="B19">
        <v>0</v>
      </c>
      <c r="C19" s="1">
        <f>E2</f>
        <v>612000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C20" s="1"/>
    </row>
    <row r="21" spans="1:9" x14ac:dyDescent="0.35">
      <c r="A21" t="s">
        <v>23</v>
      </c>
      <c r="B21">
        <f>B17-B19</f>
        <v>0</v>
      </c>
      <c r="C21">
        <f t="shared" ref="C21:I21" si="3">C17-C19</f>
        <v>-612000</v>
      </c>
      <c r="D21" s="1">
        <f>D17-D19</f>
        <v>143562</v>
      </c>
      <c r="E21">
        <f t="shared" si="3"/>
        <v>140854.28639999998</v>
      </c>
      <c r="F21">
        <f t="shared" si="3"/>
        <v>138545.42956031996</v>
      </c>
      <c r="G21">
        <f t="shared" si="3"/>
        <v>136606.62212034198</v>
      </c>
      <c r="H21">
        <f t="shared" si="3"/>
        <v>135011.46747329662</v>
      </c>
      <c r="I21">
        <f t="shared" si="3"/>
        <v>133735.78544497385</v>
      </c>
    </row>
    <row r="23" spans="1:9" x14ac:dyDescent="0.35">
      <c r="A23" s="7" t="s">
        <v>20</v>
      </c>
      <c r="B23" s="8">
        <f>-NPV(E9,C21:I21)</f>
        <v>40028.290110419599</v>
      </c>
    </row>
    <row r="24" spans="1:9" x14ac:dyDescent="0.35">
      <c r="A24" s="7" t="s">
        <v>21</v>
      </c>
      <c r="B24" s="2">
        <f>IRR(C21:I21)</f>
        <v>9.5263110246651017E-2</v>
      </c>
      <c r="D24" s="13" t="s">
        <v>25</v>
      </c>
    </row>
    <row r="25" spans="1:9" x14ac:dyDescent="0.35">
      <c r="A25" s="7" t="s">
        <v>22</v>
      </c>
      <c r="B25">
        <f>NPV(E9,C17:I17)/(NPV(E9,C19:I19))</f>
        <v>0.9266148014642307</v>
      </c>
      <c r="D25" s="13" t="s">
        <v>26</v>
      </c>
    </row>
    <row r="27" spans="1:9" x14ac:dyDescent="0.35">
      <c r="A27" s="10" t="s">
        <v>24</v>
      </c>
    </row>
    <row r="28" spans="1:9" x14ac:dyDescent="0.35">
      <c r="A28" s="3" t="s">
        <v>9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</row>
    <row r="29" spans="1:9" x14ac:dyDescent="0.35">
      <c r="A29" t="s">
        <v>10</v>
      </c>
      <c r="B29">
        <f>B15/(1+$B$10)^B28</f>
        <v>0</v>
      </c>
      <c r="C29">
        <f t="shared" ref="C29:H29" si="4">C15/(1+$B$10)^C28</f>
        <v>0</v>
      </c>
      <c r="D29">
        <f>D15/(1+$B$10)^D28</f>
        <v>85000</v>
      </c>
      <c r="E29">
        <f t="shared" si="4"/>
        <v>85000</v>
      </c>
      <c r="F29">
        <f t="shared" si="4"/>
        <v>85000</v>
      </c>
      <c r="G29">
        <f t="shared" si="4"/>
        <v>85000</v>
      </c>
      <c r="H29">
        <f t="shared" si="4"/>
        <v>85000</v>
      </c>
      <c r="I29">
        <f>I15/(1+$B$10)^I28</f>
        <v>85000</v>
      </c>
    </row>
    <row r="30" spans="1:9" x14ac:dyDescent="0.35">
      <c r="A30" t="s">
        <v>11</v>
      </c>
      <c r="B30">
        <f>B16/(1+$B$10)^B28</f>
        <v>0</v>
      </c>
      <c r="C30">
        <f>C16/(1+$B$10)^C28</f>
        <v>0</v>
      </c>
      <c r="D30">
        <f>D16/(1+$B$10)^D28</f>
        <v>52987.312572087649</v>
      </c>
      <c r="E30">
        <f>E16/(1+$B$10)^E28</f>
        <v>47730.139991406009</v>
      </c>
      <c r="F30">
        <f>F16/(1+$B$10)^F28</f>
        <v>42994.561396180223</v>
      </c>
      <c r="G30">
        <f>G16/(1+$B$10)^G28</f>
        <v>38728.826481186647</v>
      </c>
      <c r="H30">
        <f>H16/(1+$B$10)^H28</f>
        <v>34886.319383249298</v>
      </c>
      <c r="I30">
        <f>I16/(1+$B$10)^I28</f>
        <v>31425.049264048488</v>
      </c>
    </row>
    <row r="31" spans="1:9" x14ac:dyDescent="0.35">
      <c r="A31" t="s">
        <v>12</v>
      </c>
      <c r="B31">
        <f>B29+B30</f>
        <v>0</v>
      </c>
      <c r="C31">
        <f t="shared" ref="C31:I31" si="5">C29+C30</f>
        <v>0</v>
      </c>
      <c r="D31">
        <f>D29+D30</f>
        <v>137987.31257208766</v>
      </c>
      <c r="E31">
        <f t="shared" si="5"/>
        <v>132730.139991406</v>
      </c>
      <c r="F31">
        <f t="shared" si="5"/>
        <v>127994.56139618022</v>
      </c>
      <c r="G31">
        <f t="shared" si="5"/>
        <v>123728.82648118664</v>
      </c>
      <c r="H31">
        <f t="shared" si="5"/>
        <v>119886.3193832493</v>
      </c>
      <c r="I31">
        <f t="shared" si="5"/>
        <v>116425.04926404849</v>
      </c>
    </row>
    <row r="33" spans="1:9" x14ac:dyDescent="0.35">
      <c r="A33" t="s">
        <v>13</v>
      </c>
      <c r="B33">
        <f>B19/(1+$B$10)^B28</f>
        <v>0</v>
      </c>
      <c r="C33">
        <f>C19/(1+$B$10)^C28</f>
        <v>600000</v>
      </c>
      <c r="D33">
        <f t="shared" ref="C33:I33" si="6">D19/(1+$B$10)^D28</f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</row>
    <row r="35" spans="1:9" x14ac:dyDescent="0.35">
      <c r="A35" t="s">
        <v>23</v>
      </c>
      <c r="B35">
        <f>B31+B33</f>
        <v>0</v>
      </c>
      <c r="C35">
        <f>C31-C33</f>
        <v>-600000</v>
      </c>
      <c r="D35">
        <f>D31-D33</f>
        <v>137987.31257208766</v>
      </c>
      <c r="E35">
        <f t="shared" ref="D35:I35" si="7">E31-E33</f>
        <v>132730.139991406</v>
      </c>
      <c r="F35">
        <f t="shared" si="7"/>
        <v>127994.56139618022</v>
      </c>
      <c r="G35">
        <f t="shared" si="7"/>
        <v>123728.82648118664</v>
      </c>
      <c r="H35">
        <f t="shared" si="7"/>
        <v>119886.3193832493</v>
      </c>
      <c r="I35">
        <f t="shared" si="7"/>
        <v>116425.04926404849</v>
      </c>
    </row>
    <row r="37" spans="1:9" x14ac:dyDescent="0.35">
      <c r="A37" s="7" t="s">
        <v>20</v>
      </c>
      <c r="B37" s="8">
        <f>-NPV(B9,C35:I35)</f>
        <v>40028.290110419541</v>
      </c>
    </row>
    <row r="38" spans="1:9" x14ac:dyDescent="0.35">
      <c r="A38" s="7" t="s">
        <v>21</v>
      </c>
      <c r="B38" s="2">
        <f>IRR(C35:I35)</f>
        <v>7.3787362986912575E-2</v>
      </c>
      <c r="D38" s="13" t="s">
        <v>27</v>
      </c>
    </row>
    <row r="39" spans="1:9" x14ac:dyDescent="0.35">
      <c r="A39" s="7" t="s">
        <v>22</v>
      </c>
      <c r="B39">
        <f>NPV(B9,C17:I17)/NPV(B9,C19:I19)</f>
        <v>0.98633442236056368</v>
      </c>
      <c r="D39" s="1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172F-F164-4645-8D15-D504DB889B9C}">
  <dimension ref="A1:O39"/>
  <sheetViews>
    <sheetView workbookViewId="0">
      <selection activeCell="I3" sqref="I3"/>
    </sheetView>
  </sheetViews>
  <sheetFormatPr defaultRowHeight="14.5" x14ac:dyDescent="0.35"/>
  <cols>
    <col min="1" max="1" width="17.453125" customWidth="1"/>
    <col min="2" max="2" width="20.08984375" bestFit="1" customWidth="1"/>
    <col min="4" max="4" width="23.81640625" customWidth="1"/>
    <col min="5" max="5" width="20.08984375" bestFit="1" customWidth="1"/>
    <col min="8" max="8" width="12.7265625" customWidth="1"/>
    <col min="9" max="9" width="11.54296875" bestFit="1" customWidth="1"/>
    <col min="10" max="10" width="12.1796875" bestFit="1" customWidth="1"/>
    <col min="11" max="15" width="11.54296875" bestFit="1" customWidth="1"/>
  </cols>
  <sheetData>
    <row r="1" spans="1:15" x14ac:dyDescent="0.35">
      <c r="A1" s="3" t="s">
        <v>7</v>
      </c>
      <c r="D1" s="3" t="s">
        <v>17</v>
      </c>
    </row>
    <row r="2" spans="1:15" x14ac:dyDescent="0.35">
      <c r="A2" s="3" t="s">
        <v>1</v>
      </c>
      <c r="B2" s="1">
        <v>600000</v>
      </c>
      <c r="D2" s="3" t="s">
        <v>1</v>
      </c>
      <c r="E2" s="12">
        <f>B2*(1+$B$10)^1</f>
        <v>612000</v>
      </c>
    </row>
    <row r="3" spans="1:15" x14ac:dyDescent="0.35">
      <c r="A3" s="3" t="s">
        <v>3</v>
      </c>
      <c r="B3" s="1">
        <v>85000</v>
      </c>
      <c r="E3" s="12"/>
      <c r="H3" s="11" t="s">
        <v>28</v>
      </c>
      <c r="I3">
        <f>SUM(I6:O6)</f>
        <v>-40028.29011041957</v>
      </c>
    </row>
    <row r="4" spans="1:15" x14ac:dyDescent="0.35">
      <c r="A4" s="3" t="s">
        <v>2</v>
      </c>
      <c r="B4" s="1">
        <v>60000</v>
      </c>
      <c r="E4" s="12"/>
      <c r="H4" s="3" t="s">
        <v>9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</row>
    <row r="5" spans="1:15" x14ac:dyDescent="0.35">
      <c r="A5" s="3" t="s">
        <v>4</v>
      </c>
      <c r="B5" s="2">
        <v>0.06</v>
      </c>
      <c r="D5" s="3" t="s">
        <v>4</v>
      </c>
      <c r="E5" s="4">
        <f>(1+$B$5)*(1+$B$10)-1</f>
        <v>8.1200000000000161E-2</v>
      </c>
      <c r="H5" t="s">
        <v>29</v>
      </c>
      <c r="I5" s="8">
        <f>NPV($E$9,B17)</f>
        <v>0</v>
      </c>
      <c r="J5" s="8">
        <f t="shared" ref="J5:O5" si="0">NPV($E$9,C17)</f>
        <v>0</v>
      </c>
      <c r="K5" s="8">
        <f>NPV($E$9,D17)</f>
        <v>127951.871657754</v>
      </c>
      <c r="L5" s="8">
        <f>NPV($E$9,E17)</f>
        <v>125538.57967914436</v>
      </c>
      <c r="M5" s="8">
        <f t="shared" si="0"/>
        <v>123480.77500919781</v>
      </c>
      <c r="N5" s="8">
        <f t="shared" si="0"/>
        <v>121752.78263845095</v>
      </c>
      <c r="O5" s="8">
        <f t="shared" si="0"/>
        <v>120331.07617940874</v>
      </c>
    </row>
    <row r="6" spans="1:15" x14ac:dyDescent="0.35">
      <c r="A6" s="3" t="s">
        <v>5</v>
      </c>
      <c r="B6" s="1">
        <v>2</v>
      </c>
      <c r="H6" t="s">
        <v>31</v>
      </c>
      <c r="I6">
        <f>(C17-C19)/(1+$E$9)^I4</f>
        <v>-545454.54545454541</v>
      </c>
      <c r="J6">
        <f>D17/(1+$E$9)^J4</f>
        <v>114039.10129924597</v>
      </c>
      <c r="K6">
        <f>E17/(1+$E$9)^K4</f>
        <v>99722.11870128171</v>
      </c>
      <c r="L6">
        <f>F17/(1+$E$9)^L4</f>
        <v>87422.007647141683</v>
      </c>
      <c r="M6">
        <f>G17/(1+$E$9)^M4</f>
        <v>76825.866639255008</v>
      </c>
      <c r="N6">
        <f>H17/(1+$E$9)^N4</f>
        <v>67672.701861945039</v>
      </c>
      <c r="O6">
        <f>I17/(1+$E$9)^O4</f>
        <v>59744.459195256401</v>
      </c>
    </row>
    <row r="7" spans="1:15" x14ac:dyDescent="0.35">
      <c r="A7" s="3" t="s">
        <v>6</v>
      </c>
      <c r="B7" s="1">
        <v>2</v>
      </c>
    </row>
    <row r="8" spans="1:15" x14ac:dyDescent="0.35">
      <c r="A8" s="3" t="s">
        <v>8</v>
      </c>
      <c r="B8" s="1">
        <v>6</v>
      </c>
    </row>
    <row r="9" spans="1:15" x14ac:dyDescent="0.35">
      <c r="A9" s="3" t="s">
        <v>16</v>
      </c>
      <c r="B9" s="2">
        <v>0.1</v>
      </c>
      <c r="D9" s="3" t="s">
        <v>16</v>
      </c>
      <c r="E9" s="2">
        <f>(1+$B$9)*(1+$B$10)-1</f>
        <v>0.12200000000000011</v>
      </c>
    </row>
    <row r="10" spans="1:15" x14ac:dyDescent="0.35">
      <c r="A10" s="3" t="s">
        <v>15</v>
      </c>
      <c r="B10" s="2">
        <v>0.02</v>
      </c>
      <c r="D10" s="5"/>
      <c r="E10" s="6"/>
    </row>
    <row r="11" spans="1:15" x14ac:dyDescent="0.35">
      <c r="A11" s="3" t="s">
        <v>18</v>
      </c>
      <c r="B11" s="4">
        <f>(1+E11)/(1+B10)-1</f>
        <v>5.8823529411764719E-2</v>
      </c>
      <c r="D11" s="3" t="s">
        <v>18</v>
      </c>
      <c r="E11" s="2">
        <v>0.08</v>
      </c>
    </row>
    <row r="13" spans="1:15" x14ac:dyDescent="0.35">
      <c r="A13" s="11" t="s">
        <v>19</v>
      </c>
    </row>
    <row r="14" spans="1:15" x14ac:dyDescent="0.35">
      <c r="A14" s="3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</row>
    <row r="15" spans="1:15" x14ac:dyDescent="0.35">
      <c r="A15" t="s">
        <v>10</v>
      </c>
      <c r="B15">
        <v>0</v>
      </c>
      <c r="C15" s="1">
        <v>0</v>
      </c>
      <c r="D15" s="1">
        <f>$B$3*(1+$B$10)^D14</f>
        <v>88434</v>
      </c>
      <c r="E15" s="1">
        <f t="shared" ref="E15:I15" si="1">$B$3*(1+$B$10)^E14</f>
        <v>90202.68</v>
      </c>
      <c r="F15" s="1">
        <f t="shared" si="1"/>
        <v>92006.733599999992</v>
      </c>
      <c r="G15" s="1">
        <f t="shared" si="1"/>
        <v>93846.868272000007</v>
      </c>
      <c r="H15" s="1">
        <f t="shared" si="1"/>
        <v>95723.805637440004</v>
      </c>
      <c r="I15" s="1">
        <f t="shared" si="1"/>
        <v>97638.281750188791</v>
      </c>
    </row>
    <row r="16" spans="1:15" x14ac:dyDescent="0.35">
      <c r="A16" t="s">
        <v>11</v>
      </c>
      <c r="B16">
        <v>0</v>
      </c>
      <c r="C16" s="1">
        <v>0</v>
      </c>
      <c r="D16">
        <f>$B$4*(1-$E$5)</f>
        <v>55127.999999999993</v>
      </c>
      <c r="E16">
        <f>D16*(1-$E$5)</f>
        <v>50651.606399999982</v>
      </c>
      <c r="F16">
        <f t="shared" ref="F16:H16" si="2">E16*(1-$E$5)</f>
        <v>46538.695960319972</v>
      </c>
      <c r="G16">
        <f t="shared" si="2"/>
        <v>42759.753848341985</v>
      </c>
      <c r="H16">
        <f t="shared" si="2"/>
        <v>39287.661835856612</v>
      </c>
      <c r="I16">
        <f>H16*(1-$E$5)</f>
        <v>36097.503694785046</v>
      </c>
    </row>
    <row r="17" spans="1:9" x14ac:dyDescent="0.35">
      <c r="A17" t="s">
        <v>12</v>
      </c>
      <c r="B17">
        <f>B16+B15</f>
        <v>0</v>
      </c>
      <c r="C17" s="1">
        <f>C16+C15</f>
        <v>0</v>
      </c>
      <c r="D17" s="1">
        <f>D16+D15</f>
        <v>143562</v>
      </c>
      <c r="E17">
        <f t="shared" ref="E17:I17" si="3">E16+E15</f>
        <v>140854.28639999998</v>
      </c>
      <c r="F17">
        <f t="shared" si="3"/>
        <v>138545.42956031996</v>
      </c>
      <c r="G17">
        <f t="shared" si="3"/>
        <v>136606.62212034198</v>
      </c>
      <c r="H17">
        <f t="shared" si="3"/>
        <v>135011.46747329662</v>
      </c>
      <c r="I17">
        <f t="shared" si="3"/>
        <v>133735.78544497385</v>
      </c>
    </row>
    <row r="19" spans="1:9" x14ac:dyDescent="0.35">
      <c r="A19" t="s">
        <v>13</v>
      </c>
      <c r="B19">
        <v>0</v>
      </c>
      <c r="C19" s="1">
        <f>E2</f>
        <v>612000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C20" s="1"/>
    </row>
    <row r="21" spans="1:9" x14ac:dyDescent="0.35">
      <c r="A21" t="s">
        <v>23</v>
      </c>
      <c r="B21">
        <f>B17-B19</f>
        <v>0</v>
      </c>
      <c r="C21">
        <f t="shared" ref="C21:I21" si="4">C17-C19</f>
        <v>-612000</v>
      </c>
      <c r="D21" s="1">
        <f>D17-D19</f>
        <v>143562</v>
      </c>
      <c r="E21">
        <f t="shared" si="4"/>
        <v>140854.28639999998</v>
      </c>
      <c r="F21">
        <f t="shared" si="4"/>
        <v>138545.42956031996</v>
      </c>
      <c r="G21">
        <f t="shared" si="4"/>
        <v>136606.62212034198</v>
      </c>
      <c r="H21">
        <f t="shared" si="4"/>
        <v>135011.46747329662</v>
      </c>
      <c r="I21">
        <f t="shared" si="4"/>
        <v>133735.78544497385</v>
      </c>
    </row>
    <row r="23" spans="1:9" x14ac:dyDescent="0.35">
      <c r="A23" s="7" t="s">
        <v>20</v>
      </c>
      <c r="B23" s="8">
        <f>-NPV(E9,C21:I21)</f>
        <v>40028.290110419599</v>
      </c>
    </row>
    <row r="24" spans="1:9" x14ac:dyDescent="0.35">
      <c r="A24" s="7" t="s">
        <v>21</v>
      </c>
      <c r="B24" s="2">
        <f>IRR(C21:I21)</f>
        <v>9.5263110246651017E-2</v>
      </c>
      <c r="D24" t="s">
        <v>25</v>
      </c>
    </row>
    <row r="25" spans="1:9" x14ac:dyDescent="0.35">
      <c r="A25" s="7" t="s">
        <v>22</v>
      </c>
      <c r="B25">
        <f>NPV(E9,C17:I17)/(NPV(E9,C19:I19))</f>
        <v>0.9266148014642307</v>
      </c>
      <c r="D25" t="s">
        <v>26</v>
      </c>
    </row>
    <row r="27" spans="1:9" x14ac:dyDescent="0.35">
      <c r="A27" s="10" t="s">
        <v>24</v>
      </c>
    </row>
    <row r="28" spans="1:9" x14ac:dyDescent="0.35">
      <c r="A28" s="3" t="s">
        <v>9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</row>
    <row r="29" spans="1:9" x14ac:dyDescent="0.35">
      <c r="A29" t="s">
        <v>10</v>
      </c>
      <c r="B29">
        <f>B15/(1+$B$10)^B28</f>
        <v>0</v>
      </c>
      <c r="C29">
        <f t="shared" ref="C29:H29" si="5">C15/(1+$B$10)^C28</f>
        <v>0</v>
      </c>
      <c r="D29">
        <f>D15/(1+$B$10)^D28</f>
        <v>85000</v>
      </c>
      <c r="E29">
        <f t="shared" si="5"/>
        <v>85000</v>
      </c>
      <c r="F29">
        <f t="shared" si="5"/>
        <v>85000</v>
      </c>
      <c r="G29">
        <f t="shared" si="5"/>
        <v>85000</v>
      </c>
      <c r="H29">
        <f t="shared" si="5"/>
        <v>85000</v>
      </c>
      <c r="I29">
        <f>I15/(1+$B$10)^I28</f>
        <v>85000</v>
      </c>
    </row>
    <row r="30" spans="1:9" x14ac:dyDescent="0.35">
      <c r="A30" t="s">
        <v>11</v>
      </c>
      <c r="B30">
        <f>B16/(1+$B$10)^B28</f>
        <v>0</v>
      </c>
      <c r="C30">
        <f>C16/(1+$B$10)^C28</f>
        <v>0</v>
      </c>
      <c r="D30">
        <f>D16/(1+$B$10)^D28</f>
        <v>52987.312572087649</v>
      </c>
      <c r="E30">
        <f>E16/(1+$B$10)^E28</f>
        <v>47730.139991406009</v>
      </c>
      <c r="F30">
        <f>F16/(1+$B$10)^F28</f>
        <v>42994.561396180223</v>
      </c>
      <c r="G30">
        <f>G16/(1+$B$10)^G28</f>
        <v>38728.826481186647</v>
      </c>
      <c r="H30">
        <f>H16/(1+$B$10)^H28</f>
        <v>34886.319383249298</v>
      </c>
      <c r="I30">
        <f>I16/(1+$B$10)^I28</f>
        <v>31425.049264048488</v>
      </c>
    </row>
    <row r="31" spans="1:9" x14ac:dyDescent="0.35">
      <c r="A31" t="s">
        <v>12</v>
      </c>
      <c r="B31">
        <f>B29+B30</f>
        <v>0</v>
      </c>
      <c r="C31">
        <f t="shared" ref="C31:I31" si="6">C29+C30</f>
        <v>0</v>
      </c>
      <c r="D31">
        <f>D29+D30</f>
        <v>137987.31257208766</v>
      </c>
      <c r="E31">
        <f t="shared" si="6"/>
        <v>132730.139991406</v>
      </c>
      <c r="F31">
        <f t="shared" si="6"/>
        <v>127994.56139618022</v>
      </c>
      <c r="G31">
        <f t="shared" si="6"/>
        <v>123728.82648118664</v>
      </c>
      <c r="H31">
        <f t="shared" si="6"/>
        <v>119886.3193832493</v>
      </c>
      <c r="I31">
        <f t="shared" si="6"/>
        <v>116425.04926404849</v>
      </c>
    </row>
    <row r="33" spans="1:9" x14ac:dyDescent="0.35">
      <c r="A33" t="s">
        <v>13</v>
      </c>
      <c r="B33">
        <f>B19/(1+$B$10)^B28</f>
        <v>0</v>
      </c>
      <c r="C33">
        <f>C19/(1+$B$10)^C28</f>
        <v>600000</v>
      </c>
      <c r="D33">
        <f t="shared" ref="D33:J33" si="7">D19/(1+$B$10)^D28</f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</row>
    <row r="35" spans="1:9" x14ac:dyDescent="0.35">
      <c r="A35" t="s">
        <v>23</v>
      </c>
      <c r="B35">
        <f>B31+B33</f>
        <v>0</v>
      </c>
      <c r="C35">
        <f>C31-C33</f>
        <v>-600000</v>
      </c>
      <c r="D35">
        <f>D31-D33</f>
        <v>137987.31257208766</v>
      </c>
      <c r="E35">
        <f t="shared" ref="E35:J35" si="8">E31-E33</f>
        <v>132730.139991406</v>
      </c>
      <c r="F35">
        <f t="shared" si="8"/>
        <v>127994.56139618022</v>
      </c>
      <c r="G35">
        <f t="shared" si="8"/>
        <v>123728.82648118664</v>
      </c>
      <c r="H35">
        <f t="shared" si="8"/>
        <v>119886.3193832493</v>
      </c>
      <c r="I35">
        <f t="shared" si="8"/>
        <v>116425.04926404849</v>
      </c>
    </row>
    <row r="37" spans="1:9" x14ac:dyDescent="0.35">
      <c r="A37" s="7" t="s">
        <v>20</v>
      </c>
      <c r="B37" s="8">
        <f>-NPV(B9,C35:I35)</f>
        <v>40028.290110419541</v>
      </c>
    </row>
    <row r="38" spans="1:9" x14ac:dyDescent="0.35">
      <c r="A38" s="7" t="s">
        <v>21</v>
      </c>
      <c r="B38" s="2">
        <f>IRR(C35:I35)</f>
        <v>7.3787362986912575E-2</v>
      </c>
      <c r="D38" t="s">
        <v>27</v>
      </c>
    </row>
    <row r="39" spans="1:9" x14ac:dyDescent="0.35">
      <c r="A39" s="7" t="s">
        <v>22</v>
      </c>
      <c r="B39">
        <f>NPV(B9,C17:I17)/NPV(B9,C19:I19)</f>
        <v>0.98633442236056368</v>
      </c>
      <c r="D3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1608-84E3-46C1-8B94-9B27E8CF9294}">
  <dimension ref="A1:O41"/>
  <sheetViews>
    <sheetView topLeftCell="A8" workbookViewId="0">
      <selection activeCell="A8" sqref="A1:XFD1048576"/>
    </sheetView>
  </sheetViews>
  <sheetFormatPr defaultRowHeight="14.5" x14ac:dyDescent="0.35"/>
  <cols>
    <col min="1" max="1" width="14.1796875" customWidth="1"/>
    <col min="2" max="2" width="9.36328125" bestFit="1" customWidth="1"/>
    <col min="7" max="7" width="10.90625" bestFit="1" customWidth="1"/>
  </cols>
  <sheetData>
    <row r="1" spans="1:15" x14ac:dyDescent="0.35">
      <c r="A1" s="3" t="s">
        <v>0</v>
      </c>
    </row>
    <row r="2" spans="1:15" x14ac:dyDescent="0.35">
      <c r="A2" s="3" t="s">
        <v>35</v>
      </c>
      <c r="B2" s="15">
        <f>SUM(C37:E37)*0.2</f>
        <v>0</v>
      </c>
      <c r="D2" s="3" t="s">
        <v>14</v>
      </c>
      <c r="E2" s="2">
        <v>0.12</v>
      </c>
    </row>
    <row r="3" spans="1:15" x14ac:dyDescent="0.35">
      <c r="A3" s="3" t="s">
        <v>36</v>
      </c>
      <c r="B3" s="15">
        <f>SUM(C37:E37)*0.8</f>
        <v>0</v>
      </c>
      <c r="C3" s="2"/>
      <c r="D3" s="3"/>
      <c r="E3" s="2"/>
    </row>
    <row r="4" spans="1:15" x14ac:dyDescent="0.35">
      <c r="A4" s="3" t="s">
        <v>37</v>
      </c>
      <c r="B4" s="2">
        <v>0.08</v>
      </c>
      <c r="D4" s="3" t="s">
        <v>44</v>
      </c>
      <c r="E4" s="2">
        <v>0.2</v>
      </c>
    </row>
    <row r="5" spans="1:15" x14ac:dyDescent="0.35">
      <c r="A5" s="3" t="s">
        <v>42</v>
      </c>
      <c r="B5" s="2">
        <v>0.02</v>
      </c>
    </row>
    <row r="6" spans="1:15" x14ac:dyDescent="0.35">
      <c r="A6" s="3"/>
      <c r="B6" s="2"/>
    </row>
    <row r="7" spans="1:15" x14ac:dyDescent="0.35">
      <c r="A7" s="3" t="s">
        <v>19</v>
      </c>
    </row>
    <row r="8" spans="1:15" x14ac:dyDescent="0.35">
      <c r="F8" t="s">
        <v>40</v>
      </c>
      <c r="G8" t="s">
        <v>40</v>
      </c>
      <c r="H8" t="s">
        <v>40</v>
      </c>
      <c r="I8" t="s">
        <v>40</v>
      </c>
      <c r="J8" t="s">
        <v>40</v>
      </c>
    </row>
    <row r="9" spans="1:15" x14ac:dyDescent="0.35">
      <c r="E9" s="13" t="s">
        <v>38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</row>
    <row r="10" spans="1:15" x14ac:dyDescent="0.35">
      <c r="C10" t="s">
        <v>32</v>
      </c>
      <c r="D10" t="s">
        <v>32</v>
      </c>
      <c r="E10" t="s">
        <v>32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</row>
    <row r="11" spans="1:15" x14ac:dyDescent="0.35">
      <c r="A11" s="3" t="s">
        <v>9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</row>
    <row r="12" spans="1:15" x14ac:dyDescent="0.35">
      <c r="A12" s="14" t="s">
        <v>30</v>
      </c>
      <c r="B12">
        <v>0</v>
      </c>
      <c r="C12">
        <v>0</v>
      </c>
      <c r="D12">
        <v>0</v>
      </c>
      <c r="E12">
        <v>0</v>
      </c>
      <c r="F12">
        <f>2800*(1+B5)^F11</f>
        <v>3030.8100479999998</v>
      </c>
      <c r="G12" s="15">
        <f>F12*(1+$B$5)</f>
        <v>3091.4262489600001</v>
      </c>
      <c r="H12" s="15">
        <f>G12*(1+$B$5)</f>
        <v>3153.2547739392003</v>
      </c>
      <c r="I12" s="15">
        <f>H12*(1+$B$5)</f>
        <v>3216.3198694179841</v>
      </c>
      <c r="J12" s="15">
        <f t="shared" ref="J12:O12" si="0">I12*(1+$B$5)</f>
        <v>3280.6462668063441</v>
      </c>
      <c r="K12" s="15">
        <f t="shared" si="0"/>
        <v>3346.259192142471</v>
      </c>
      <c r="L12" s="15">
        <f t="shared" si="0"/>
        <v>3413.1843759853205</v>
      </c>
      <c r="M12" s="15">
        <f t="shared" si="0"/>
        <v>3481.4480635050268</v>
      </c>
      <c r="N12" s="15">
        <f t="shared" si="0"/>
        <v>3551.0770247751275</v>
      </c>
      <c r="O12" s="15">
        <f t="shared" si="0"/>
        <v>3622.0985652706299</v>
      </c>
    </row>
    <row r="16" spans="1:15" x14ac:dyDescent="0.35">
      <c r="A16" s="14" t="s">
        <v>13</v>
      </c>
    </row>
    <row r="17" spans="1:15" x14ac:dyDescent="0.35">
      <c r="A17" t="s">
        <v>34</v>
      </c>
      <c r="C17">
        <f>3500*(1+E2)^C11</f>
        <v>3920.0000000000005</v>
      </c>
      <c r="D17">
        <f>5000*(1+E2)^D11</f>
        <v>6272.0000000000009</v>
      </c>
      <c r="E17">
        <f>4000*(1+E2)^E11</f>
        <v>5619.7120000000014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t="s">
        <v>41</v>
      </c>
      <c r="C18">
        <v>0</v>
      </c>
      <c r="D18">
        <v>0</v>
      </c>
      <c r="E18">
        <v>0</v>
      </c>
      <c r="F18">
        <f>350*(1+$E$2)^F11</f>
        <v>550.73177600000008</v>
      </c>
      <c r="G18">
        <f>350*(1+$E$2)^G11</f>
        <v>616.81958912000016</v>
      </c>
      <c r="H18">
        <f>350*(1+$E$2)^H11</f>
        <v>690.83793981440033</v>
      </c>
      <c r="I18">
        <f t="shared" ref="H18:O18" si="1">350*(1+$E$2)^I11</f>
        <v>773.7384925921283</v>
      </c>
      <c r="J18">
        <f t="shared" si="1"/>
        <v>866.58711170318384</v>
      </c>
      <c r="K18">
        <f t="shared" si="1"/>
        <v>970.57756510756587</v>
      </c>
      <c r="L18">
        <f t="shared" si="1"/>
        <v>1087.046872920474</v>
      </c>
      <c r="M18">
        <f t="shared" si="1"/>
        <v>1217.492497670931</v>
      </c>
      <c r="N18">
        <f t="shared" si="1"/>
        <v>1363.5915973914425</v>
      </c>
      <c r="O18">
        <f t="shared" si="1"/>
        <v>1527.2225890784159</v>
      </c>
    </row>
    <row r="19" spans="1:15" x14ac:dyDescent="0.35">
      <c r="A19" t="s">
        <v>43</v>
      </c>
      <c r="C19">
        <f>C17</f>
        <v>3920.0000000000005</v>
      </c>
      <c r="D19">
        <f>C17+D17</f>
        <v>10192.000000000002</v>
      </c>
      <c r="E19">
        <f>SUM(C17:E17)</f>
        <v>15811.712000000003</v>
      </c>
      <c r="F19">
        <f>$E$19/5</f>
        <v>3162.3424000000005</v>
      </c>
      <c r="G19">
        <f t="shared" ref="G19:J19" si="2">$E$19/5</f>
        <v>3162.3424000000005</v>
      </c>
      <c r="H19">
        <f t="shared" si="2"/>
        <v>3162.3424000000005</v>
      </c>
      <c r="I19">
        <f t="shared" si="2"/>
        <v>3162.3424000000005</v>
      </c>
      <c r="J19">
        <f t="shared" si="2"/>
        <v>3162.3424000000005</v>
      </c>
    </row>
    <row r="20" spans="1:15" x14ac:dyDescent="0.35">
      <c r="F20">
        <f>SUM(F19:J19)</f>
        <v>15811.712000000003</v>
      </c>
    </row>
    <row r="24" spans="1:15" x14ac:dyDescent="0.35">
      <c r="A24" s="7" t="s">
        <v>20</v>
      </c>
    </row>
    <row r="25" spans="1:15" x14ac:dyDescent="0.35">
      <c r="A25" s="7" t="s">
        <v>21</v>
      </c>
    </row>
    <row r="26" spans="1:15" x14ac:dyDescent="0.35">
      <c r="A26" s="3"/>
    </row>
    <row r="27" spans="1:15" x14ac:dyDescent="0.35">
      <c r="A27" s="3" t="s">
        <v>24</v>
      </c>
    </row>
    <row r="28" spans="1:15" x14ac:dyDescent="0.35">
      <c r="F28" t="s">
        <v>40</v>
      </c>
      <c r="G28" t="s">
        <v>40</v>
      </c>
      <c r="H28" t="s">
        <v>40</v>
      </c>
      <c r="I28" t="s">
        <v>40</v>
      </c>
      <c r="J28" t="s">
        <v>40</v>
      </c>
    </row>
    <row r="29" spans="1:15" x14ac:dyDescent="0.35">
      <c r="E29" s="13" t="s">
        <v>38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</row>
    <row r="30" spans="1:15" x14ac:dyDescent="0.35">
      <c r="C30" t="s">
        <v>32</v>
      </c>
      <c r="D30" t="s">
        <v>32</v>
      </c>
      <c r="E30" t="s">
        <v>32</v>
      </c>
      <c r="F30" t="s">
        <v>33</v>
      </c>
      <c r="G30" t="s">
        <v>33</v>
      </c>
      <c r="H30" t="s">
        <v>33</v>
      </c>
      <c r="I30" t="s">
        <v>33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</row>
    <row r="31" spans="1:15" x14ac:dyDescent="0.35">
      <c r="A31" s="3" t="s">
        <v>9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</row>
    <row r="32" spans="1:15" x14ac:dyDescent="0.35">
      <c r="A32" s="14" t="s">
        <v>30</v>
      </c>
      <c r="B32">
        <f>B12/(1+B4)^B11</f>
        <v>0</v>
      </c>
      <c r="G32" s="15"/>
      <c r="H32" s="15"/>
      <c r="I32" s="15"/>
      <c r="J32" s="15"/>
      <c r="K32" s="15"/>
      <c r="L32" s="15"/>
      <c r="M32" s="15"/>
      <c r="N32" s="15"/>
      <c r="O32" s="15"/>
    </row>
    <row r="36" spans="1:1" x14ac:dyDescent="0.35">
      <c r="A36" s="14" t="s">
        <v>13</v>
      </c>
    </row>
    <row r="37" spans="1:1" x14ac:dyDescent="0.35">
      <c r="A37" t="s">
        <v>34</v>
      </c>
    </row>
    <row r="38" spans="1:1" x14ac:dyDescent="0.35">
      <c r="A38" t="s">
        <v>41</v>
      </c>
    </row>
    <row r="40" spans="1:1" x14ac:dyDescent="0.35">
      <c r="A40" s="7" t="s">
        <v>20</v>
      </c>
    </row>
    <row r="41" spans="1:1" x14ac:dyDescent="0.35">
      <c r="A41" s="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DBE6-6DEA-4759-AD92-24CB05A3749B}">
  <dimension ref="A1:O47"/>
  <sheetViews>
    <sheetView tabSelected="1" topLeftCell="A3" zoomScale="71" zoomScaleNormal="71" workbookViewId="0">
      <selection activeCell="E21" sqref="E21"/>
    </sheetView>
  </sheetViews>
  <sheetFormatPr defaultRowHeight="14.5" x14ac:dyDescent="0.35"/>
  <cols>
    <col min="1" max="1" width="14.1796875" customWidth="1"/>
    <col min="2" max="2" width="9.36328125" bestFit="1" customWidth="1"/>
    <col min="7" max="7" width="10.90625" bestFit="1" customWidth="1"/>
  </cols>
  <sheetData>
    <row r="1" spans="1:15" x14ac:dyDescent="0.35">
      <c r="A1" s="3" t="s">
        <v>0</v>
      </c>
    </row>
    <row r="2" spans="1:15" x14ac:dyDescent="0.35">
      <c r="A2" s="3" t="s">
        <v>35</v>
      </c>
      <c r="B2" s="15">
        <f>SUM(C17:E17)*0.2</f>
        <v>2500</v>
      </c>
      <c r="D2" s="3" t="s">
        <v>14</v>
      </c>
      <c r="E2" s="2">
        <v>0.12</v>
      </c>
    </row>
    <row r="3" spans="1:15" x14ac:dyDescent="0.35">
      <c r="A3" s="3" t="s">
        <v>36</v>
      </c>
      <c r="B3" s="15">
        <f>SUM(C17:E17)*0.8</f>
        <v>10000</v>
      </c>
      <c r="C3" s="2"/>
      <c r="D3" s="3"/>
      <c r="E3" s="2"/>
    </row>
    <row r="4" spans="1:15" x14ac:dyDescent="0.35">
      <c r="A4" s="3" t="s">
        <v>37</v>
      </c>
      <c r="B4" s="2">
        <v>0.08</v>
      </c>
      <c r="D4" s="3" t="s">
        <v>44</v>
      </c>
      <c r="E4" s="2">
        <v>0.2</v>
      </c>
    </row>
    <row r="5" spans="1:15" x14ac:dyDescent="0.35">
      <c r="A5" s="3" t="s">
        <v>42</v>
      </c>
      <c r="B5" s="2">
        <v>0.02</v>
      </c>
    </row>
    <row r="6" spans="1:15" x14ac:dyDescent="0.35">
      <c r="A6" s="3"/>
      <c r="B6" s="2"/>
    </row>
    <row r="7" spans="1:15" x14ac:dyDescent="0.35">
      <c r="A7" s="3" t="s">
        <v>19</v>
      </c>
    </row>
    <row r="8" spans="1:15" x14ac:dyDescent="0.35">
      <c r="F8" t="s">
        <v>40</v>
      </c>
      <c r="G8" t="s">
        <v>40</v>
      </c>
      <c r="H8" t="s">
        <v>40</v>
      </c>
      <c r="I8" t="s">
        <v>40</v>
      </c>
      <c r="J8" t="s">
        <v>40</v>
      </c>
    </row>
    <row r="9" spans="1:15" x14ac:dyDescent="0.35">
      <c r="E9" s="13" t="s">
        <v>38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</row>
    <row r="10" spans="1:15" x14ac:dyDescent="0.35">
      <c r="C10" t="s">
        <v>32</v>
      </c>
      <c r="D10" t="s">
        <v>32</v>
      </c>
      <c r="E10" t="s">
        <v>32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</row>
    <row r="11" spans="1:15" x14ac:dyDescent="0.35">
      <c r="A11" s="3" t="s">
        <v>9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</row>
    <row r="12" spans="1:15" x14ac:dyDescent="0.35">
      <c r="A12" s="14" t="s">
        <v>30</v>
      </c>
      <c r="B12">
        <v>0</v>
      </c>
      <c r="C12">
        <v>0</v>
      </c>
      <c r="D12">
        <v>0</v>
      </c>
      <c r="E12">
        <v>0</v>
      </c>
      <c r="F12">
        <v>2800</v>
      </c>
      <c r="G12" s="15">
        <f>F12*(1+$B$5)</f>
        <v>2856</v>
      </c>
      <c r="H12" s="15">
        <f>G12*(1+$B$5)</f>
        <v>2913.12</v>
      </c>
      <c r="I12" s="15">
        <f>H12*(1+$B$5)</f>
        <v>2971.3824</v>
      </c>
      <c r="J12" s="15">
        <f>I12*(1+$B$5)</f>
        <v>3030.8100479999998</v>
      </c>
      <c r="K12" s="15">
        <f t="shared" ref="K12:O12" si="0">J12*(1+$B$5)</f>
        <v>3091.4262489600001</v>
      </c>
      <c r="L12" s="15">
        <f t="shared" si="0"/>
        <v>3153.2547739392003</v>
      </c>
      <c r="M12" s="15">
        <f t="shared" si="0"/>
        <v>3216.3198694179841</v>
      </c>
      <c r="N12" s="15">
        <f t="shared" si="0"/>
        <v>3280.6462668063441</v>
      </c>
      <c r="O12" s="15">
        <f t="shared" si="0"/>
        <v>3346.259192142471</v>
      </c>
    </row>
    <row r="16" spans="1:15" x14ac:dyDescent="0.35">
      <c r="A16" s="14" t="s">
        <v>13</v>
      </c>
    </row>
    <row r="17" spans="1:15" x14ac:dyDescent="0.35">
      <c r="A17" t="s">
        <v>34</v>
      </c>
      <c r="B17">
        <v>0</v>
      </c>
      <c r="C17">
        <v>3500</v>
      </c>
      <c r="D17">
        <v>5000</v>
      </c>
      <c r="E17">
        <v>4000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t="s">
        <v>41</v>
      </c>
      <c r="B18">
        <v>0</v>
      </c>
      <c r="C18">
        <v>0</v>
      </c>
      <c r="D18">
        <v>0</v>
      </c>
      <c r="E18">
        <v>0</v>
      </c>
      <c r="F18">
        <f>350</f>
        <v>350</v>
      </c>
      <c r="G18">
        <f>350</f>
        <v>350</v>
      </c>
      <c r="H18">
        <f>350</f>
        <v>350</v>
      </c>
      <c r="I18">
        <f>350</f>
        <v>350</v>
      </c>
      <c r="J18">
        <f>350</f>
        <v>350</v>
      </c>
      <c r="K18">
        <f>350</f>
        <v>350</v>
      </c>
      <c r="L18">
        <f>350</f>
        <v>350</v>
      </c>
      <c r="M18">
        <f>350</f>
        <v>350</v>
      </c>
      <c r="N18">
        <f>350</f>
        <v>350</v>
      </c>
      <c r="O18">
        <f>350</f>
        <v>350</v>
      </c>
    </row>
    <row r="19" spans="1:15" x14ac:dyDescent="0.35">
      <c r="A19" t="s">
        <v>43</v>
      </c>
      <c r="B19">
        <v>0</v>
      </c>
      <c r="C19">
        <f>C17</f>
        <v>3500</v>
      </c>
      <c r="D19">
        <f>C17+D17</f>
        <v>8500</v>
      </c>
      <c r="E19">
        <f>SUM(C17:E17)</f>
        <v>12500</v>
      </c>
      <c r="F19">
        <f>$E$19/5</f>
        <v>2500</v>
      </c>
      <c r="G19">
        <f t="shared" ref="G19:J19" si="1">$E$19/5</f>
        <v>2500</v>
      </c>
      <c r="H19">
        <f t="shared" si="1"/>
        <v>2500</v>
      </c>
      <c r="I19">
        <f t="shared" si="1"/>
        <v>2500</v>
      </c>
      <c r="J19">
        <f t="shared" si="1"/>
        <v>2500</v>
      </c>
    </row>
    <row r="20" spans="1:15" x14ac:dyDescent="0.35">
      <c r="F20">
        <f>SUM(F19:J19)</f>
        <v>12500</v>
      </c>
    </row>
    <row r="21" spans="1:15" x14ac:dyDescent="0.35">
      <c r="A21" s="3" t="s">
        <v>45</v>
      </c>
      <c r="B21">
        <v>0</v>
      </c>
    </row>
    <row r="22" spans="1:15" x14ac:dyDescent="0.35">
      <c r="A22" s="3" t="s">
        <v>47</v>
      </c>
      <c r="B22">
        <v>0</v>
      </c>
      <c r="C22">
        <v>0</v>
      </c>
      <c r="D22">
        <v>0</v>
      </c>
      <c r="E22">
        <v>0</v>
      </c>
    </row>
    <row r="23" spans="1:15" x14ac:dyDescent="0.35">
      <c r="A23" s="3" t="s">
        <v>48</v>
      </c>
      <c r="B23">
        <v>0</v>
      </c>
      <c r="C23">
        <v>0</v>
      </c>
      <c r="D23">
        <v>0</v>
      </c>
      <c r="E23">
        <v>0</v>
      </c>
    </row>
    <row r="24" spans="1:15" x14ac:dyDescent="0.35">
      <c r="A24" s="3" t="s">
        <v>46</v>
      </c>
      <c r="B24">
        <v>0</v>
      </c>
      <c r="C24">
        <v>0</v>
      </c>
      <c r="D24">
        <v>0</v>
      </c>
      <c r="E24">
        <v>0</v>
      </c>
    </row>
    <row r="25" spans="1:15" x14ac:dyDescent="0.35">
      <c r="A25" s="3" t="s">
        <v>49</v>
      </c>
    </row>
    <row r="26" spans="1:15" x14ac:dyDescent="0.35">
      <c r="A26" s="3"/>
    </row>
    <row r="27" spans="1:15" x14ac:dyDescent="0.35">
      <c r="A27" s="3"/>
    </row>
    <row r="28" spans="1:15" x14ac:dyDescent="0.35">
      <c r="A28" s="3"/>
      <c r="E28" s="13"/>
    </row>
    <row r="30" spans="1:15" x14ac:dyDescent="0.35">
      <c r="A30" s="7" t="s">
        <v>20</v>
      </c>
    </row>
    <row r="31" spans="1:15" x14ac:dyDescent="0.35">
      <c r="A31" s="7" t="s">
        <v>21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35">
      <c r="A32" s="3"/>
    </row>
    <row r="33" spans="1:1" x14ac:dyDescent="0.35">
      <c r="A33" s="3"/>
    </row>
    <row r="37" spans="1:1" x14ac:dyDescent="0.35">
      <c r="A37" s="3"/>
    </row>
    <row r="38" spans="1:1" x14ac:dyDescent="0.35">
      <c r="A38" s="14"/>
    </row>
    <row r="42" spans="1:1" x14ac:dyDescent="0.35">
      <c r="A42" s="14"/>
    </row>
    <row r="46" spans="1:1" x14ac:dyDescent="0.35">
      <c r="A46" s="9"/>
    </row>
    <row r="47" spans="1:1" x14ac:dyDescent="0.35">
      <c r="A4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1 Breakeven</vt:lpstr>
      <vt:lpstr>delete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dcterms:created xsi:type="dcterms:W3CDTF">2025-02-08T17:05:42Z</dcterms:created>
  <dcterms:modified xsi:type="dcterms:W3CDTF">2025-02-10T16:17:46Z</dcterms:modified>
</cp:coreProperties>
</file>