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mma\OneDrive - purdue.edu\Desktop\Purdue Classes Spring 2025\AGEC 609\"/>
    </mc:Choice>
  </mc:AlternateContent>
  <xr:revisionPtr revIDLastSave="0" documentId="8_{F1B35591-F550-43A0-A5AC-0B982517AAFC}" xr6:coauthVersionLast="47" xr6:coauthVersionMax="47" xr10:uidLastSave="{00000000-0000-0000-0000-000000000000}"/>
  <bookViews>
    <workbookView xWindow="8360" yWindow="360" windowWidth="10930" windowHeight="9810" tabRatio="500" activeTab="2" xr2:uid="{00000000-000D-0000-FFFF-FFFF00000000}"/>
  </bookViews>
  <sheets>
    <sheet name="1" sheetId="1" r:id="rId1"/>
    <sheet name="2" sheetId="2" r:id="rId2"/>
    <sheet name="3" sheetId="5" r:id="rId3"/>
    <sheet name="4" sheetId="6" r:id="rId4"/>
    <sheet name="5" sheetId="7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_cap">'4'!$E$6</definedName>
    <definedName name="c_fuel">'4'!$E$3</definedName>
    <definedName name="c_op">'4'!$E$10</definedName>
    <definedName name="c_tax">'4'!$E$16</definedName>
    <definedName name="carAprice">'2'!$C$11</definedName>
    <definedName name="carBprice">'2'!$C$12</definedName>
    <definedName name="chng_cost">#REF!</definedName>
    <definedName name="debt_frac">'2'!$C$8</definedName>
    <definedName name="disc5">'4'!$E$15</definedName>
    <definedName name="e_price" localSheetId="3">'4'!$E$14</definedName>
    <definedName name="e_price">#REF!</definedName>
    <definedName name="equity_frac">'2'!$C$9</definedName>
    <definedName name="g_cap">'4'!$E$7</definedName>
    <definedName name="g_fuel">'4'!$E$4</definedName>
    <definedName name="g_op">'4'!$E$11</definedName>
    <definedName name="g_tax">'4'!$E$17</definedName>
    <definedName name="gas_inf">'2'!$C$4</definedName>
    <definedName name="gas_price">'2'!$C$3</definedName>
    <definedName name="inf_4" localSheetId="2">'3'!$D$3</definedName>
    <definedName name="inf_4">#REF!</definedName>
    <definedName name="int_2">'1'!$D$3</definedName>
    <definedName name="int_3">'2'!$C$5</definedName>
    <definedName name="miles_yr">'2'!$C$7</definedName>
    <definedName name="mpgA">'2'!$C$13</definedName>
    <definedName name="mpgB">'2'!$C$14</definedName>
    <definedName name="n_cap">'4'!$E$8</definedName>
    <definedName name="n_fuel">'4'!$E$5</definedName>
    <definedName name="n_op">'4'!$E$12</definedName>
    <definedName name="nint_4" localSheetId="2">'3'!$D$4</definedName>
    <definedName name="nint_4">#REF!</definedName>
    <definedName name="Pal_Workbook_GUID" hidden="1">"H42FNXRK5PJXKU6T4XYD57M4"</definedName>
    <definedName name="r_3">#REF!</definedName>
    <definedName name="r_pers">'2'!$C$6</definedName>
    <definedName name="repay">'2'!$C$10</definedName>
    <definedName name="rint_4" localSheetId="2">'3'!$D$5</definedName>
    <definedName name="rint_4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31517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"$Z$47"</definedName>
    <definedName name="RiskSelectedNameCell1" hidden="1">"$A$43"</definedName>
    <definedName name="RiskSelectedNameCell2" hidden="1">"$Y$42"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use_days_yr">#REF!</definedName>
    <definedName name="use_hr_day">#REF!</definedName>
    <definedName name="w_cap">'4'!$E$9</definedName>
    <definedName name="w_op">'4'!$E$13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5" i="5" l="1"/>
  <c r="F29" i="7"/>
  <c r="F28" i="7"/>
  <c r="F19" i="7"/>
  <c r="G19" i="7"/>
  <c r="F20" i="7"/>
  <c r="E19" i="7"/>
  <c r="C10" i="7"/>
  <c r="D28" i="7"/>
  <c r="C9" i="7"/>
  <c r="C29" i="7"/>
  <c r="C19" i="7"/>
  <c r="C8" i="7"/>
  <c r="C20" i="7" s="1"/>
  <c r="M6" i="6"/>
  <c r="H27" i="6"/>
  <c r="D44" i="5"/>
  <c r="C43" i="5"/>
  <c r="D43" i="5"/>
  <c r="E43" i="5"/>
  <c r="C41" i="5"/>
  <c r="I28" i="5"/>
  <c r="C28" i="5"/>
  <c r="C26" i="5"/>
  <c r="C25" i="5"/>
  <c r="H10" i="5"/>
  <c r="D19" i="2"/>
  <c r="F18" i="2"/>
  <c r="D18" i="2"/>
  <c r="C28" i="2"/>
  <c r="C18" i="2"/>
  <c r="H21" i="1"/>
  <c r="H20" i="1"/>
  <c r="C22" i="1"/>
  <c r="C21" i="1"/>
  <c r="C20" i="1"/>
  <c r="C6" i="7"/>
  <c r="C12" i="7"/>
  <c r="C13" i="7"/>
  <c r="C18" i="7"/>
  <c r="D18" i="7"/>
  <c r="E18" i="7"/>
  <c r="F18" i="7"/>
  <c r="E24" i="7" l="1"/>
  <c r="D27" i="7"/>
  <c r="C22" i="7"/>
  <c r="C27" i="7"/>
  <c r="C26" i="7"/>
  <c r="E23" i="7"/>
  <c r="C21" i="7"/>
  <c r="C28" i="7"/>
  <c r="D25" i="7"/>
  <c r="E20" i="7"/>
  <c r="C24" i="7"/>
  <c r="E28" i="7"/>
  <c r="C23" i="7"/>
  <c r="E27" i="7"/>
  <c r="C25" i="7"/>
  <c r="D20" i="7"/>
  <c r="E26" i="7"/>
  <c r="D19" i="7"/>
  <c r="E21" i="7"/>
  <c r="E25" i="7"/>
  <c r="E22" i="7"/>
  <c r="C11" i="7"/>
  <c r="H22" i="6"/>
  <c r="M22" i="6" s="1"/>
  <c r="I22" i="6"/>
  <c r="N22" i="6" s="1"/>
  <c r="J22" i="6"/>
  <c r="O22" i="6" s="1"/>
  <c r="K22" i="6"/>
  <c r="P22" i="6"/>
  <c r="H23" i="6"/>
  <c r="M23" i="6" s="1"/>
  <c r="I23" i="6"/>
  <c r="N23" i="6" s="1"/>
  <c r="J23" i="6"/>
  <c r="O23" i="6" s="1"/>
  <c r="K23" i="6"/>
  <c r="P23" i="6" s="1"/>
  <c r="U23" i="6"/>
  <c r="H24" i="6"/>
  <c r="M24" i="6" s="1"/>
  <c r="I24" i="6"/>
  <c r="N24" i="6" s="1"/>
  <c r="J24" i="6"/>
  <c r="O24" i="6" s="1"/>
  <c r="K24" i="6"/>
  <c r="P24" i="6" s="1"/>
  <c r="S24" i="6"/>
  <c r="U24" i="6"/>
  <c r="H25" i="6"/>
  <c r="M25" i="6" s="1"/>
  <c r="I25" i="6"/>
  <c r="N25" i="6" s="1"/>
  <c r="J25" i="6"/>
  <c r="O25" i="6" s="1"/>
  <c r="K25" i="6"/>
  <c r="P25" i="6"/>
  <c r="S25" i="6"/>
  <c r="U25" i="6"/>
  <c r="H26" i="6"/>
  <c r="M26" i="6" s="1"/>
  <c r="I26" i="6"/>
  <c r="J26" i="6"/>
  <c r="O26" i="6" s="1"/>
  <c r="K26" i="6"/>
  <c r="P26" i="6" s="1"/>
  <c r="N26" i="6"/>
  <c r="S26" i="6"/>
  <c r="U26" i="6"/>
  <c r="M27" i="6"/>
  <c r="I27" i="6"/>
  <c r="N27" i="6" s="1"/>
  <c r="J27" i="6"/>
  <c r="O27" i="6" s="1"/>
  <c r="K27" i="6"/>
  <c r="P27" i="6" s="1"/>
  <c r="R27" i="6"/>
  <c r="S27" i="6"/>
  <c r="U27" i="6"/>
  <c r="H28" i="6"/>
  <c r="M28" i="6" s="1"/>
  <c r="I28" i="6"/>
  <c r="N28" i="6" s="1"/>
  <c r="J28" i="6"/>
  <c r="O28" i="6" s="1"/>
  <c r="K28" i="6"/>
  <c r="P28" i="6" s="1"/>
  <c r="R28" i="6"/>
  <c r="S28" i="6"/>
  <c r="U28" i="6"/>
  <c r="H29" i="6"/>
  <c r="M29" i="6" s="1"/>
  <c r="I29" i="6"/>
  <c r="N29" i="6" s="1"/>
  <c r="J29" i="6"/>
  <c r="O29" i="6" s="1"/>
  <c r="K29" i="6"/>
  <c r="P29" i="6" s="1"/>
  <c r="R29" i="6"/>
  <c r="S29" i="6"/>
  <c r="T29" i="6"/>
  <c r="U29" i="6"/>
  <c r="H30" i="6"/>
  <c r="M30" i="6" s="1"/>
  <c r="I30" i="6"/>
  <c r="N30" i="6" s="1"/>
  <c r="J30" i="6"/>
  <c r="O30" i="6" s="1"/>
  <c r="K30" i="6"/>
  <c r="P30" i="6" s="1"/>
  <c r="R30" i="6"/>
  <c r="S30" i="6"/>
  <c r="T30" i="6"/>
  <c r="U30" i="6"/>
  <c r="H31" i="6"/>
  <c r="I31" i="6"/>
  <c r="N31" i="6" s="1"/>
  <c r="J31" i="6"/>
  <c r="O31" i="6" s="1"/>
  <c r="K31" i="6"/>
  <c r="P31" i="6" s="1"/>
  <c r="M31" i="6"/>
  <c r="R31" i="6"/>
  <c r="S31" i="6"/>
  <c r="T31" i="6"/>
  <c r="U31" i="6"/>
  <c r="H32" i="6"/>
  <c r="M32" i="6" s="1"/>
  <c r="I32" i="6"/>
  <c r="N32" i="6" s="1"/>
  <c r="J32" i="6"/>
  <c r="O32" i="6" s="1"/>
  <c r="K32" i="6"/>
  <c r="P32" i="6" s="1"/>
  <c r="R32" i="6"/>
  <c r="S32" i="6"/>
  <c r="T32" i="6"/>
  <c r="U32" i="6"/>
  <c r="H33" i="6"/>
  <c r="M33" i="6" s="1"/>
  <c r="I33" i="6"/>
  <c r="N33" i="6" s="1"/>
  <c r="J33" i="6"/>
  <c r="O33" i="6" s="1"/>
  <c r="K33" i="6"/>
  <c r="P33" i="6" s="1"/>
  <c r="R33" i="6"/>
  <c r="S33" i="6"/>
  <c r="T33" i="6"/>
  <c r="U33" i="6"/>
  <c r="H34" i="6"/>
  <c r="M34" i="6" s="1"/>
  <c r="I34" i="6"/>
  <c r="N34" i="6" s="1"/>
  <c r="J34" i="6"/>
  <c r="O34" i="6" s="1"/>
  <c r="K34" i="6"/>
  <c r="P34" i="6" s="1"/>
  <c r="R34" i="6"/>
  <c r="S34" i="6"/>
  <c r="T34" i="6"/>
  <c r="U34" i="6"/>
  <c r="H35" i="6"/>
  <c r="M35" i="6" s="1"/>
  <c r="I35" i="6"/>
  <c r="N35" i="6" s="1"/>
  <c r="J35" i="6"/>
  <c r="O35" i="6" s="1"/>
  <c r="K35" i="6"/>
  <c r="P35" i="6" s="1"/>
  <c r="R35" i="6"/>
  <c r="S35" i="6"/>
  <c r="T35" i="6"/>
  <c r="U35" i="6"/>
  <c r="H36" i="6"/>
  <c r="M36" i="6" s="1"/>
  <c r="I36" i="6"/>
  <c r="J36" i="6"/>
  <c r="O36" i="6" s="1"/>
  <c r="K36" i="6"/>
  <c r="P36" i="6" s="1"/>
  <c r="N36" i="6"/>
  <c r="R36" i="6"/>
  <c r="S36" i="6"/>
  <c r="T36" i="6"/>
  <c r="U36" i="6"/>
  <c r="H37" i="6"/>
  <c r="M37" i="6" s="1"/>
  <c r="I37" i="6"/>
  <c r="N37" i="6" s="1"/>
  <c r="J37" i="6"/>
  <c r="O37" i="6" s="1"/>
  <c r="K37" i="6"/>
  <c r="P37" i="6"/>
  <c r="R37" i="6"/>
  <c r="S37" i="6"/>
  <c r="T37" i="6"/>
  <c r="U37" i="6"/>
  <c r="H38" i="6"/>
  <c r="M38" i="6" s="1"/>
  <c r="I38" i="6"/>
  <c r="N38" i="6" s="1"/>
  <c r="J38" i="6"/>
  <c r="O38" i="6" s="1"/>
  <c r="K38" i="6"/>
  <c r="P38" i="6" s="1"/>
  <c r="R38" i="6"/>
  <c r="S38" i="6"/>
  <c r="T38" i="6"/>
  <c r="U38" i="6"/>
  <c r="H39" i="6"/>
  <c r="M39" i="6" s="1"/>
  <c r="I39" i="6"/>
  <c r="N39" i="6" s="1"/>
  <c r="J39" i="6"/>
  <c r="O39" i="6" s="1"/>
  <c r="K39" i="6"/>
  <c r="P39" i="6" s="1"/>
  <c r="R39" i="6"/>
  <c r="S39" i="6"/>
  <c r="T39" i="6"/>
  <c r="U39" i="6"/>
  <c r="H40" i="6"/>
  <c r="M40" i="6" s="1"/>
  <c r="I40" i="6"/>
  <c r="N40" i="6" s="1"/>
  <c r="J40" i="6"/>
  <c r="O40" i="6" s="1"/>
  <c r="K40" i="6"/>
  <c r="P40" i="6" s="1"/>
  <c r="R40" i="6"/>
  <c r="S40" i="6"/>
  <c r="T40" i="6"/>
  <c r="U40" i="6"/>
  <c r="H41" i="6"/>
  <c r="M41" i="6" s="1"/>
  <c r="I41" i="6"/>
  <c r="N41" i="6" s="1"/>
  <c r="J41" i="6"/>
  <c r="O41" i="6" s="1"/>
  <c r="K41" i="6"/>
  <c r="P41" i="6" s="1"/>
  <c r="R41" i="6"/>
  <c r="S41" i="6"/>
  <c r="T41" i="6"/>
  <c r="U41" i="6"/>
  <c r="H42" i="6"/>
  <c r="M42" i="6" s="1"/>
  <c r="I42" i="6"/>
  <c r="N42" i="6" s="1"/>
  <c r="J42" i="6"/>
  <c r="O42" i="6" s="1"/>
  <c r="K42" i="6"/>
  <c r="P42" i="6" s="1"/>
  <c r="R42" i="6"/>
  <c r="S42" i="6"/>
  <c r="T42" i="6"/>
  <c r="U42" i="6"/>
  <c r="H43" i="6"/>
  <c r="M43" i="6" s="1"/>
  <c r="I43" i="6"/>
  <c r="N43" i="6" s="1"/>
  <c r="J43" i="6"/>
  <c r="O43" i="6" s="1"/>
  <c r="K43" i="6"/>
  <c r="P43" i="6" s="1"/>
  <c r="R43" i="6"/>
  <c r="S43" i="6"/>
  <c r="T43" i="6"/>
  <c r="U43" i="6"/>
  <c r="H44" i="6"/>
  <c r="M44" i="6" s="1"/>
  <c r="I44" i="6"/>
  <c r="N44" i="6" s="1"/>
  <c r="J44" i="6"/>
  <c r="O44" i="6" s="1"/>
  <c r="K44" i="6"/>
  <c r="P44" i="6" s="1"/>
  <c r="R44" i="6"/>
  <c r="S44" i="6"/>
  <c r="T44" i="6"/>
  <c r="U44" i="6"/>
  <c r="H45" i="6"/>
  <c r="I45" i="6"/>
  <c r="N45" i="6" s="1"/>
  <c r="J45" i="6"/>
  <c r="O45" i="6" s="1"/>
  <c r="K45" i="6"/>
  <c r="P45" i="6" s="1"/>
  <c r="M45" i="6"/>
  <c r="R45" i="6"/>
  <c r="S45" i="6"/>
  <c r="T45" i="6"/>
  <c r="U45" i="6"/>
  <c r="H46" i="6"/>
  <c r="M46" i="6" s="1"/>
  <c r="I46" i="6"/>
  <c r="N46" i="6" s="1"/>
  <c r="J46" i="6"/>
  <c r="O46" i="6" s="1"/>
  <c r="K46" i="6"/>
  <c r="P46" i="6" s="1"/>
  <c r="R46" i="6"/>
  <c r="S46" i="6"/>
  <c r="T46" i="6"/>
  <c r="U46" i="6"/>
  <c r="H47" i="6"/>
  <c r="M47" i="6" s="1"/>
  <c r="I47" i="6"/>
  <c r="N47" i="6" s="1"/>
  <c r="J47" i="6"/>
  <c r="O47" i="6" s="1"/>
  <c r="K47" i="6"/>
  <c r="P47" i="6" s="1"/>
  <c r="R47" i="6"/>
  <c r="S47" i="6"/>
  <c r="T47" i="6"/>
  <c r="U47" i="6"/>
  <c r="H48" i="6"/>
  <c r="M48" i="6" s="1"/>
  <c r="I48" i="6"/>
  <c r="N48" i="6" s="1"/>
  <c r="J48" i="6"/>
  <c r="O48" i="6" s="1"/>
  <c r="R48" i="6"/>
  <c r="S48" i="6"/>
  <c r="T48" i="6"/>
  <c r="H49" i="6"/>
  <c r="M49" i="6" s="1"/>
  <c r="J49" i="6"/>
  <c r="O49" i="6" s="1"/>
  <c r="R49" i="6"/>
  <c r="T49" i="6"/>
  <c r="H50" i="6"/>
  <c r="M50" i="6" s="1"/>
  <c r="J50" i="6"/>
  <c r="O50" i="6" s="1"/>
  <c r="R50" i="6"/>
  <c r="T50" i="6"/>
  <c r="H51" i="6"/>
  <c r="M51" i="6" s="1"/>
  <c r="J51" i="6"/>
  <c r="O51" i="6" s="1"/>
  <c r="R51" i="6"/>
  <c r="T51" i="6"/>
  <c r="J52" i="6"/>
  <c r="O52" i="6" s="1"/>
  <c r="T52" i="6"/>
  <c r="J53" i="6"/>
  <c r="O53" i="6" s="1"/>
  <c r="T53" i="6"/>
  <c r="D21" i="7" l="1"/>
  <c r="D23" i="7"/>
  <c r="D26" i="7"/>
  <c r="D24" i="7"/>
  <c r="D22" i="7"/>
  <c r="E29" i="7"/>
  <c r="D29" i="7"/>
  <c r="G21" i="7"/>
  <c r="F21" i="7" s="1"/>
  <c r="G24" i="7"/>
  <c r="F24" i="7" s="1"/>
  <c r="G27" i="7"/>
  <c r="F27" i="7" s="1"/>
  <c r="G20" i="7"/>
  <c r="G28" i="7"/>
  <c r="G22" i="7"/>
  <c r="F22" i="7" s="1"/>
  <c r="G25" i="7"/>
  <c r="F25" i="7" s="1"/>
  <c r="G23" i="7"/>
  <c r="F23" i="7" s="1"/>
  <c r="G26" i="7"/>
  <c r="F26" i="7" s="1"/>
  <c r="P5" i="6"/>
  <c r="O5" i="6"/>
  <c r="N5" i="6"/>
  <c r="M5" i="6"/>
  <c r="C27" i="5"/>
  <c r="I42" i="5"/>
  <c r="K42" i="5" s="1"/>
  <c r="F42" i="5"/>
  <c r="I41" i="5"/>
  <c r="K41" i="5" s="1"/>
  <c r="F41" i="5"/>
  <c r="I40" i="5"/>
  <c r="K40" i="5" s="1"/>
  <c r="F40" i="5"/>
  <c r="C40" i="5"/>
  <c r="H40" i="5" s="1"/>
  <c r="K27" i="5"/>
  <c r="F27" i="5"/>
  <c r="K26" i="5"/>
  <c r="F26" i="5"/>
  <c r="K25" i="5"/>
  <c r="F25" i="5"/>
  <c r="C10" i="5"/>
  <c r="D5" i="5"/>
  <c r="C11" i="5" l="1"/>
  <c r="D10" i="5"/>
  <c r="N6" i="6"/>
  <c r="O6" i="6"/>
  <c r="P6" i="6"/>
  <c r="H26" i="5"/>
  <c r="C19" i="2"/>
  <c r="E18" i="2"/>
  <c r="E21" i="1"/>
  <c r="E22" i="1" s="1"/>
  <c r="D21" i="1"/>
  <c r="D20" i="1"/>
  <c r="E20" i="1"/>
  <c r="D11" i="5" l="1"/>
  <c r="C12" i="5"/>
  <c r="E32" i="5"/>
  <c r="J32" i="5" s="1"/>
  <c r="D29" i="5"/>
  <c r="D31" i="5"/>
  <c r="D33" i="5"/>
  <c r="E29" i="5"/>
  <c r="J29" i="5" s="1"/>
  <c r="E31" i="5"/>
  <c r="J31" i="5" s="1"/>
  <c r="E33" i="5"/>
  <c r="J33" i="5" s="1"/>
  <c r="D30" i="5"/>
  <c r="D32" i="5"/>
  <c r="E28" i="5"/>
  <c r="J28" i="5" s="1"/>
  <c r="E30" i="5"/>
  <c r="J30" i="5" s="1"/>
  <c r="D28" i="5"/>
  <c r="H27" i="5"/>
  <c r="C42" i="5"/>
  <c r="H41" i="5"/>
  <c r="H11" i="5"/>
  <c r="I10" i="5"/>
  <c r="K10" i="5" s="1"/>
  <c r="F10" i="5"/>
  <c r="D13" i="5" l="1"/>
  <c r="D12" i="5"/>
  <c r="C29" i="5"/>
  <c r="F28" i="5"/>
  <c r="K28" i="5"/>
  <c r="I11" i="5"/>
  <c r="K11" i="5" s="1"/>
  <c r="F11" i="5"/>
  <c r="F33" i="5"/>
  <c r="I33" i="5"/>
  <c r="K33" i="5" s="1"/>
  <c r="F32" i="5"/>
  <c r="I32" i="5"/>
  <c r="K32" i="5" s="1"/>
  <c r="D18" i="5"/>
  <c r="D17" i="5"/>
  <c r="D16" i="5"/>
  <c r="D15" i="5"/>
  <c r="D14" i="5"/>
  <c r="H12" i="5"/>
  <c r="E18" i="5"/>
  <c r="J18" i="5" s="1"/>
  <c r="E17" i="5"/>
  <c r="J17" i="5" s="1"/>
  <c r="E16" i="5"/>
  <c r="J16" i="5" s="1"/>
  <c r="E15" i="5"/>
  <c r="J15" i="5" s="1"/>
  <c r="E14" i="5"/>
  <c r="J14" i="5" s="1"/>
  <c r="E13" i="5"/>
  <c r="J13" i="5" s="1"/>
  <c r="F31" i="5"/>
  <c r="I31" i="5"/>
  <c r="K31" i="5" s="1"/>
  <c r="F30" i="5"/>
  <c r="I30" i="5"/>
  <c r="K30" i="5" s="1"/>
  <c r="E48" i="5"/>
  <c r="J48" i="5" s="1"/>
  <c r="E47" i="5"/>
  <c r="J47" i="5" s="1"/>
  <c r="E46" i="5"/>
  <c r="J46" i="5" s="1"/>
  <c r="E45" i="5"/>
  <c r="J45" i="5" s="1"/>
  <c r="E44" i="5"/>
  <c r="J44" i="5" s="1"/>
  <c r="J43" i="5"/>
  <c r="H42" i="5"/>
  <c r="F29" i="5"/>
  <c r="I29" i="5"/>
  <c r="K29" i="5" s="1"/>
  <c r="E28" i="2"/>
  <c r="F28" i="2" s="1"/>
  <c r="C27" i="2"/>
  <c r="I27" i="2" s="1"/>
  <c r="J27" i="2" s="1"/>
  <c r="C26" i="2"/>
  <c r="E26" i="2" s="1"/>
  <c r="F26" i="2" s="1"/>
  <c r="C25" i="2"/>
  <c r="E25" i="2" s="1"/>
  <c r="F25" i="2" s="1"/>
  <c r="C24" i="2"/>
  <c r="E24" i="2" s="1"/>
  <c r="F24" i="2" s="1"/>
  <c r="C23" i="2"/>
  <c r="I23" i="2" s="1"/>
  <c r="J23" i="2" s="1"/>
  <c r="C22" i="2"/>
  <c r="E22" i="2" s="1"/>
  <c r="F22" i="2" s="1"/>
  <c r="H21" i="2"/>
  <c r="D21" i="2"/>
  <c r="C21" i="2"/>
  <c r="E21" i="2" s="1"/>
  <c r="H20" i="2"/>
  <c r="D20" i="2"/>
  <c r="C20" i="2"/>
  <c r="E20" i="2" s="1"/>
  <c r="H19" i="2"/>
  <c r="I19" i="2"/>
  <c r="H18" i="2"/>
  <c r="D22" i="1"/>
  <c r="L20" i="1"/>
  <c r="K20" i="1"/>
  <c r="I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N20" i="1" s="1"/>
  <c r="C13" i="5" l="1"/>
  <c r="C14" i="5" s="1"/>
  <c r="K21" i="1"/>
  <c r="I28" i="2"/>
  <c r="J28" i="2" s="1"/>
  <c r="F21" i="2"/>
  <c r="H28" i="5"/>
  <c r="I15" i="5"/>
  <c r="K15" i="5" s="1"/>
  <c r="F15" i="5"/>
  <c r="C30" i="5"/>
  <c r="H29" i="5"/>
  <c r="I26" i="2"/>
  <c r="J26" i="2" s="1"/>
  <c r="I16" i="5"/>
  <c r="K16" i="5" s="1"/>
  <c r="F16" i="5"/>
  <c r="H13" i="5"/>
  <c r="I24" i="2"/>
  <c r="J24" i="2" s="1"/>
  <c r="I13" i="5"/>
  <c r="K13" i="5" s="1"/>
  <c r="F13" i="5"/>
  <c r="I17" i="5"/>
  <c r="K17" i="5" s="1"/>
  <c r="F17" i="5"/>
  <c r="K34" i="5"/>
  <c r="I22" i="2"/>
  <c r="J22" i="2" s="1"/>
  <c r="F43" i="5"/>
  <c r="I43" i="5"/>
  <c r="K43" i="5" s="1"/>
  <c r="F12" i="5"/>
  <c r="I12" i="5"/>
  <c r="K12" i="5" s="1"/>
  <c r="I14" i="5"/>
  <c r="K14" i="5" s="1"/>
  <c r="F14" i="5"/>
  <c r="I18" i="5"/>
  <c r="K18" i="5" s="1"/>
  <c r="F18" i="5"/>
  <c r="F34" i="5"/>
  <c r="O20" i="1"/>
  <c r="N21" i="1" s="1"/>
  <c r="F20" i="2"/>
  <c r="J19" i="2"/>
  <c r="I18" i="2"/>
  <c r="J18" i="2" s="1"/>
  <c r="E19" i="2"/>
  <c r="F19" i="2" s="1"/>
  <c r="F29" i="2" s="1"/>
  <c r="I21" i="2"/>
  <c r="J21" i="2" s="1"/>
  <c r="E23" i="2"/>
  <c r="F23" i="2" s="1"/>
  <c r="I25" i="2"/>
  <c r="J25" i="2" s="1"/>
  <c r="E27" i="2"/>
  <c r="F27" i="2" s="1"/>
  <c r="I20" i="2"/>
  <c r="J20" i="2" s="1"/>
  <c r="K19" i="5" l="1"/>
  <c r="F19" i="5"/>
  <c r="H43" i="5"/>
  <c r="C44" i="5"/>
  <c r="C15" i="5"/>
  <c r="H14" i="5"/>
  <c r="F30" i="2"/>
  <c r="C31" i="5"/>
  <c r="H30" i="5"/>
  <c r="J29" i="2"/>
  <c r="M29" i="2" l="1"/>
  <c r="J30" i="2"/>
  <c r="C16" i="5"/>
  <c r="H15" i="5"/>
  <c r="F44" i="5"/>
  <c r="I44" i="5"/>
  <c r="K44" i="5" s="1"/>
  <c r="C32" i="5"/>
  <c r="H31" i="5"/>
  <c r="D45" i="5"/>
  <c r="C45" i="5"/>
  <c r="H44" i="5"/>
  <c r="F45" i="5" l="1"/>
  <c r="I45" i="5"/>
  <c r="K45" i="5" s="1"/>
  <c r="C17" i="5"/>
  <c r="H16" i="5"/>
  <c r="D46" i="5"/>
  <c r="H45" i="5"/>
  <c r="C46" i="5"/>
  <c r="C33" i="5"/>
  <c r="H33" i="5" s="1"/>
  <c r="H32" i="5"/>
  <c r="D47" i="5" l="1"/>
  <c r="C47" i="5"/>
  <c r="H46" i="5"/>
  <c r="F46" i="5"/>
  <c r="I46" i="5"/>
  <c r="K46" i="5" s="1"/>
  <c r="C18" i="5"/>
  <c r="H18" i="5" s="1"/>
  <c r="H17" i="5"/>
  <c r="D48" i="5" l="1"/>
  <c r="H47" i="5"/>
  <c r="C48" i="5"/>
  <c r="H48" i="5" s="1"/>
  <c r="F47" i="5"/>
  <c r="I47" i="5"/>
  <c r="K47" i="5" s="1"/>
  <c r="I48" i="5" l="1"/>
  <c r="K48" i="5" s="1"/>
  <c r="K49" i="5" s="1"/>
  <c r="F48" i="5"/>
  <c r="F49" i="5" s="1"/>
</calcChain>
</file>

<file path=xl/sharedStrings.xml><?xml version="1.0" encoding="utf-8"?>
<sst xmlns="http://schemas.openxmlformats.org/spreadsheetml/2006/main" count="167" uniqueCount="96">
  <si>
    <t>Parameters</t>
  </si>
  <si>
    <t>Interest rate</t>
  </si>
  <si>
    <t>Project</t>
  </si>
  <si>
    <t>A</t>
  </si>
  <si>
    <t>B</t>
  </si>
  <si>
    <t>C</t>
  </si>
  <si>
    <t>Year</t>
  </si>
  <si>
    <t>Benefits</t>
  </si>
  <si>
    <t>Costs</t>
  </si>
  <si>
    <t>IRR</t>
  </si>
  <si>
    <t>NPV</t>
  </si>
  <si>
    <t>BCR</t>
  </si>
  <si>
    <t>AEV</t>
  </si>
  <si>
    <t>Gas price</t>
  </si>
  <si>
    <t>/gal</t>
  </si>
  <si>
    <t>Gas price increase</t>
  </si>
  <si>
    <t>/year</t>
  </si>
  <si>
    <t>Personal discount rate</t>
  </si>
  <si>
    <t>Miles driven per year</t>
  </si>
  <si>
    <t>Debt</t>
  </si>
  <si>
    <t>Equity (down payment)</t>
  </si>
  <si>
    <t>Repayment period</t>
  </si>
  <si>
    <t>yrs</t>
  </si>
  <si>
    <t>Purchase price, car 1</t>
  </si>
  <si>
    <t>Purchase price, car 2</t>
  </si>
  <si>
    <t>Gas mileage, car A</t>
  </si>
  <si>
    <t>mpg</t>
  </si>
  <si>
    <t>Gas mileage, car B</t>
  </si>
  <si>
    <t>Car A</t>
  </si>
  <si>
    <t>Car B</t>
  </si>
  <si>
    <t>Gas price/gal</t>
  </si>
  <si>
    <t>Loan pmnt</t>
  </si>
  <si>
    <t>Operating costs</t>
  </si>
  <si>
    <t>Total cost</t>
  </si>
  <si>
    <t>PV costs</t>
  </si>
  <si>
    <t>ΔNPV</t>
  </si>
  <si>
    <t>Annualized total cost per mile</t>
  </si>
  <si>
    <t>Breakeven discount rate</t>
  </si>
  <si>
    <t>Breakeven gas price increase</t>
  </si>
  <si>
    <t>Breakeven price of car 2</t>
  </si>
  <si>
    <t>Inflation rate</t>
  </si>
  <si>
    <t>Nominal interest rate</t>
  </si>
  <si>
    <t>Real interest rate</t>
  </si>
  <si>
    <t>Part A: Interest-only payments during development period</t>
  </si>
  <si>
    <t>Nominal</t>
  </si>
  <si>
    <t>Real</t>
  </si>
  <si>
    <t>Principal balance</t>
  </si>
  <si>
    <t>Interest pd</t>
  </si>
  <si>
    <t>Principal pd</t>
  </si>
  <si>
    <t>Total pd</t>
  </si>
  <si>
    <t>Part B: Interest capitalized to principal balance during development period</t>
  </si>
  <si>
    <t>Part C: Interest forgiven during development period, equal payments of principal thereafter</t>
  </si>
  <si>
    <t>Wind</t>
  </si>
  <si>
    <t>Nuclear</t>
  </si>
  <si>
    <t>Gas</t>
  </si>
  <si>
    <t>Coal</t>
  </si>
  <si>
    <t>Output</t>
  </si>
  <si>
    <t>Aggregate costs</t>
  </si>
  <si>
    <t>Operating &amp; fuel costs</t>
  </si>
  <si>
    <t>Capital costs</t>
  </si>
  <si>
    <t>Carbon tax rate - gas</t>
  </si>
  <si>
    <t>Carbon tax rate - coal</t>
  </si>
  <si>
    <t>Social discount rate</t>
  </si>
  <si>
    <t>Electricity price</t>
  </si>
  <si>
    <t>Other wind operating costs</t>
  </si>
  <si>
    <t>Other nuclear operating costs</t>
  </si>
  <si>
    <t>Other gas operating costs</t>
  </si>
  <si>
    <t>Other coal operating costs</t>
  </si>
  <si>
    <t>Wind capacity</t>
  </si>
  <si>
    <t>Nuclear capacity</t>
  </si>
  <si>
    <t>Gas capacity</t>
  </si>
  <si>
    <t>Coal capacity</t>
  </si>
  <si>
    <t>Present value of costs</t>
  </si>
  <si>
    <t>/unit of capacity</t>
  </si>
  <si>
    <t>Nuclear fuel cost</t>
  </si>
  <si>
    <t>Gas fuel cost</t>
  </si>
  <si>
    <t>Coal fuel cost</t>
  </si>
  <si>
    <t>-</t>
  </si>
  <si>
    <t>Hourly rate, part d (nominal)</t>
  </si>
  <si>
    <t>Cash flows (d)</t>
  </si>
  <si>
    <t>Cash flows (c)</t>
  </si>
  <si>
    <t>Cash flows (b)</t>
  </si>
  <si>
    <t>Cash flows (a)</t>
  </si>
  <si>
    <t>Operating cost/yr</t>
  </si>
  <si>
    <t>Salvage value</t>
  </si>
  <si>
    <t>Hourly rate, part d (real)</t>
  </si>
  <si>
    <t>Hourly rate, part c (real)</t>
  </si>
  <si>
    <t>Hourly rate, part b (real)</t>
  </si>
  <si>
    <t>Hourly rate, part a (real)</t>
  </si>
  <si>
    <t>Use (hrs/yr)</t>
  </si>
  <si>
    <t>Discount rate (nominal)</t>
  </si>
  <si>
    <t>Discount rate (real)</t>
  </si>
  <si>
    <t>Up-front cost</t>
  </si>
  <si>
    <t>Life (yrs)</t>
  </si>
  <si>
    <t>PV</t>
  </si>
  <si>
    <t xml:space="preserve">Unit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</si>
</sst>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\$#,##0.00_);[Red]&quot;($&quot;#,##0.00\)"/>
    <numFmt numFmtId="165" formatCode="_(\$* #,##0.00_);_(\$* \(#,##0.00\);_(\$* \-??_);_(@_)"/>
    <numFmt numFmtId="166" formatCode="\$#,##0"/>
    <numFmt numFmtId="167" formatCode="\$#,##0.00"/>
    <numFmt numFmtId="168" formatCode="\$#,##0.000"/>
    <numFmt numFmtId="169" formatCode="&quot;$&quot;#,##0"/>
    <numFmt numFmtId="170" formatCode="&quot;$&quot;#,##0.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165" fontId="6" fillId="0" borderId="0" applyBorder="0" applyProtection="0"/>
    <xf numFmtId="9" fontId="6" fillId="0" borderId="0" applyBorder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2" borderId="0" xfId="0" applyFill="1"/>
    <xf numFmtId="9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0" borderId="9" xfId="0" applyBorder="1"/>
    <xf numFmtId="165" fontId="0" fillId="0" borderId="0" xfId="1" applyFont="1" applyBorder="1" applyProtection="1"/>
    <xf numFmtId="0" fontId="0" fillId="0" borderId="10" xfId="0" applyBorder="1"/>
    <xf numFmtId="10" fontId="0" fillId="0" borderId="0" xfId="2" applyNumberFormat="1" applyFont="1" applyBorder="1" applyProtection="1"/>
    <xf numFmtId="9" fontId="0" fillId="0" borderId="0" xfId="2" applyFont="1" applyBorder="1" applyProtection="1"/>
    <xf numFmtId="166" fontId="0" fillId="0" borderId="0" xfId="1" applyNumberFormat="1" applyFont="1" applyBorder="1" applyProtection="1"/>
    <xf numFmtId="0" fontId="0" fillId="0" borderId="0" xfId="1" applyNumberFormat="1" applyFont="1" applyBorder="1" applyProtection="1"/>
    <xf numFmtId="0" fontId="0" fillId="0" borderId="5" xfId="1" applyNumberFormat="1" applyFont="1" applyBorder="1" applyProtection="1"/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0" xfId="0" applyNumberFormat="1" applyFill="1"/>
    <xf numFmtId="0" fontId="5" fillId="0" borderId="0" xfId="0" applyFont="1"/>
    <xf numFmtId="167" fontId="5" fillId="0" borderId="0" xfId="0" applyNumberFormat="1" applyFont="1"/>
    <xf numFmtId="10" fontId="0" fillId="2" borderId="0" xfId="2" applyNumberFormat="1" applyFont="1" applyFill="1" applyBorder="1" applyAlignment="1" applyProtection="1">
      <alignment horizontal="center"/>
    </xf>
    <xf numFmtId="166" fontId="0" fillId="2" borderId="0" xfId="1" applyNumberFormat="1" applyFon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10" fontId="0" fillId="0" borderId="10" xfId="2" applyNumberFormat="1" applyFont="1" applyBorder="1" applyProtection="1"/>
    <xf numFmtId="10" fontId="0" fillId="0" borderId="6" xfId="2" applyNumberFormat="1" applyFont="1" applyBorder="1" applyProtection="1"/>
    <xf numFmtId="164" fontId="0" fillId="0" borderId="5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8" fontId="0" fillId="0" borderId="0" xfId="0" applyNumberFormat="1"/>
    <xf numFmtId="168" fontId="0" fillId="2" borderId="0" xfId="0" applyNumberFormat="1" applyFill="1" applyAlignment="1">
      <alignment horizontal="center"/>
    </xf>
    <xf numFmtId="0" fontId="3" fillId="0" borderId="0" xfId="3"/>
    <xf numFmtId="3" fontId="3" fillId="0" borderId="0" xfId="3" applyNumberFormat="1"/>
    <xf numFmtId="0" fontId="3" fillId="0" borderId="0" xfId="3" applyAlignment="1">
      <alignment horizontal="center"/>
    </xf>
    <xf numFmtId="0" fontId="3" fillId="0" borderId="5" xfId="3" applyBorder="1"/>
    <xf numFmtId="0" fontId="3" fillId="0" borderId="5" xfId="3" applyBorder="1" applyAlignment="1">
      <alignment horizontal="center"/>
    </xf>
    <xf numFmtId="0" fontId="3" fillId="0" borderId="2" xfId="3" applyBorder="1"/>
    <xf numFmtId="9" fontId="0" fillId="0" borderId="0" xfId="4" applyFont="1"/>
    <xf numFmtId="0" fontId="3" fillId="0" borderId="6" xfId="3" applyBorder="1"/>
    <xf numFmtId="9" fontId="0" fillId="0" borderId="5" xfId="4" applyFont="1" applyBorder="1"/>
    <xf numFmtId="0" fontId="3" fillId="0" borderId="4" xfId="3" applyBorder="1"/>
    <xf numFmtId="0" fontId="3" fillId="0" borderId="10" xfId="3" applyBorder="1"/>
    <xf numFmtId="9" fontId="0" fillId="0" borderId="0" xfId="4" applyFont="1" applyBorder="1"/>
    <xf numFmtId="0" fontId="3" fillId="0" borderId="9" xfId="3" applyBorder="1"/>
    <xf numFmtId="169" fontId="3" fillId="0" borderId="0" xfId="3" applyNumberFormat="1"/>
    <xf numFmtId="2" fontId="3" fillId="0" borderId="0" xfId="3" applyNumberFormat="1"/>
    <xf numFmtId="9" fontId="0" fillId="0" borderId="0" xfId="4" applyFont="1" applyAlignment="1">
      <alignment horizontal="center"/>
    </xf>
    <xf numFmtId="8" fontId="3" fillId="3" borderId="0" xfId="3" applyNumberFormat="1" applyFill="1" applyAlignment="1">
      <alignment horizontal="center"/>
    </xf>
    <xf numFmtId="0" fontId="3" fillId="0" borderId="0" xfId="3" applyAlignment="1">
      <alignment horizontal="right"/>
    </xf>
    <xf numFmtId="6" fontId="3" fillId="0" borderId="0" xfId="3" applyNumberFormat="1" applyAlignment="1">
      <alignment horizontal="center"/>
    </xf>
    <xf numFmtId="6" fontId="3" fillId="3" borderId="0" xfId="3" applyNumberFormat="1" applyFill="1" applyAlignment="1">
      <alignment horizontal="center"/>
    </xf>
    <xf numFmtId="0" fontId="3" fillId="0" borderId="0" xfId="3" quotePrefix="1"/>
    <xf numFmtId="0" fontId="3" fillId="0" borderId="3" xfId="3" applyBorder="1"/>
    <xf numFmtId="0" fontId="7" fillId="0" borderId="1" xfId="3" applyFont="1" applyBorder="1"/>
    <xf numFmtId="0" fontId="2" fillId="0" borderId="0" xfId="5"/>
    <xf numFmtId="0" fontId="2" fillId="3" borderId="0" xfId="5" quotePrefix="1" applyFill="1" applyAlignment="1">
      <alignment horizontal="right"/>
    </xf>
    <xf numFmtId="170" fontId="2" fillId="0" borderId="0" xfId="5" applyNumberFormat="1"/>
    <xf numFmtId="8" fontId="2" fillId="0" borderId="0" xfId="5" applyNumberFormat="1" applyAlignment="1">
      <alignment horizontal="right"/>
    </xf>
    <xf numFmtId="0" fontId="2" fillId="0" borderId="0" xfId="5" applyAlignment="1">
      <alignment horizontal="center"/>
    </xf>
    <xf numFmtId="170" fontId="2" fillId="3" borderId="0" xfId="5" applyNumberFormat="1" applyFill="1" applyAlignment="1">
      <alignment horizontal="right"/>
    </xf>
    <xf numFmtId="8" fontId="2" fillId="0" borderId="0" xfId="5" applyNumberFormat="1"/>
    <xf numFmtId="170" fontId="2" fillId="0" borderId="0" xfId="5" applyNumberFormat="1" applyAlignment="1">
      <alignment horizontal="right"/>
    </xf>
    <xf numFmtId="0" fontId="2" fillId="0" borderId="7" xfId="5" applyBorder="1" applyAlignment="1">
      <alignment horizontal="center"/>
    </xf>
    <xf numFmtId="0" fontId="2" fillId="0" borderId="7" xfId="5" applyBorder="1"/>
    <xf numFmtId="0" fontId="2" fillId="3" borderId="7" xfId="5" applyFill="1" applyBorder="1"/>
    <xf numFmtId="0" fontId="2" fillId="0" borderId="9" xfId="5" applyBorder="1"/>
    <xf numFmtId="0" fontId="2" fillId="0" borderId="10" xfId="5" applyBorder="1"/>
    <xf numFmtId="0" fontId="2" fillId="3" borderId="9" xfId="5" applyFill="1" applyBorder="1"/>
    <xf numFmtId="170" fontId="2" fillId="3" borderId="10" xfId="5" applyNumberFormat="1" applyFill="1" applyBorder="1"/>
    <xf numFmtId="170" fontId="2" fillId="0" borderId="10" xfId="5" applyNumberFormat="1" applyBorder="1"/>
    <xf numFmtId="0" fontId="2" fillId="0" borderId="4" xfId="5" applyBorder="1"/>
    <xf numFmtId="9" fontId="0" fillId="0" borderId="6" xfId="6" applyFont="1" applyBorder="1"/>
    <xf numFmtId="0" fontId="2" fillId="0" borderId="11" xfId="5" applyBorder="1" applyAlignment="1">
      <alignment horizontal="center"/>
    </xf>
    <xf numFmtId="170" fontId="2" fillId="0" borderId="11" xfId="5" applyNumberFormat="1" applyBorder="1" applyAlignment="1">
      <alignment horizontal="right"/>
    </xf>
    <xf numFmtId="8" fontId="2" fillId="0" borderId="11" xfId="5" applyNumberFormat="1" applyBorder="1"/>
    <xf numFmtId="170" fontId="2" fillId="0" borderId="11" xfId="5" applyNumberFormat="1" applyBorder="1"/>
    <xf numFmtId="170" fontId="2" fillId="3" borderId="11" xfId="5" applyNumberFormat="1" applyFill="1" applyBorder="1" applyAlignment="1">
      <alignment horizontal="right"/>
    </xf>
    <xf numFmtId="0" fontId="7" fillId="0" borderId="1" xfId="5" applyFont="1" applyBorder="1"/>
    <xf numFmtId="10" fontId="0" fillId="0" borderId="10" xfId="6" applyNumberFormat="1" applyFont="1" applyBorder="1"/>
    <xf numFmtId="0" fontId="2" fillId="0" borderId="3" xfId="5" applyBorder="1"/>
    <xf numFmtId="9" fontId="0" fillId="0" borderId="10" xfId="6" applyFont="1" applyBorder="1"/>
    <xf numFmtId="0" fontId="1" fillId="0" borderId="0" xfId="3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3" applyBorder="1" applyAlignment="1">
      <alignment horizontal="center"/>
    </xf>
  </cellXfs>
  <cellStyles count="7">
    <cellStyle name="Currency" xfId="1" builtinId="4"/>
    <cellStyle name="Normal" xfId="0" builtinId="0"/>
    <cellStyle name="Normal 2" xfId="3" xr:uid="{00000000-0005-0000-0000-000002000000}"/>
    <cellStyle name="Normal 3" xfId="5" xr:uid="{6FA8E02F-B659-4E65-AB6E-2702211B05AA}"/>
    <cellStyle name="Percent" xfId="2" builtinId="5"/>
    <cellStyle name="Percent 2" xfId="4" xr:uid="{00000000-0005-0000-0000-000004000000}"/>
    <cellStyle name="Percent 3" xfId="6" xr:uid="{753DDD72-4EB2-4102-A428-20976A444F9A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523875</xdr:colOff>
      <xdr:row>13</xdr:row>
      <xdr:rowOff>133350</xdr:rowOff>
    </xdr:from>
    <xdr:ext cx="307770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400675" y="2609850"/>
          <a:ext cx="30777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</a:rPr>
            <a:t>Edit the tax</a:t>
          </a:r>
          <a:r>
            <a:rPr lang="en-US" sz="1100" baseline="0">
              <a:solidFill>
                <a:schemeClr val="accent1"/>
              </a:solidFill>
            </a:rPr>
            <a:t> rate boxes here to check your answers</a:t>
          </a:r>
        </a:p>
      </xdr:txBody>
    </xdr:sp>
    <xdr:clientData/>
  </xdr:oneCellAnchor>
  <xdr:twoCellAnchor>
    <xdr:from>
      <xdr:col>5</xdr:col>
      <xdr:colOff>66675</xdr:colOff>
      <xdr:row>14</xdr:row>
      <xdr:rowOff>75130</xdr:rowOff>
    </xdr:from>
    <xdr:to>
      <xdr:col>8</xdr:col>
      <xdr:colOff>523875</xdr:colOff>
      <xdr:row>15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>
          <a:stCxn id="2" idx="1"/>
        </xdr:cNvCxnSpPr>
      </xdr:nvCxnSpPr>
      <xdr:spPr>
        <a:xfrm flipH="1">
          <a:off x="3114675" y="2742130"/>
          <a:ext cx="2286000" cy="201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14</xdr:row>
      <xdr:rowOff>75130</xdr:rowOff>
    </xdr:from>
    <xdr:to>
      <xdr:col>8</xdr:col>
      <xdr:colOff>523875</xdr:colOff>
      <xdr:row>16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stCxn id="2" idx="1"/>
        </xdr:cNvCxnSpPr>
      </xdr:nvCxnSpPr>
      <xdr:spPr>
        <a:xfrm flipH="1">
          <a:off x="3124200" y="2742130"/>
          <a:ext cx="2276475" cy="401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2"/>
  <sheetViews>
    <sheetView showGridLines="0" zoomScale="145" zoomScaleNormal="145" workbookViewId="0">
      <selection activeCell="G21" sqref="G21"/>
    </sheetView>
  </sheetViews>
  <sheetFormatPr defaultColWidth="9.1796875" defaultRowHeight="14.5" x14ac:dyDescent="0.35"/>
  <cols>
    <col min="2" max="2" width="5.81640625" customWidth="1"/>
    <col min="3" max="3" width="8.81640625" customWidth="1"/>
    <col min="4" max="5" width="10.453125" customWidth="1"/>
    <col min="8" max="8" width="10.453125" customWidth="1"/>
    <col min="9" max="9" width="10.81640625" customWidth="1"/>
    <col min="10" max="10" width="1.54296875" customWidth="1"/>
    <col min="11" max="11" width="9.81640625" customWidth="1"/>
    <col min="12" max="12" width="10.54296875" customWidth="1"/>
    <col min="13" max="13" width="1.54296875" customWidth="1"/>
    <col min="14" max="14" width="12" customWidth="1"/>
    <col min="15" max="15" width="11.54296875" customWidth="1"/>
  </cols>
  <sheetData>
    <row r="2" spans="2:15" x14ac:dyDescent="0.35">
      <c r="B2" s="1" t="s">
        <v>0</v>
      </c>
      <c r="C2" s="2"/>
      <c r="D2" s="3"/>
    </row>
    <row r="3" spans="2:15" x14ac:dyDescent="0.35">
      <c r="B3" s="4" t="s">
        <v>1</v>
      </c>
      <c r="C3" s="5"/>
      <c r="D3" s="6">
        <v>0.08</v>
      </c>
    </row>
    <row r="6" spans="2:15" x14ac:dyDescent="0.35">
      <c r="B6" s="2"/>
      <c r="C6" s="104" t="s">
        <v>2</v>
      </c>
      <c r="D6" s="104"/>
      <c r="E6" s="104"/>
      <c r="G6" s="2"/>
      <c r="H6" s="105" t="s">
        <v>3</v>
      </c>
      <c r="I6" s="105"/>
      <c r="J6" s="7"/>
      <c r="K6" s="105" t="s">
        <v>4</v>
      </c>
      <c r="L6" s="105"/>
      <c r="M6" s="7"/>
      <c r="N6" s="105" t="s">
        <v>5</v>
      </c>
      <c r="O6" s="105"/>
    </row>
    <row r="7" spans="2:15" x14ac:dyDescent="0.35">
      <c r="B7" s="8" t="s">
        <v>6</v>
      </c>
      <c r="C7" s="9" t="s">
        <v>3</v>
      </c>
      <c r="D7" s="9" t="s">
        <v>4</v>
      </c>
      <c r="E7" s="9" t="s">
        <v>5</v>
      </c>
      <c r="G7" s="10" t="s">
        <v>6</v>
      </c>
      <c r="H7" s="9" t="s">
        <v>7</v>
      </c>
      <c r="I7" s="9" t="s">
        <v>8</v>
      </c>
      <c r="J7" s="9"/>
      <c r="K7" s="9" t="s">
        <v>7</v>
      </c>
      <c r="L7" s="9" t="s">
        <v>8</v>
      </c>
      <c r="M7" s="9"/>
      <c r="N7" s="9" t="s">
        <v>7</v>
      </c>
      <c r="O7" s="9" t="s">
        <v>8</v>
      </c>
    </row>
    <row r="8" spans="2:15" x14ac:dyDescent="0.35">
      <c r="B8" s="11">
        <v>1</v>
      </c>
      <c r="C8" s="11">
        <v>-5000</v>
      </c>
      <c r="D8" s="11">
        <v>-6000</v>
      </c>
      <c r="E8" s="11">
        <v>-15000</v>
      </c>
      <c r="G8" s="12">
        <v>1</v>
      </c>
      <c r="H8" s="13">
        <v>0</v>
      </c>
      <c r="I8" s="13">
        <v>5000</v>
      </c>
      <c r="J8" s="13"/>
      <c r="K8" s="13">
        <v>0</v>
      </c>
      <c r="L8" s="13">
        <v>6000</v>
      </c>
      <c r="M8" s="13"/>
      <c r="N8" s="13">
        <f t="shared" ref="N8:N19" si="0">IF($E8&gt;0,$E8,0)</f>
        <v>0</v>
      </c>
      <c r="O8" s="13">
        <f t="shared" ref="O8:O19" si="1">IF($E8&lt;0,-$E8,0)</f>
        <v>15000</v>
      </c>
    </row>
    <row r="9" spans="2:15" x14ac:dyDescent="0.35">
      <c r="B9" s="13">
        <v>2</v>
      </c>
      <c r="C9" s="13">
        <v>1200</v>
      </c>
      <c r="D9" s="13">
        <v>500</v>
      </c>
      <c r="E9" s="13">
        <v>5000</v>
      </c>
      <c r="G9" s="12">
        <v>2</v>
      </c>
      <c r="H9" s="13">
        <v>1200</v>
      </c>
      <c r="K9" s="13">
        <v>500</v>
      </c>
      <c r="N9" s="13">
        <f t="shared" si="0"/>
        <v>5000</v>
      </c>
      <c r="O9" s="13">
        <f t="shared" si="1"/>
        <v>0</v>
      </c>
    </row>
    <row r="10" spans="2:15" x14ac:dyDescent="0.35">
      <c r="B10" s="13">
        <v>3</v>
      </c>
      <c r="C10" s="13">
        <v>2000</v>
      </c>
      <c r="D10" s="13">
        <v>700</v>
      </c>
      <c r="E10" s="13">
        <v>4000</v>
      </c>
      <c r="G10" s="12">
        <v>3</v>
      </c>
      <c r="H10" s="13">
        <v>2000</v>
      </c>
      <c r="K10" s="13">
        <v>700</v>
      </c>
      <c r="N10" s="13">
        <f t="shared" si="0"/>
        <v>4000</v>
      </c>
      <c r="O10" s="13">
        <f t="shared" si="1"/>
        <v>0</v>
      </c>
    </row>
    <row r="11" spans="2:15" x14ac:dyDescent="0.35">
      <c r="B11" s="13">
        <v>4</v>
      </c>
      <c r="C11" s="13">
        <v>3000</v>
      </c>
      <c r="D11" s="13">
        <v>1000</v>
      </c>
      <c r="E11" s="13">
        <v>-4000</v>
      </c>
      <c r="G11" s="12">
        <v>4</v>
      </c>
      <c r="H11" s="13">
        <v>3000</v>
      </c>
      <c r="K11" s="13">
        <v>1000</v>
      </c>
      <c r="N11" s="13">
        <f t="shared" si="0"/>
        <v>0</v>
      </c>
      <c r="O11" s="13">
        <f t="shared" si="1"/>
        <v>4000</v>
      </c>
    </row>
    <row r="12" spans="2:15" x14ac:dyDescent="0.35">
      <c r="B12" s="13">
        <v>5</v>
      </c>
      <c r="D12" s="13">
        <v>2000</v>
      </c>
      <c r="E12" s="13">
        <v>4000</v>
      </c>
      <c r="G12" s="12">
        <v>5</v>
      </c>
      <c r="K12" s="13">
        <v>2000</v>
      </c>
      <c r="N12" s="13">
        <f t="shared" si="0"/>
        <v>4000</v>
      </c>
      <c r="O12" s="13">
        <f t="shared" si="1"/>
        <v>0</v>
      </c>
    </row>
    <row r="13" spans="2:15" x14ac:dyDescent="0.35">
      <c r="B13" s="13">
        <v>6</v>
      </c>
      <c r="D13" s="13">
        <v>2000</v>
      </c>
      <c r="E13" s="13">
        <v>5000</v>
      </c>
      <c r="G13" s="12">
        <v>6</v>
      </c>
      <c r="K13" s="13">
        <v>2000</v>
      </c>
      <c r="N13" s="13">
        <f t="shared" si="0"/>
        <v>5000</v>
      </c>
      <c r="O13" s="13">
        <f t="shared" si="1"/>
        <v>0</v>
      </c>
    </row>
    <row r="14" spans="2:15" x14ac:dyDescent="0.35">
      <c r="B14" s="13">
        <v>7</v>
      </c>
      <c r="D14" s="13">
        <v>2000</v>
      </c>
      <c r="E14" s="13">
        <v>-4000</v>
      </c>
      <c r="G14" s="12">
        <v>7</v>
      </c>
      <c r="K14" s="13">
        <v>2000</v>
      </c>
      <c r="N14" s="13">
        <f t="shared" si="0"/>
        <v>0</v>
      </c>
      <c r="O14" s="13">
        <f t="shared" si="1"/>
        <v>4000</v>
      </c>
    </row>
    <row r="15" spans="2:15" x14ac:dyDescent="0.35">
      <c r="B15" s="13">
        <v>8</v>
      </c>
      <c r="D15" s="13">
        <v>2000</v>
      </c>
      <c r="E15" s="13">
        <v>6000</v>
      </c>
      <c r="G15" s="12">
        <v>8</v>
      </c>
      <c r="K15" s="13">
        <v>2000</v>
      </c>
      <c r="N15" s="13">
        <f t="shared" si="0"/>
        <v>6000</v>
      </c>
      <c r="O15" s="13">
        <f t="shared" si="1"/>
        <v>0</v>
      </c>
    </row>
    <row r="16" spans="2:15" x14ac:dyDescent="0.35">
      <c r="B16" s="13">
        <v>9</v>
      </c>
      <c r="E16" s="13">
        <v>5000</v>
      </c>
      <c r="G16" s="12">
        <v>9</v>
      </c>
      <c r="N16" s="13">
        <f t="shared" si="0"/>
        <v>5000</v>
      </c>
      <c r="O16" s="13">
        <f t="shared" si="1"/>
        <v>0</v>
      </c>
    </row>
    <row r="17" spans="2:15" x14ac:dyDescent="0.35">
      <c r="B17" s="13">
        <v>10</v>
      </c>
      <c r="E17" s="13">
        <v>-2000</v>
      </c>
      <c r="G17" s="12">
        <v>10</v>
      </c>
      <c r="N17" s="13">
        <f t="shared" si="0"/>
        <v>0</v>
      </c>
      <c r="O17" s="13">
        <f t="shared" si="1"/>
        <v>2000</v>
      </c>
    </row>
    <row r="18" spans="2:15" x14ac:dyDescent="0.35">
      <c r="B18" s="13">
        <v>11</v>
      </c>
      <c r="E18" s="13">
        <v>6000</v>
      </c>
      <c r="G18" s="12">
        <v>11</v>
      </c>
      <c r="N18" s="13">
        <f t="shared" si="0"/>
        <v>6000</v>
      </c>
      <c r="O18" s="13">
        <f t="shared" si="1"/>
        <v>0</v>
      </c>
    </row>
    <row r="19" spans="2:15" x14ac:dyDescent="0.35">
      <c r="B19" s="9">
        <v>12</v>
      </c>
      <c r="C19" s="5"/>
      <c r="D19" s="5"/>
      <c r="E19" s="9">
        <v>6000</v>
      </c>
      <c r="G19" s="10">
        <v>12</v>
      </c>
      <c r="H19" s="5"/>
      <c r="I19" s="5"/>
      <c r="J19" s="5"/>
      <c r="K19" s="5"/>
      <c r="L19" s="5"/>
      <c r="M19" s="5"/>
      <c r="N19" s="9">
        <f t="shared" si="0"/>
        <v>6000</v>
      </c>
      <c r="O19" s="14">
        <f t="shared" si="1"/>
        <v>0</v>
      </c>
    </row>
    <row r="20" spans="2:15" x14ac:dyDescent="0.35">
      <c r="B20" s="15" t="s">
        <v>9</v>
      </c>
      <c r="C20" s="16">
        <f>IRR(C8:C19)</f>
        <v>9.9777886398051185E-2</v>
      </c>
      <c r="D20" s="16">
        <f t="shared" ref="D20:E20" si="2">IRR(D8:D19)</f>
        <v>0.12167905148320757</v>
      </c>
      <c r="E20" s="16">
        <f t="shared" si="2"/>
        <v>0.13191798449711523</v>
      </c>
      <c r="G20" t="s">
        <v>94</v>
      </c>
      <c r="H20" s="17">
        <f>NPV(int_2,H8:H19)</f>
        <v>4821.5606247918386</v>
      </c>
      <c r="I20" s="17">
        <f>NPV(int_2,I8:I19)</f>
        <v>4629.6296296296296</v>
      </c>
      <c r="J20" s="17"/>
      <c r="K20" s="17">
        <f>NPV(int_2,K8:K19)</f>
        <v>6588.4060390233981</v>
      </c>
      <c r="L20" s="17">
        <f>NPV(int_2,L8:L19)</f>
        <v>5555.5555555555547</v>
      </c>
      <c r="M20" s="17"/>
      <c r="N20" s="17">
        <f>NPV(int_2,N8:N19)</f>
        <v>24034.041838711255</v>
      </c>
      <c r="O20" s="17">
        <f>NPV(int_2,O8:O19)</f>
        <v>20089.356857292609</v>
      </c>
    </row>
    <row r="21" spans="2:15" x14ac:dyDescent="0.35">
      <c r="B21" s="15" t="s">
        <v>10</v>
      </c>
      <c r="C21" s="18">
        <f>NPV(int_2,C8:C19)</f>
        <v>191.93099516220988</v>
      </c>
      <c r="D21" s="18">
        <f>NPV(int_2,D8:D19)</f>
        <v>1032.8504834678422</v>
      </c>
      <c r="E21" s="18">
        <f>NPV(int_2,E8:E19)</f>
        <v>3944.684981418643</v>
      </c>
      <c r="G21" s="15" t="s">
        <v>11</v>
      </c>
      <c r="H21" s="19">
        <f>H20/I20</f>
        <v>1.0414570949550372</v>
      </c>
      <c r="I21" s="19"/>
      <c r="J21" s="19"/>
      <c r="K21" s="19">
        <f>K20/L20</f>
        <v>1.1859130870242118</v>
      </c>
      <c r="L21" s="19"/>
      <c r="M21" s="19"/>
      <c r="N21" s="19">
        <f>N20/O20</f>
        <v>1.196356957041494</v>
      </c>
      <c r="O21" s="15"/>
    </row>
    <row r="22" spans="2:15" x14ac:dyDescent="0.35">
      <c r="B22" s="15" t="s">
        <v>12</v>
      </c>
      <c r="C22" s="18">
        <f>-PMT(int_2,COUNT(C8:C19),C21)</f>
        <v>57.94796045903874</v>
      </c>
      <c r="D22" s="18">
        <f>-PMT(int_2,COUNT(D8:D19),D21)</f>
        <v>179.73122960780435</v>
      </c>
      <c r="E22" s="18">
        <f>-PMT(int_2,COUNT(E8:E19),E21)</f>
        <v>523.44004037104764</v>
      </c>
    </row>
  </sheetData>
  <mergeCells count="4">
    <mergeCell ref="C6:E6"/>
    <mergeCell ref="H6:I6"/>
    <mergeCell ref="K6:L6"/>
    <mergeCell ref="N6:O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3"/>
  <sheetViews>
    <sheetView showGridLines="0" zoomScaleNormal="100" workbookViewId="0">
      <selection activeCell="O24" sqref="O24"/>
    </sheetView>
  </sheetViews>
  <sheetFormatPr defaultColWidth="8.54296875" defaultRowHeight="14.5" x14ac:dyDescent="0.35"/>
  <cols>
    <col min="2" max="2" width="22.1796875" customWidth="1"/>
    <col min="3" max="3" width="13.54296875" customWidth="1"/>
    <col min="4" max="5" width="14.81640625" customWidth="1"/>
    <col min="6" max="6" width="11.1796875" customWidth="1"/>
    <col min="7" max="7" width="1.453125" customWidth="1"/>
    <col min="8" max="8" width="10.26953125" customWidth="1"/>
    <col min="9" max="9" width="14.81640625" customWidth="1"/>
    <col min="10" max="10" width="11.1796875" customWidth="1"/>
    <col min="13" max="13" width="10.453125" customWidth="1"/>
    <col min="15" max="15" width="10.54296875" customWidth="1"/>
  </cols>
  <sheetData>
    <row r="2" spans="2:16" x14ac:dyDescent="0.35">
      <c r="B2" s="1" t="s">
        <v>0</v>
      </c>
      <c r="C2" s="2"/>
      <c r="D2" s="3"/>
    </row>
    <row r="3" spans="2:16" x14ac:dyDescent="0.35">
      <c r="B3" s="20" t="s">
        <v>13</v>
      </c>
      <c r="C3" s="21">
        <v>2.5</v>
      </c>
      <c r="D3" s="22" t="s">
        <v>14</v>
      </c>
    </row>
    <row r="4" spans="2:16" x14ac:dyDescent="0.35">
      <c r="B4" s="20" t="s">
        <v>15</v>
      </c>
      <c r="C4" s="23">
        <v>0.03</v>
      </c>
      <c r="D4" s="22" t="s">
        <v>16</v>
      </c>
    </row>
    <row r="5" spans="2:16" x14ac:dyDescent="0.35">
      <c r="B5" s="20" t="s">
        <v>1</v>
      </c>
      <c r="C5" s="24">
        <v>0.06</v>
      </c>
      <c r="D5" s="22"/>
    </row>
    <row r="6" spans="2:16" x14ac:dyDescent="0.35">
      <c r="B6" s="20" t="s">
        <v>17</v>
      </c>
      <c r="C6" s="23">
        <v>0.08</v>
      </c>
      <c r="D6" s="22"/>
      <c r="O6" s="17"/>
      <c r="P6" s="17"/>
    </row>
    <row r="7" spans="2:16" x14ac:dyDescent="0.35">
      <c r="B7" s="20" t="s">
        <v>18</v>
      </c>
      <c r="C7">
        <v>12000</v>
      </c>
      <c r="D7" s="22"/>
    </row>
    <row r="8" spans="2:16" x14ac:dyDescent="0.35">
      <c r="B8" s="20" t="s">
        <v>19</v>
      </c>
      <c r="C8">
        <v>0.85</v>
      </c>
      <c r="D8" s="22"/>
    </row>
    <row r="9" spans="2:16" x14ac:dyDescent="0.35">
      <c r="B9" s="20" t="s">
        <v>20</v>
      </c>
      <c r="C9">
        <v>0.15</v>
      </c>
      <c r="D9" s="22"/>
    </row>
    <row r="10" spans="2:16" x14ac:dyDescent="0.35">
      <c r="B10" s="20" t="s">
        <v>21</v>
      </c>
      <c r="C10">
        <v>4</v>
      </c>
      <c r="D10" s="22" t="s">
        <v>22</v>
      </c>
    </row>
    <row r="11" spans="2:16" x14ac:dyDescent="0.35">
      <c r="B11" s="20" t="s">
        <v>23</v>
      </c>
      <c r="C11" s="25">
        <v>22000</v>
      </c>
      <c r="D11" s="22"/>
    </row>
    <row r="12" spans="2:16" x14ac:dyDescent="0.35">
      <c r="B12" s="20" t="s">
        <v>24</v>
      </c>
      <c r="C12" s="25">
        <v>28000</v>
      </c>
      <c r="D12" s="22"/>
    </row>
    <row r="13" spans="2:16" x14ac:dyDescent="0.35">
      <c r="B13" s="20" t="s">
        <v>25</v>
      </c>
      <c r="C13" s="26">
        <v>20</v>
      </c>
      <c r="D13" s="22" t="s">
        <v>26</v>
      </c>
    </row>
    <row r="14" spans="2:16" x14ac:dyDescent="0.35">
      <c r="B14" s="4" t="s">
        <v>27</v>
      </c>
      <c r="C14" s="27">
        <v>40</v>
      </c>
      <c r="D14" s="6" t="s">
        <v>26</v>
      </c>
    </row>
    <row r="16" spans="2:16" x14ac:dyDescent="0.35">
      <c r="B16" s="7"/>
      <c r="C16" s="2"/>
      <c r="D16" s="105" t="s">
        <v>28</v>
      </c>
      <c r="E16" s="105"/>
      <c r="F16" s="105"/>
      <c r="G16" s="2"/>
      <c r="H16" s="105" t="s">
        <v>29</v>
      </c>
      <c r="I16" s="105"/>
      <c r="J16" s="105"/>
    </row>
    <row r="17" spans="2:13" x14ac:dyDescent="0.35">
      <c r="B17" s="28" t="s">
        <v>6</v>
      </c>
      <c r="C17" s="5" t="s">
        <v>30</v>
      </c>
      <c r="D17" s="28" t="s">
        <v>31</v>
      </c>
      <c r="E17" s="28" t="s">
        <v>32</v>
      </c>
      <c r="F17" s="28" t="s">
        <v>33</v>
      </c>
      <c r="G17" s="5"/>
      <c r="H17" s="28" t="s">
        <v>31</v>
      </c>
      <c r="I17" s="28" t="s">
        <v>32</v>
      </c>
      <c r="J17" s="28" t="s">
        <v>33</v>
      </c>
    </row>
    <row r="18" spans="2:13" x14ac:dyDescent="0.35">
      <c r="B18" s="7">
        <v>1</v>
      </c>
      <c r="C18" s="29">
        <f>gas_price*(1+gas_inf)^B18</f>
        <v>2.5750000000000002</v>
      </c>
      <c r="D18" s="30">
        <f>-PMT(int_3,repay,debt_frac*carAprice)</f>
        <v>5396.6609073802138</v>
      </c>
      <c r="E18" s="31">
        <f>miles_yr/mpgA*C18</f>
        <v>1545</v>
      </c>
      <c r="F18" s="31">
        <f>SUM(D18:E18)</f>
        <v>6941.6609073802138</v>
      </c>
      <c r="G18" s="2"/>
      <c r="H18" s="30">
        <f>-PMT(int_3,repay,debt_frac*carBprice)</f>
        <v>6868.4775184839082</v>
      </c>
      <c r="I18" s="30">
        <f t="shared" ref="I18:I28" si="0">miles_yr/mpgB*C18</f>
        <v>772.5</v>
      </c>
      <c r="J18" s="30">
        <f t="shared" ref="J18:J28" si="1">SUM(H18:I18)</f>
        <v>7640.9775184839082</v>
      </c>
    </row>
    <row r="19" spans="2:13" x14ac:dyDescent="0.35">
      <c r="B19" s="32">
        <v>2</v>
      </c>
      <c r="C19" s="29">
        <f>gas_price*(1+gas_inf)^B19</f>
        <v>2.65225</v>
      </c>
      <c r="D19" s="30">
        <f>-PMT(int_3,repay,debt_frac*carAprice)</f>
        <v>5396.6609073802138</v>
      </c>
      <c r="E19" s="30">
        <f t="shared" ref="E19:E28" si="2">miles_yr/mpgA*C19</f>
        <v>1591.35</v>
      </c>
      <c r="F19" s="30">
        <f t="shared" ref="F19:F28" si="3">SUM(D19:E19)</f>
        <v>6988.0109073802141</v>
      </c>
      <c r="H19" s="30">
        <f>-PMT(int_3,repay,debt_frac*carBprice)</f>
        <v>6868.4775184839082</v>
      </c>
      <c r="I19" s="30">
        <f t="shared" si="0"/>
        <v>795.67499999999995</v>
      </c>
      <c r="J19" s="30">
        <f t="shared" si="1"/>
        <v>7664.1525184839084</v>
      </c>
    </row>
    <row r="20" spans="2:13" x14ac:dyDescent="0.35">
      <c r="B20" s="32">
        <v>3</v>
      </c>
      <c r="C20" s="29">
        <f t="shared" ref="C20:C27" si="4">gas_price*(1+gas_inf)^B20</f>
        <v>2.7318175</v>
      </c>
      <c r="D20" s="30">
        <f>-PMT(int_3,repay,debt_frac*carAprice)</f>
        <v>5396.6609073802138</v>
      </c>
      <c r="E20" s="30">
        <f t="shared" si="2"/>
        <v>1639.0905</v>
      </c>
      <c r="F20" s="30">
        <f t="shared" si="3"/>
        <v>7035.751407380214</v>
      </c>
      <c r="H20" s="30">
        <f>-PMT(int_3,repay,debt_frac*carBprice)</f>
        <v>6868.4775184839082</v>
      </c>
      <c r="I20" s="30">
        <f t="shared" si="0"/>
        <v>819.54525000000001</v>
      </c>
      <c r="J20" s="30">
        <f t="shared" si="1"/>
        <v>7688.0227684839083</v>
      </c>
    </row>
    <row r="21" spans="2:13" x14ac:dyDescent="0.35">
      <c r="B21" s="32">
        <v>4</v>
      </c>
      <c r="C21" s="29">
        <f t="shared" si="4"/>
        <v>2.8137720249999996</v>
      </c>
      <c r="D21" s="30">
        <f>-PMT(int_3,repay,debt_frac*carAprice)</f>
        <v>5396.6609073802138</v>
      </c>
      <c r="E21" s="30">
        <f t="shared" si="2"/>
        <v>1688.2632149999997</v>
      </c>
      <c r="F21" s="30">
        <f t="shared" si="3"/>
        <v>7084.9241223802137</v>
      </c>
      <c r="H21" s="30">
        <f>-PMT(int_3,repay,debt_frac*carBprice)</f>
        <v>6868.4775184839082</v>
      </c>
      <c r="I21" s="30">
        <f t="shared" si="0"/>
        <v>844.13160749999986</v>
      </c>
      <c r="J21" s="30">
        <f t="shared" si="1"/>
        <v>7712.6091259839077</v>
      </c>
    </row>
    <row r="22" spans="2:13" x14ac:dyDescent="0.35">
      <c r="B22" s="32">
        <v>5</v>
      </c>
      <c r="C22" s="29">
        <f t="shared" si="4"/>
        <v>2.8981851857499996</v>
      </c>
      <c r="E22" s="30">
        <f t="shared" si="2"/>
        <v>1738.9111114499997</v>
      </c>
      <c r="F22" s="30">
        <f t="shared" si="3"/>
        <v>1738.9111114499997</v>
      </c>
      <c r="H22" s="30"/>
      <c r="I22" s="30">
        <f t="shared" si="0"/>
        <v>869.45555572499984</v>
      </c>
      <c r="J22" s="30">
        <f t="shared" si="1"/>
        <v>869.45555572499984</v>
      </c>
    </row>
    <row r="23" spans="2:13" x14ac:dyDescent="0.35">
      <c r="B23" s="32">
        <v>6</v>
      </c>
      <c r="C23" s="29">
        <f t="shared" si="4"/>
        <v>2.9851307413224997</v>
      </c>
      <c r="D23" s="30"/>
      <c r="E23" s="30">
        <f t="shared" si="2"/>
        <v>1791.0784447934998</v>
      </c>
      <c r="F23" s="30">
        <f t="shared" si="3"/>
        <v>1791.0784447934998</v>
      </c>
      <c r="H23" s="30"/>
      <c r="I23" s="30">
        <f t="shared" si="0"/>
        <v>895.53922239674989</v>
      </c>
      <c r="J23" s="30">
        <f t="shared" si="1"/>
        <v>895.53922239674989</v>
      </c>
    </row>
    <row r="24" spans="2:13" x14ac:dyDescent="0.35">
      <c r="B24" s="32">
        <v>7</v>
      </c>
      <c r="C24" s="29">
        <f t="shared" si="4"/>
        <v>3.074684663562175</v>
      </c>
      <c r="D24" s="30"/>
      <c r="E24" s="30">
        <f t="shared" si="2"/>
        <v>1844.810798137305</v>
      </c>
      <c r="F24" s="30">
        <f t="shared" si="3"/>
        <v>1844.810798137305</v>
      </c>
      <c r="H24" s="30"/>
      <c r="I24" s="30">
        <f t="shared" si="0"/>
        <v>922.40539906865251</v>
      </c>
      <c r="J24" s="30">
        <f t="shared" si="1"/>
        <v>922.40539906865251</v>
      </c>
    </row>
    <row r="25" spans="2:13" x14ac:dyDescent="0.35">
      <c r="B25" s="32">
        <v>8</v>
      </c>
      <c r="C25" s="29">
        <f t="shared" si="4"/>
        <v>3.1669252034690398</v>
      </c>
      <c r="D25" s="30"/>
      <c r="E25" s="30">
        <f t="shared" si="2"/>
        <v>1900.155122081424</v>
      </c>
      <c r="F25" s="30">
        <f t="shared" si="3"/>
        <v>1900.155122081424</v>
      </c>
      <c r="H25" s="30"/>
      <c r="I25" s="30">
        <f t="shared" si="0"/>
        <v>950.077561040712</v>
      </c>
      <c r="J25" s="30">
        <f t="shared" si="1"/>
        <v>950.077561040712</v>
      </c>
    </row>
    <row r="26" spans="2:13" x14ac:dyDescent="0.35">
      <c r="B26" s="32">
        <v>9</v>
      </c>
      <c r="C26" s="29">
        <f t="shared" si="4"/>
        <v>3.261932959573111</v>
      </c>
      <c r="D26" s="30"/>
      <c r="E26" s="30">
        <f t="shared" si="2"/>
        <v>1957.1597757438667</v>
      </c>
      <c r="F26" s="30">
        <f t="shared" si="3"/>
        <v>1957.1597757438667</v>
      </c>
      <c r="H26" s="30"/>
      <c r="I26" s="30">
        <f t="shared" si="0"/>
        <v>978.57988787193335</v>
      </c>
      <c r="J26" s="30">
        <f t="shared" si="1"/>
        <v>978.57988787193335</v>
      </c>
    </row>
    <row r="27" spans="2:13" x14ac:dyDescent="0.35">
      <c r="B27" s="32">
        <v>10</v>
      </c>
      <c r="C27" s="29">
        <f t="shared" si="4"/>
        <v>3.3597909483603043</v>
      </c>
      <c r="D27" s="30"/>
      <c r="E27" s="30">
        <f t="shared" si="2"/>
        <v>2015.8745690161827</v>
      </c>
      <c r="F27" s="30">
        <f t="shared" si="3"/>
        <v>2015.8745690161827</v>
      </c>
      <c r="H27" s="30"/>
      <c r="I27" s="30">
        <f t="shared" si="0"/>
        <v>1007.9372845080914</v>
      </c>
      <c r="J27" s="30">
        <f t="shared" si="1"/>
        <v>1007.9372845080914</v>
      </c>
    </row>
    <row r="28" spans="2:13" x14ac:dyDescent="0.35">
      <c r="B28" s="28">
        <v>11</v>
      </c>
      <c r="C28" s="33">
        <f>gas_price*(1+gas_inf)^B28</f>
        <v>3.4605846768111137</v>
      </c>
      <c r="D28" s="34"/>
      <c r="E28" s="34">
        <f t="shared" si="2"/>
        <v>2076.3508060866684</v>
      </c>
      <c r="F28" s="34">
        <f t="shared" si="3"/>
        <v>2076.3508060866684</v>
      </c>
      <c r="G28" s="5"/>
      <c r="H28" s="34"/>
      <c r="I28" s="34">
        <f t="shared" si="0"/>
        <v>1038.1754030433342</v>
      </c>
      <c r="J28" s="34">
        <f t="shared" si="1"/>
        <v>1038.1754030433342</v>
      </c>
    </row>
    <row r="29" spans="2:13" x14ac:dyDescent="0.35">
      <c r="B29" s="35" t="s">
        <v>34</v>
      </c>
      <c r="C29" s="15"/>
      <c r="D29" s="36"/>
      <c r="E29" s="36"/>
      <c r="F29" s="37">
        <f>NPV(r_pers,F18:F28)+equity_frac*carAprice</f>
        <v>33729.893261479927</v>
      </c>
      <c r="G29" s="38"/>
      <c r="H29" s="37"/>
      <c r="I29" s="37"/>
      <c r="J29" s="37">
        <f>NPV(r_pers,J18:J28)+equity_frac*carBprice</f>
        <v>33227.002650975599</v>
      </c>
      <c r="L29" s="39" t="s">
        <v>35</v>
      </c>
      <c r="M29" s="40">
        <f>F29-J29</f>
        <v>502.89061050432792</v>
      </c>
    </row>
    <row r="30" spans="2:13" x14ac:dyDescent="0.35">
      <c r="B30" s="35" t="s">
        <v>36</v>
      </c>
      <c r="C30" s="15"/>
      <c r="D30" s="15"/>
      <c r="E30" s="15"/>
      <c r="F30" s="52">
        <f>-PMT(r_pers,$B$28,F29)/miles_yr</f>
        <v>0.39373000574935291</v>
      </c>
      <c r="G30" s="38"/>
      <c r="H30" s="38"/>
      <c r="I30" s="38"/>
      <c r="J30" s="52">
        <f>-PMT(r_pers,$B$28,J29)/miles_yr</f>
        <v>0.38785974931449818</v>
      </c>
    </row>
    <row r="31" spans="2:13" x14ac:dyDescent="0.35">
      <c r="B31" s="15" t="s">
        <v>37</v>
      </c>
      <c r="C31" s="15"/>
      <c r="D31" s="15"/>
      <c r="E31" s="15"/>
      <c r="F31" s="41">
        <v>0.10684667475413778</v>
      </c>
      <c r="G31" s="15"/>
      <c r="H31" s="15"/>
      <c r="I31" s="15"/>
      <c r="J31" s="15"/>
    </row>
    <row r="32" spans="2:13" x14ac:dyDescent="0.35">
      <c r="B32" s="15" t="s">
        <v>38</v>
      </c>
      <c r="C32" s="15"/>
      <c r="D32" s="15"/>
      <c r="E32" s="15"/>
      <c r="F32" s="41">
        <v>1.4348024538833246E-2</v>
      </c>
      <c r="G32" s="15"/>
      <c r="H32" s="15"/>
      <c r="I32" s="15"/>
      <c r="J32" s="15"/>
    </row>
    <row r="33" spans="2:10" x14ac:dyDescent="0.35">
      <c r="B33" s="15" t="s">
        <v>39</v>
      </c>
      <c r="C33" s="15"/>
      <c r="D33" s="15"/>
      <c r="E33" s="15"/>
      <c r="F33" s="42">
        <v>28522.497928622201</v>
      </c>
      <c r="G33" s="15"/>
      <c r="H33" s="15"/>
      <c r="I33" s="15"/>
      <c r="J33" s="15"/>
    </row>
  </sheetData>
  <mergeCells count="2">
    <mergeCell ref="D16:F16"/>
    <mergeCell ref="H16:J1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"/>
  <sheetViews>
    <sheetView showGridLines="0" tabSelected="1" topLeftCell="A15" zoomScale="61" zoomScaleNormal="61" workbookViewId="0">
      <selection activeCell="C25" sqref="C25"/>
    </sheetView>
  </sheetViews>
  <sheetFormatPr defaultColWidth="8.54296875" defaultRowHeight="14.5" x14ac:dyDescent="0.35"/>
  <cols>
    <col min="3" max="3" width="16.1796875" customWidth="1"/>
    <col min="4" max="4" width="12" customWidth="1"/>
    <col min="5" max="6" width="11.453125" customWidth="1"/>
    <col min="7" max="7" width="1.453125" customWidth="1"/>
    <col min="8" max="8" width="16.1796875" customWidth="1"/>
    <col min="9" max="9" width="11.1796875" bestFit="1" customWidth="1"/>
    <col min="10" max="10" width="11.453125" customWidth="1"/>
    <col min="11" max="11" width="11.54296875" customWidth="1"/>
    <col min="13" max="13" width="10.54296875" bestFit="1" customWidth="1"/>
  </cols>
  <sheetData>
    <row r="1" spans="1:13" x14ac:dyDescent="0.35">
      <c r="A1" s="17"/>
    </row>
    <row r="2" spans="1:13" x14ac:dyDescent="0.35">
      <c r="B2" s="1" t="s">
        <v>0</v>
      </c>
      <c r="C2" s="2"/>
      <c r="D2" s="3"/>
      <c r="J2" s="17"/>
      <c r="K2" s="17"/>
    </row>
    <row r="3" spans="1:13" x14ac:dyDescent="0.35">
      <c r="B3" s="20" t="s">
        <v>40</v>
      </c>
      <c r="D3" s="44">
        <v>0.03</v>
      </c>
      <c r="J3" s="17"/>
      <c r="K3" s="17"/>
    </row>
    <row r="4" spans="1:13" x14ac:dyDescent="0.35">
      <c r="B4" s="20" t="s">
        <v>41</v>
      </c>
      <c r="D4" s="44">
        <v>0.08</v>
      </c>
      <c r="J4" s="17"/>
      <c r="K4" s="17"/>
    </row>
    <row r="5" spans="1:13" x14ac:dyDescent="0.35">
      <c r="B5" s="4" t="s">
        <v>42</v>
      </c>
      <c r="C5" s="5"/>
      <c r="D5" s="45">
        <f>(1+D4)/(1+D3)-1</f>
        <v>4.8543689320388328E-2</v>
      </c>
      <c r="I5" s="51"/>
      <c r="J5" s="17"/>
      <c r="K5" s="17"/>
    </row>
    <row r="6" spans="1:13" x14ac:dyDescent="0.35">
      <c r="J6" s="17"/>
      <c r="K6" s="17"/>
    </row>
    <row r="7" spans="1:13" x14ac:dyDescent="0.35">
      <c r="B7" t="s">
        <v>43</v>
      </c>
      <c r="J7" s="17"/>
      <c r="K7" s="17"/>
    </row>
    <row r="8" spans="1:13" x14ac:dyDescent="0.35">
      <c r="B8" s="2"/>
      <c r="C8" s="104" t="s">
        <v>44</v>
      </c>
      <c r="D8" s="104"/>
      <c r="E8" s="104"/>
      <c r="F8" s="104"/>
      <c r="G8" s="2"/>
      <c r="H8" s="104" t="s">
        <v>45</v>
      </c>
      <c r="I8" s="104"/>
      <c r="J8" s="104"/>
      <c r="K8" s="104"/>
    </row>
    <row r="9" spans="1:13" x14ac:dyDescent="0.35">
      <c r="B9" s="28" t="s">
        <v>6</v>
      </c>
      <c r="C9" s="28" t="s">
        <v>46</v>
      </c>
      <c r="D9" s="28" t="s">
        <v>47</v>
      </c>
      <c r="E9" s="28" t="s">
        <v>48</v>
      </c>
      <c r="F9" s="28" t="s">
        <v>49</v>
      </c>
      <c r="G9" s="28"/>
      <c r="H9" s="28" t="s">
        <v>46</v>
      </c>
      <c r="I9" s="28" t="s">
        <v>47</v>
      </c>
      <c r="J9" s="28" t="s">
        <v>48</v>
      </c>
      <c r="K9" s="46" t="s">
        <v>49</v>
      </c>
    </row>
    <row r="10" spans="1:13" x14ac:dyDescent="0.35">
      <c r="B10" s="7">
        <v>1</v>
      </c>
      <c r="C10" s="48">
        <f>4000*(1+inf_4)^(B10-1)</f>
        <v>4000</v>
      </c>
      <c r="D10" s="48">
        <f>nint_4*C10</f>
        <v>320</v>
      </c>
      <c r="E10" s="48"/>
      <c r="F10" s="48">
        <f t="shared" ref="F10:F18" si="0">SUM(D10:E10)</f>
        <v>320</v>
      </c>
      <c r="G10" s="7"/>
      <c r="H10" s="48">
        <f>C10/(1+$D$3)^$B10</f>
        <v>3883.4951456310678</v>
      </c>
      <c r="I10" s="48">
        <f t="shared" ref="I10:J18" si="1">D10/(1+$D$3)^$B10</f>
        <v>310.67961165048541</v>
      </c>
      <c r="J10" s="48"/>
      <c r="K10" s="48">
        <f t="shared" ref="K10:K17" si="2">SUM(I10:J10)</f>
        <v>310.67961165048541</v>
      </c>
    </row>
    <row r="11" spans="1:13" x14ac:dyDescent="0.35">
      <c r="B11" s="32">
        <v>2</v>
      </c>
      <c r="C11" s="49">
        <f>C10+4000*(1+inf_4)^(B11-1)</f>
        <v>8120</v>
      </c>
      <c r="D11" s="49">
        <f>nint_4*C11</f>
        <v>649.6</v>
      </c>
      <c r="E11" s="49"/>
      <c r="F11" s="49">
        <f t="shared" si="0"/>
        <v>649.6</v>
      </c>
      <c r="G11" s="32"/>
      <c r="H11" s="49">
        <f t="shared" ref="H11:H18" si="3">C11/(1+$D$3)^$B11</f>
        <v>7653.8787821660853</v>
      </c>
      <c r="I11" s="49">
        <f t="shared" si="1"/>
        <v>612.31030257328689</v>
      </c>
      <c r="J11" s="49"/>
      <c r="K11" s="49">
        <f t="shared" si="2"/>
        <v>612.31030257328689</v>
      </c>
    </row>
    <row r="12" spans="1:13" x14ac:dyDescent="0.35">
      <c r="B12" s="32">
        <v>3</v>
      </c>
      <c r="C12" s="49">
        <f>C11+4000*(1+inf_4)^(B12-1)</f>
        <v>12363.599999999999</v>
      </c>
      <c r="D12" s="49">
        <f>nint_4*C12</f>
        <v>989.08799999999985</v>
      </c>
      <c r="E12" s="49"/>
      <c r="F12" s="49">
        <f t="shared" si="0"/>
        <v>989.08799999999985</v>
      </c>
      <c r="G12" s="32"/>
      <c r="H12" s="49">
        <f t="shared" si="3"/>
        <v>11314.445419578722</v>
      </c>
      <c r="I12" s="49">
        <f t="shared" si="1"/>
        <v>905.15563356629775</v>
      </c>
      <c r="J12" s="49"/>
      <c r="K12" s="49">
        <f t="shared" si="2"/>
        <v>905.15563356629775</v>
      </c>
    </row>
    <row r="13" spans="1:13" x14ac:dyDescent="0.35">
      <c r="B13" s="32">
        <v>4</v>
      </c>
      <c r="C13" s="49">
        <f>C12-E13</f>
        <v>10678.251090819012</v>
      </c>
      <c r="D13" s="49">
        <f>-IPMT(nint_4,B10,6,$C$12)</f>
        <v>989.08799999999985</v>
      </c>
      <c r="E13" s="49">
        <f>-PPMT(nint_4,B10,6,$C$12)</f>
        <v>1685.3489091809861</v>
      </c>
      <c r="F13" s="49">
        <f>SUM(D13:E13)</f>
        <v>2674.4369091809858</v>
      </c>
      <c r="G13" s="32"/>
      <c r="H13" s="49">
        <f t="shared" si="3"/>
        <v>9487.4877885842707</v>
      </c>
      <c r="I13" s="49">
        <f t="shared" si="1"/>
        <v>878.79187724883286</v>
      </c>
      <c r="J13" s="49">
        <f t="shared" si="1"/>
        <v>1497.410677026141</v>
      </c>
      <c r="K13" s="49">
        <f t="shared" si="2"/>
        <v>2376.2025542749739</v>
      </c>
      <c r="M13" s="51"/>
    </row>
    <row r="14" spans="1:13" x14ac:dyDescent="0.35">
      <c r="B14" s="32">
        <v>5</v>
      </c>
      <c r="C14" s="49">
        <f t="shared" ref="C14:C18" si="4">C13-E14</f>
        <v>8858.0742689035469</v>
      </c>
      <c r="D14" s="49">
        <f t="shared" ref="D14:D17" si="5">-IPMT(nint_4,B11,6,$C$12)</f>
        <v>854.26008726552118</v>
      </c>
      <c r="E14" s="49">
        <f t="shared" ref="E14:E18" si="6">-PPMT(nint_4,B11,6,$C$12)</f>
        <v>1820.1768219154646</v>
      </c>
      <c r="F14" s="49">
        <f t="shared" si="0"/>
        <v>2674.4369091809858</v>
      </c>
      <c r="G14" s="32"/>
      <c r="H14" s="49">
        <f t="shared" si="3"/>
        <v>7641.0526770835313</v>
      </c>
      <c r="I14" s="49">
        <f t="shared" si="1"/>
        <v>736.89225542402119</v>
      </c>
      <c r="J14" s="49">
        <f t="shared" si="1"/>
        <v>1570.1005157167301</v>
      </c>
      <c r="K14" s="49">
        <f t="shared" si="2"/>
        <v>2306.9927711407513</v>
      </c>
      <c r="M14" s="51"/>
    </row>
    <row r="15" spans="1:13" x14ac:dyDescent="0.35">
      <c r="B15" s="32">
        <v>6</v>
      </c>
      <c r="C15" s="49">
        <f t="shared" si="4"/>
        <v>6892.2833012348456</v>
      </c>
      <c r="D15" s="49">
        <f t="shared" si="5"/>
        <v>708.6459415122838</v>
      </c>
      <c r="E15" s="49">
        <f t="shared" si="6"/>
        <v>1965.7909676687016</v>
      </c>
      <c r="F15" s="49">
        <f t="shared" si="0"/>
        <v>2674.4369091809854</v>
      </c>
      <c r="G15" s="32"/>
      <c r="H15" s="49">
        <f t="shared" si="3"/>
        <v>5772.1787573878282</v>
      </c>
      <c r="I15" s="49">
        <f t="shared" si="1"/>
        <v>593.47981957930347</v>
      </c>
      <c r="J15" s="49">
        <f t="shared" si="1"/>
        <v>1646.3189873534643</v>
      </c>
      <c r="K15" s="49">
        <f t="shared" si="2"/>
        <v>2239.7988069327675</v>
      </c>
      <c r="M15" s="51"/>
    </row>
    <row r="16" spans="1:13" x14ac:dyDescent="0.35">
      <c r="B16" s="32">
        <v>7</v>
      </c>
      <c r="C16" s="49">
        <f t="shared" si="4"/>
        <v>4769.2290561526479</v>
      </c>
      <c r="D16" s="49">
        <f t="shared" si="5"/>
        <v>551.3826640987877</v>
      </c>
      <c r="E16" s="49">
        <f t="shared" si="6"/>
        <v>2123.0542450821981</v>
      </c>
      <c r="F16" s="49">
        <f t="shared" si="0"/>
        <v>2674.4369091809858</v>
      </c>
      <c r="G16" s="32"/>
      <c r="H16" s="49">
        <f t="shared" si="3"/>
        <v>3877.8196612097931</v>
      </c>
      <c r="I16" s="49">
        <f t="shared" si="1"/>
        <v>448.32456368060804</v>
      </c>
      <c r="J16" s="49">
        <f>E16/(1+$D$3)^$B16</f>
        <v>1726.2373847978074</v>
      </c>
      <c r="K16" s="49">
        <f t="shared" si="2"/>
        <v>2174.5619484784156</v>
      </c>
      <c r="M16" s="51"/>
    </row>
    <row r="17" spans="2:13" x14ac:dyDescent="0.35">
      <c r="B17" s="32">
        <v>8</v>
      </c>
      <c r="C17" s="49">
        <f t="shared" si="4"/>
        <v>2476.3304714638743</v>
      </c>
      <c r="D17" s="49">
        <f t="shared" si="5"/>
        <v>381.53832449221193</v>
      </c>
      <c r="E17" s="49">
        <f t="shared" si="6"/>
        <v>2292.8985846887736</v>
      </c>
      <c r="F17" s="49">
        <f t="shared" si="0"/>
        <v>2674.4369091809854</v>
      </c>
      <c r="G17" s="32"/>
      <c r="H17" s="49">
        <f t="shared" si="3"/>
        <v>1954.8381413865645</v>
      </c>
      <c r="I17" s="49">
        <f t="shared" si="1"/>
        <v>301.18987659881901</v>
      </c>
      <c r="J17" s="49">
        <f t="shared" si="1"/>
        <v>1810.0353160986717</v>
      </c>
      <c r="K17" s="49">
        <f t="shared" si="2"/>
        <v>2111.2251926974909</v>
      </c>
      <c r="M17" s="51"/>
    </row>
    <row r="18" spans="2:13" x14ac:dyDescent="0.35">
      <c r="B18" s="28">
        <v>9</v>
      </c>
      <c r="C18" s="46">
        <f t="shared" si="4"/>
        <v>0</v>
      </c>
      <c r="D18" s="46">
        <f>-IPMT(nint_4,B15,6,$C$12)</f>
        <v>198.10643771711003</v>
      </c>
      <c r="E18" s="46">
        <f t="shared" si="6"/>
        <v>2476.3304714638757</v>
      </c>
      <c r="F18" s="46">
        <f t="shared" si="0"/>
        <v>2674.4369091809858</v>
      </c>
      <c r="G18" s="28"/>
      <c r="H18" s="46">
        <f t="shared" si="3"/>
        <v>0</v>
      </c>
      <c r="I18" s="46">
        <f t="shared" si="1"/>
        <v>151.83208865138371</v>
      </c>
      <c r="J18" s="46">
        <f>E18/(1+$D$3)^$B18</f>
        <v>1897.9011081422968</v>
      </c>
      <c r="K18" s="46">
        <f>SUM(I18:J18)</f>
        <v>2049.7331967936807</v>
      </c>
      <c r="M18" s="51"/>
    </row>
    <row r="19" spans="2:13" x14ac:dyDescent="0.35">
      <c r="B19" s="15" t="s">
        <v>10</v>
      </c>
      <c r="C19" s="47"/>
      <c r="D19" s="47"/>
      <c r="E19" s="47"/>
      <c r="F19" s="47">
        <f>NPV(nint_4,F10:F18)</f>
        <v>11453.01783264746</v>
      </c>
      <c r="G19" s="43"/>
      <c r="H19" s="43"/>
      <c r="I19" s="43"/>
      <c r="J19" s="47"/>
      <c r="K19" s="47">
        <f>NPV(D5,K10:K18)</f>
        <v>11453.017832647467</v>
      </c>
    </row>
    <row r="20" spans="2:13" x14ac:dyDescent="0.35">
      <c r="E20" s="17"/>
      <c r="F20" s="49"/>
      <c r="J20" s="17"/>
      <c r="K20" s="17"/>
    </row>
    <row r="21" spans="2:13" x14ac:dyDescent="0.35">
      <c r="J21" s="17"/>
      <c r="K21" s="17"/>
    </row>
    <row r="22" spans="2:13" x14ac:dyDescent="0.35">
      <c r="B22" t="s">
        <v>50</v>
      </c>
      <c r="J22" s="17"/>
      <c r="K22" s="17"/>
    </row>
    <row r="23" spans="2:13" x14ac:dyDescent="0.35">
      <c r="B23" s="2"/>
      <c r="C23" s="104" t="s">
        <v>44</v>
      </c>
      <c r="D23" s="104"/>
      <c r="E23" s="104"/>
      <c r="F23" s="104"/>
      <c r="G23" s="2"/>
      <c r="H23" s="104" t="s">
        <v>45</v>
      </c>
      <c r="I23" s="104"/>
      <c r="J23" s="104"/>
      <c r="K23" s="104"/>
    </row>
    <row r="24" spans="2:13" x14ac:dyDescent="0.35">
      <c r="B24" s="5" t="s">
        <v>6</v>
      </c>
      <c r="C24" s="28" t="s">
        <v>46</v>
      </c>
      <c r="D24" s="28" t="s">
        <v>47</v>
      </c>
      <c r="E24" s="28" t="s">
        <v>48</v>
      </c>
      <c r="F24" s="28" t="s">
        <v>49</v>
      </c>
      <c r="G24" s="28"/>
      <c r="H24" s="28" t="s">
        <v>46</v>
      </c>
      <c r="I24" s="28" t="s">
        <v>47</v>
      </c>
      <c r="J24" s="28" t="s">
        <v>48</v>
      </c>
      <c r="K24" s="46" t="s">
        <v>49</v>
      </c>
    </row>
    <row r="25" spans="2:13" x14ac:dyDescent="0.35">
      <c r="B25" s="2">
        <v>1</v>
      </c>
      <c r="C25" s="48">
        <f>4000*(1+inf_4)^(B25-1)*(1+nint_4)</f>
        <v>4320</v>
      </c>
      <c r="D25" s="48"/>
      <c r="E25" s="48"/>
      <c r="F25" s="48">
        <f t="shared" ref="F25:F33" si="7">SUM(D25:E25)</f>
        <v>0</v>
      </c>
      <c r="G25" s="7"/>
      <c r="H25" s="48">
        <f>C25/(1+$D$3)^$B25</f>
        <v>4194.174757281553</v>
      </c>
      <c r="I25" s="48"/>
      <c r="J25" s="48"/>
      <c r="K25" s="48">
        <f t="shared" ref="K25:K33" si="8">SUM(I25:J25)</f>
        <v>0</v>
      </c>
    </row>
    <row r="26" spans="2:13" x14ac:dyDescent="0.35">
      <c r="B26">
        <v>2</v>
      </c>
      <c r="C26" s="49">
        <f>(C25+4000*(1+inf_4)^(B26-1))*(1+nint_4)</f>
        <v>9115.2000000000007</v>
      </c>
      <c r="D26" s="49"/>
      <c r="E26" s="49"/>
      <c r="F26" s="49">
        <f t="shared" si="7"/>
        <v>0</v>
      </c>
      <c r="G26" s="32"/>
      <c r="H26" s="49">
        <f t="shared" ref="H26:J33" si="9">C26/(1+$D$3)^$B26</f>
        <v>8591.9502309359996</v>
      </c>
      <c r="I26" s="49"/>
      <c r="J26" s="49"/>
      <c r="K26" s="49">
        <f t="shared" si="8"/>
        <v>0</v>
      </c>
    </row>
    <row r="27" spans="2:13" x14ac:dyDescent="0.35">
      <c r="B27">
        <v>3</v>
      </c>
      <c r="C27" s="49">
        <f>(C26+4000*(1+inf_4)^(B27-1))*(1+nint_4)</f>
        <v>14427.504000000001</v>
      </c>
      <c r="D27" s="49"/>
      <c r="E27" s="49"/>
      <c r="F27" s="49">
        <f t="shared" si="7"/>
        <v>0</v>
      </c>
      <c r="G27" s="32"/>
      <c r="H27" s="49">
        <f t="shared" si="9"/>
        <v>13203.209950884348</v>
      </c>
      <c r="I27" s="49"/>
      <c r="J27" s="49"/>
      <c r="K27" s="49">
        <f t="shared" si="8"/>
        <v>0</v>
      </c>
    </row>
    <row r="28" spans="2:13" x14ac:dyDescent="0.35">
      <c r="B28">
        <v>4</v>
      </c>
      <c r="C28" s="49">
        <f t="shared" ref="C28:C33" si="10">C27-E28</f>
        <v>12460.813219919417</v>
      </c>
      <c r="D28" s="49">
        <f t="shared" ref="D28:D33" si="11">-IPMT(nint_4,B25,6,$C$27)</f>
        <v>1154.2003200000001</v>
      </c>
      <c r="E28" s="49">
        <f t="shared" ref="E28:E33" si="12">-PPMT(nint_4,B25,6,$C$27)</f>
        <v>1966.6907800805845</v>
      </c>
      <c r="F28" s="49">
        <f t="shared" si="7"/>
        <v>3120.8911000805847</v>
      </c>
      <c r="G28" s="32"/>
      <c r="H28" s="49">
        <f t="shared" si="9"/>
        <v>11071.271152394993</v>
      </c>
      <c r="I28" s="49">
        <f>D28/(1+$D$3)^$B28</f>
        <v>1025.4920350201437</v>
      </c>
      <c r="J28" s="49">
        <f t="shared" si="9"/>
        <v>1747.379285356802</v>
      </c>
      <c r="K28" s="49">
        <f t="shared" si="8"/>
        <v>2772.8713203769457</v>
      </c>
    </row>
    <row r="29" spans="2:13" x14ac:dyDescent="0.35">
      <c r="B29">
        <v>5</v>
      </c>
      <c r="C29" s="49">
        <f t="shared" si="10"/>
        <v>10336.787177432387</v>
      </c>
      <c r="D29" s="49">
        <f t="shared" si="11"/>
        <v>996.86505759355339</v>
      </c>
      <c r="E29" s="49">
        <f t="shared" si="12"/>
        <v>2124.0260424870307</v>
      </c>
      <c r="F29" s="49">
        <f t="shared" si="7"/>
        <v>3120.8911000805842</v>
      </c>
      <c r="G29" s="32"/>
      <c r="H29" s="49">
        <f t="shared" si="9"/>
        <v>8916.603421562766</v>
      </c>
      <c r="I29" s="49">
        <f t="shared" si="9"/>
        <v>859.90455552582478</v>
      </c>
      <c r="J29" s="49">
        <f t="shared" si="9"/>
        <v>1832.2035225100444</v>
      </c>
      <c r="K29" s="49">
        <f t="shared" si="8"/>
        <v>2692.1080780358693</v>
      </c>
    </row>
    <row r="30" spans="2:13" x14ac:dyDescent="0.35">
      <c r="B30">
        <v>6</v>
      </c>
      <c r="C30" s="49">
        <f t="shared" si="10"/>
        <v>8042.8390515463934</v>
      </c>
      <c r="D30" s="49">
        <f t="shared" si="11"/>
        <v>826.94297419459076</v>
      </c>
      <c r="E30" s="49">
        <f t="shared" si="12"/>
        <v>2293.9481258859932</v>
      </c>
      <c r="F30" s="49">
        <f t="shared" si="7"/>
        <v>3120.8911000805838</v>
      </c>
      <c r="G30" s="32"/>
      <c r="H30" s="49">
        <f t="shared" si="9"/>
        <v>6735.7510847105996</v>
      </c>
      <c r="I30" s="49">
        <f t="shared" si="9"/>
        <v>692.55172206312727</v>
      </c>
      <c r="J30" s="49">
        <f t="shared" si="9"/>
        <v>1921.1454410784931</v>
      </c>
      <c r="K30" s="49">
        <f t="shared" si="8"/>
        <v>2613.6971631416204</v>
      </c>
    </row>
    <row r="31" spans="2:13" x14ac:dyDescent="0.35">
      <c r="B31">
        <v>7</v>
      </c>
      <c r="C31" s="49">
        <f t="shared" si="10"/>
        <v>5565.3750755895198</v>
      </c>
      <c r="D31" s="49">
        <f t="shared" si="11"/>
        <v>643.42712412371145</v>
      </c>
      <c r="E31" s="49">
        <f t="shared" si="12"/>
        <v>2477.4639759568731</v>
      </c>
      <c r="F31" s="49">
        <f t="shared" si="7"/>
        <v>3120.8911000805847</v>
      </c>
      <c r="G31" s="32"/>
      <c r="H31" s="49">
        <f t="shared" si="9"/>
        <v>4525.1592314037143</v>
      </c>
      <c r="I31" s="49">
        <f t="shared" si="9"/>
        <v>523.16513279305616</v>
      </c>
      <c r="J31" s="49">
        <f t="shared" si="9"/>
        <v>2014.4049285094882</v>
      </c>
      <c r="K31" s="49">
        <f t="shared" si="8"/>
        <v>2537.5700613025442</v>
      </c>
    </row>
    <row r="32" spans="2:13" x14ac:dyDescent="0.35">
      <c r="B32">
        <v>8</v>
      </c>
      <c r="C32" s="49">
        <f t="shared" si="10"/>
        <v>2889.7139815560972</v>
      </c>
      <c r="D32" s="49">
        <f t="shared" si="11"/>
        <v>445.23000604716151</v>
      </c>
      <c r="E32" s="49">
        <f t="shared" si="12"/>
        <v>2675.6610940334226</v>
      </c>
      <c r="F32" s="49">
        <f t="shared" si="7"/>
        <v>3120.8911000805842</v>
      </c>
      <c r="G32" s="32"/>
      <c r="H32" s="49">
        <f t="shared" si="9"/>
        <v>2281.1669015664734</v>
      </c>
      <c r="I32" s="49">
        <f t="shared" si="9"/>
        <v>351.46867816727877</v>
      </c>
      <c r="J32" s="49">
        <f t="shared" si="9"/>
        <v>2112.1915755245118</v>
      </c>
      <c r="K32" s="49">
        <f t="shared" si="8"/>
        <v>2463.6602536917908</v>
      </c>
    </row>
    <row r="33" spans="2:11" x14ac:dyDescent="0.35">
      <c r="B33" s="5">
        <v>9</v>
      </c>
      <c r="C33" s="46">
        <f t="shared" si="10"/>
        <v>0</v>
      </c>
      <c r="D33" s="46">
        <f t="shared" si="11"/>
        <v>231.1771185244877</v>
      </c>
      <c r="E33" s="46">
        <f t="shared" si="12"/>
        <v>2889.7139815560968</v>
      </c>
      <c r="F33" s="46">
        <f t="shared" si="7"/>
        <v>3120.8911000805847</v>
      </c>
      <c r="G33" s="28"/>
      <c r="H33" s="46">
        <f t="shared" si="9"/>
        <v>0</v>
      </c>
      <c r="I33" s="46">
        <f t="shared" si="9"/>
        <v>177.17801177215321</v>
      </c>
      <c r="J33" s="46">
        <f t="shared" si="9"/>
        <v>2214.7251471519157</v>
      </c>
      <c r="K33" s="46">
        <f t="shared" si="8"/>
        <v>2391.903158924069</v>
      </c>
    </row>
    <row r="34" spans="2:11" x14ac:dyDescent="0.35">
      <c r="B34" s="15" t="s">
        <v>10</v>
      </c>
      <c r="C34" s="47"/>
      <c r="D34" s="47"/>
      <c r="E34" s="47"/>
      <c r="F34" s="47">
        <f>NPV(D4,F25:F33)</f>
        <v>11453.01783264746</v>
      </c>
      <c r="G34" s="43"/>
      <c r="H34" s="43"/>
      <c r="I34" s="43"/>
      <c r="J34" s="47"/>
      <c r="K34" s="47">
        <f>NPV(rint_4,K25:K33)</f>
        <v>11453.017832647469</v>
      </c>
    </row>
    <row r="35" spans="2:11" x14ac:dyDescent="0.35">
      <c r="J35" s="17"/>
      <c r="K35" s="17"/>
    </row>
    <row r="36" spans="2:11" x14ac:dyDescent="0.35">
      <c r="J36" s="17"/>
      <c r="K36" s="17"/>
    </row>
    <row r="37" spans="2:11" x14ac:dyDescent="0.35">
      <c r="B37" t="s">
        <v>51</v>
      </c>
      <c r="J37" s="17"/>
      <c r="K37" s="17"/>
    </row>
    <row r="38" spans="2:11" x14ac:dyDescent="0.35">
      <c r="B38" s="2"/>
      <c r="C38" s="104" t="s">
        <v>44</v>
      </c>
      <c r="D38" s="104"/>
      <c r="E38" s="104"/>
      <c r="F38" s="104"/>
      <c r="G38" s="2"/>
      <c r="H38" s="104" t="s">
        <v>45</v>
      </c>
      <c r="I38" s="104"/>
      <c r="J38" s="104"/>
      <c r="K38" s="104"/>
    </row>
    <row r="39" spans="2:11" x14ac:dyDescent="0.35">
      <c r="B39" s="28" t="s">
        <v>6</v>
      </c>
      <c r="C39" s="28" t="s">
        <v>46</v>
      </c>
      <c r="D39" s="28" t="s">
        <v>47</v>
      </c>
      <c r="E39" s="28" t="s">
        <v>48</v>
      </c>
      <c r="F39" s="28" t="s">
        <v>49</v>
      </c>
      <c r="G39" s="28"/>
      <c r="H39" s="28" t="s">
        <v>46</v>
      </c>
      <c r="I39" s="28" t="s">
        <v>47</v>
      </c>
      <c r="J39" s="28" t="s">
        <v>48</v>
      </c>
      <c r="K39" s="46" t="s">
        <v>49</v>
      </c>
    </row>
    <row r="40" spans="2:11" x14ac:dyDescent="0.35">
      <c r="B40" s="7">
        <v>1</v>
      </c>
      <c r="C40" s="48">
        <f>4000*(1+inf_4)^(B40-1)</f>
        <v>4000</v>
      </c>
      <c r="D40" s="48">
        <v>0</v>
      </c>
      <c r="E40" s="48"/>
      <c r="F40" s="48">
        <f t="shared" ref="F40:F48" si="13">SUM(D40:E40)</f>
        <v>0</v>
      </c>
      <c r="G40" s="7"/>
      <c r="H40" s="48">
        <f t="shared" ref="H40:J48" si="14">C40/(1+$D$3)^$B40</f>
        <v>3883.4951456310678</v>
      </c>
      <c r="I40" s="48">
        <f t="shared" si="14"/>
        <v>0</v>
      </c>
      <c r="J40" s="48"/>
      <c r="K40" s="48">
        <f t="shared" ref="K40:K48" si="15">SUM(I40:J40)</f>
        <v>0</v>
      </c>
    </row>
    <row r="41" spans="2:11" x14ac:dyDescent="0.35">
      <c r="B41" s="32">
        <v>2</v>
      </c>
      <c r="C41" s="49">
        <f>C40+4000*(1+inf_4)^(B41-1)</f>
        <v>8120</v>
      </c>
      <c r="D41" s="49">
        <v>0</v>
      </c>
      <c r="E41" s="49"/>
      <c r="F41" s="49">
        <f t="shared" si="13"/>
        <v>0</v>
      </c>
      <c r="G41" s="32"/>
      <c r="H41" s="49">
        <f t="shared" si="14"/>
        <v>7653.8787821660853</v>
      </c>
      <c r="I41" s="49">
        <f t="shared" si="14"/>
        <v>0</v>
      </c>
      <c r="J41" s="49"/>
      <c r="K41" s="49">
        <f t="shared" si="15"/>
        <v>0</v>
      </c>
    </row>
    <row r="42" spans="2:11" x14ac:dyDescent="0.35">
      <c r="B42" s="32">
        <v>3</v>
      </c>
      <c r="C42" s="49">
        <f>C41+4000*(1+inf_4)^(B42-1)</f>
        <v>12363.599999999999</v>
      </c>
      <c r="D42" s="49">
        <v>0</v>
      </c>
      <c r="E42" s="49"/>
      <c r="F42" s="49">
        <f t="shared" si="13"/>
        <v>0</v>
      </c>
      <c r="G42" s="32"/>
      <c r="H42" s="49">
        <f t="shared" si="14"/>
        <v>11314.445419578722</v>
      </c>
      <c r="I42" s="49">
        <f t="shared" si="14"/>
        <v>0</v>
      </c>
      <c r="J42" s="49"/>
      <c r="K42" s="49">
        <f t="shared" si="15"/>
        <v>0</v>
      </c>
    </row>
    <row r="43" spans="2:11" x14ac:dyDescent="0.35">
      <c r="B43" s="32">
        <v>4</v>
      </c>
      <c r="C43" s="49">
        <f>C42-E43</f>
        <v>10302.999999999998</v>
      </c>
      <c r="D43" s="49">
        <f>nint_4*C42</f>
        <v>989.08799999999985</v>
      </c>
      <c r="E43" s="49">
        <f>$C$42/6</f>
        <v>2060.6</v>
      </c>
      <c r="F43" s="49">
        <f t="shared" si="13"/>
        <v>3049.6879999999996</v>
      </c>
      <c r="G43" s="32"/>
      <c r="H43" s="49">
        <f t="shared" si="14"/>
        <v>9154.0820546753421</v>
      </c>
      <c r="I43" s="49">
        <f t="shared" si="14"/>
        <v>878.79187724883286</v>
      </c>
      <c r="J43" s="49">
        <f t="shared" si="14"/>
        <v>1830.8164109350687</v>
      </c>
      <c r="K43" s="49">
        <f t="shared" si="15"/>
        <v>2709.6082881839015</v>
      </c>
    </row>
    <row r="44" spans="2:11" x14ac:dyDescent="0.35">
      <c r="B44" s="32">
        <v>5</v>
      </c>
      <c r="C44" s="49">
        <f t="shared" ref="C44:C48" si="16">C43-E44</f>
        <v>8242.3999999999978</v>
      </c>
      <c r="D44" s="49">
        <f>nint_4*C43</f>
        <v>824.2399999999999</v>
      </c>
      <c r="E44" s="49">
        <f t="shared" ref="E44:E48" si="17">$C$42/6</f>
        <v>2060.6</v>
      </c>
      <c r="F44" s="49">
        <f t="shared" si="13"/>
        <v>2884.8399999999997</v>
      </c>
      <c r="G44" s="32"/>
      <c r="H44" s="49">
        <f t="shared" si="14"/>
        <v>7109.9666444080322</v>
      </c>
      <c r="I44" s="49">
        <f t="shared" si="14"/>
        <v>710.99666444080333</v>
      </c>
      <c r="J44" s="49">
        <f t="shared" si="14"/>
        <v>1777.4916611020085</v>
      </c>
      <c r="K44" s="49">
        <f t="shared" si="15"/>
        <v>2488.4883255428117</v>
      </c>
    </row>
    <row r="45" spans="2:11" x14ac:dyDescent="0.35">
      <c r="B45" s="32">
        <v>6</v>
      </c>
      <c r="C45" s="49">
        <f t="shared" si="16"/>
        <v>6181.7999999999975</v>
      </c>
      <c r="D45" s="49">
        <f t="shared" ref="D45:D48" si="18">nint_4*C44</f>
        <v>659.39199999999983</v>
      </c>
      <c r="E45" s="49">
        <f t="shared" si="17"/>
        <v>2060.6</v>
      </c>
      <c r="F45" s="49">
        <f t="shared" si="13"/>
        <v>2719.9919999999997</v>
      </c>
      <c r="G45" s="32"/>
      <c r="H45" s="49">
        <f t="shared" si="14"/>
        <v>5177.1601779670127</v>
      </c>
      <c r="I45" s="49">
        <f t="shared" si="14"/>
        <v>552.23041898314807</v>
      </c>
      <c r="J45" s="49">
        <f t="shared" si="14"/>
        <v>1725.7200593223381</v>
      </c>
      <c r="K45" s="49">
        <f t="shared" si="15"/>
        <v>2277.9504783054863</v>
      </c>
    </row>
    <row r="46" spans="2:11" x14ac:dyDescent="0.35">
      <c r="B46" s="32">
        <v>7</v>
      </c>
      <c r="C46" s="49">
        <f t="shared" si="16"/>
        <v>4121.1999999999971</v>
      </c>
      <c r="D46" s="49">
        <f t="shared" si="18"/>
        <v>494.54399999999981</v>
      </c>
      <c r="E46" s="49">
        <f t="shared" si="17"/>
        <v>2060.6</v>
      </c>
      <c r="F46" s="49">
        <f t="shared" si="13"/>
        <v>2555.1439999999998</v>
      </c>
      <c r="G46" s="32"/>
      <c r="H46" s="49">
        <f t="shared" si="14"/>
        <v>3350.9127365482273</v>
      </c>
      <c r="I46" s="49">
        <f t="shared" si="14"/>
        <v>402.10952838578737</v>
      </c>
      <c r="J46" s="49">
        <f t="shared" si="14"/>
        <v>1675.4563682741148</v>
      </c>
      <c r="K46" s="49">
        <f t="shared" si="15"/>
        <v>2077.5658966599021</v>
      </c>
    </row>
    <row r="47" spans="2:11" x14ac:dyDescent="0.35">
      <c r="B47" s="32">
        <v>8</v>
      </c>
      <c r="C47" s="49">
        <f t="shared" si="16"/>
        <v>2060.5999999999972</v>
      </c>
      <c r="D47" s="49">
        <f t="shared" si="18"/>
        <v>329.6959999999998</v>
      </c>
      <c r="E47" s="49">
        <f t="shared" si="17"/>
        <v>2060.6</v>
      </c>
      <c r="F47" s="49">
        <f t="shared" si="13"/>
        <v>2390.2959999999998</v>
      </c>
      <c r="G47" s="32"/>
      <c r="H47" s="49">
        <f t="shared" si="14"/>
        <v>1626.6566682272939</v>
      </c>
      <c r="I47" s="49">
        <f t="shared" si="14"/>
        <v>260.26506691636723</v>
      </c>
      <c r="J47" s="49">
        <f t="shared" si="14"/>
        <v>1626.656668227296</v>
      </c>
      <c r="K47" s="49">
        <f t="shared" si="15"/>
        <v>1886.9217351436632</v>
      </c>
    </row>
    <row r="48" spans="2:11" x14ac:dyDescent="0.35">
      <c r="B48" s="28">
        <v>9</v>
      </c>
      <c r="C48" s="46">
        <f t="shared" si="16"/>
        <v>0</v>
      </c>
      <c r="D48" s="50">
        <f t="shared" si="18"/>
        <v>164.84799999999979</v>
      </c>
      <c r="E48" s="50">
        <f t="shared" si="17"/>
        <v>2060.6</v>
      </c>
      <c r="F48" s="46">
        <f t="shared" si="13"/>
        <v>2225.4479999999999</v>
      </c>
      <c r="G48" s="28"/>
      <c r="H48" s="46">
        <f t="shared" si="14"/>
        <v>0</v>
      </c>
      <c r="I48" s="46">
        <f t="shared" si="14"/>
        <v>126.34226549338204</v>
      </c>
      <c r="J48" s="46">
        <f t="shared" si="14"/>
        <v>1579.2783186672775</v>
      </c>
      <c r="K48" s="46">
        <f t="shared" si="15"/>
        <v>1705.6205841606595</v>
      </c>
    </row>
    <row r="49" spans="2:11" x14ac:dyDescent="0.35">
      <c r="B49" s="15" t="s">
        <v>10</v>
      </c>
      <c r="C49" s="47"/>
      <c r="D49" s="47"/>
      <c r="E49" s="47"/>
      <c r="F49" s="47">
        <f>NPV(nint_4,F40:F48)</f>
        <v>9814.6242950769665</v>
      </c>
      <c r="G49" s="43"/>
      <c r="H49" s="43"/>
      <c r="I49" s="43"/>
      <c r="J49" s="47"/>
      <c r="K49" s="47">
        <f>NPV(D5,K40:K48)</f>
        <v>9814.6242950769738</v>
      </c>
    </row>
  </sheetData>
  <mergeCells count="6">
    <mergeCell ref="C8:F8"/>
    <mergeCell ref="H8:K8"/>
    <mergeCell ref="C23:F23"/>
    <mergeCell ref="H23:K23"/>
    <mergeCell ref="C38:F38"/>
    <mergeCell ref="H38:K3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W53"/>
  <sheetViews>
    <sheetView showGridLines="0" workbookViewId="0">
      <selection activeCell="M6" sqref="M6"/>
    </sheetView>
  </sheetViews>
  <sheetFormatPr defaultColWidth="9.1796875" defaultRowHeight="14.5" x14ac:dyDescent="0.35"/>
  <cols>
    <col min="1" max="6" width="9.1796875" style="53"/>
    <col min="7" max="7" width="1.453125" style="53" customWidth="1"/>
    <col min="8" max="10" width="9.1796875" style="53"/>
    <col min="11" max="11" width="9.1796875" style="53" customWidth="1"/>
    <col min="12" max="12" width="1.453125" style="53" customWidth="1"/>
    <col min="13" max="13" width="9.1796875" style="53" customWidth="1"/>
    <col min="14" max="14" width="11.81640625" style="53" customWidth="1"/>
    <col min="15" max="15" width="11.81640625" style="53" bestFit="1" customWidth="1"/>
    <col min="16" max="16" width="10.81640625" style="53" bestFit="1" customWidth="1"/>
    <col min="17" max="17" width="1.453125" style="53" customWidth="1"/>
    <col min="18" max="21" width="10.81640625" style="53" customWidth="1"/>
    <col min="22" max="22" width="1.453125" style="53" customWidth="1"/>
    <col min="23" max="16384" width="9.1796875" style="53"/>
  </cols>
  <sheetData>
    <row r="2" spans="2:21" x14ac:dyDescent="0.35">
      <c r="B2" s="75" t="s">
        <v>0</v>
      </c>
      <c r="C2" s="58"/>
      <c r="D2" s="58"/>
      <c r="E2" s="58"/>
      <c r="F2" s="58"/>
      <c r="G2" s="58"/>
      <c r="H2" s="74"/>
    </row>
    <row r="3" spans="2:21" x14ac:dyDescent="0.35">
      <c r="B3" s="65" t="s">
        <v>76</v>
      </c>
      <c r="E3" s="66">
        <v>20</v>
      </c>
      <c r="F3" s="73" t="s">
        <v>73</v>
      </c>
      <c r="H3" s="63"/>
    </row>
    <row r="4" spans="2:21" x14ac:dyDescent="0.35">
      <c r="B4" s="65" t="s">
        <v>75</v>
      </c>
      <c r="E4" s="66">
        <v>27</v>
      </c>
      <c r="F4" s="73" t="s">
        <v>73</v>
      </c>
      <c r="H4" s="63"/>
      <c r="M4" s="57" t="s">
        <v>55</v>
      </c>
      <c r="N4" s="57" t="s">
        <v>54</v>
      </c>
      <c r="O4" s="57" t="s">
        <v>53</v>
      </c>
      <c r="P4" s="57" t="s">
        <v>52</v>
      </c>
      <c r="R4" s="55"/>
      <c r="S4" s="55"/>
      <c r="T4" s="55"/>
      <c r="U4" s="55"/>
    </row>
    <row r="5" spans="2:21" x14ac:dyDescent="0.35">
      <c r="B5" s="65" t="s">
        <v>74</v>
      </c>
      <c r="E5" s="66">
        <v>4</v>
      </c>
      <c r="F5" s="73" t="s">
        <v>73</v>
      </c>
      <c r="H5" s="63"/>
      <c r="L5" s="70" t="s">
        <v>72</v>
      </c>
      <c r="M5" s="72">
        <f>NPV(disc5,M22:M53)</f>
        <v>200718.15777203502</v>
      </c>
      <c r="N5" s="72">
        <f>NPV(disc5,N22:N53)</f>
        <v>101857.13731663348</v>
      </c>
      <c r="O5" s="72">
        <f>NPV(disc5,O22:O53)</f>
        <v>295785.63667925482</v>
      </c>
      <c r="P5" s="72">
        <f>NPV(disc5,P22:P53)</f>
        <v>57021.010914062557</v>
      </c>
      <c r="R5" s="71"/>
      <c r="S5" s="71"/>
      <c r="T5" s="71"/>
      <c r="U5" s="71"/>
    </row>
    <row r="6" spans="2:21" x14ac:dyDescent="0.35">
      <c r="B6" s="65" t="s">
        <v>71</v>
      </c>
      <c r="E6" s="53">
        <v>500</v>
      </c>
      <c r="H6" s="63"/>
      <c r="L6" s="103" t="s">
        <v>95</v>
      </c>
      <c r="M6" s="69">
        <f>M5/NPV(disc5,R22:R53)</f>
        <v>71.225553621938985</v>
      </c>
      <c r="N6" s="69">
        <f>N5/NPV(disc5,S22:S53)</f>
        <v>67.889496964654882</v>
      </c>
      <c r="O6" s="69">
        <f>O5/NPV(disc5,T22:T53)</f>
        <v>79.376444162092824</v>
      </c>
      <c r="P6" s="69">
        <f>P5/NPV(disc5,U22:U53)</f>
        <v>69.100843314012536</v>
      </c>
      <c r="R6" s="71"/>
      <c r="S6" s="71"/>
      <c r="T6" s="71"/>
      <c r="U6" s="71"/>
    </row>
    <row r="7" spans="2:21" x14ac:dyDescent="0.35">
      <c r="B7" s="65" t="s">
        <v>70</v>
      </c>
      <c r="E7" s="53">
        <v>200</v>
      </c>
      <c r="H7" s="63"/>
      <c r="L7" s="70"/>
      <c r="R7" s="68"/>
      <c r="S7" s="68"/>
      <c r="T7" s="68"/>
      <c r="U7" s="68"/>
    </row>
    <row r="8" spans="2:21" x14ac:dyDescent="0.35">
      <c r="B8" s="65" t="s">
        <v>69</v>
      </c>
      <c r="E8" s="53">
        <v>800</v>
      </c>
      <c r="H8" s="63"/>
      <c r="N8" s="67"/>
    </row>
    <row r="9" spans="2:21" x14ac:dyDescent="0.35">
      <c r="B9" s="65" t="s">
        <v>68</v>
      </c>
      <c r="E9" s="53">
        <v>100</v>
      </c>
      <c r="H9" s="63"/>
    </row>
    <row r="10" spans="2:21" x14ac:dyDescent="0.35">
      <c r="B10" s="65" t="s">
        <v>67</v>
      </c>
      <c r="E10" s="66">
        <v>5000</v>
      </c>
      <c r="H10" s="63"/>
    </row>
    <row r="11" spans="2:21" x14ac:dyDescent="0.35">
      <c r="B11" s="65" t="s">
        <v>66</v>
      </c>
      <c r="E11" s="66">
        <v>3000</v>
      </c>
      <c r="H11" s="63"/>
    </row>
    <row r="12" spans="2:21" x14ac:dyDescent="0.35">
      <c r="B12" s="65" t="s">
        <v>65</v>
      </c>
      <c r="E12" s="66">
        <v>4000</v>
      </c>
      <c r="H12" s="63"/>
    </row>
    <row r="13" spans="2:21" x14ac:dyDescent="0.35">
      <c r="B13" s="65" t="s">
        <v>64</v>
      </c>
      <c r="E13" s="66">
        <v>300</v>
      </c>
      <c r="H13" s="63"/>
    </row>
    <row r="14" spans="2:21" x14ac:dyDescent="0.35">
      <c r="B14" s="65" t="s">
        <v>63</v>
      </c>
      <c r="E14" s="66">
        <v>110</v>
      </c>
      <c r="H14" s="63"/>
    </row>
    <row r="15" spans="2:21" x14ac:dyDescent="0.35">
      <c r="B15" s="65" t="s">
        <v>62</v>
      </c>
      <c r="E15" s="64">
        <v>0.1</v>
      </c>
      <c r="H15" s="63"/>
    </row>
    <row r="16" spans="2:21" x14ac:dyDescent="0.35">
      <c r="B16" s="65" t="s">
        <v>61</v>
      </c>
      <c r="E16" s="64">
        <v>0</v>
      </c>
      <c r="H16" s="63"/>
    </row>
    <row r="17" spans="2:23" x14ac:dyDescent="0.35">
      <c r="B17" s="62" t="s">
        <v>60</v>
      </c>
      <c r="C17" s="56"/>
      <c r="D17" s="56"/>
      <c r="E17" s="61">
        <v>0</v>
      </c>
      <c r="F17" s="56"/>
      <c r="G17" s="56"/>
      <c r="H17" s="60"/>
    </row>
    <row r="18" spans="2:23" x14ac:dyDescent="0.35">
      <c r="E18" s="59"/>
    </row>
    <row r="20" spans="2:23" x14ac:dyDescent="0.35">
      <c r="B20" s="58"/>
      <c r="C20" s="106" t="s">
        <v>59</v>
      </c>
      <c r="D20" s="106"/>
      <c r="E20" s="106"/>
      <c r="F20" s="106"/>
      <c r="G20" s="58"/>
      <c r="H20" s="106" t="s">
        <v>58</v>
      </c>
      <c r="I20" s="106"/>
      <c r="J20" s="106"/>
      <c r="K20" s="106"/>
      <c r="L20" s="58"/>
      <c r="M20" s="106" t="s">
        <v>57</v>
      </c>
      <c r="N20" s="106"/>
      <c r="O20" s="106"/>
      <c r="P20" s="106"/>
      <c r="Q20" s="55"/>
      <c r="R20" s="106" t="s">
        <v>56</v>
      </c>
      <c r="S20" s="106"/>
      <c r="T20" s="106"/>
      <c r="U20" s="106"/>
    </row>
    <row r="21" spans="2:23" x14ac:dyDescent="0.35">
      <c r="B21" s="57" t="s">
        <v>6</v>
      </c>
      <c r="C21" s="56" t="s">
        <v>55</v>
      </c>
      <c r="D21" s="56" t="s">
        <v>54</v>
      </c>
      <c r="E21" s="56" t="s">
        <v>53</v>
      </c>
      <c r="F21" s="56" t="s">
        <v>52</v>
      </c>
      <c r="G21" s="56"/>
      <c r="H21" s="56" t="s">
        <v>55</v>
      </c>
      <c r="I21" s="56" t="s">
        <v>54</v>
      </c>
      <c r="J21" s="56" t="s">
        <v>53</v>
      </c>
      <c r="K21" s="56" t="s">
        <v>52</v>
      </c>
      <c r="L21" s="56"/>
      <c r="M21" s="56" t="s">
        <v>55</v>
      </c>
      <c r="N21" s="56" t="s">
        <v>54</v>
      </c>
      <c r="O21" s="56" t="s">
        <v>53</v>
      </c>
      <c r="P21" s="56" t="s">
        <v>52</v>
      </c>
      <c r="R21" s="56" t="s">
        <v>55</v>
      </c>
      <c r="S21" s="56" t="s">
        <v>54</v>
      </c>
      <c r="T21" s="56" t="s">
        <v>53</v>
      </c>
      <c r="U21" s="56" t="s">
        <v>52</v>
      </c>
    </row>
    <row r="22" spans="2:23" x14ac:dyDescent="0.35">
      <c r="B22" s="55">
        <v>1</v>
      </c>
      <c r="C22" s="54">
        <v>30000</v>
      </c>
      <c r="D22" s="54">
        <v>20000</v>
      </c>
      <c r="E22" s="54">
        <v>40000</v>
      </c>
      <c r="F22" s="54">
        <v>60000</v>
      </c>
      <c r="G22" s="54"/>
      <c r="H22" s="54">
        <f t="shared" ref="H22:H51" si="0">IF(C22&gt;0,0,c_op+c_fuel*c_cap*(1+c_tax))</f>
        <v>0</v>
      </c>
      <c r="I22" s="54">
        <f t="shared" ref="I22:I48" si="1">IF(D22&gt;0,0,g_op+g_cap*g_fuel*(1+g_tax))</f>
        <v>0</v>
      </c>
      <c r="J22" s="54">
        <f t="shared" ref="J22:J53" si="2">IF(E22&gt;0,0,n_op+n_cap*n_fuel)</f>
        <v>0</v>
      </c>
      <c r="K22" s="54">
        <f t="shared" ref="K22:K47" si="3">IF(F22&gt;0,0,w_op)</f>
        <v>0</v>
      </c>
      <c r="L22" s="54"/>
      <c r="M22" s="54">
        <f t="shared" ref="M22:M47" si="4">SUM(H22,C22)</f>
        <v>30000</v>
      </c>
      <c r="N22" s="54">
        <f t="shared" ref="N22:N47" si="5">SUM(I22,D22)</f>
        <v>20000</v>
      </c>
      <c r="O22" s="54">
        <f t="shared" ref="O22:O47" si="6">SUM(J22,E22)</f>
        <v>40000</v>
      </c>
      <c r="P22" s="54">
        <f t="shared" ref="P22:P47" si="7">SUM(K22,F22)</f>
        <v>60000</v>
      </c>
      <c r="Q22" s="54"/>
      <c r="R22" s="53">
        <v>0</v>
      </c>
      <c r="S22" s="53">
        <v>0</v>
      </c>
      <c r="T22" s="53">
        <v>0</v>
      </c>
      <c r="U22" s="53">
        <v>0</v>
      </c>
      <c r="V22" s="54"/>
      <c r="W22" s="54"/>
    </row>
    <row r="23" spans="2:23" x14ac:dyDescent="0.35">
      <c r="B23" s="55">
        <v>2</v>
      </c>
      <c r="C23" s="54">
        <v>30000</v>
      </c>
      <c r="D23" s="54">
        <v>25000</v>
      </c>
      <c r="E23" s="54">
        <v>40000</v>
      </c>
      <c r="F23" s="54">
        <v>0</v>
      </c>
      <c r="G23" s="54"/>
      <c r="H23" s="54">
        <f t="shared" si="0"/>
        <v>0</v>
      </c>
      <c r="I23" s="54">
        <f t="shared" si="1"/>
        <v>0</v>
      </c>
      <c r="J23" s="54">
        <f t="shared" si="2"/>
        <v>0</v>
      </c>
      <c r="K23" s="54">
        <f t="shared" si="3"/>
        <v>300</v>
      </c>
      <c r="L23" s="54"/>
      <c r="M23" s="54">
        <f t="shared" si="4"/>
        <v>30000</v>
      </c>
      <c r="N23" s="54">
        <f t="shared" si="5"/>
        <v>25000</v>
      </c>
      <c r="O23" s="54">
        <f t="shared" si="6"/>
        <v>40000</v>
      </c>
      <c r="P23" s="54">
        <f t="shared" si="7"/>
        <v>300</v>
      </c>
      <c r="Q23" s="54"/>
      <c r="R23" s="53">
        <v>0</v>
      </c>
      <c r="S23" s="53">
        <v>0</v>
      </c>
      <c r="T23" s="53">
        <v>0</v>
      </c>
      <c r="U23" s="53">
        <f t="shared" ref="U23:U47" si="8">w_cap</f>
        <v>100</v>
      </c>
      <c r="V23" s="54"/>
      <c r="W23" s="54"/>
    </row>
    <row r="24" spans="2:23" x14ac:dyDescent="0.35">
      <c r="B24" s="55">
        <v>3</v>
      </c>
      <c r="C24" s="54">
        <v>25000</v>
      </c>
      <c r="D24" s="54">
        <v>0</v>
      </c>
      <c r="E24" s="54">
        <v>50000</v>
      </c>
      <c r="F24" s="54">
        <v>0</v>
      </c>
      <c r="G24" s="54"/>
      <c r="H24" s="54">
        <f t="shared" si="0"/>
        <v>0</v>
      </c>
      <c r="I24" s="54">
        <f t="shared" si="1"/>
        <v>8400</v>
      </c>
      <c r="J24" s="54">
        <f t="shared" si="2"/>
        <v>0</v>
      </c>
      <c r="K24" s="54">
        <f t="shared" si="3"/>
        <v>300</v>
      </c>
      <c r="L24" s="54"/>
      <c r="M24" s="54">
        <f t="shared" si="4"/>
        <v>25000</v>
      </c>
      <c r="N24" s="54">
        <f t="shared" si="5"/>
        <v>8400</v>
      </c>
      <c r="O24" s="54">
        <f t="shared" si="6"/>
        <v>50000</v>
      </c>
      <c r="P24" s="54">
        <f t="shared" si="7"/>
        <v>300</v>
      </c>
      <c r="Q24" s="54"/>
      <c r="R24" s="53">
        <v>0</v>
      </c>
      <c r="S24" s="53">
        <f t="shared" ref="S24:S48" si="9">g_cap</f>
        <v>200</v>
      </c>
      <c r="T24" s="53">
        <v>0</v>
      </c>
      <c r="U24" s="53">
        <f t="shared" si="8"/>
        <v>100</v>
      </c>
      <c r="V24" s="54"/>
      <c r="W24" s="54"/>
    </row>
    <row r="25" spans="2:23" x14ac:dyDescent="0.35">
      <c r="B25" s="55">
        <v>4</v>
      </c>
      <c r="C25" s="54">
        <v>30000</v>
      </c>
      <c r="D25" s="54">
        <v>0</v>
      </c>
      <c r="E25" s="54">
        <v>60000</v>
      </c>
      <c r="F25" s="54">
        <v>0</v>
      </c>
      <c r="G25" s="54"/>
      <c r="H25" s="54">
        <f t="shared" si="0"/>
        <v>0</v>
      </c>
      <c r="I25" s="54">
        <f t="shared" si="1"/>
        <v>8400</v>
      </c>
      <c r="J25" s="54">
        <f t="shared" si="2"/>
        <v>0</v>
      </c>
      <c r="K25" s="54">
        <f t="shared" si="3"/>
        <v>300</v>
      </c>
      <c r="L25" s="54"/>
      <c r="M25" s="54">
        <f t="shared" si="4"/>
        <v>30000</v>
      </c>
      <c r="N25" s="54">
        <f t="shared" si="5"/>
        <v>8400</v>
      </c>
      <c r="O25" s="54">
        <f t="shared" si="6"/>
        <v>60000</v>
      </c>
      <c r="P25" s="54">
        <f t="shared" si="7"/>
        <v>300</v>
      </c>
      <c r="Q25" s="54"/>
      <c r="R25" s="53">
        <v>0</v>
      </c>
      <c r="S25" s="53">
        <f t="shared" si="9"/>
        <v>200</v>
      </c>
      <c r="T25" s="53">
        <v>0</v>
      </c>
      <c r="U25" s="53">
        <f t="shared" si="8"/>
        <v>100</v>
      </c>
      <c r="V25" s="54"/>
      <c r="W25" s="54"/>
    </row>
    <row r="26" spans="2:23" x14ac:dyDescent="0.35">
      <c r="B26" s="55">
        <v>5</v>
      </c>
      <c r="C26" s="54">
        <v>40000</v>
      </c>
      <c r="D26" s="54">
        <v>0</v>
      </c>
      <c r="E26" s="54">
        <v>70000</v>
      </c>
      <c r="F26" s="54">
        <v>0</v>
      </c>
      <c r="G26" s="54"/>
      <c r="H26" s="54">
        <f t="shared" si="0"/>
        <v>0</v>
      </c>
      <c r="I26" s="54">
        <f t="shared" si="1"/>
        <v>8400</v>
      </c>
      <c r="J26" s="54">
        <f t="shared" si="2"/>
        <v>0</v>
      </c>
      <c r="K26" s="54">
        <f t="shared" si="3"/>
        <v>300</v>
      </c>
      <c r="L26" s="54"/>
      <c r="M26" s="54">
        <f t="shared" si="4"/>
        <v>40000</v>
      </c>
      <c r="N26" s="54">
        <f t="shared" si="5"/>
        <v>8400</v>
      </c>
      <c r="O26" s="54">
        <f t="shared" si="6"/>
        <v>70000</v>
      </c>
      <c r="P26" s="54">
        <f t="shared" si="7"/>
        <v>300</v>
      </c>
      <c r="Q26" s="54"/>
      <c r="R26" s="53">
        <v>0</v>
      </c>
      <c r="S26" s="53">
        <f t="shared" si="9"/>
        <v>200</v>
      </c>
      <c r="T26" s="53">
        <v>0</v>
      </c>
      <c r="U26" s="53">
        <f t="shared" si="8"/>
        <v>100</v>
      </c>
      <c r="V26" s="54"/>
      <c r="W26" s="54"/>
    </row>
    <row r="27" spans="2:23" x14ac:dyDescent="0.35">
      <c r="B27" s="55">
        <v>6</v>
      </c>
      <c r="C27" s="54">
        <v>0</v>
      </c>
      <c r="D27" s="54">
        <v>0</v>
      </c>
      <c r="E27" s="54">
        <v>80000</v>
      </c>
      <c r="F27" s="54">
        <v>0</v>
      </c>
      <c r="G27" s="54"/>
      <c r="H27" s="54">
        <f>IF(C27&gt;0,0,c_op+c_fuel*c_cap*(1+c_tax))</f>
        <v>15000</v>
      </c>
      <c r="I27" s="54">
        <f t="shared" si="1"/>
        <v>8400</v>
      </c>
      <c r="J27" s="54">
        <f t="shared" si="2"/>
        <v>0</v>
      </c>
      <c r="K27" s="54">
        <f t="shared" si="3"/>
        <v>300</v>
      </c>
      <c r="L27" s="54"/>
      <c r="M27" s="54">
        <f t="shared" si="4"/>
        <v>15000</v>
      </c>
      <c r="N27" s="54">
        <f t="shared" si="5"/>
        <v>8400</v>
      </c>
      <c r="O27" s="54">
        <f t="shared" si="6"/>
        <v>80000</v>
      </c>
      <c r="P27" s="54">
        <f t="shared" si="7"/>
        <v>300</v>
      </c>
      <c r="Q27" s="54"/>
      <c r="R27" s="53">
        <f t="shared" ref="R27:R51" si="10">c_cap</f>
        <v>500</v>
      </c>
      <c r="S27" s="53">
        <f t="shared" si="9"/>
        <v>200</v>
      </c>
      <c r="T27" s="53">
        <v>0</v>
      </c>
      <c r="U27" s="53">
        <f t="shared" si="8"/>
        <v>100</v>
      </c>
      <c r="V27" s="54"/>
      <c r="W27" s="54"/>
    </row>
    <row r="28" spans="2:23" x14ac:dyDescent="0.35">
      <c r="B28" s="55">
        <v>7</v>
      </c>
      <c r="C28" s="54">
        <v>0</v>
      </c>
      <c r="D28" s="54">
        <v>0</v>
      </c>
      <c r="E28" s="54">
        <v>50000</v>
      </c>
      <c r="F28" s="54">
        <v>0</v>
      </c>
      <c r="G28" s="54"/>
      <c r="H28" s="54">
        <f t="shared" si="0"/>
        <v>15000</v>
      </c>
      <c r="I28" s="54">
        <f t="shared" si="1"/>
        <v>8400</v>
      </c>
      <c r="J28" s="54">
        <f t="shared" si="2"/>
        <v>0</v>
      </c>
      <c r="K28" s="54">
        <f t="shared" si="3"/>
        <v>300</v>
      </c>
      <c r="L28" s="54"/>
      <c r="M28" s="54">
        <f t="shared" si="4"/>
        <v>15000</v>
      </c>
      <c r="N28" s="54">
        <f t="shared" si="5"/>
        <v>8400</v>
      </c>
      <c r="O28" s="54">
        <f t="shared" si="6"/>
        <v>50000</v>
      </c>
      <c r="P28" s="54">
        <f t="shared" si="7"/>
        <v>300</v>
      </c>
      <c r="Q28" s="54"/>
      <c r="R28" s="53">
        <f t="shared" si="10"/>
        <v>500</v>
      </c>
      <c r="S28" s="53">
        <f t="shared" si="9"/>
        <v>200</v>
      </c>
      <c r="T28" s="53">
        <v>0</v>
      </c>
      <c r="U28" s="53">
        <f t="shared" si="8"/>
        <v>100</v>
      </c>
      <c r="V28" s="54"/>
      <c r="W28" s="54"/>
    </row>
    <row r="29" spans="2:23" x14ac:dyDescent="0.35">
      <c r="B29" s="55">
        <v>8</v>
      </c>
      <c r="C29" s="54">
        <v>0</v>
      </c>
      <c r="D29" s="54">
        <v>0</v>
      </c>
      <c r="E29" s="54">
        <v>0</v>
      </c>
      <c r="F29" s="54">
        <v>0</v>
      </c>
      <c r="G29" s="54"/>
      <c r="H29" s="54">
        <f t="shared" si="0"/>
        <v>15000</v>
      </c>
      <c r="I29" s="54">
        <f t="shared" si="1"/>
        <v>8400</v>
      </c>
      <c r="J29" s="54">
        <f t="shared" si="2"/>
        <v>7200</v>
      </c>
      <c r="K29" s="54">
        <f t="shared" si="3"/>
        <v>300</v>
      </c>
      <c r="L29" s="54"/>
      <c r="M29" s="54">
        <f t="shared" si="4"/>
        <v>15000</v>
      </c>
      <c r="N29" s="54">
        <f t="shared" si="5"/>
        <v>8400</v>
      </c>
      <c r="O29" s="54">
        <f t="shared" si="6"/>
        <v>7200</v>
      </c>
      <c r="P29" s="54">
        <f t="shared" si="7"/>
        <v>300</v>
      </c>
      <c r="Q29" s="54"/>
      <c r="R29" s="53">
        <f t="shared" si="10"/>
        <v>500</v>
      </c>
      <c r="S29" s="53">
        <f t="shared" si="9"/>
        <v>200</v>
      </c>
      <c r="T29" s="53">
        <f t="shared" ref="T29:T53" si="11">n_cap</f>
        <v>800</v>
      </c>
      <c r="U29" s="53">
        <f t="shared" si="8"/>
        <v>100</v>
      </c>
      <c r="V29" s="54"/>
      <c r="W29" s="54"/>
    </row>
    <row r="30" spans="2:23" x14ac:dyDescent="0.35">
      <c r="B30" s="55">
        <v>9</v>
      </c>
      <c r="C30" s="54">
        <v>0</v>
      </c>
      <c r="D30" s="54">
        <v>0</v>
      </c>
      <c r="E30" s="54">
        <v>0</v>
      </c>
      <c r="F30" s="54">
        <v>0</v>
      </c>
      <c r="G30" s="54"/>
      <c r="H30" s="54">
        <f t="shared" si="0"/>
        <v>15000</v>
      </c>
      <c r="I30" s="54">
        <f t="shared" si="1"/>
        <v>8400</v>
      </c>
      <c r="J30" s="54">
        <f t="shared" si="2"/>
        <v>7200</v>
      </c>
      <c r="K30" s="54">
        <f t="shared" si="3"/>
        <v>300</v>
      </c>
      <c r="L30" s="54"/>
      <c r="M30" s="54">
        <f t="shared" si="4"/>
        <v>15000</v>
      </c>
      <c r="N30" s="54">
        <f t="shared" si="5"/>
        <v>8400</v>
      </c>
      <c r="O30" s="54">
        <f t="shared" si="6"/>
        <v>7200</v>
      </c>
      <c r="P30" s="54">
        <f t="shared" si="7"/>
        <v>300</v>
      </c>
      <c r="Q30" s="54"/>
      <c r="R30" s="53">
        <f t="shared" si="10"/>
        <v>500</v>
      </c>
      <c r="S30" s="53">
        <f t="shared" si="9"/>
        <v>200</v>
      </c>
      <c r="T30" s="53">
        <f t="shared" si="11"/>
        <v>800</v>
      </c>
      <c r="U30" s="53">
        <f t="shared" si="8"/>
        <v>100</v>
      </c>
      <c r="V30" s="54"/>
      <c r="W30" s="54"/>
    </row>
    <row r="31" spans="2:23" x14ac:dyDescent="0.35">
      <c r="B31" s="55">
        <v>10</v>
      </c>
      <c r="C31" s="54">
        <v>0</v>
      </c>
      <c r="D31" s="54">
        <v>0</v>
      </c>
      <c r="E31" s="54">
        <v>0</v>
      </c>
      <c r="F31" s="54">
        <v>0</v>
      </c>
      <c r="G31" s="54"/>
      <c r="H31" s="54">
        <f t="shared" si="0"/>
        <v>15000</v>
      </c>
      <c r="I31" s="54">
        <f t="shared" si="1"/>
        <v>8400</v>
      </c>
      <c r="J31" s="54">
        <f t="shared" si="2"/>
        <v>7200</v>
      </c>
      <c r="K31" s="54">
        <f t="shared" si="3"/>
        <v>300</v>
      </c>
      <c r="L31" s="54"/>
      <c r="M31" s="54">
        <f t="shared" si="4"/>
        <v>15000</v>
      </c>
      <c r="N31" s="54">
        <f t="shared" si="5"/>
        <v>8400</v>
      </c>
      <c r="O31" s="54">
        <f t="shared" si="6"/>
        <v>7200</v>
      </c>
      <c r="P31" s="54">
        <f t="shared" si="7"/>
        <v>300</v>
      </c>
      <c r="Q31" s="54"/>
      <c r="R31" s="53">
        <f t="shared" si="10"/>
        <v>500</v>
      </c>
      <c r="S31" s="53">
        <f t="shared" si="9"/>
        <v>200</v>
      </c>
      <c r="T31" s="53">
        <f t="shared" si="11"/>
        <v>800</v>
      </c>
      <c r="U31" s="53">
        <f t="shared" si="8"/>
        <v>100</v>
      </c>
      <c r="V31" s="54"/>
      <c r="W31" s="54"/>
    </row>
    <row r="32" spans="2:23" x14ac:dyDescent="0.35">
      <c r="B32" s="55">
        <v>11</v>
      </c>
      <c r="C32" s="54">
        <v>0</v>
      </c>
      <c r="D32" s="54">
        <v>0</v>
      </c>
      <c r="E32" s="54">
        <v>0</v>
      </c>
      <c r="F32" s="54">
        <v>0</v>
      </c>
      <c r="G32" s="54"/>
      <c r="H32" s="54">
        <f t="shared" si="0"/>
        <v>15000</v>
      </c>
      <c r="I32" s="54">
        <f t="shared" si="1"/>
        <v>8400</v>
      </c>
      <c r="J32" s="54">
        <f t="shared" si="2"/>
        <v>7200</v>
      </c>
      <c r="K32" s="54">
        <f t="shared" si="3"/>
        <v>300</v>
      </c>
      <c r="L32" s="54"/>
      <c r="M32" s="54">
        <f t="shared" si="4"/>
        <v>15000</v>
      </c>
      <c r="N32" s="54">
        <f t="shared" si="5"/>
        <v>8400</v>
      </c>
      <c r="O32" s="54">
        <f t="shared" si="6"/>
        <v>7200</v>
      </c>
      <c r="P32" s="54">
        <f t="shared" si="7"/>
        <v>300</v>
      </c>
      <c r="Q32" s="54"/>
      <c r="R32" s="53">
        <f t="shared" si="10"/>
        <v>500</v>
      </c>
      <c r="S32" s="53">
        <f t="shared" si="9"/>
        <v>200</v>
      </c>
      <c r="T32" s="53">
        <f t="shared" si="11"/>
        <v>800</v>
      </c>
      <c r="U32" s="53">
        <f t="shared" si="8"/>
        <v>100</v>
      </c>
      <c r="V32" s="54"/>
      <c r="W32" s="54"/>
    </row>
    <row r="33" spans="2:23" x14ac:dyDescent="0.35">
      <c r="B33" s="55">
        <v>12</v>
      </c>
      <c r="C33" s="54">
        <v>0</v>
      </c>
      <c r="D33" s="54">
        <v>0</v>
      </c>
      <c r="E33" s="54">
        <v>0</v>
      </c>
      <c r="F33" s="54">
        <v>0</v>
      </c>
      <c r="G33" s="54"/>
      <c r="H33" s="54">
        <f t="shared" si="0"/>
        <v>15000</v>
      </c>
      <c r="I33" s="54">
        <f t="shared" si="1"/>
        <v>8400</v>
      </c>
      <c r="J33" s="54">
        <f t="shared" si="2"/>
        <v>7200</v>
      </c>
      <c r="K33" s="54">
        <f t="shared" si="3"/>
        <v>300</v>
      </c>
      <c r="L33" s="54"/>
      <c r="M33" s="54">
        <f t="shared" si="4"/>
        <v>15000</v>
      </c>
      <c r="N33" s="54">
        <f t="shared" si="5"/>
        <v>8400</v>
      </c>
      <c r="O33" s="54">
        <f t="shared" si="6"/>
        <v>7200</v>
      </c>
      <c r="P33" s="54">
        <f t="shared" si="7"/>
        <v>300</v>
      </c>
      <c r="Q33" s="54"/>
      <c r="R33" s="53">
        <f t="shared" si="10"/>
        <v>500</v>
      </c>
      <c r="S33" s="53">
        <f t="shared" si="9"/>
        <v>200</v>
      </c>
      <c r="T33" s="53">
        <f t="shared" si="11"/>
        <v>800</v>
      </c>
      <c r="U33" s="53">
        <f t="shared" si="8"/>
        <v>100</v>
      </c>
      <c r="V33" s="54"/>
      <c r="W33" s="54"/>
    </row>
    <row r="34" spans="2:23" x14ac:dyDescent="0.35">
      <c r="B34" s="55">
        <v>13</v>
      </c>
      <c r="C34" s="54">
        <v>0</v>
      </c>
      <c r="D34" s="54">
        <v>0</v>
      </c>
      <c r="E34" s="54">
        <v>0</v>
      </c>
      <c r="F34" s="54">
        <v>0</v>
      </c>
      <c r="G34" s="54"/>
      <c r="H34" s="54">
        <f t="shared" si="0"/>
        <v>15000</v>
      </c>
      <c r="I34" s="54">
        <f t="shared" si="1"/>
        <v>8400</v>
      </c>
      <c r="J34" s="54">
        <f t="shared" si="2"/>
        <v>7200</v>
      </c>
      <c r="K34" s="54">
        <f t="shared" si="3"/>
        <v>300</v>
      </c>
      <c r="L34" s="54"/>
      <c r="M34" s="54">
        <f t="shared" si="4"/>
        <v>15000</v>
      </c>
      <c r="N34" s="54">
        <f t="shared" si="5"/>
        <v>8400</v>
      </c>
      <c r="O34" s="54">
        <f t="shared" si="6"/>
        <v>7200</v>
      </c>
      <c r="P34" s="54">
        <f t="shared" si="7"/>
        <v>300</v>
      </c>
      <c r="Q34" s="54"/>
      <c r="R34" s="53">
        <f t="shared" si="10"/>
        <v>500</v>
      </c>
      <c r="S34" s="53">
        <f t="shared" si="9"/>
        <v>200</v>
      </c>
      <c r="T34" s="53">
        <f t="shared" si="11"/>
        <v>800</v>
      </c>
      <c r="U34" s="53">
        <f t="shared" si="8"/>
        <v>100</v>
      </c>
      <c r="V34" s="54"/>
      <c r="W34" s="54"/>
    </row>
    <row r="35" spans="2:23" x14ac:dyDescent="0.35">
      <c r="B35" s="55">
        <v>14</v>
      </c>
      <c r="C35" s="54">
        <v>0</v>
      </c>
      <c r="D35" s="54">
        <v>0</v>
      </c>
      <c r="E35" s="54">
        <v>0</v>
      </c>
      <c r="F35" s="54">
        <v>0</v>
      </c>
      <c r="G35" s="54"/>
      <c r="H35" s="54">
        <f t="shared" si="0"/>
        <v>15000</v>
      </c>
      <c r="I35" s="54">
        <f t="shared" si="1"/>
        <v>8400</v>
      </c>
      <c r="J35" s="54">
        <f t="shared" si="2"/>
        <v>7200</v>
      </c>
      <c r="K35" s="54">
        <f t="shared" si="3"/>
        <v>300</v>
      </c>
      <c r="L35" s="54"/>
      <c r="M35" s="54">
        <f t="shared" si="4"/>
        <v>15000</v>
      </c>
      <c r="N35" s="54">
        <f t="shared" si="5"/>
        <v>8400</v>
      </c>
      <c r="O35" s="54">
        <f t="shared" si="6"/>
        <v>7200</v>
      </c>
      <c r="P35" s="54">
        <f t="shared" si="7"/>
        <v>300</v>
      </c>
      <c r="Q35" s="54"/>
      <c r="R35" s="53">
        <f t="shared" si="10"/>
        <v>500</v>
      </c>
      <c r="S35" s="53">
        <f t="shared" si="9"/>
        <v>200</v>
      </c>
      <c r="T35" s="53">
        <f t="shared" si="11"/>
        <v>800</v>
      </c>
      <c r="U35" s="53">
        <f t="shared" si="8"/>
        <v>100</v>
      </c>
      <c r="V35" s="54"/>
      <c r="W35" s="54"/>
    </row>
    <row r="36" spans="2:23" x14ac:dyDescent="0.35">
      <c r="B36" s="55">
        <v>15</v>
      </c>
      <c r="C36" s="54">
        <v>0</v>
      </c>
      <c r="D36" s="54">
        <v>0</v>
      </c>
      <c r="E36" s="54">
        <v>0</v>
      </c>
      <c r="F36" s="54">
        <v>0</v>
      </c>
      <c r="G36" s="54"/>
      <c r="H36" s="54">
        <f t="shared" si="0"/>
        <v>15000</v>
      </c>
      <c r="I36" s="54">
        <f t="shared" si="1"/>
        <v>8400</v>
      </c>
      <c r="J36" s="54">
        <f t="shared" si="2"/>
        <v>7200</v>
      </c>
      <c r="K36" s="54">
        <f t="shared" si="3"/>
        <v>300</v>
      </c>
      <c r="L36" s="54"/>
      <c r="M36" s="54">
        <f t="shared" si="4"/>
        <v>15000</v>
      </c>
      <c r="N36" s="54">
        <f t="shared" si="5"/>
        <v>8400</v>
      </c>
      <c r="O36" s="54">
        <f t="shared" si="6"/>
        <v>7200</v>
      </c>
      <c r="P36" s="54">
        <f t="shared" si="7"/>
        <v>300</v>
      </c>
      <c r="Q36" s="54"/>
      <c r="R36" s="53">
        <f t="shared" si="10"/>
        <v>500</v>
      </c>
      <c r="S36" s="53">
        <f t="shared" si="9"/>
        <v>200</v>
      </c>
      <c r="T36" s="53">
        <f t="shared" si="11"/>
        <v>800</v>
      </c>
      <c r="U36" s="53">
        <f t="shared" si="8"/>
        <v>100</v>
      </c>
      <c r="V36" s="54"/>
      <c r="W36" s="54"/>
    </row>
    <row r="37" spans="2:23" x14ac:dyDescent="0.35">
      <c r="B37" s="55">
        <v>16</v>
      </c>
      <c r="C37" s="54">
        <v>0</v>
      </c>
      <c r="D37" s="54">
        <v>0</v>
      </c>
      <c r="E37" s="54">
        <v>0</v>
      </c>
      <c r="F37" s="54">
        <v>0</v>
      </c>
      <c r="G37" s="54"/>
      <c r="H37" s="54">
        <f t="shared" si="0"/>
        <v>15000</v>
      </c>
      <c r="I37" s="54">
        <f t="shared" si="1"/>
        <v>8400</v>
      </c>
      <c r="J37" s="54">
        <f t="shared" si="2"/>
        <v>7200</v>
      </c>
      <c r="K37" s="54">
        <f t="shared" si="3"/>
        <v>300</v>
      </c>
      <c r="L37" s="54"/>
      <c r="M37" s="54">
        <f t="shared" si="4"/>
        <v>15000</v>
      </c>
      <c r="N37" s="54">
        <f t="shared" si="5"/>
        <v>8400</v>
      </c>
      <c r="O37" s="54">
        <f t="shared" si="6"/>
        <v>7200</v>
      </c>
      <c r="P37" s="54">
        <f t="shared" si="7"/>
        <v>300</v>
      </c>
      <c r="Q37" s="54"/>
      <c r="R37" s="53">
        <f t="shared" si="10"/>
        <v>500</v>
      </c>
      <c r="S37" s="53">
        <f t="shared" si="9"/>
        <v>200</v>
      </c>
      <c r="T37" s="53">
        <f t="shared" si="11"/>
        <v>800</v>
      </c>
      <c r="U37" s="53">
        <f t="shared" si="8"/>
        <v>100</v>
      </c>
      <c r="V37" s="54"/>
      <c r="W37" s="54"/>
    </row>
    <row r="38" spans="2:23" x14ac:dyDescent="0.35">
      <c r="B38" s="55">
        <v>17</v>
      </c>
      <c r="C38" s="54">
        <v>0</v>
      </c>
      <c r="D38" s="54">
        <v>0</v>
      </c>
      <c r="E38" s="54">
        <v>0</v>
      </c>
      <c r="F38" s="54">
        <v>0</v>
      </c>
      <c r="G38" s="54"/>
      <c r="H38" s="54">
        <f t="shared" si="0"/>
        <v>15000</v>
      </c>
      <c r="I38" s="54">
        <f t="shared" si="1"/>
        <v>8400</v>
      </c>
      <c r="J38" s="54">
        <f t="shared" si="2"/>
        <v>7200</v>
      </c>
      <c r="K38" s="54">
        <f t="shared" si="3"/>
        <v>300</v>
      </c>
      <c r="L38" s="54"/>
      <c r="M38" s="54">
        <f t="shared" si="4"/>
        <v>15000</v>
      </c>
      <c r="N38" s="54">
        <f t="shared" si="5"/>
        <v>8400</v>
      </c>
      <c r="O38" s="54">
        <f t="shared" si="6"/>
        <v>7200</v>
      </c>
      <c r="P38" s="54">
        <f t="shared" si="7"/>
        <v>300</v>
      </c>
      <c r="Q38" s="54"/>
      <c r="R38" s="53">
        <f t="shared" si="10"/>
        <v>500</v>
      </c>
      <c r="S38" s="53">
        <f t="shared" si="9"/>
        <v>200</v>
      </c>
      <c r="T38" s="53">
        <f t="shared" si="11"/>
        <v>800</v>
      </c>
      <c r="U38" s="53">
        <f t="shared" si="8"/>
        <v>100</v>
      </c>
      <c r="V38" s="54"/>
      <c r="W38" s="54"/>
    </row>
    <row r="39" spans="2:23" x14ac:dyDescent="0.35">
      <c r="B39" s="55">
        <v>18</v>
      </c>
      <c r="C39" s="54">
        <v>0</v>
      </c>
      <c r="D39" s="54">
        <v>0</v>
      </c>
      <c r="E39" s="54">
        <v>0</v>
      </c>
      <c r="F39" s="54">
        <v>0</v>
      </c>
      <c r="G39" s="54"/>
      <c r="H39" s="54">
        <f t="shared" si="0"/>
        <v>15000</v>
      </c>
      <c r="I39" s="54">
        <f t="shared" si="1"/>
        <v>8400</v>
      </c>
      <c r="J39" s="54">
        <f t="shared" si="2"/>
        <v>7200</v>
      </c>
      <c r="K39" s="54">
        <f t="shared" si="3"/>
        <v>300</v>
      </c>
      <c r="L39" s="54"/>
      <c r="M39" s="54">
        <f t="shared" si="4"/>
        <v>15000</v>
      </c>
      <c r="N39" s="54">
        <f t="shared" si="5"/>
        <v>8400</v>
      </c>
      <c r="O39" s="54">
        <f t="shared" si="6"/>
        <v>7200</v>
      </c>
      <c r="P39" s="54">
        <f t="shared" si="7"/>
        <v>300</v>
      </c>
      <c r="Q39" s="54"/>
      <c r="R39" s="53">
        <f t="shared" si="10"/>
        <v>500</v>
      </c>
      <c r="S39" s="53">
        <f t="shared" si="9"/>
        <v>200</v>
      </c>
      <c r="T39" s="53">
        <f t="shared" si="11"/>
        <v>800</v>
      </c>
      <c r="U39" s="53">
        <f t="shared" si="8"/>
        <v>100</v>
      </c>
      <c r="V39" s="54"/>
      <c r="W39" s="54"/>
    </row>
    <row r="40" spans="2:23" x14ac:dyDescent="0.35">
      <c r="B40" s="55">
        <v>19</v>
      </c>
      <c r="C40" s="54">
        <v>0</v>
      </c>
      <c r="D40" s="54">
        <v>0</v>
      </c>
      <c r="E40" s="54">
        <v>0</v>
      </c>
      <c r="F40" s="54">
        <v>0</v>
      </c>
      <c r="G40" s="54"/>
      <c r="H40" s="54">
        <f t="shared" si="0"/>
        <v>15000</v>
      </c>
      <c r="I40" s="54">
        <f t="shared" si="1"/>
        <v>8400</v>
      </c>
      <c r="J40" s="54">
        <f t="shared" si="2"/>
        <v>7200</v>
      </c>
      <c r="K40" s="54">
        <f t="shared" si="3"/>
        <v>300</v>
      </c>
      <c r="L40" s="54"/>
      <c r="M40" s="54">
        <f t="shared" si="4"/>
        <v>15000</v>
      </c>
      <c r="N40" s="54">
        <f t="shared" si="5"/>
        <v>8400</v>
      </c>
      <c r="O40" s="54">
        <f t="shared" si="6"/>
        <v>7200</v>
      </c>
      <c r="P40" s="54">
        <f t="shared" si="7"/>
        <v>300</v>
      </c>
      <c r="Q40" s="54"/>
      <c r="R40" s="53">
        <f t="shared" si="10"/>
        <v>500</v>
      </c>
      <c r="S40" s="53">
        <f t="shared" si="9"/>
        <v>200</v>
      </c>
      <c r="T40" s="53">
        <f t="shared" si="11"/>
        <v>800</v>
      </c>
      <c r="U40" s="53">
        <f t="shared" si="8"/>
        <v>100</v>
      </c>
      <c r="V40" s="54"/>
      <c r="W40" s="54"/>
    </row>
    <row r="41" spans="2:23" x14ac:dyDescent="0.35">
      <c r="B41" s="55">
        <v>20</v>
      </c>
      <c r="C41" s="54">
        <v>0</v>
      </c>
      <c r="D41" s="54">
        <v>0</v>
      </c>
      <c r="E41" s="54">
        <v>0</v>
      </c>
      <c r="F41" s="54">
        <v>0</v>
      </c>
      <c r="G41" s="54"/>
      <c r="H41" s="54">
        <f t="shared" si="0"/>
        <v>15000</v>
      </c>
      <c r="I41" s="54">
        <f t="shared" si="1"/>
        <v>8400</v>
      </c>
      <c r="J41" s="54">
        <f t="shared" si="2"/>
        <v>7200</v>
      </c>
      <c r="K41" s="54">
        <f t="shared" si="3"/>
        <v>300</v>
      </c>
      <c r="L41" s="54"/>
      <c r="M41" s="54">
        <f t="shared" si="4"/>
        <v>15000</v>
      </c>
      <c r="N41" s="54">
        <f t="shared" si="5"/>
        <v>8400</v>
      </c>
      <c r="O41" s="54">
        <f t="shared" si="6"/>
        <v>7200</v>
      </c>
      <c r="P41" s="54">
        <f t="shared" si="7"/>
        <v>300</v>
      </c>
      <c r="Q41" s="54"/>
      <c r="R41" s="53">
        <f t="shared" si="10"/>
        <v>500</v>
      </c>
      <c r="S41" s="53">
        <f t="shared" si="9"/>
        <v>200</v>
      </c>
      <c r="T41" s="53">
        <f t="shared" si="11"/>
        <v>800</v>
      </c>
      <c r="U41" s="53">
        <f t="shared" si="8"/>
        <v>100</v>
      </c>
      <c r="V41" s="54"/>
      <c r="W41" s="54"/>
    </row>
    <row r="42" spans="2:23" x14ac:dyDescent="0.35">
      <c r="B42" s="55">
        <v>21</v>
      </c>
      <c r="C42" s="54">
        <v>0</v>
      </c>
      <c r="D42" s="54">
        <v>0</v>
      </c>
      <c r="E42" s="54">
        <v>0</v>
      </c>
      <c r="F42" s="54">
        <v>0</v>
      </c>
      <c r="G42" s="54"/>
      <c r="H42" s="54">
        <f t="shared" si="0"/>
        <v>15000</v>
      </c>
      <c r="I42" s="54">
        <f t="shared" si="1"/>
        <v>8400</v>
      </c>
      <c r="J42" s="54">
        <f t="shared" si="2"/>
        <v>7200</v>
      </c>
      <c r="K42" s="54">
        <f t="shared" si="3"/>
        <v>300</v>
      </c>
      <c r="L42" s="54"/>
      <c r="M42" s="54">
        <f t="shared" si="4"/>
        <v>15000</v>
      </c>
      <c r="N42" s="54">
        <f t="shared" si="5"/>
        <v>8400</v>
      </c>
      <c r="O42" s="54">
        <f t="shared" si="6"/>
        <v>7200</v>
      </c>
      <c r="P42" s="54">
        <f t="shared" si="7"/>
        <v>300</v>
      </c>
      <c r="Q42" s="54"/>
      <c r="R42" s="53">
        <f t="shared" si="10"/>
        <v>500</v>
      </c>
      <c r="S42" s="53">
        <f t="shared" si="9"/>
        <v>200</v>
      </c>
      <c r="T42" s="53">
        <f t="shared" si="11"/>
        <v>800</v>
      </c>
      <c r="U42" s="53">
        <f t="shared" si="8"/>
        <v>100</v>
      </c>
      <c r="V42" s="54"/>
      <c r="W42" s="54"/>
    </row>
    <row r="43" spans="2:23" x14ac:dyDescent="0.35">
      <c r="B43" s="55">
        <v>22</v>
      </c>
      <c r="C43" s="54">
        <v>0</v>
      </c>
      <c r="D43" s="54">
        <v>0</v>
      </c>
      <c r="E43" s="54">
        <v>0</v>
      </c>
      <c r="F43" s="54">
        <v>0</v>
      </c>
      <c r="G43" s="54"/>
      <c r="H43" s="54">
        <f t="shared" si="0"/>
        <v>15000</v>
      </c>
      <c r="I43" s="54">
        <f t="shared" si="1"/>
        <v>8400</v>
      </c>
      <c r="J43" s="54">
        <f t="shared" si="2"/>
        <v>7200</v>
      </c>
      <c r="K43" s="54">
        <f t="shared" si="3"/>
        <v>300</v>
      </c>
      <c r="L43" s="54"/>
      <c r="M43" s="54">
        <f t="shared" si="4"/>
        <v>15000</v>
      </c>
      <c r="N43" s="54">
        <f t="shared" si="5"/>
        <v>8400</v>
      </c>
      <c r="O43" s="54">
        <f t="shared" si="6"/>
        <v>7200</v>
      </c>
      <c r="P43" s="54">
        <f t="shared" si="7"/>
        <v>300</v>
      </c>
      <c r="Q43" s="54"/>
      <c r="R43" s="53">
        <f t="shared" si="10"/>
        <v>500</v>
      </c>
      <c r="S43" s="53">
        <f t="shared" si="9"/>
        <v>200</v>
      </c>
      <c r="T43" s="53">
        <f t="shared" si="11"/>
        <v>800</v>
      </c>
      <c r="U43" s="53">
        <f t="shared" si="8"/>
        <v>100</v>
      </c>
      <c r="V43" s="54"/>
      <c r="W43" s="54"/>
    </row>
    <row r="44" spans="2:23" x14ac:dyDescent="0.35">
      <c r="B44" s="55">
        <v>23</v>
      </c>
      <c r="C44" s="54">
        <v>0</v>
      </c>
      <c r="D44" s="54">
        <v>0</v>
      </c>
      <c r="E44" s="54">
        <v>0</v>
      </c>
      <c r="F44" s="54">
        <v>0</v>
      </c>
      <c r="G44" s="54"/>
      <c r="H44" s="54">
        <f t="shared" si="0"/>
        <v>15000</v>
      </c>
      <c r="I44" s="54">
        <f t="shared" si="1"/>
        <v>8400</v>
      </c>
      <c r="J44" s="54">
        <f t="shared" si="2"/>
        <v>7200</v>
      </c>
      <c r="K44" s="54">
        <f t="shared" si="3"/>
        <v>300</v>
      </c>
      <c r="L44" s="54"/>
      <c r="M44" s="54">
        <f t="shared" si="4"/>
        <v>15000</v>
      </c>
      <c r="N44" s="54">
        <f t="shared" si="5"/>
        <v>8400</v>
      </c>
      <c r="O44" s="54">
        <f t="shared" si="6"/>
        <v>7200</v>
      </c>
      <c r="P44" s="54">
        <f t="shared" si="7"/>
        <v>300</v>
      </c>
      <c r="Q44" s="54"/>
      <c r="R44" s="53">
        <f t="shared" si="10"/>
        <v>500</v>
      </c>
      <c r="S44" s="53">
        <f t="shared" si="9"/>
        <v>200</v>
      </c>
      <c r="T44" s="53">
        <f t="shared" si="11"/>
        <v>800</v>
      </c>
      <c r="U44" s="53">
        <f t="shared" si="8"/>
        <v>100</v>
      </c>
      <c r="V44" s="54"/>
      <c r="W44" s="54"/>
    </row>
    <row r="45" spans="2:23" x14ac:dyDescent="0.35">
      <c r="B45" s="55">
        <v>24</v>
      </c>
      <c r="C45" s="54">
        <v>0</v>
      </c>
      <c r="D45" s="54">
        <v>0</v>
      </c>
      <c r="E45" s="54">
        <v>0</v>
      </c>
      <c r="F45" s="54">
        <v>0</v>
      </c>
      <c r="G45" s="54"/>
      <c r="H45" s="54">
        <f t="shared" si="0"/>
        <v>15000</v>
      </c>
      <c r="I45" s="54">
        <f t="shared" si="1"/>
        <v>8400</v>
      </c>
      <c r="J45" s="54">
        <f t="shared" si="2"/>
        <v>7200</v>
      </c>
      <c r="K45" s="54">
        <f t="shared" si="3"/>
        <v>300</v>
      </c>
      <c r="L45" s="54"/>
      <c r="M45" s="54">
        <f t="shared" si="4"/>
        <v>15000</v>
      </c>
      <c r="N45" s="54">
        <f t="shared" si="5"/>
        <v>8400</v>
      </c>
      <c r="O45" s="54">
        <f t="shared" si="6"/>
        <v>7200</v>
      </c>
      <c r="P45" s="54">
        <f t="shared" si="7"/>
        <v>300</v>
      </c>
      <c r="Q45" s="54"/>
      <c r="R45" s="53">
        <f t="shared" si="10"/>
        <v>500</v>
      </c>
      <c r="S45" s="53">
        <f t="shared" si="9"/>
        <v>200</v>
      </c>
      <c r="T45" s="53">
        <f t="shared" si="11"/>
        <v>800</v>
      </c>
      <c r="U45" s="53">
        <f t="shared" si="8"/>
        <v>100</v>
      </c>
      <c r="V45" s="54"/>
      <c r="W45" s="54"/>
    </row>
    <row r="46" spans="2:23" x14ac:dyDescent="0.35">
      <c r="B46" s="55">
        <v>25</v>
      </c>
      <c r="C46" s="54">
        <v>0</v>
      </c>
      <c r="D46" s="54">
        <v>0</v>
      </c>
      <c r="E46" s="54">
        <v>0</v>
      </c>
      <c r="F46" s="54">
        <v>0</v>
      </c>
      <c r="G46" s="54"/>
      <c r="H46" s="54">
        <f t="shared" si="0"/>
        <v>15000</v>
      </c>
      <c r="I46" s="54">
        <f t="shared" si="1"/>
        <v>8400</v>
      </c>
      <c r="J46" s="54">
        <f t="shared" si="2"/>
        <v>7200</v>
      </c>
      <c r="K46" s="54">
        <f t="shared" si="3"/>
        <v>300</v>
      </c>
      <c r="L46" s="54"/>
      <c r="M46" s="54">
        <f t="shared" si="4"/>
        <v>15000</v>
      </c>
      <c r="N46" s="54">
        <f t="shared" si="5"/>
        <v>8400</v>
      </c>
      <c r="O46" s="54">
        <f t="shared" si="6"/>
        <v>7200</v>
      </c>
      <c r="P46" s="54">
        <f t="shared" si="7"/>
        <v>300</v>
      </c>
      <c r="Q46" s="54"/>
      <c r="R46" s="53">
        <f t="shared" si="10"/>
        <v>500</v>
      </c>
      <c r="S46" s="53">
        <f t="shared" si="9"/>
        <v>200</v>
      </c>
      <c r="T46" s="53">
        <f t="shared" si="11"/>
        <v>800</v>
      </c>
      <c r="U46" s="53">
        <f t="shared" si="8"/>
        <v>100</v>
      </c>
      <c r="V46" s="54"/>
      <c r="W46" s="54"/>
    </row>
    <row r="47" spans="2:23" x14ac:dyDescent="0.35">
      <c r="B47" s="55">
        <v>26</v>
      </c>
      <c r="C47" s="54">
        <v>0</v>
      </c>
      <c r="D47" s="54">
        <v>0</v>
      </c>
      <c r="E47" s="54">
        <v>0</v>
      </c>
      <c r="F47" s="54">
        <v>0</v>
      </c>
      <c r="G47" s="54"/>
      <c r="H47" s="54">
        <f t="shared" si="0"/>
        <v>15000</v>
      </c>
      <c r="I47" s="54">
        <f t="shared" si="1"/>
        <v>8400</v>
      </c>
      <c r="J47" s="54">
        <f t="shared" si="2"/>
        <v>7200</v>
      </c>
      <c r="K47" s="54">
        <f t="shared" si="3"/>
        <v>300</v>
      </c>
      <c r="L47" s="54"/>
      <c r="M47" s="54">
        <f t="shared" si="4"/>
        <v>15000</v>
      </c>
      <c r="N47" s="54">
        <f t="shared" si="5"/>
        <v>8400</v>
      </c>
      <c r="O47" s="54">
        <f t="shared" si="6"/>
        <v>7200</v>
      </c>
      <c r="P47" s="54">
        <f t="shared" si="7"/>
        <v>300</v>
      </c>
      <c r="Q47" s="54"/>
      <c r="R47" s="53">
        <f t="shared" si="10"/>
        <v>500</v>
      </c>
      <c r="S47" s="53">
        <f t="shared" si="9"/>
        <v>200</v>
      </c>
      <c r="T47" s="53">
        <f t="shared" si="11"/>
        <v>800</v>
      </c>
      <c r="U47" s="53">
        <f t="shared" si="8"/>
        <v>100</v>
      </c>
      <c r="V47" s="54"/>
      <c r="W47" s="54"/>
    </row>
    <row r="48" spans="2:23" x14ac:dyDescent="0.35">
      <c r="B48" s="55">
        <v>27</v>
      </c>
      <c r="C48" s="54">
        <v>0</v>
      </c>
      <c r="D48" s="54">
        <v>0</v>
      </c>
      <c r="E48" s="54">
        <v>0</v>
      </c>
      <c r="F48" s="54"/>
      <c r="G48" s="54"/>
      <c r="H48" s="54">
        <f t="shared" si="0"/>
        <v>15000</v>
      </c>
      <c r="I48" s="54">
        <f t="shared" si="1"/>
        <v>8400</v>
      </c>
      <c r="J48" s="54">
        <f t="shared" si="2"/>
        <v>7200</v>
      </c>
      <c r="K48" s="54"/>
      <c r="L48" s="54"/>
      <c r="M48" s="54">
        <f>SUM(H48,C48)</f>
        <v>15000</v>
      </c>
      <c r="N48" s="54">
        <f>SUM(I48,D48)</f>
        <v>8400</v>
      </c>
      <c r="O48" s="54">
        <f>SUM(J48,E48)</f>
        <v>7200</v>
      </c>
      <c r="P48" s="54"/>
      <c r="Q48" s="54"/>
      <c r="R48" s="53">
        <f t="shared" si="10"/>
        <v>500</v>
      </c>
      <c r="S48" s="53">
        <f t="shared" si="9"/>
        <v>200</v>
      </c>
      <c r="T48" s="53">
        <f t="shared" si="11"/>
        <v>800</v>
      </c>
      <c r="V48" s="54"/>
      <c r="W48" s="54"/>
    </row>
    <row r="49" spans="2:23" x14ac:dyDescent="0.35">
      <c r="B49" s="55">
        <v>28</v>
      </c>
      <c r="C49" s="54">
        <v>0</v>
      </c>
      <c r="D49" s="54"/>
      <c r="E49" s="54">
        <v>0</v>
      </c>
      <c r="F49" s="54"/>
      <c r="G49" s="54"/>
      <c r="H49" s="54">
        <f t="shared" si="0"/>
        <v>15000</v>
      </c>
      <c r="I49" s="54"/>
      <c r="J49" s="54">
        <f t="shared" si="2"/>
        <v>7200</v>
      </c>
      <c r="K49" s="54"/>
      <c r="L49" s="54"/>
      <c r="M49" s="54">
        <f>SUM(H49,C49)</f>
        <v>15000</v>
      </c>
      <c r="N49" s="54"/>
      <c r="O49" s="54">
        <f>SUM(J49,E49)</f>
        <v>7200</v>
      </c>
      <c r="P49" s="54"/>
      <c r="Q49" s="54"/>
      <c r="R49" s="53">
        <f t="shared" si="10"/>
        <v>500</v>
      </c>
      <c r="T49" s="53">
        <f t="shared" si="11"/>
        <v>800</v>
      </c>
      <c r="V49" s="54"/>
      <c r="W49" s="54"/>
    </row>
    <row r="50" spans="2:23" x14ac:dyDescent="0.35">
      <c r="B50" s="55">
        <v>29</v>
      </c>
      <c r="C50" s="54">
        <v>0</v>
      </c>
      <c r="D50" s="54"/>
      <c r="E50" s="54">
        <v>0</v>
      </c>
      <c r="F50" s="54"/>
      <c r="G50" s="54"/>
      <c r="H50" s="54">
        <f t="shared" si="0"/>
        <v>15000</v>
      </c>
      <c r="I50" s="54"/>
      <c r="J50" s="54">
        <f t="shared" si="2"/>
        <v>7200</v>
      </c>
      <c r="K50" s="54"/>
      <c r="L50" s="54"/>
      <c r="M50" s="54">
        <f>SUM(H50,C50)</f>
        <v>15000</v>
      </c>
      <c r="N50" s="54"/>
      <c r="O50" s="54">
        <f>SUM(J50,E50)</f>
        <v>7200</v>
      </c>
      <c r="P50" s="54"/>
      <c r="Q50" s="54"/>
      <c r="R50" s="53">
        <f t="shared" si="10"/>
        <v>500</v>
      </c>
      <c r="T50" s="53">
        <f t="shared" si="11"/>
        <v>800</v>
      </c>
      <c r="V50" s="54"/>
      <c r="W50" s="54"/>
    </row>
    <row r="51" spans="2:23" x14ac:dyDescent="0.35">
      <c r="B51" s="55">
        <v>30</v>
      </c>
      <c r="C51" s="54">
        <v>0</v>
      </c>
      <c r="D51" s="54"/>
      <c r="E51" s="54">
        <v>0</v>
      </c>
      <c r="F51" s="54"/>
      <c r="G51" s="54"/>
      <c r="H51" s="54">
        <f t="shared" si="0"/>
        <v>15000</v>
      </c>
      <c r="I51" s="54"/>
      <c r="J51" s="54">
        <f t="shared" si="2"/>
        <v>7200</v>
      </c>
      <c r="K51" s="54"/>
      <c r="L51" s="54"/>
      <c r="M51" s="54">
        <f>SUM(H51,C51)</f>
        <v>15000</v>
      </c>
      <c r="N51" s="54"/>
      <c r="O51" s="54">
        <f>SUM(J51,E51)</f>
        <v>7200</v>
      </c>
      <c r="P51" s="54"/>
      <c r="Q51" s="54"/>
      <c r="R51" s="53">
        <f t="shared" si="10"/>
        <v>500</v>
      </c>
      <c r="T51" s="53">
        <f t="shared" si="11"/>
        <v>800</v>
      </c>
      <c r="V51" s="54"/>
      <c r="W51" s="54"/>
    </row>
    <row r="52" spans="2:23" x14ac:dyDescent="0.35">
      <c r="B52" s="55">
        <v>31</v>
      </c>
      <c r="C52" s="54"/>
      <c r="D52" s="54"/>
      <c r="E52" s="54">
        <v>0</v>
      </c>
      <c r="F52" s="54"/>
      <c r="G52" s="54"/>
      <c r="H52" s="54"/>
      <c r="I52" s="54"/>
      <c r="J52" s="54">
        <f t="shared" si="2"/>
        <v>7200</v>
      </c>
      <c r="K52" s="54"/>
      <c r="L52" s="54"/>
      <c r="M52" s="54"/>
      <c r="N52" s="54"/>
      <c r="O52" s="54">
        <f>SUM(J52,E52)</f>
        <v>7200</v>
      </c>
      <c r="P52" s="54"/>
      <c r="Q52" s="54"/>
      <c r="T52" s="53">
        <f t="shared" si="11"/>
        <v>800</v>
      </c>
      <c r="V52" s="54"/>
      <c r="W52" s="54"/>
    </row>
    <row r="53" spans="2:23" x14ac:dyDescent="0.35">
      <c r="B53" s="55">
        <v>32</v>
      </c>
      <c r="C53" s="54"/>
      <c r="D53" s="54"/>
      <c r="E53" s="54">
        <v>0</v>
      </c>
      <c r="F53" s="54"/>
      <c r="G53" s="54"/>
      <c r="H53" s="54"/>
      <c r="I53" s="54"/>
      <c r="J53" s="54">
        <f t="shared" si="2"/>
        <v>7200</v>
      </c>
      <c r="K53" s="54"/>
      <c r="L53" s="54"/>
      <c r="M53" s="54"/>
      <c r="N53" s="54"/>
      <c r="O53" s="54">
        <f>SUM(J53,E53)</f>
        <v>7200</v>
      </c>
      <c r="P53" s="54"/>
      <c r="Q53" s="54"/>
      <c r="T53" s="53">
        <f t="shared" si="11"/>
        <v>800</v>
      </c>
      <c r="V53" s="54"/>
      <c r="W53" s="54"/>
    </row>
  </sheetData>
  <mergeCells count="4">
    <mergeCell ref="C20:F20"/>
    <mergeCell ref="H20:K20"/>
    <mergeCell ref="M20:P20"/>
    <mergeCell ref="R20:U2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FB02-0A2E-4F77-BC02-0D4BFAB2ACD6}">
  <dimension ref="B2:H29"/>
  <sheetViews>
    <sheetView showGridLines="0" topLeftCell="A13" zoomScale="145" zoomScaleNormal="145" workbookViewId="0">
      <selection activeCell="F30" sqref="F30"/>
    </sheetView>
  </sheetViews>
  <sheetFormatPr defaultColWidth="9.1796875" defaultRowHeight="14.5" x14ac:dyDescent="0.35"/>
  <cols>
    <col min="1" max="1" width="3.453125" style="76" customWidth="1"/>
    <col min="2" max="2" width="22.26953125" style="76" bestFit="1" customWidth="1"/>
    <col min="3" max="3" width="13.453125" style="76" bestFit="1" customWidth="1"/>
    <col min="4" max="4" width="13.54296875" style="76" bestFit="1" customWidth="1"/>
    <col min="5" max="5" width="13.26953125" style="76" bestFit="1" customWidth="1"/>
    <col min="6" max="6" width="13.54296875" style="76" bestFit="1" customWidth="1"/>
    <col min="7" max="7" width="26.7265625" style="76" bestFit="1" customWidth="1"/>
    <col min="8" max="8" width="10.1796875" style="76" bestFit="1" customWidth="1"/>
    <col min="9" max="16384" width="9.1796875" style="76"/>
  </cols>
  <sheetData>
    <row r="2" spans="2:3" x14ac:dyDescent="0.35">
      <c r="B2" s="99" t="s">
        <v>0</v>
      </c>
      <c r="C2" s="101"/>
    </row>
    <row r="3" spans="2:3" x14ac:dyDescent="0.35">
      <c r="B3" s="87" t="s">
        <v>93</v>
      </c>
      <c r="C3" s="88">
        <v>10</v>
      </c>
    </row>
    <row r="4" spans="2:3" x14ac:dyDescent="0.35">
      <c r="B4" s="87" t="s">
        <v>92</v>
      </c>
      <c r="C4" s="91">
        <v>125000</v>
      </c>
    </row>
    <row r="5" spans="2:3" x14ac:dyDescent="0.35">
      <c r="B5" s="87" t="s">
        <v>91</v>
      </c>
      <c r="C5" s="102">
        <v>0.05</v>
      </c>
    </row>
    <row r="6" spans="2:3" x14ac:dyDescent="0.35">
      <c r="B6" s="87" t="s">
        <v>90</v>
      </c>
      <c r="C6" s="100">
        <f>(1+C5)*(1+C14)-1</f>
        <v>8.1500000000000128E-2</v>
      </c>
    </row>
    <row r="7" spans="2:3" x14ac:dyDescent="0.35">
      <c r="B7" s="87" t="s">
        <v>89</v>
      </c>
      <c r="C7" s="88">
        <v>300</v>
      </c>
    </row>
    <row r="8" spans="2:3" x14ac:dyDescent="0.35">
      <c r="B8" s="89" t="s">
        <v>88</v>
      </c>
      <c r="C8" s="90">
        <f>-PMT($C$5,$C$3,$C$4)/$C$7</f>
        <v>53.960239568940281</v>
      </c>
    </row>
    <row r="9" spans="2:3" x14ac:dyDescent="0.35">
      <c r="B9" s="89" t="s">
        <v>87</v>
      </c>
      <c r="C9" s="90">
        <f>-PMT(C5,C3,C4-C12/(1+C5)^C3)/C7</f>
        <v>47.334858321818885</v>
      </c>
    </row>
    <row r="10" spans="2:3" x14ac:dyDescent="0.35">
      <c r="B10" s="89" t="s">
        <v>86</v>
      </c>
      <c r="C10" s="90">
        <f>(-PMT(C5,C3,C4-C12/(1+C5)^C3)+C13)/C7</f>
        <v>89.001524988485542</v>
      </c>
    </row>
    <row r="11" spans="2:3" x14ac:dyDescent="0.35">
      <c r="B11" s="87" t="s">
        <v>85</v>
      </c>
      <c r="C11" s="91">
        <f>C10</f>
        <v>89.001524988485542</v>
      </c>
    </row>
    <row r="12" spans="2:3" x14ac:dyDescent="0.35">
      <c r="B12" s="87" t="s">
        <v>84</v>
      </c>
      <c r="C12" s="91">
        <f>0.2*C4</f>
        <v>25000</v>
      </c>
    </row>
    <row r="13" spans="2:3" x14ac:dyDescent="0.35">
      <c r="B13" s="87" t="s">
        <v>83</v>
      </c>
      <c r="C13" s="91">
        <f>0.1*C4</f>
        <v>12500</v>
      </c>
    </row>
    <row r="14" spans="2:3" x14ac:dyDescent="0.35">
      <c r="B14" s="92" t="s">
        <v>40</v>
      </c>
      <c r="C14" s="93">
        <v>0.03</v>
      </c>
    </row>
    <row r="17" spans="2:8" x14ac:dyDescent="0.35">
      <c r="B17" s="84" t="s">
        <v>6</v>
      </c>
      <c r="C17" s="85" t="s">
        <v>82</v>
      </c>
      <c r="D17" s="85" t="s">
        <v>81</v>
      </c>
      <c r="E17" s="85" t="s">
        <v>80</v>
      </c>
      <c r="F17" s="85" t="s">
        <v>79</v>
      </c>
      <c r="G17" s="86" t="s">
        <v>78</v>
      </c>
    </row>
    <row r="18" spans="2:8" x14ac:dyDescent="0.35">
      <c r="B18" s="80">
        <v>0</v>
      </c>
      <c r="C18" s="83">
        <f>C4*-1</f>
        <v>-125000</v>
      </c>
      <c r="D18" s="78">
        <f>C4*-1</f>
        <v>-125000</v>
      </c>
      <c r="E18" s="78">
        <f>-C4</f>
        <v>-125000</v>
      </c>
      <c r="F18" s="78">
        <f>+-C4</f>
        <v>-125000</v>
      </c>
      <c r="G18" s="77" t="s">
        <v>77</v>
      </c>
    </row>
    <row r="19" spans="2:8" x14ac:dyDescent="0.35">
      <c r="B19" s="80">
        <v>1</v>
      </c>
      <c r="C19" s="83">
        <f>$C$8*$C$7</f>
        <v>16188.071870682084</v>
      </c>
      <c r="D19" s="82">
        <f t="shared" ref="D19:D27" si="0">$C$9*$C$7</f>
        <v>14200.457496545665</v>
      </c>
      <c r="E19" s="82">
        <f>$C$10*$C$7-$C$13</f>
        <v>14200.457496545663</v>
      </c>
      <c r="F19" s="78">
        <f>$G19*$C$7-$C$13*(1+$C$14)^$B19</f>
        <v>14626.471221442032</v>
      </c>
      <c r="G19" s="81">
        <f>$C$11*(1+$C$14)^B19</f>
        <v>91.671570738140105</v>
      </c>
      <c r="H19" s="78"/>
    </row>
    <row r="20" spans="2:8" x14ac:dyDescent="0.35">
      <c r="B20" s="80">
        <v>2</v>
      </c>
      <c r="C20" s="83">
        <f t="shared" ref="C20:C28" si="1">$C$8*$C$7</f>
        <v>16188.071870682084</v>
      </c>
      <c r="D20" s="82">
        <f t="shared" si="0"/>
        <v>14200.457496545665</v>
      </c>
      <c r="E20" s="82">
        <f t="shared" ref="E20:E27" si="2">$C$10*$C$7-$C$13</f>
        <v>14200.457496545663</v>
      </c>
      <c r="F20" s="78">
        <f>$G20*$C$7-$C$13*(1+$C$14)^$B20</f>
        <v>15065.265358085289</v>
      </c>
      <c r="G20" s="81">
        <f t="shared" ref="G20:G28" si="3">$C$11*(1+$C$14)^B20</f>
        <v>94.421717860284303</v>
      </c>
      <c r="H20" s="78"/>
    </row>
    <row r="21" spans="2:8" x14ac:dyDescent="0.35">
      <c r="B21" s="80">
        <v>3</v>
      </c>
      <c r="C21" s="83">
        <f t="shared" si="1"/>
        <v>16188.071870682084</v>
      </c>
      <c r="D21" s="82">
        <f t="shared" si="0"/>
        <v>14200.457496545665</v>
      </c>
      <c r="E21" s="82">
        <f t="shared" si="2"/>
        <v>14200.457496545663</v>
      </c>
      <c r="F21" s="78">
        <f t="shared" ref="F21:F27" si="4">$G21*$C$7-$C$13*(1+$C$14)^$B21</f>
        <v>15517.223318827853</v>
      </c>
      <c r="G21" s="81">
        <f t="shared" si="3"/>
        <v>97.254369396092841</v>
      </c>
      <c r="H21" s="78"/>
    </row>
    <row r="22" spans="2:8" x14ac:dyDescent="0.35">
      <c r="B22" s="80">
        <v>4</v>
      </c>
      <c r="C22" s="83">
        <f t="shared" si="1"/>
        <v>16188.071870682084</v>
      </c>
      <c r="D22" s="82">
        <f t="shared" si="0"/>
        <v>14200.457496545665</v>
      </c>
      <c r="E22" s="82">
        <f t="shared" si="2"/>
        <v>14200.457496545663</v>
      </c>
      <c r="F22" s="78">
        <f t="shared" si="4"/>
        <v>15982.740018392684</v>
      </c>
      <c r="G22" s="81">
        <f t="shared" si="3"/>
        <v>100.17200047797562</v>
      </c>
      <c r="H22" s="78"/>
    </row>
    <row r="23" spans="2:8" x14ac:dyDescent="0.35">
      <c r="B23" s="80">
        <v>5</v>
      </c>
      <c r="C23" s="83">
        <f t="shared" si="1"/>
        <v>16188.071870682084</v>
      </c>
      <c r="D23" s="82">
        <f t="shared" si="0"/>
        <v>14200.457496545665</v>
      </c>
      <c r="E23" s="82">
        <f t="shared" si="2"/>
        <v>14200.457496545663</v>
      </c>
      <c r="F23" s="78">
        <f t="shared" si="4"/>
        <v>16462.222218944466</v>
      </c>
      <c r="G23" s="81">
        <f t="shared" si="3"/>
        <v>103.17716049231488</v>
      </c>
      <c r="H23" s="78"/>
    </row>
    <row r="24" spans="2:8" x14ac:dyDescent="0.35">
      <c r="B24" s="80">
        <v>6</v>
      </c>
      <c r="C24" s="83">
        <f t="shared" si="1"/>
        <v>16188.071870682084</v>
      </c>
      <c r="D24" s="82">
        <f t="shared" si="0"/>
        <v>14200.457496545665</v>
      </c>
      <c r="E24" s="82">
        <f t="shared" si="2"/>
        <v>14200.457496545663</v>
      </c>
      <c r="F24" s="78">
        <f t="shared" si="4"/>
        <v>16956.088885512803</v>
      </c>
      <c r="G24" s="81">
        <f t="shared" si="3"/>
        <v>106.27247530708433</v>
      </c>
      <c r="H24" s="78"/>
    </row>
    <row r="25" spans="2:8" x14ac:dyDescent="0.35">
      <c r="B25" s="80">
        <v>7</v>
      </c>
      <c r="C25" s="83">
        <f t="shared" si="1"/>
        <v>16188.071870682084</v>
      </c>
      <c r="D25" s="82">
        <f t="shared" si="0"/>
        <v>14200.457496545665</v>
      </c>
      <c r="E25" s="82">
        <f t="shared" si="2"/>
        <v>14200.457496545663</v>
      </c>
      <c r="F25" s="78">
        <f t="shared" si="4"/>
        <v>17464.771552078186</v>
      </c>
      <c r="G25" s="81">
        <f t="shared" si="3"/>
        <v>109.46064956629687</v>
      </c>
      <c r="H25" s="78"/>
    </row>
    <row r="26" spans="2:8" x14ac:dyDescent="0.35">
      <c r="B26" s="80">
        <v>8</v>
      </c>
      <c r="C26" s="83">
        <f t="shared" si="1"/>
        <v>16188.071870682084</v>
      </c>
      <c r="D26" s="82">
        <f t="shared" si="0"/>
        <v>14200.457496545665</v>
      </c>
      <c r="E26" s="82">
        <f t="shared" si="2"/>
        <v>14200.457496545663</v>
      </c>
      <c r="F26" s="78">
        <f t="shared" si="4"/>
        <v>17988.714698640531</v>
      </c>
      <c r="G26" s="81">
        <f t="shared" si="3"/>
        <v>112.74446905328577</v>
      </c>
      <c r="H26" s="78"/>
    </row>
    <row r="27" spans="2:8" x14ac:dyDescent="0.35">
      <c r="B27" s="80">
        <v>9</v>
      </c>
      <c r="C27" s="83">
        <f t="shared" si="1"/>
        <v>16188.071870682084</v>
      </c>
      <c r="D27" s="82">
        <f t="shared" si="0"/>
        <v>14200.457496545665</v>
      </c>
      <c r="E27" s="82">
        <f t="shared" si="2"/>
        <v>14200.457496545663</v>
      </c>
      <c r="F27" s="78">
        <f t="shared" si="4"/>
        <v>18528.376139599746</v>
      </c>
      <c r="G27" s="81">
        <f t="shared" si="3"/>
        <v>116.12680312488435</v>
      </c>
      <c r="H27" s="78"/>
    </row>
    <row r="28" spans="2:8" ht="15" thickBot="1" x14ac:dyDescent="0.4">
      <c r="B28" s="94">
        <v>10</v>
      </c>
      <c r="C28" s="95">
        <f t="shared" si="1"/>
        <v>16188.071870682084</v>
      </c>
      <c r="D28" s="96">
        <f>C9*C7+C12</f>
        <v>39200.457496545663</v>
      </c>
      <c r="E28" s="96">
        <f>$C$10*$C$7+C12-C13</f>
        <v>39200.457496545663</v>
      </c>
      <c r="F28" s="97">
        <f>$G28*$C$7-$C$13*(1+$C$14)^$B28+$C$12*(1+$C$14)^$B28</f>
        <v>52682.136907390784</v>
      </c>
      <c r="G28" s="98">
        <f t="shared" si="3"/>
        <v>119.61060721863088</v>
      </c>
      <c r="H28" s="78"/>
    </row>
    <row r="29" spans="2:8" ht="15" thickTop="1" x14ac:dyDescent="0.35">
      <c r="B29" s="80" t="s">
        <v>10</v>
      </c>
      <c r="C29" s="79">
        <f>NPV($C$5,C19:C28)+C18</f>
        <v>0</v>
      </c>
      <c r="D29" s="79">
        <f>NPV($C$5,D19:D28)+D18</f>
        <v>0</v>
      </c>
      <c r="E29" s="79">
        <f>NPV($C$5,E19:E28)+E18</f>
        <v>0</v>
      </c>
      <c r="F29" s="78">
        <f>NPV(C6,F19:F28)+F18</f>
        <v>-1.7462298274040222E-10</v>
      </c>
      <c r="G29" s="77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1</vt:lpstr>
      <vt:lpstr>2</vt:lpstr>
      <vt:lpstr>3</vt:lpstr>
      <vt:lpstr>4</vt:lpstr>
      <vt:lpstr>5</vt:lpstr>
      <vt:lpstr>c_cap</vt:lpstr>
      <vt:lpstr>c_fuel</vt:lpstr>
      <vt:lpstr>c_op</vt:lpstr>
      <vt:lpstr>c_tax</vt:lpstr>
      <vt:lpstr>carAprice</vt:lpstr>
      <vt:lpstr>carBprice</vt:lpstr>
      <vt:lpstr>debt_frac</vt:lpstr>
      <vt:lpstr>disc5</vt:lpstr>
      <vt:lpstr>'4'!e_price</vt:lpstr>
      <vt:lpstr>equity_frac</vt:lpstr>
      <vt:lpstr>g_cap</vt:lpstr>
      <vt:lpstr>g_fuel</vt:lpstr>
      <vt:lpstr>g_op</vt:lpstr>
      <vt:lpstr>g_tax</vt:lpstr>
      <vt:lpstr>gas_inf</vt:lpstr>
      <vt:lpstr>gas_price</vt:lpstr>
      <vt:lpstr>'3'!inf_4</vt:lpstr>
      <vt:lpstr>int_2</vt:lpstr>
      <vt:lpstr>int_3</vt:lpstr>
      <vt:lpstr>miles_yr</vt:lpstr>
      <vt:lpstr>mpgA</vt:lpstr>
      <vt:lpstr>mpgB</vt:lpstr>
      <vt:lpstr>n_cap</vt:lpstr>
      <vt:lpstr>n_fuel</vt:lpstr>
      <vt:lpstr>n_op</vt:lpstr>
      <vt:lpstr>'3'!nint_4</vt:lpstr>
      <vt:lpstr>r_pers</vt:lpstr>
      <vt:lpstr>repay</vt:lpstr>
      <vt:lpstr>'3'!rint_4</vt:lpstr>
      <vt:lpstr>w_cap</vt:lpstr>
      <vt:lpstr>w_op</vt:lpstr>
    </vt:vector>
  </TitlesOfParts>
  <Company>Purdue University - AgIT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Carson Reeling</dc:creator>
  <dc:description/>
  <cp:lastModifiedBy>Emma Sophia Donnelly</cp:lastModifiedBy>
  <cp:revision>4</cp:revision>
  <dcterms:created xsi:type="dcterms:W3CDTF">2018-12-06T13:58:35Z</dcterms:created>
  <dcterms:modified xsi:type="dcterms:W3CDTF">2025-02-10T16:18:00Z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Purdue University - AgIT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