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隐患动态跟踪表" sheetId="1" r:id="rId4"/>
  </sheets>
  <definedNames/>
  <calcPr calcId="999999" calcMode="auto" calcCompleted="1" fullCalcOnLoad="0"/>
</workbook>
</file>

<file path=xl/sharedStrings.xml><?xml version="1.0" encoding="utf-8"?>
<sst xmlns="http://schemas.openxmlformats.org/spreadsheetml/2006/main" uniqueCount="1347">
  <si>
    <t>潍坊振兴焦化有限公司安全生产KPI指标报表（隐患动态跟踪表）</t>
  </si>
  <si>
    <t>2020年1月</t>
  </si>
  <si>
    <t>隐患基本信息</t>
  </si>
  <si>
    <t>隐患特征</t>
  </si>
  <si>
    <t>数据分析</t>
  </si>
  <si>
    <t>整改方向</t>
  </si>
  <si>
    <t>整改情况</t>
  </si>
  <si>
    <t>序号</t>
  </si>
  <si>
    <t>发现日期</t>
  </si>
  <si>
    <t>区域</t>
  </si>
  <si>
    <t>隐患描述</t>
  </si>
  <si>
    <t>潜在后果</t>
  </si>
  <si>
    <t>状态</t>
  </si>
  <si>
    <t>紧急程度</t>
  </si>
  <si>
    <t>来源</t>
  </si>
  <si>
    <t>隐患类型1</t>
  </si>
  <si>
    <t>隐患类型2</t>
  </si>
  <si>
    <t>隐患类型3</t>
  </si>
  <si>
    <t>隐患类型4</t>
  </si>
  <si>
    <t>发现单位</t>
  </si>
  <si>
    <t>发现人</t>
  </si>
  <si>
    <t>责任部门</t>
  </si>
  <si>
    <t>责任领导</t>
  </si>
  <si>
    <t>整改期限</t>
  </si>
  <si>
    <t>具体位置</t>
  </si>
  <si>
    <t>核查评语</t>
  </si>
  <si>
    <t>后果类别</t>
  </si>
  <si>
    <t>严重性</t>
  </si>
  <si>
    <t>可能性</t>
  </si>
  <si>
    <t>风险级别</t>
  </si>
  <si>
    <t>整改方向1</t>
  </si>
  <si>
    <t>整改方向2</t>
  </si>
  <si>
    <t>整改措施</t>
  </si>
  <si>
    <t>措施数</t>
  </si>
  <si>
    <t>完成数</t>
  </si>
  <si>
    <t>整改进度</t>
  </si>
  <si>
    <t>复查人员</t>
  </si>
  <si>
    <t>复查日期</t>
  </si>
  <si>
    <t>说明</t>
  </si>
  <si>
    <t>19-6-14</t>
  </si>
  <si>
    <t>北风机</t>
  </si>
  <si>
    <t>人员从爬梯坠落腿部骨折，损工三个月。</t>
  </si>
  <si>
    <t>已整改</t>
  </si>
  <si>
    <t>一般</t>
  </si>
  <si>
    <t>隐患排查</t>
  </si>
  <si>
    <t>其他行为性危险和有害因素</t>
  </si>
  <si>
    <t>设备、设施、工具、附件缺陷</t>
  </si>
  <si>
    <t>室外作业场地环境不良</t>
  </si>
  <si>
    <t>其他管理因素缺陷</t>
  </si>
  <si>
    <t>化产车间</t>
  </si>
  <si>
    <t>张晓雷</t>
  </si>
  <si>
    <t>田清川</t>
  </si>
  <si>
    <t>19-10-15</t>
  </si>
  <si>
    <t>废气回收洗涤塔</t>
  </si>
  <si>
    <t>人员伤害</t>
  </si>
  <si>
    <t>C3</t>
  </si>
  <si>
    <t>F3</t>
  </si>
  <si>
    <t>II</t>
  </si>
  <si>
    <t>√ 车间联系维修班，对垂直爬梯加防护笼。（按照规范标准安装）</t>
  </si>
  <si>
    <t>100%</t>
  </si>
  <si>
    <t>19-6-15</t>
  </si>
  <si>
    <t>19-6-17</t>
  </si>
  <si>
    <t>废料堆</t>
  </si>
  <si>
    <t>作业人员被吊件轻微擦伤</t>
  </si>
  <si>
    <t>指挥错误</t>
  </si>
  <si>
    <t>张振</t>
  </si>
  <si>
    <t>刘永鹏</t>
  </si>
  <si>
    <t>19-8-9</t>
  </si>
  <si>
    <t>废旧管材库</t>
  </si>
  <si>
    <t>C2</t>
  </si>
  <si>
    <t>F2</t>
  </si>
  <si>
    <t>IV</t>
  </si>
  <si>
    <t>√ 吊装现场无关人员禁止靠近，吊装半径距离外设立警戒线。</t>
  </si>
  <si>
    <t>20-1-15</t>
  </si>
  <si>
    <t>19-6-19</t>
  </si>
  <si>
    <t>西硫铵岗位及配电室</t>
  </si>
  <si>
    <t>人员摔伤，误工两天。</t>
  </si>
  <si>
    <t>郭树鹏</t>
  </si>
  <si>
    <t>西硫铵冷凝液泵</t>
  </si>
  <si>
    <t>√ 安装引水管，把积水引导低位槽内
× 每班一小时清理盛水桶，清扫地面积水</t>
  </si>
  <si>
    <t>20-1-14</t>
  </si>
  <si>
    <t>19-7-10</t>
  </si>
  <si>
    <t>硫铵岗位，化产车间</t>
  </si>
  <si>
    <t>操作工被漏液喷溅轻微灼伤手部，经检查医治，不影响正常工作。</t>
  </si>
  <si>
    <t>其他作业环境不良</t>
  </si>
  <si>
    <t>陶桂玲</t>
  </si>
  <si>
    <t>19-8-15</t>
  </si>
  <si>
    <t>东硫铵低位槽</t>
  </si>
  <si>
    <t>× 设立警示牌，周边拉警戒线。
√ 放空吹扫置换合格后，焊补漏点。</t>
  </si>
  <si>
    <t>19-7-16</t>
  </si>
  <si>
    <t>造成火灾</t>
  </si>
  <si>
    <t>钱勇</t>
  </si>
  <si>
    <t>19-8-20</t>
  </si>
  <si>
    <t>西硫铵西侧</t>
  </si>
  <si>
    <t>环境污染</t>
  </si>
  <si>
    <t>√ 洒水车安装阻火器
√ 洒水车禁止驶入防爆区，焦场煤场区域洒水。</t>
  </si>
  <si>
    <t>19-7-18</t>
  </si>
  <si>
    <t>南风机</t>
  </si>
  <si>
    <t>人员中毒，着火爆炸</t>
  </si>
  <si>
    <t>室内作业环境不良</t>
  </si>
  <si>
    <t>张迎华</t>
  </si>
  <si>
    <t>风机房内</t>
  </si>
  <si>
    <t>F4</t>
  </si>
  <si>
    <t>I</t>
  </si>
  <si>
    <t>√ 切换备用风机，检修办理相关作业票证，对泄漏点气封进行更换。</t>
  </si>
  <si>
    <t>19-7-19</t>
  </si>
  <si>
    <t>5.5米抑尘项目</t>
  </si>
  <si>
    <t>住院治疗一个月，休养五个月。</t>
  </si>
  <si>
    <t>中等</t>
  </si>
  <si>
    <t>行为性危险有害因素</t>
  </si>
  <si>
    <t>职业安全卫生责任制未落实</t>
  </si>
  <si>
    <t>炼焦车间</t>
  </si>
  <si>
    <t>刘海峰</t>
  </si>
  <si>
    <t>李水平</t>
  </si>
  <si>
    <t>19-9-1</t>
  </si>
  <si>
    <t>抑尘现场</t>
  </si>
  <si>
    <t>机械完整性</t>
  </si>
  <si>
    <t>√ 安装并规范使用防护罩
× 现场悬挂警示标志</t>
  </si>
  <si>
    <t>20-1-13</t>
  </si>
  <si>
    <t>安装防护罩并放于有效位置</t>
  </si>
  <si>
    <t>南脱硫</t>
  </si>
  <si>
    <t>造成一人轻微中毒，在家休息疗养三天，误工三天。</t>
  </si>
  <si>
    <t>事故分析</t>
  </si>
  <si>
    <t>刘伟</t>
  </si>
  <si>
    <t>废气系统</t>
  </si>
  <si>
    <t>隐患描述不完整，废气回收存在煤气？风险判断不准确，损工限工为C3</t>
  </si>
  <si>
    <t>√ 停机检查风机泄漏点，发现漏点及时焊补。
× 设立警戒线，人员擦拭设备佩戴防毒面具佩戴气体报警仪。</t>
  </si>
  <si>
    <t>19-7-21</t>
  </si>
  <si>
    <t>北脱硫</t>
  </si>
  <si>
    <t>划伤脸部，胳膊。损工三天</t>
  </si>
  <si>
    <t>辨识功能缺陷</t>
  </si>
  <si>
    <t>建筑物和其他结构缺陷</t>
  </si>
  <si>
    <t>高联名</t>
  </si>
  <si>
    <t>19-8-31</t>
  </si>
  <si>
    <t>北脱硫硫仓库二楼</t>
  </si>
  <si>
    <t>√ 联系外协更换破损玻璃。</t>
  </si>
  <si>
    <t>19-7-22</t>
  </si>
  <si>
    <t>划伤手臂，轻微伤。</t>
  </si>
  <si>
    <t>黄兆华</t>
  </si>
  <si>
    <t>仓库门西门</t>
  </si>
  <si>
    <t>√ 维修人员加焊活页。
× 设立警示标识。</t>
  </si>
  <si>
    <t>19-7-29</t>
  </si>
  <si>
    <t>5.5.炼焦车间</t>
  </si>
  <si>
    <t>巡检人员脚部踏入坑中，脚部崴伤，住院10天后恢复。</t>
  </si>
  <si>
    <t>安全环保处</t>
  </si>
  <si>
    <t>田震</t>
  </si>
  <si>
    <t>软水箱西侧电缆沟</t>
  </si>
  <si>
    <t>承包商管理</t>
  </si>
  <si>
    <t>√ 及时完善地沟盖板覆盖
√ 临时盖板必须完整有效</t>
  </si>
  <si>
    <t>20-1-11</t>
  </si>
  <si>
    <t>加装盖板</t>
  </si>
  <si>
    <t>19-7-30</t>
  </si>
  <si>
    <t>人员摔落，不影响工作</t>
  </si>
  <si>
    <t>19-8-30</t>
  </si>
  <si>
    <t>风机房西侧</t>
  </si>
  <si>
    <t>√ 更换爬梯护栏。</t>
  </si>
  <si>
    <t>东冷凝岗位及配电室</t>
  </si>
  <si>
    <t>一人从框架顶部坠落，造成一人死亡</t>
  </si>
  <si>
    <t>防护缺陷</t>
  </si>
  <si>
    <t>刘国强</t>
  </si>
  <si>
    <t>澄清槽东框架</t>
  </si>
  <si>
    <t>C4</t>
  </si>
  <si>
    <t>√ 除锈防腐，加固护栏平台。
× 悬挂警示牌</t>
  </si>
  <si>
    <t>19-9-10</t>
  </si>
  <si>
    <t>19-8-10</t>
  </si>
  <si>
    <t>化产车间MVR工段</t>
  </si>
  <si>
    <t>氧气瓶表头损坏</t>
  </si>
  <si>
    <t>滕录德</t>
  </si>
  <si>
    <t>MVR项目现场</t>
  </si>
  <si>
    <t>财产损失</t>
  </si>
  <si>
    <t>C1</t>
  </si>
  <si>
    <t>√ 氧气瓶进行固定，采取防倾倒措施。</t>
  </si>
  <si>
    <t>19-8-11</t>
  </si>
  <si>
    <t>已经撤走</t>
  </si>
  <si>
    <t>19-8-13</t>
  </si>
  <si>
    <t>化产车间北风机</t>
  </si>
  <si>
    <t>1名操作人员被坠落的玻璃砸伤肩胛骨，住院治疗一周损工7天。</t>
  </si>
  <si>
    <t>19-9-13</t>
  </si>
  <si>
    <t>北风机房</t>
  </si>
  <si>
    <t>III</t>
  </si>
  <si>
    <t>√ 通知维修加固松动的玻璃窗。</t>
  </si>
  <si>
    <t>19-8-19</t>
  </si>
  <si>
    <t>化产车间北系统空压站</t>
  </si>
  <si>
    <t>造成一名职工小腿轻微骨折，住院治疗三周，损工半年。</t>
  </si>
  <si>
    <t>脚手架、阶梯或活动梯架缺陷</t>
  </si>
  <si>
    <t>李岩</t>
  </si>
  <si>
    <t>19-9-21</t>
  </si>
  <si>
    <t>空压站北爬梯</t>
  </si>
  <si>
    <t>√ 办理动火作业证，加固开焊护栏平台。</t>
  </si>
  <si>
    <t>19-8-23</t>
  </si>
  <si>
    <t>化产车间深度脱硫</t>
  </si>
  <si>
    <t>一名操作工左腿小腿骨折，住院治疗，损工两个月</t>
  </si>
  <si>
    <t>孟凡鲁</t>
  </si>
  <si>
    <t>19-10-31</t>
  </si>
  <si>
    <t>深度脱硫东北角管廊</t>
  </si>
  <si>
    <t>√ 拆除废旧管线，加固焊接管架支架和晃动断裂开焊的管道</t>
  </si>
  <si>
    <t>化产车间，综合供水</t>
  </si>
  <si>
    <t>一名操作工小腿骨折，住院治疗一周，损工俩月</t>
  </si>
  <si>
    <t>刘永强</t>
  </si>
  <si>
    <t>19-9-23</t>
  </si>
  <si>
    <t>综合供水北侧爬梯</t>
  </si>
  <si>
    <t>√ 维修人员加固爬梯护栏开焊处。
√ 设立警戒线，悬挂警示牌。</t>
  </si>
  <si>
    <t>化产车间脱硫工段</t>
  </si>
  <si>
    <t>热导致一名巡检人员轻微灼伤，损工3天</t>
  </si>
  <si>
    <t>19-10-30</t>
  </si>
  <si>
    <t>导热油炉</t>
  </si>
  <si>
    <t>F1</t>
  </si>
  <si>
    <t>√ 根据防腐保温计划对加热器防腐保温。
× 设立警示标识“小心灼烫”</t>
  </si>
  <si>
    <t>19-12-15</t>
  </si>
  <si>
    <t>19-8-22</t>
  </si>
  <si>
    <t>腿部、肋骨多处骨折，住院治疗三个月，休养四个月后康复</t>
  </si>
  <si>
    <t>刘青松</t>
  </si>
  <si>
    <t>19-9-24</t>
  </si>
  <si>
    <t>5.5米抑尘项目东管</t>
  </si>
  <si>
    <t>√ 立即停止使用不符合安全要求的设施
√ 根据要求，使用符合安全规定的作业设施</t>
  </si>
  <si>
    <t>修复达到安全要求后使用</t>
  </si>
  <si>
    <t>手臂骨折，损工治疗2月</t>
  </si>
  <si>
    <t>刘世德</t>
  </si>
  <si>
    <t>脱硫溶硫滏</t>
  </si>
  <si>
    <t>√ 现场停止施工，进行安全交底，监护人员现场固定爬梯，作业人员佩带安全带。</t>
  </si>
  <si>
    <t>更换脚手架，佩带安全带，现场专人监护</t>
  </si>
  <si>
    <t>19-8-25</t>
  </si>
  <si>
    <t>循环水系统</t>
  </si>
  <si>
    <t>轻微碰伤，送医务室涂药处理，休息两小时后复工</t>
  </si>
  <si>
    <t>陈素梅</t>
  </si>
  <si>
    <t>19-9-27</t>
  </si>
  <si>
    <t>循环水泵房</t>
  </si>
  <si>
    <t>提高员工安全意识，自觉规范使用劳保用品</t>
  </si>
  <si>
    <t>激励和意识</t>
  </si>
  <si>
    <t>× 培训教育员工，提高自我保护意识，生产现场规范佩戴安全帽</t>
  </si>
  <si>
    <t>维修人员规范佩戴安全帽</t>
  </si>
  <si>
    <t>19-8-26</t>
  </si>
  <si>
    <t>4.3米焦炉</t>
  </si>
  <si>
    <t>人员被卷入连轴器导致人员死亡</t>
  </si>
  <si>
    <t>操作错误</t>
  </si>
  <si>
    <t>李庆丰</t>
  </si>
  <si>
    <t>19-9-28</t>
  </si>
  <si>
    <t>脱硝抑尘工段</t>
  </si>
  <si>
    <t>汽轮机安装完成，设备整体调试时停机安装。</t>
  </si>
  <si>
    <t>√ 现场加装临时隔离，确保人员安全。
√ 汽轮机调试完成，及时停机安装</t>
  </si>
  <si>
    <t>19-9-8</t>
  </si>
  <si>
    <t>一人腿部骨折损工三个月</t>
  </si>
  <si>
    <t>19-10-9</t>
  </si>
  <si>
    <t>初冷器前煤气管道爬梯</t>
  </si>
  <si>
    <t>√ 加固改造爬梯，将爬梯与槽钢基础焊接加固。</t>
  </si>
  <si>
    <t>19-9-9</t>
  </si>
  <si>
    <t>化产车间卸碱槽</t>
  </si>
  <si>
    <t>人员灼伤</t>
  </si>
  <si>
    <t>脱硫岗位</t>
  </si>
  <si>
    <t>√ 维修制作安装防护罩</t>
  </si>
  <si>
    <t>19-9-11</t>
  </si>
  <si>
    <t>腿部骨折，损工治疗3月</t>
  </si>
  <si>
    <t>职业健康管理不完善</t>
  </si>
  <si>
    <t>19-10-12</t>
  </si>
  <si>
    <t>脱硫</t>
  </si>
  <si>
    <t>√ 加强监护，作业人员牌带安全带。</t>
  </si>
  <si>
    <t>19-9-18</t>
  </si>
  <si>
    <t>脚部腐蚀需去医院检查上药包扎，需要休息一周</t>
  </si>
  <si>
    <t>19-10-18</t>
  </si>
  <si>
    <t>西硫铵</t>
  </si>
  <si>
    <t>√ 废水池用合适盖板遮挡。</t>
  </si>
  <si>
    <t>19-9-20</t>
  </si>
  <si>
    <t>操作工被管线绊倒腿部骨折，损工两个月。</t>
  </si>
  <si>
    <t>19-10-20</t>
  </si>
  <si>
    <t>南风机水封槽</t>
  </si>
  <si>
    <t>√ 电工更换照明灯</t>
  </si>
  <si>
    <t>5.5米焦炉</t>
  </si>
  <si>
    <t>油缸底座松动导致油缸掉落</t>
  </si>
  <si>
    <t>监护失误</t>
  </si>
  <si>
    <t>王海涛</t>
  </si>
  <si>
    <t>于观彦</t>
  </si>
  <si>
    <t>地下室</t>
  </si>
  <si>
    <t>标准、流程</t>
  </si>
  <si>
    <t>√ 联系维修处理
√ 禁止人员靠近</t>
  </si>
  <si>
    <t>19-9-25</t>
  </si>
  <si>
    <t>联系维修人员及常调人员共同进行了紧固处理</t>
  </si>
  <si>
    <t>汽轮机</t>
  </si>
  <si>
    <t>爆炸，汽轮机飞车正好现场有人造成伤害</t>
  </si>
  <si>
    <t>外部检查</t>
  </si>
  <si>
    <t>负荷超限</t>
  </si>
  <si>
    <t>信号缺陷</t>
  </si>
  <si>
    <t>李富亮</t>
  </si>
  <si>
    <t>张国行</t>
  </si>
  <si>
    <t>19-10-28</t>
  </si>
  <si>
    <t>主控室</t>
  </si>
  <si>
    <t>隐患描述与后果描述不能混淆，操作人员少的隐患在异常情况下才能体现出来，能在现正常情况下考虑到值得点赞</t>
  </si>
  <si>
    <t>社会影响</t>
  </si>
  <si>
    <t>人员变更管理</t>
  </si>
  <si>
    <t>√ 合理协调人员，确保人数能满足处理异常的需要</t>
  </si>
  <si>
    <t>调整人员，达到人数要求</t>
  </si>
  <si>
    <t>19-9-29</t>
  </si>
  <si>
    <t>干熄焦</t>
  </si>
  <si>
    <t>一员工腿部被电击穿损工事故</t>
  </si>
  <si>
    <t>孙文鹏</t>
  </si>
  <si>
    <t>王安博</t>
  </si>
  <si>
    <t>19-11-3</t>
  </si>
  <si>
    <t>干熄焦地下室</t>
  </si>
  <si>
    <t>潮湿地域电气绝缘不良是造成触电事故的主要原因，应引起足够重视，及时处理接线头等易漏电部位</t>
  </si>
  <si>
    <t>√ 对潜水泵电缆接头进行绝缘处理，防止漏电</t>
  </si>
  <si>
    <t>20-1-3</t>
  </si>
  <si>
    <t>19-10-4</t>
  </si>
  <si>
    <t>化工厂停车场北地面</t>
  </si>
  <si>
    <t>限工6个月</t>
  </si>
  <si>
    <t>刘强</t>
  </si>
  <si>
    <t>19-11-5</t>
  </si>
  <si>
    <t>东风机</t>
  </si>
  <si>
    <t>√ 改造梯子平台，加装防护栏</t>
  </si>
  <si>
    <t>化产车间南脱硫岗位</t>
  </si>
  <si>
    <t>角膜轻微灼伤，住院治疗，损工事件</t>
  </si>
  <si>
    <t>深度脱硫西</t>
  </si>
  <si>
    <t>× 作业人员佩戴好防护面罩</t>
  </si>
  <si>
    <t>19-11-1</t>
  </si>
  <si>
    <t>一人左脸轻微烫伤，敷药后继续上班。</t>
  </si>
  <si>
    <t>健康状况异常</t>
  </si>
  <si>
    <t>李栋</t>
  </si>
  <si>
    <t>初冷器平台</t>
  </si>
  <si>
    <t>√ 更换阀门法兰垫子，紧固螺栓</t>
  </si>
  <si>
    <t>19-11-2</t>
  </si>
  <si>
    <t>19-10-5</t>
  </si>
  <si>
    <t>5.5米脱硫脱硝</t>
  </si>
  <si>
    <t>该员工左脚韧带断裂，送医治疗半个月，在家休养三个月</t>
  </si>
  <si>
    <t>刘树秀</t>
  </si>
  <si>
    <t>赵兴文</t>
  </si>
  <si>
    <t>19-11-7</t>
  </si>
  <si>
    <t>引风机</t>
  </si>
  <si>
    <t>× 维修安装爬梯
× 做好防护措施</t>
  </si>
  <si>
    <t>按规范安装爬梯</t>
  </si>
  <si>
    <t>5.5米炉顶</t>
  </si>
  <si>
    <t>触电事故，人员抢救无效死亡。</t>
  </si>
  <si>
    <t>电伤害</t>
  </si>
  <si>
    <t>刘永胜</t>
  </si>
  <si>
    <t>导烟车</t>
  </si>
  <si>
    <t>工艺安全信息</t>
  </si>
  <si>
    <t>√ 更换不合格电器零部件
√ 加强电器管理，及时处理</t>
  </si>
  <si>
    <t>化工厂碳化岗位</t>
  </si>
  <si>
    <t>造成一名路过人员轻微擦伤，简单包扎，未耽工。</t>
  </si>
  <si>
    <t>化工厂</t>
  </si>
  <si>
    <t>陈安伟</t>
  </si>
  <si>
    <t>王中民</t>
  </si>
  <si>
    <t>19-11-8</t>
  </si>
  <si>
    <t>清洗塔2层平台东侧</t>
  </si>
  <si>
    <t>直线责任</t>
  </si>
  <si>
    <t>√ 复位紧固</t>
  </si>
  <si>
    <t>5.5米焦炉机侧</t>
  </si>
  <si>
    <t>推焦车滑块整体烧坏，5.5米焦炉紧急停产维修4个小时</t>
  </si>
  <si>
    <t>姚兴军</t>
  </si>
  <si>
    <t>机侧9号碳化室</t>
  </si>
  <si>
    <t>工艺安全分析</t>
  </si>
  <si>
    <t>√ 维修处理
√ 加强监控</t>
  </si>
  <si>
    <t>19-10-7</t>
  </si>
  <si>
    <t>造成一名员工死亡</t>
  </si>
  <si>
    <t>王勇</t>
  </si>
  <si>
    <t>焦炉炉顶</t>
  </si>
  <si>
    <t>√ 更换新栏杆
√ 悬挂禁止攀登牌子</t>
  </si>
  <si>
    <t>宋华秀</t>
  </si>
  <si>
    <t>推焦岗位</t>
  </si>
  <si>
    <t>√ 维修重新铺新板
√ 生产班组未更换之前禁止踩踏</t>
  </si>
  <si>
    <t>19-10-17</t>
  </si>
  <si>
    <t>洗脱苯工段</t>
  </si>
  <si>
    <t>手臂轻微擦伤，无损工继续作业</t>
  </si>
  <si>
    <t>高瑞芬</t>
  </si>
  <si>
    <t>19-11-17</t>
  </si>
  <si>
    <t>蒸汽管架</t>
  </si>
  <si>
    <t>√ 清除管架上方杂物。</t>
  </si>
  <si>
    <t>北脱硫岗位及配电室</t>
  </si>
  <si>
    <t>造成操作工胳膊烫伤，经医院处理后继续工作</t>
  </si>
  <si>
    <t>孙绍华</t>
  </si>
  <si>
    <t>19-11-18</t>
  </si>
  <si>
    <t>导热油</t>
  </si>
  <si>
    <t>√ 预热器保温，设立警示标识。</t>
  </si>
  <si>
    <t>19-11-6</t>
  </si>
  <si>
    <t>人员骨折住院治疗三个月的损工事故</t>
  </si>
  <si>
    <t>尹风迎</t>
  </si>
  <si>
    <t>19-11-19</t>
  </si>
  <si>
    <t>5.5米焦侧通廊南头</t>
  </si>
  <si>
    <t>√ 联系维修加固处理
√ 加强熄焦管理，杜绝平台漏水</t>
  </si>
  <si>
    <t>19-10-25</t>
  </si>
  <si>
    <t>对通风道进行了更换，上部漏水点进行防漏处理</t>
  </si>
  <si>
    <t>19-10-19</t>
  </si>
  <si>
    <t>干熄焦提升机</t>
  </si>
  <si>
    <t>造成一人死亡</t>
  </si>
  <si>
    <t>物理性危险和有害因素</t>
  </si>
  <si>
    <t>董孝文</t>
  </si>
  <si>
    <t>七层西侧</t>
  </si>
  <si>
    <t>云梯为设备安装时使用，已不再使用，需进行拆除，彻底消防隐患</t>
  </si>
  <si>
    <t>√ 拆除云梯，消防隐患</t>
  </si>
  <si>
    <t>导致烟囱冒黑烟</t>
  </si>
  <si>
    <t>19-11-22</t>
  </si>
  <si>
    <t>推焦平台</t>
  </si>
  <si>
    <t>× 提报新盖板
× 用灌浆料封堵</t>
  </si>
  <si>
    <t>20-1-2</t>
  </si>
  <si>
    <t>联系维修焊铁板处理</t>
  </si>
  <si>
    <t>人员死亡</t>
  </si>
  <si>
    <t>李刚</t>
  </si>
  <si>
    <t>郭峰祥</t>
  </si>
  <si>
    <t>19-11-21</t>
  </si>
  <si>
    <t>零米北门口</t>
  </si>
  <si>
    <t>安全意识强能发现细微处隐患</t>
  </si>
  <si>
    <t>√ 联系电工对电缆增加保护措施防止漏电伤人</t>
  </si>
  <si>
    <t>20-1-10</t>
  </si>
  <si>
    <t>电工对电缆已增加套筒。</t>
  </si>
  <si>
    <t>19-10-21</t>
  </si>
  <si>
    <t>人员触电，经抢救无效死亡！</t>
  </si>
  <si>
    <t>秦海伟</t>
  </si>
  <si>
    <t>汽轮机零米</t>
  </si>
  <si>
    <t>电缆必须加装套管防止绝缘损坏，避免漏电触电事故</t>
  </si>
  <si>
    <t>√ 加装套管，加强绝缘保护</t>
  </si>
  <si>
    <t>19-10-22</t>
  </si>
  <si>
    <t>汽轮机系统</t>
  </si>
  <si>
    <t>诊断为左胳膊深二度烫伤，住院治疗一个月，损工一个月</t>
  </si>
  <si>
    <t>高温物质</t>
  </si>
  <si>
    <t>孙连祥</t>
  </si>
  <si>
    <t>减温减压室</t>
  </si>
  <si>
    <t>高压过热蒸汽漏气不会出现白雾，不意察觉，容易造成伤害，应及时处理漏点防止更大设备和人身伤害</t>
  </si>
  <si>
    <t>√ 切断与各系统连接，排出管内蒸汽，降至常压后进行焊补加固</t>
  </si>
  <si>
    <t>20-1-12</t>
  </si>
  <si>
    <t>2号减温减压本体整体已更换</t>
  </si>
  <si>
    <t>电气运行区域</t>
  </si>
  <si>
    <t>断路器触头烧损，引起设备停电造成财产损失。</t>
  </si>
  <si>
    <t>其他物理性危险和有害因素</t>
  </si>
  <si>
    <t>刘彬</t>
  </si>
  <si>
    <t>19-11-26</t>
  </si>
  <si>
    <t>高压配电室</t>
  </si>
  <si>
    <t>温度探测检测实时显示可提醒人员及时发现及时处理，防止异常引发事故，应确保其有效性</t>
  </si>
  <si>
    <t>√ 检查维修，确保检测显示正常</t>
  </si>
  <si>
    <t>检查维修</t>
  </si>
  <si>
    <t>19-10-24</t>
  </si>
  <si>
    <t>精炼岗位</t>
  </si>
  <si>
    <t>医务室就医后复工。</t>
  </si>
  <si>
    <t>张文军</t>
  </si>
  <si>
    <t>张华和</t>
  </si>
  <si>
    <t>19-11-24</t>
  </si>
  <si>
    <t>精炼南墙上侧</t>
  </si>
  <si>
    <t>× 通知维修人员拆除废旧管线</t>
  </si>
  <si>
    <t>装置已停产</t>
  </si>
  <si>
    <t>设备损坏，损失一万元</t>
  </si>
  <si>
    <t>郭文霞</t>
  </si>
  <si>
    <t>19-11-25</t>
  </si>
  <si>
    <t>循环水加药间</t>
  </si>
  <si>
    <t>需注意老鼠造成的电气损坏</t>
  </si>
  <si>
    <t>√ 安装挡鼠板，防止老鼠进入</t>
  </si>
  <si>
    <t>加药间门口已加装挡鼠板</t>
  </si>
  <si>
    <t>造成人员右手上臂骨折，损工3个月。</t>
  </si>
  <si>
    <t>祝国杰</t>
  </si>
  <si>
    <t>循环水配电室北门</t>
  </si>
  <si>
    <t>启动前安全审核</t>
  </si>
  <si>
    <t>√ 恢复警示牌，提供员工意识</t>
  </si>
  <si>
    <t>提高安全意识。</t>
  </si>
  <si>
    <t>循环水池</t>
  </si>
  <si>
    <t>医务室就医后复工</t>
  </si>
  <si>
    <t>张立强</t>
  </si>
  <si>
    <t>循环水泵房北平台爬梯</t>
  </si>
  <si>
    <t>√ 恢复警示牌，加强员工教育增强意识</t>
  </si>
  <si>
    <t>脚扭伤损工事故</t>
  </si>
  <si>
    <t>李宪斌</t>
  </si>
  <si>
    <t>1#提升机框一层平台</t>
  </si>
  <si>
    <t>严格执行4S管理不仅是现场管理要求，也关系到作业安全，需及时清理现场方便操作</t>
  </si>
  <si>
    <t>√ 请除现场场杂物并保持</t>
  </si>
  <si>
    <t>现场枕木及杂物已清理</t>
  </si>
  <si>
    <t>人员轻微受伤</t>
  </si>
  <si>
    <t>张瑞海</t>
  </si>
  <si>
    <t>干熄焦1号提升机三层</t>
  </si>
  <si>
    <t>护栏踢脚板本来是安全附件，出现异常变成了隐患，需及时焊接整改</t>
  </si>
  <si>
    <t>√ 踢脚板焊接牢固</t>
  </si>
  <si>
    <t>空分</t>
  </si>
  <si>
    <t>造成腿部骨折，住院医疗1个月，修养2个月，共损工3个月。</t>
  </si>
  <si>
    <t>张瑞涛</t>
  </si>
  <si>
    <t>19-11-30</t>
  </si>
  <si>
    <t>1#分馏塔</t>
  </si>
  <si>
    <t>√ 爬梯小门及时关闭加强管理</t>
  </si>
  <si>
    <t>一名操作工失足跌落，小腿骨折，住院15天，共损工三个月</t>
  </si>
  <si>
    <t>刘涛</t>
  </si>
  <si>
    <t>空压机</t>
  </si>
  <si>
    <t>√ 将盖板规范覆盖消除隐患</t>
  </si>
  <si>
    <t>除盐水站</t>
  </si>
  <si>
    <t>一名员工肩部骨折，损工3个月</t>
  </si>
  <si>
    <t>毕玉宁</t>
  </si>
  <si>
    <t>除盐水站西墙</t>
  </si>
  <si>
    <t>小处着眼，防微杜渐</t>
  </si>
  <si>
    <t>√ 联系电工对电缆盖板进行固定</t>
  </si>
  <si>
    <t>电缆盖板进行固定，防止脱落伤人</t>
  </si>
  <si>
    <t>一名员工膝盖破皮，去医务室简单处理的轻微医疗事件</t>
  </si>
  <si>
    <t>禚金伟</t>
  </si>
  <si>
    <t>主控楼楼顶</t>
  </si>
  <si>
    <t>楼顶部位空间狭小，易绊倒的线缆应整理</t>
  </si>
  <si>
    <t>√ 班组将电缆进行绑扎固定，防止人员绊倒</t>
  </si>
  <si>
    <t>电缆已重新铺设至电缆盒内。</t>
  </si>
  <si>
    <t>19-10-26</t>
  </si>
  <si>
    <t>一名职工脚踝扭伤，损工半个月。</t>
  </si>
  <si>
    <t>刘桂圣</t>
  </si>
  <si>
    <t>除盐水站东侧地沟</t>
  </si>
  <si>
    <t>盖板不完整，小问题也能引起员工受伤，及时处理并保持</t>
  </si>
  <si>
    <t>√ 安装盖板，确保盖板完整性起到保护作用，防止人员跌落受伤</t>
  </si>
  <si>
    <t>已重新铺设盖板</t>
  </si>
  <si>
    <t>19-10-29</t>
  </si>
  <si>
    <t>压缩岗位压缩机</t>
  </si>
  <si>
    <t>一名人员手臂骨折，住院治疗1个月，损工3个月。</t>
  </si>
  <si>
    <t>紧急</t>
  </si>
  <si>
    <t>刘艳</t>
  </si>
  <si>
    <t>2号压缩机</t>
  </si>
  <si>
    <t>√ 办理登高证，系好安全带！</t>
  </si>
  <si>
    <t>立即停止作业，扎好安全带、戴好安全帽后恢复作业</t>
  </si>
  <si>
    <t>操作工小腿骨折，损工三个月</t>
  </si>
  <si>
    <t>李福栋</t>
  </si>
  <si>
    <t>19-11-16</t>
  </si>
  <si>
    <t>2#压缩机处</t>
  </si>
  <si>
    <t>√ 清理干净，放至指定位置。</t>
  </si>
  <si>
    <t>此处已安装压缩机，胶皮管已收走</t>
  </si>
  <si>
    <t>变换岗位</t>
  </si>
  <si>
    <t>一名操作工烫伤，住院治疗半月，休息半月。</t>
  </si>
  <si>
    <t>赵文杰</t>
  </si>
  <si>
    <t>19-12-1</t>
  </si>
  <si>
    <t>变换蒸汽连管倒淋</t>
  </si>
  <si>
    <t>× 用铁丝固定连接口</t>
  </si>
  <si>
    <t>化工厂转化工段</t>
  </si>
  <si>
    <t>就医后，诊断为身体多处骨折，治疗4个月，休假6个月损工事件。</t>
  </si>
  <si>
    <t>赵明杰</t>
  </si>
  <si>
    <t>刘正君</t>
  </si>
  <si>
    <t>2#废锅南侧过桥</t>
  </si>
  <si>
    <t>× 联系维修安装扶手</t>
  </si>
  <si>
    <t>装置已停产，准备拆除。</t>
  </si>
  <si>
    <t>化工厂合成区域</t>
  </si>
  <si>
    <t>人员受到惊吓，无损工现象。</t>
  </si>
  <si>
    <t>赵继龙</t>
  </si>
  <si>
    <t>叉车充电室</t>
  </si>
  <si>
    <t>√ 及时将裸露线头按规范包好</t>
  </si>
  <si>
    <t>备煤煤线岗位及配电室</t>
  </si>
  <si>
    <t>一操作人员手部割伤，限工5日</t>
  </si>
  <si>
    <t>丁杰</t>
  </si>
  <si>
    <t>备煤车间</t>
  </si>
  <si>
    <t>谢同海</t>
  </si>
  <si>
    <t>20-2-3</t>
  </si>
  <si>
    <t>煤四岗位南墙窗户</t>
  </si>
  <si>
    <t>√ 更换窗户框</t>
  </si>
  <si>
    <t>已更换窗户框。</t>
  </si>
  <si>
    <t>包装机</t>
  </si>
  <si>
    <t>经医生检查轻微擦伤简单处理后立即复工</t>
  </si>
  <si>
    <t>刘炳焰</t>
  </si>
  <si>
    <t>√ 规范放置牢靠，不用及时清理。</t>
  </si>
  <si>
    <t>一名工人腿部骨折，送医治疗半个月，在家修养三个月</t>
  </si>
  <si>
    <t>19-12-5</t>
  </si>
  <si>
    <t>干熄车</t>
  </si>
  <si>
    <t>√ 安装防滑条
√ 在此期间注意防护</t>
  </si>
  <si>
    <t>5.5米扒焦</t>
  </si>
  <si>
    <t>人员高处坠落，送医抢救无效，死亡</t>
  </si>
  <si>
    <t>王占光</t>
  </si>
  <si>
    <t>干熄炉东侧除尘</t>
  </si>
  <si>
    <t>√ 维修焊补
√ 三班人员未修复以前禁止进入</t>
  </si>
  <si>
    <t>人员大腿骨折，住院治疗一个月，在家休息三个月。</t>
  </si>
  <si>
    <t>张仁良</t>
  </si>
  <si>
    <t>炉顶</t>
  </si>
  <si>
    <t>√ 维修焊补
√ 注意防护</t>
  </si>
  <si>
    <t>东焦场</t>
  </si>
  <si>
    <t>一名工人头部脑震荡，送医治疗一个月，在家修养半年</t>
  </si>
  <si>
    <t>张起华</t>
  </si>
  <si>
    <t>19-12-7</t>
  </si>
  <si>
    <t>除尘</t>
  </si>
  <si>
    <t>√ 设置警戒带
√ 人员监护</t>
  </si>
  <si>
    <t>设置警戒带进行隔离</t>
  </si>
  <si>
    <t>人员高处坠落，由于摔伤比较严重，经抢救无效死亡</t>
  </si>
  <si>
    <t>赵永祥</t>
  </si>
  <si>
    <t>炉顶焦侧</t>
  </si>
  <si>
    <t>√ 维修焊补
√ 未焊之前禁止人员上去</t>
  </si>
  <si>
    <t>住院1个月，回家休养2个月康复，损工90天。</t>
  </si>
  <si>
    <t>测换地下室东通廊</t>
  </si>
  <si>
    <t>√ 水泥重新摸不
√ 设置警示装置提醒</t>
  </si>
  <si>
    <t>19-12-27</t>
  </si>
  <si>
    <t>热修人员进行地面重新摸补</t>
  </si>
  <si>
    <t>化产车间北脱硫</t>
  </si>
  <si>
    <t>造成环境污染，车间组织人员及时打扫干净，未造成人员伤害。</t>
  </si>
  <si>
    <t>北脱硫溶液换热器</t>
  </si>
  <si>
    <t>√ 更换溶液换热器封头垫子</t>
  </si>
  <si>
    <t>19-12-4</t>
  </si>
  <si>
    <t>划伤颈部，去医院简单治疗后上班，无损工</t>
  </si>
  <si>
    <t>刘金强</t>
  </si>
  <si>
    <t>19-12-6</t>
  </si>
  <si>
    <t>北脱硫东管架</t>
  </si>
  <si>
    <t>√ 清除废旧铝皮</t>
  </si>
  <si>
    <t>造成一名员工受伤，送医抢救无效死亡</t>
  </si>
  <si>
    <t>19-12-10</t>
  </si>
  <si>
    <t>机侧集气管道</t>
  </si>
  <si>
    <t>√ 及时进行整改
√ 现场加强监护</t>
  </si>
  <si>
    <t>造成一名操作工受重伤，送医抢救无效死亡。</t>
  </si>
  <si>
    <t>焦侧上升管操作平台</t>
  </si>
  <si>
    <t>√ 加固平台
√ 及时防腐清理平台</t>
  </si>
  <si>
    <t>19-11-9</t>
  </si>
  <si>
    <t>化学水除盐水池</t>
  </si>
  <si>
    <t>造成一名操作工双腿骨折，损工六个月。</t>
  </si>
  <si>
    <t>待整改</t>
  </si>
  <si>
    <t>热力车间</t>
  </si>
  <si>
    <t>张雨安</t>
  </si>
  <si>
    <t>于连成</t>
  </si>
  <si>
    <t>西区老系统水池平台</t>
  </si>
  <si>
    <t>× 重新制作铁质盖板，刷漆防腐
× 注意安全</t>
  </si>
  <si>
    <t>0%</t>
  </si>
  <si>
    <t>一人受伤，医检两处骨折，住院一月，回家休养3月，损工4个月。</t>
  </si>
  <si>
    <t>张瑞顺</t>
  </si>
  <si>
    <t>拦焦车</t>
  </si>
  <si>
    <t>√ 焊接加固
√ 人员严禁踩踏</t>
  </si>
  <si>
    <t>造成1人脸部受伤，住院7天，回家休息23天，损工1个月。</t>
  </si>
  <si>
    <t>捣固煤仓</t>
  </si>
  <si>
    <t>√ 修复彩钢瓦
√ 加强现场监护</t>
  </si>
  <si>
    <t>1人头部受伤，住院治疗1月，回家休养3月，损工4个月。</t>
  </si>
  <si>
    <t>付永明</t>
  </si>
  <si>
    <t>焦侧上升管平台</t>
  </si>
  <si>
    <t>√ 焊接固定
√ 现场杂物清理</t>
  </si>
  <si>
    <t>1员工头部受伤，住院治疗1月，回家休养2月，损工3个月</t>
  </si>
  <si>
    <t>刘烨</t>
  </si>
  <si>
    <t>机侧平台南头端台处</t>
  </si>
  <si>
    <t>√ 及时修复破损部位
√ 保持生产设施完好</t>
  </si>
  <si>
    <t>19-11-15</t>
  </si>
  <si>
    <t>热修人员对破损点进去了浇筑处理</t>
  </si>
  <si>
    <t>1人小腿骨折，住院一个月，回家休养3月，损工4个月。</t>
  </si>
  <si>
    <t>李爱华</t>
  </si>
  <si>
    <t>送煤车</t>
  </si>
  <si>
    <t>√ 及时修复篦子板
√ 加强设备运行监护</t>
  </si>
  <si>
    <t>19-11-11</t>
  </si>
  <si>
    <t>人员触电，当场死亡</t>
  </si>
  <si>
    <t>19-12-13</t>
  </si>
  <si>
    <t>√ 加强现场监管，严禁司机违规操作
√ 特殊作业必须办理停送电手续，拉闸断电。</t>
  </si>
  <si>
    <t>规范铲车操作，加强用电管理</t>
  </si>
  <si>
    <t>操作工煤气中毒后，立即送医院抢救无效死亡。</t>
  </si>
  <si>
    <t>职业安全卫生组织机构不健全</t>
  </si>
  <si>
    <t>陈德增</t>
  </si>
  <si>
    <t>5.5米炉顶集气道</t>
  </si>
  <si>
    <t>√ 涂刷警示色
√ 加强职工安全提示教育培训</t>
  </si>
  <si>
    <t>整理清除现场管路</t>
  </si>
  <si>
    <t>操作工摔伤后立即送医院救治，面部骨折，住院十五天。</t>
  </si>
  <si>
    <t>19-11-12</t>
  </si>
  <si>
    <t>肩膀骨折，休假养伤半年</t>
  </si>
  <si>
    <t>田广</t>
  </si>
  <si>
    <t>5.5米焦炉地下室</t>
  </si>
  <si>
    <t>√ 清理地下室胶管
√ 规范放置</t>
  </si>
  <si>
    <t>常调人员每次用完后进行规范放置</t>
  </si>
  <si>
    <t>经医院抢救无效死亡</t>
  </si>
  <si>
    <t>职业安全卫生投入不足</t>
  </si>
  <si>
    <t>脱硫脱硝</t>
  </si>
  <si>
    <t>√ 增设爬梯
√ 人员上下使用符合要求的梯子，并专人监护。</t>
  </si>
  <si>
    <t>抢救无效死亡。</t>
  </si>
  <si>
    <t>田兴军</t>
  </si>
  <si>
    <t>√ 增设平台
√ 人员上下使用专用梯子并专人监护</t>
  </si>
  <si>
    <t>抢救无效，死亡。</t>
  </si>
  <si>
    <t>董永涛</t>
  </si>
  <si>
    <t>5米5焦炉</t>
  </si>
  <si>
    <t>√ 及时整改管托
√ 现场采取防止管托掉落措施，加强监护</t>
  </si>
  <si>
    <t>19-11-13</t>
  </si>
  <si>
    <t>救治无效死亡。</t>
  </si>
  <si>
    <t>马同波</t>
  </si>
  <si>
    <t>19-12-16</t>
  </si>
  <si>
    <t>拦焦</t>
  </si>
  <si>
    <t>√ 规范操作
√ 电仪对电器部件定期维护</t>
  </si>
  <si>
    <t>设定好限位，防止送煤超限</t>
  </si>
  <si>
    <t>就医修养六个月。</t>
  </si>
  <si>
    <t>王顺生</t>
  </si>
  <si>
    <t>焦一皮带</t>
  </si>
  <si>
    <t>设备变更管理</t>
  </si>
  <si>
    <t>√ 补齐护栏
√ 人员提醒注意安全</t>
  </si>
  <si>
    <t>按规范加装护栏</t>
  </si>
  <si>
    <t>4.3米炉顶区域</t>
  </si>
  <si>
    <t>颈椎粉碎性骨折，送医院抢救无效死亡</t>
  </si>
  <si>
    <t>职业安全卫生管理规章制度不完善</t>
  </si>
  <si>
    <t>杨启荣</t>
  </si>
  <si>
    <t>炉顶区域</t>
  </si>
  <si>
    <t>√ 线缆整理
√ 检修完及时清理</t>
  </si>
  <si>
    <t>检修完毕现场清理</t>
  </si>
  <si>
    <t>转化岗位</t>
  </si>
  <si>
    <t>一名操作工被人孔盖烫伤，去医务室处理后就医治疗7，损工7天天</t>
  </si>
  <si>
    <t>1#转化炉废锅</t>
  </si>
  <si>
    <t>√ 将保护罩盖好</t>
  </si>
  <si>
    <t>精炼</t>
  </si>
  <si>
    <t>1名巡检人员手臂擦伤，经医务人员包扎后继续上班。</t>
  </si>
  <si>
    <t>高继国</t>
  </si>
  <si>
    <t>精炼分离器平台</t>
  </si>
  <si>
    <t>质量保证</t>
  </si>
  <si>
    <t>√ 将使用完的板子及时撤走</t>
  </si>
  <si>
    <t>小腿骨折住院10天，休息90天。</t>
  </si>
  <si>
    <t>付洪国</t>
  </si>
  <si>
    <t>三万气柜地沟无盖板</t>
  </si>
  <si>
    <t>√ 增加盖板消除隐患</t>
  </si>
  <si>
    <t>由于倒淋管高出地面，操作工被绊倒，轻微擦伤，医务室就医后复工</t>
  </si>
  <si>
    <t>刘同贞</t>
  </si>
  <si>
    <t>小铜泵地缸处</t>
  </si>
  <si>
    <t>× 制作合适的平台盖住管线防止绊倒</t>
  </si>
  <si>
    <t>一名巡检工小腿被烫伤，损工30天，复工上班。</t>
  </si>
  <si>
    <t>赵建源</t>
  </si>
  <si>
    <t>合成循环机操作室顶</t>
  </si>
  <si>
    <t>× 将裸露的蒸汽管线进行保温</t>
  </si>
  <si>
    <t>设备已停产</t>
  </si>
  <si>
    <t>化工化工碳化片区</t>
  </si>
  <si>
    <t>一名巡检工被烫伤，送医务室处理后复工</t>
  </si>
  <si>
    <t>崔爱丽</t>
  </si>
  <si>
    <t>加热器倒淋去精脱硫贫</t>
  </si>
  <si>
    <t>√ 维修进行堵漏处理</t>
  </si>
  <si>
    <t>维修已处理</t>
  </si>
  <si>
    <t>手腕脱臼，休息三天，损工三天。</t>
  </si>
  <si>
    <t>李龙堂</t>
  </si>
  <si>
    <t>循环水污水处理站平台</t>
  </si>
  <si>
    <t>√ 及时清理平台杂物</t>
  </si>
  <si>
    <t>空分岗位</t>
  </si>
  <si>
    <t>操作工小腿骨折，住院治疗一个月，在家修养六十天</t>
  </si>
  <si>
    <t>空分冷却泵</t>
  </si>
  <si>
    <t>√ 胶皮管规范存放</t>
  </si>
  <si>
    <t>19-12-17</t>
  </si>
  <si>
    <t>√ 规范整理管道做好安全防护</t>
  </si>
  <si>
    <t>干熄焦区域</t>
  </si>
  <si>
    <t>损工两天</t>
  </si>
  <si>
    <t>何勇</t>
  </si>
  <si>
    <t>19-12-18</t>
  </si>
  <si>
    <t>环境除尘西侧</t>
  </si>
  <si>
    <t>安全意识较强能够发现隐蔽处存在的安全隐患</t>
  </si>
  <si>
    <t>√ 下方安排专人监护用长杆将铁件清理
√ 班组依次类推将区域高处可能掉落的物品进行加固清理</t>
  </si>
  <si>
    <t>肩膀骨折，住院治疗休养3个月</t>
  </si>
  <si>
    <t>葛光伟</t>
  </si>
  <si>
    <t>19-12-20</t>
  </si>
  <si>
    <t>5.5米焦炉炉顶</t>
  </si>
  <si>
    <t>√ 清理闲置物资
√ 保持现场整洁</t>
  </si>
  <si>
    <t>清理现场</t>
  </si>
  <si>
    <t>变换</t>
  </si>
  <si>
    <t>造成一名人员轻微烫伤。</t>
  </si>
  <si>
    <t>刘文永</t>
  </si>
  <si>
    <t>二热交换器</t>
  </si>
  <si>
    <t>× 将倒淋管接入地沟</t>
  </si>
  <si>
    <t>脚踝扭伤，损工5天</t>
  </si>
  <si>
    <t>刘丽丽</t>
  </si>
  <si>
    <t>汽轮机循环水泵房</t>
  </si>
  <si>
    <t>盖板问题造成人员伤害机率虽然实际不大，但也需及时消除，防止小概率事件发生</t>
  </si>
  <si>
    <t>√ 加固盖板空隙过大处，防止人员受伤</t>
  </si>
  <si>
    <t>身体多处骨折，送医治疗损工150天。</t>
  </si>
  <si>
    <t>刘萌</t>
  </si>
  <si>
    <t>汽轮机主控楼楼顶</t>
  </si>
  <si>
    <t>此处登高失足跌落的主要因素还是安全意识，防止此类事故先从警示提示进行</t>
  </si>
  <si>
    <t>√ 悬挂安全警示牌，提高人员安全意识</t>
  </si>
  <si>
    <t>一人触电死亡</t>
  </si>
  <si>
    <t>汽机3号4号减温减压</t>
  </si>
  <si>
    <t>加强电气绝缘防护，防止触电事故</t>
  </si>
  <si>
    <t>√ 线接头加强绝缘，接头放入不易碰触部位</t>
  </si>
  <si>
    <t>电线已撤</t>
  </si>
  <si>
    <t>脚踝扭伤，损工十天。</t>
  </si>
  <si>
    <t>19-12-19</t>
  </si>
  <si>
    <t>循环水北侧爬梯处</t>
  </si>
  <si>
    <t>天气变冷 ，人员行动不便，爬梯打滑会摔伤，应采取措施</t>
  </si>
  <si>
    <t>√ 加装安全警示牌，提高人员上下爬梯时安全意识
√ 清除积水或爬梯踏步上撒煤粉，防止结冰打滑</t>
  </si>
  <si>
    <t>离心岗位</t>
  </si>
  <si>
    <t>操作工手部受伤，损工两天。</t>
  </si>
  <si>
    <t>董爱梅</t>
  </si>
  <si>
    <t>19-12-26</t>
  </si>
  <si>
    <t>离心机</t>
  </si>
  <si>
    <t>√ 通知维修更换皮带</t>
  </si>
  <si>
    <t>一名员工砸伤头部，去医院包扎，限工三天。</t>
  </si>
  <si>
    <t>王军</t>
  </si>
  <si>
    <t>5.5米炉洗焦泵房</t>
  </si>
  <si>
    <t>√ 维修处理
√ 加强日常维护</t>
  </si>
  <si>
    <t>压缩岗位</t>
  </si>
  <si>
    <t>造成一名巡检工拌倒后手腕扑伤，休假2天。</t>
  </si>
  <si>
    <t>压缩机安全通道处</t>
  </si>
  <si>
    <t>√ 把旧阀门清理到指定位置。</t>
  </si>
  <si>
    <t>医务室包扎，损工两天。</t>
  </si>
  <si>
    <t>李洪波</t>
  </si>
  <si>
    <t>碳化区域</t>
  </si>
  <si>
    <t>√ 通知电工将裸露接头修好</t>
  </si>
  <si>
    <t>造成一名巡检工脚腕骨折，住院治疗2周，休假3月。</t>
  </si>
  <si>
    <t>李作鹏</t>
  </si>
  <si>
    <t>2 号压缩机巡检室</t>
  </si>
  <si>
    <t>√ 更换新静电地板或进行修整。</t>
  </si>
  <si>
    <t>一名操作乁脚踝扭伤，简单治疗后立即夏工</t>
  </si>
  <si>
    <t>刘同川</t>
  </si>
  <si>
    <t>二楼爬梯</t>
  </si>
  <si>
    <t>√ 通知维修进行修复整平。</t>
  </si>
  <si>
    <t>操作工肩部骨折，入院治疗七天，在家休养一月，损工事件</t>
  </si>
  <si>
    <t>田珍</t>
  </si>
  <si>
    <t>√ 清理高处平台杂物，避免坠落伤人</t>
  </si>
  <si>
    <t>操作工胳膊骨折，住院治疗十天，休息半月，损工事件</t>
  </si>
  <si>
    <t>任庆军</t>
  </si>
  <si>
    <t>预热器管架</t>
  </si>
  <si>
    <t>√ 及时清理多余保温消除隐患</t>
  </si>
  <si>
    <t>化工厂吸氨岗位</t>
  </si>
  <si>
    <t>造成一名操作工眼部损伤，送医院救治，损工七天</t>
  </si>
  <si>
    <t>刘树娟</t>
  </si>
  <si>
    <t>尹万春</t>
  </si>
  <si>
    <t>吸氨泵区</t>
  </si>
  <si>
    <t>√ 通知维修更换密封</t>
  </si>
  <si>
    <t>已更换新密封</t>
  </si>
  <si>
    <t>碳铵周转库</t>
  </si>
  <si>
    <t>经医生抢救无效死亡，造成一人死亡事故。</t>
  </si>
  <si>
    <t>19-12-21</t>
  </si>
  <si>
    <t>码垛机</t>
  </si>
  <si>
    <t>√ 护栏门锁封，严禁人员进入</t>
  </si>
  <si>
    <t>19-11-20</t>
  </si>
  <si>
    <t>烘干岗位</t>
  </si>
  <si>
    <t>造成一人死亡事故</t>
  </si>
  <si>
    <t>刘瑞良</t>
  </si>
  <si>
    <t>烘干岗位南墙接线箱</t>
  </si>
  <si>
    <t>√ 通知电工加防爆泥密封</t>
  </si>
  <si>
    <t>低压配电室</t>
  </si>
  <si>
    <t>保持接地良好，防止触电事故</t>
  </si>
  <si>
    <t>√ 接好接地线，保持接地电阻在规范要求值，防止触电事故</t>
  </si>
  <si>
    <t>经医务室简单包扎治疗为轻微擦伤，及时复工。</t>
  </si>
  <si>
    <t>李友喜</t>
  </si>
  <si>
    <t>晶分地池</t>
  </si>
  <si>
    <t>√ 通知离心工立即将板手移位</t>
  </si>
  <si>
    <t>一人死亡</t>
  </si>
  <si>
    <t>主控楼顶3#减温减压</t>
  </si>
  <si>
    <t>虽然在此处操作较少，但也不可忽略，应有平台方便越过管道</t>
  </si>
  <si>
    <t>√ 加装平台，便于人员通过平台越过管线进行操作</t>
  </si>
  <si>
    <t>精脱硫岗位</t>
  </si>
  <si>
    <t>当操作工再开启脱硫泵时会造成人员轻微伤害，到医务室包扎后回工</t>
  </si>
  <si>
    <t>张建举</t>
  </si>
  <si>
    <t>脱硫泵防护罩松动</t>
  </si>
  <si>
    <t>√ 加固防护罩</t>
  </si>
  <si>
    <t>装置已停产，准备拆除设备</t>
  </si>
  <si>
    <t>一名巡检人员溺水送医院抢救无效死亡</t>
  </si>
  <si>
    <t>赵延学</t>
  </si>
  <si>
    <t>碳化一楼凉水塔</t>
  </si>
  <si>
    <t>√ 及时盖上</t>
  </si>
  <si>
    <t>已及时覆盖</t>
  </si>
  <si>
    <t>锅炉及发电装置</t>
  </si>
  <si>
    <t>巡检工小腿骨拆，身体多处擦伤入院治疗损工三个月。</t>
  </si>
  <si>
    <t>20-1-20</t>
  </si>
  <si>
    <t>75T锅炉零米电缆沟</t>
  </si>
  <si>
    <t>× 重新制作盖板
× 规范盖好盖板</t>
  </si>
  <si>
    <t>脚踝骨折，损工4个月</t>
  </si>
  <si>
    <t>钱江红</t>
  </si>
  <si>
    <t>超浓水水池</t>
  </si>
  <si>
    <t>加装活动横档护栏，防止人员进入，加装警示牌，提高防范意识</t>
  </si>
  <si>
    <t>√ 加装活动横档护栏，防止人员进入，加装警示牌，提高防范意识</t>
  </si>
  <si>
    <t>加装护栏，提高防范意识。</t>
  </si>
  <si>
    <t>诊断为右胳膊二度烫伤，住院治疗15天，损工15天。</t>
  </si>
  <si>
    <t>蒸汽温度高，易造成烫伤，且能源浪费，应及时处理泄漏</t>
  </si>
  <si>
    <t>√ 处理漏点，防止能源浪费及人身伤害</t>
  </si>
  <si>
    <t>2号减温减压后电动门及法兰已整体更换。</t>
  </si>
  <si>
    <t>DCS及电气系统</t>
  </si>
  <si>
    <t>设备无法正常供电不能正常操作，影响生产造成财产损失</t>
  </si>
  <si>
    <t>提升机变频室</t>
  </si>
  <si>
    <t>异常原因找不到，生产安全事故随时可能出现，须查出原因对症下药，解决根本问题</t>
  </si>
  <si>
    <t>√ 查出故障原因，有的放失解决问题，消除随时可能出现的停机问题</t>
  </si>
  <si>
    <t>排除故障</t>
  </si>
  <si>
    <t>左腿骨折，住院治疗20天，回家休养2个月，损工80天。</t>
  </si>
  <si>
    <t>董国庆</t>
  </si>
  <si>
    <t>汽轮机主控楼顶</t>
  </si>
  <si>
    <t>正常情况下此处无日常操作，需加强警示</t>
  </si>
  <si>
    <t>5.5米焦炉拦焦</t>
  </si>
  <si>
    <t>开关烧坏，无法出焦，造成暂时停产损失8万元</t>
  </si>
  <si>
    <t>5.5米焦炉焦侧</t>
  </si>
  <si>
    <t>√ 增大防雨挡板
√ 及时检查，做好防水措施</t>
  </si>
  <si>
    <t>热力东区</t>
  </si>
  <si>
    <t>导致巡检人员小腿骨折，损工3个月</t>
  </si>
  <si>
    <t>崔艳艳</t>
  </si>
  <si>
    <t>化学水超滤装置</t>
  </si>
  <si>
    <t>× 重新制作铁质盖板，刷漆防腐
× 盖好，保持盖板齐全</t>
  </si>
  <si>
    <t>左小腿骨折，住院治疗20天，休养三个月，损工110天。</t>
  </si>
  <si>
    <t>戴晓宁</t>
  </si>
  <si>
    <t>汽轮机房</t>
  </si>
  <si>
    <t>爬梯采用的花纹板，具有防滑功能，但需要作好警示标志</t>
  </si>
  <si>
    <t>√ 在爬梯入口处悬挂安全警示牌</t>
  </si>
  <si>
    <t>19-11-23</t>
  </si>
  <si>
    <t>化工厂精炼工段</t>
  </si>
  <si>
    <t>造成一名操作工脚扭伤，休息一小时后立即复工</t>
  </si>
  <si>
    <t>赵秀生</t>
  </si>
  <si>
    <t>精炼工段南地沟</t>
  </si>
  <si>
    <t>√ 更换盖板或进行盖铁板。</t>
  </si>
  <si>
    <t>人员坠落死亡</t>
  </si>
  <si>
    <t>刘金科</t>
  </si>
  <si>
    <t>19-12-24</t>
  </si>
  <si>
    <t>提升机七层平台</t>
  </si>
  <si>
    <t>能发现潜在隐患排查仔细</t>
  </si>
  <si>
    <t>√ 将蛇皮管拆除固定到西侧护栏，班组以后使用时随用随装用后拆除。</t>
  </si>
  <si>
    <t>蛇皮管拆除放至西侧护栏。</t>
  </si>
  <si>
    <t>一员工右胳膊割伤缝合十针，损工3天</t>
  </si>
  <si>
    <t>一楼加药间</t>
  </si>
  <si>
    <t>高处物体需进行固定防止掉落伤人</t>
  </si>
  <si>
    <t>√ 进行固定，防止伤人</t>
  </si>
  <si>
    <t>一人右臂骨折住院治疗60天，损工90天</t>
  </si>
  <si>
    <t>高亮</t>
  </si>
  <si>
    <t>包装间平台</t>
  </si>
  <si>
    <t>√ 通知包装机工对不锈钢管撤走</t>
  </si>
  <si>
    <t>已将不锈钢管撤走</t>
  </si>
  <si>
    <t>一人右脚骨折，住院治疗30天，损工100天</t>
  </si>
  <si>
    <t>张燚</t>
  </si>
  <si>
    <t>尹丽霞</t>
  </si>
  <si>
    <t>周转库北门</t>
  </si>
  <si>
    <t>√ 通知叉车工把空盘移位</t>
  </si>
  <si>
    <t>移位后排放整齐</t>
  </si>
  <si>
    <t>设备锈蚀损坏，财产损失5万元</t>
  </si>
  <si>
    <t>实际具有防水防爆效果，但需注意日常维护</t>
  </si>
  <si>
    <t>√ 将表面油漆剥落处进行防腐处理</t>
  </si>
  <si>
    <t>电瓶烧坏财产损失5000元</t>
  </si>
  <si>
    <t>胡西荣</t>
  </si>
  <si>
    <t>循环水泵房南门处</t>
  </si>
  <si>
    <t>破损处进行绝缘处理，防止短路</t>
  </si>
  <si>
    <t>√ 破损处进行绝缘处理，防止短路</t>
  </si>
  <si>
    <t>一人左耳下部轻微擦伤医疗事件</t>
  </si>
  <si>
    <t>循环水</t>
  </si>
  <si>
    <t>废弃管道应及时拆除，减少或消除风险</t>
  </si>
  <si>
    <t>√ 废弃管道及时拆除，防止伤人</t>
  </si>
  <si>
    <t>整改已完成。</t>
  </si>
  <si>
    <t>一名员工手指骨折损工三个月</t>
  </si>
  <si>
    <t>冷焦带地下室</t>
  </si>
  <si>
    <t>巡检认真细心，能发现隐蔽处隐患。</t>
  </si>
  <si>
    <t>√ 将防护罩归位安装</t>
  </si>
  <si>
    <t>联轴器护罩放于有效位置</t>
  </si>
  <si>
    <t>一人右肩肩胛骨骨折，损工两个月</t>
  </si>
  <si>
    <t>汽轮机房西门南</t>
  </si>
  <si>
    <t>高处物件需固定牢固，防止掉落</t>
  </si>
  <si>
    <t>√ 落水管固定牢固，防止掉落伤人</t>
  </si>
  <si>
    <t>20-1-4</t>
  </si>
  <si>
    <t>一人员右眼灼伤，损工三个月</t>
  </si>
  <si>
    <t>巡检室东侧</t>
  </si>
  <si>
    <t>劳保用品是人体伤害的最后一道屏障，需养成良好习惯</t>
  </si>
  <si>
    <t>√ 劳保用品佩戴全，佩戴不全禁止作业</t>
  </si>
  <si>
    <t>切割作业已正确佩戴防护面罩。</t>
  </si>
  <si>
    <t>化工厂合成工段</t>
  </si>
  <si>
    <t>盖板破碎，造成一名操作工把脚歪伤，在家休息一周复工</t>
  </si>
  <si>
    <t>地下（含水下）作业环境不良</t>
  </si>
  <si>
    <t>戴久童</t>
  </si>
  <si>
    <t>19-12-30</t>
  </si>
  <si>
    <t>合成工段东地沟盖板</t>
  </si>
  <si>
    <t>√ 更换盖板或用铁板盖严</t>
  </si>
  <si>
    <t>19-11-29</t>
  </si>
  <si>
    <t>一人掉入水沟内造成伤害，损工七天</t>
  </si>
  <si>
    <t>刘顺亭</t>
  </si>
  <si>
    <t>刘锡玉</t>
  </si>
  <si>
    <t>19-12-2</t>
  </si>
  <si>
    <t>西四西南角下水道</t>
  </si>
  <si>
    <t>√ 将损坏盖板更新</t>
  </si>
  <si>
    <t>一名巡检工被蒸汽喷到手部轻微烫伤</t>
  </si>
  <si>
    <t>董云峰</t>
  </si>
  <si>
    <t>20-1-1</t>
  </si>
  <si>
    <t>蒸汽过热器</t>
  </si>
  <si>
    <t>√ 悬挂警示，做好防护</t>
  </si>
  <si>
    <t>维修已紧固处理</t>
  </si>
  <si>
    <t>一人脚踝扭伤事故，损工三天</t>
  </si>
  <si>
    <t>关闭</t>
  </si>
  <si>
    <t>刘朋</t>
  </si>
  <si>
    <t>转化炉烘炉水封现场</t>
  </si>
  <si>
    <t>装置停产，近期待拆除。</t>
  </si>
  <si>
    <t>化产车间，东硫铵</t>
  </si>
  <si>
    <t>轻微擦伤，正常上班！</t>
  </si>
  <si>
    <t>王峰</t>
  </si>
  <si>
    <t>20-1-6</t>
  </si>
  <si>
    <t>低位槽</t>
  </si>
  <si>
    <t>√ 纠正作业人员佩戴防护用品</t>
  </si>
  <si>
    <t>19-12-9</t>
  </si>
  <si>
    <t>地面被氨水污染，造成环境污染。</t>
  </si>
  <si>
    <t>20-1-9</t>
  </si>
  <si>
    <t>蒸氨区域</t>
  </si>
  <si>
    <t>× 顶部除锈防腐
× 维修人员对漏点进行粘补</t>
  </si>
  <si>
    <t>更换液位计</t>
  </si>
  <si>
    <t>化产车间西硫铵</t>
  </si>
  <si>
    <t>右胳膊扭伤，去医院简单治疗后回家休养三天</t>
  </si>
  <si>
    <t>潘曰山</t>
  </si>
  <si>
    <t>20-1-17</t>
  </si>
  <si>
    <t>振动流化床</t>
  </si>
  <si>
    <t>√ 加固板凳，防止倾倒</t>
  </si>
  <si>
    <t>20-1-16</t>
  </si>
  <si>
    <t>设备损坏</t>
  </si>
  <si>
    <t>20-1-23</t>
  </si>
  <si>
    <t>总烟道测压孔</t>
  </si>
  <si>
    <t>√ 修复破损部位
× 设置警示标志</t>
  </si>
  <si>
    <t>19-12-28</t>
  </si>
  <si>
    <t>对破损处进行了重新砌筑</t>
  </si>
  <si>
    <t>推焦车出轨，无法生产经济损失50万元。</t>
  </si>
  <si>
    <t>推焦道轨</t>
  </si>
  <si>
    <t>√ 预制道轨破损水泥
√ 加强日常维护</t>
  </si>
  <si>
    <t>脚踝扭伤损工15天</t>
  </si>
  <si>
    <t>李夕良</t>
  </si>
  <si>
    <t>机侧烟道通廊</t>
  </si>
  <si>
    <t>√ 检查照明灯具
√ 加强现场照明</t>
  </si>
  <si>
    <t>造成一人跌落，送医抢救无效死亡。</t>
  </si>
  <si>
    <t>5.5米焦炉水熄车</t>
  </si>
  <si>
    <t>√ 焊接加固护栏
√ 更换腐蚀护栏</t>
  </si>
  <si>
    <t>造成1人腿部受伤，住院治疗10天，出院休息一月，损工40天</t>
  </si>
  <si>
    <t>5.5米焦炉推焦车</t>
  </si>
  <si>
    <t>√ 修补破损部位
√ 及时更换破损铁板</t>
  </si>
  <si>
    <t>20-1-25</t>
  </si>
  <si>
    <t>环境除尘顶部</t>
  </si>
  <si>
    <t>护栏必须保持完好状态，起到防护作用</t>
  </si>
  <si>
    <t>√ 焊接加固护栏</t>
  </si>
  <si>
    <t>损工十天</t>
  </si>
  <si>
    <t>锅炉五层</t>
  </si>
  <si>
    <t>工具规范放置，防止高处坠物伤人</t>
  </si>
  <si>
    <t>√ 工具规范放置，防止高处坠物伤人</t>
  </si>
  <si>
    <t>工具规范放置，防止高空坠物伤人。</t>
  </si>
  <si>
    <t>一名工人颈部被玻璃划伤，送医治疗一个星期，出院后在家修养一个</t>
  </si>
  <si>
    <t>5.5焦炉南部楼梯</t>
  </si>
  <si>
    <t>√ 清理破损玻璃
√ 人员通行注意安全</t>
  </si>
  <si>
    <t>一名工人脚部韧带拉伤，在医院治疗一个星期，出院在家休养一个半</t>
  </si>
  <si>
    <t>刘旺</t>
  </si>
  <si>
    <t>房军</t>
  </si>
  <si>
    <t>推焦车</t>
  </si>
  <si>
    <t>√ 增设警示标志
× 人员通行抓牢扶手</t>
  </si>
  <si>
    <t>在爬梯安装提示标志，起到了提醒警示的作用，让上下爬梯变的更安全</t>
  </si>
  <si>
    <t>彩钢瓦破裂掉落砸伤人员的损工事件</t>
  </si>
  <si>
    <t>范树超</t>
  </si>
  <si>
    <t>焦三皮带斜桥</t>
  </si>
  <si>
    <t>√ 及时清理
√ 加强巡查</t>
  </si>
  <si>
    <t>清理脱落彩钢</t>
  </si>
  <si>
    <t>一人膝盖骨骨裂的损工事故</t>
  </si>
  <si>
    <t>秦有杰</t>
  </si>
  <si>
    <t>焦炉地下室</t>
  </si>
  <si>
    <t>√ 增设辅助设施
√ 人员通行注意滑跌</t>
  </si>
  <si>
    <t>一人损工事件</t>
  </si>
  <si>
    <t>董黎明</t>
  </si>
  <si>
    <t>5.5焦炉捣固煤仓南</t>
  </si>
  <si>
    <t>√ 清理破损玻璃
√ 及时恢复</t>
  </si>
  <si>
    <t>维修窗户玻璃</t>
  </si>
  <si>
    <t>室内温度过高，检测设备失常，数据不准确，造成环保事故</t>
  </si>
  <si>
    <t>孙希昱</t>
  </si>
  <si>
    <t>5.5米在线检测小屋</t>
  </si>
  <si>
    <t>√ 清理空调外机
√ 保持现场整洁</t>
  </si>
  <si>
    <t>清理空调，保持整洁</t>
  </si>
  <si>
    <t>王胜</t>
  </si>
  <si>
    <t>炉顶集气管</t>
  </si>
  <si>
    <t>√ 清理现场杂乱胶管
√ 保持现场整洁</t>
  </si>
  <si>
    <t>清理现场杂乱胶管</t>
  </si>
  <si>
    <t>脚踝骨折，损工3.5个月</t>
  </si>
  <si>
    <t>除盐水池东侧</t>
  </si>
  <si>
    <t>防护设施需完好</t>
  </si>
  <si>
    <t>√ 更换盖板，保持防护有效</t>
  </si>
  <si>
    <t>破损盖板已更换</t>
  </si>
  <si>
    <t>手臂严重烫伤，损工一月。</t>
  </si>
  <si>
    <t>蒸汽泄漏会造成烫伤事故，应重视</t>
  </si>
  <si>
    <t>√ 处理螺栓，确保达到规定强度</t>
  </si>
  <si>
    <t>脚踝扭伤，住院治疗，损工5天</t>
  </si>
  <si>
    <t>盖板等防护设施需保持完好，避免伤人</t>
  </si>
  <si>
    <t>√ 将盖板放在有效位置上，起到防护作用</t>
  </si>
  <si>
    <t>盖板已复位，恢复防护作用。</t>
  </si>
  <si>
    <t>电源接线需规范</t>
  </si>
  <si>
    <t>√ 电源线按防护套管防止漏电触电</t>
  </si>
  <si>
    <t>小臂骨折就医修养六个月。</t>
  </si>
  <si>
    <t>扒焦焦一皮带</t>
  </si>
  <si>
    <t>√ 恢复皮带护栏
√ 加强日常检查</t>
  </si>
  <si>
    <t>皮带护栏保持良好状态</t>
  </si>
  <si>
    <t>19-12-23</t>
  </si>
  <si>
    <t>损工三个月</t>
  </si>
  <si>
    <t>汽机房零米</t>
  </si>
  <si>
    <t>保持护栏完好有效是减少事故的一项重要工作</t>
  </si>
  <si>
    <t>√ 焊接加固，保持完好有效</t>
  </si>
  <si>
    <t>19-12-25</t>
  </si>
  <si>
    <t>一名员工右小腿烫伤的轻微医疗事件</t>
  </si>
  <si>
    <t>主控楼北门</t>
  </si>
  <si>
    <t>蒸汽高温烫伤需注意</t>
  </si>
  <si>
    <t>√ 控制疏水量，减少蒸汽溢出防止伤人</t>
  </si>
  <si>
    <t>设置警戒线隔离，防止人员靠近</t>
  </si>
  <si>
    <t>财产损失5000元</t>
  </si>
  <si>
    <t>循环水泵房南门</t>
  </si>
  <si>
    <t>动火点与可燃易燃物之间必须采取隔离措施防止火灾</t>
  </si>
  <si>
    <t>√ 动火点与可燃易燃物之间必须采取有效隔离措施防止电焊火花溅至远处引起火灾</t>
  </si>
  <si>
    <t>不燃铝皮对下方进行遮挡，防止火花溅入着火</t>
  </si>
  <si>
    <t>一员工胳膊骨折，损工三个月。</t>
  </si>
  <si>
    <t>二楼通往综合水池处</t>
  </si>
  <si>
    <t>气温下降，雨雪天气滑跌伤人需重视</t>
  </si>
  <si>
    <t>√ 地面铺撒灰土，增大摩擦，避免滑跌</t>
  </si>
  <si>
    <t>铺设纸板，防止滑跌</t>
  </si>
  <si>
    <t>面部外伤，包扎处理，休养七天</t>
  </si>
  <si>
    <t>20-2-2</t>
  </si>
  <si>
    <t>干熄焦锅炉</t>
  </si>
  <si>
    <t>√ 现场加强监管
√ 保持安全动火作业距离</t>
  </si>
  <si>
    <t>规范用气瓶，保持与动火点安全距离</t>
  </si>
  <si>
    <t>一名人员触电死亡</t>
  </si>
  <si>
    <t>20-1-28</t>
  </si>
  <si>
    <t>电气事故危害大，需规范用电</t>
  </si>
  <si>
    <t>√ 绝缘套管规范处理，防止漏电</t>
  </si>
  <si>
    <t>腿部磕破皮造成轻微医疗事故</t>
  </si>
  <si>
    <t>刘经洪</t>
  </si>
  <si>
    <t>二次除尘下部</t>
  </si>
  <si>
    <t>通道杂物绊倒人需重视</t>
  </si>
  <si>
    <t>√ 清除通道杂物，防止人员绊倒受伤</t>
  </si>
  <si>
    <t>清除杂物，防止人员绊倒。</t>
  </si>
  <si>
    <t>一人员划伤脸部轻微医疗事故</t>
  </si>
  <si>
    <t>旋密南部</t>
  </si>
  <si>
    <t>保持高处物件牢固性，防止高处坠物伤人</t>
  </si>
  <si>
    <t>√ 清除保温铝皮，防止掉落伤人</t>
  </si>
  <si>
    <t>固定铝皮防止伤人</t>
  </si>
  <si>
    <t>备煤西线岗位及配电室</t>
  </si>
  <si>
    <t>人员摔倒 不影响工作</t>
  </si>
  <si>
    <t>郭焕雷</t>
  </si>
  <si>
    <t>张永生</t>
  </si>
  <si>
    <t>西五机头</t>
  </si>
  <si>
    <t>√ 更换照明灯</t>
  </si>
  <si>
    <t>经抢救无效死亡。</t>
  </si>
  <si>
    <t>20-2-11</t>
  </si>
  <si>
    <t>拦焦地面除尘水槽</t>
  </si>
  <si>
    <t>√ 安全带高挂低用
√ 安全带挂到身后</t>
  </si>
  <si>
    <t>已对违章人员进行教育学习，违章人员充分认识到了危险，保证以后安全带高挂低用。</t>
  </si>
  <si>
    <t>20-1-5</t>
  </si>
  <si>
    <t>抢救无效死亡</t>
  </si>
  <si>
    <t>张建强</t>
  </si>
  <si>
    <t>东焦厂</t>
  </si>
  <si>
    <t>√ 规范使用安全带
√ 现场及时纠正违章</t>
  </si>
  <si>
    <t>高处作业安全带规范使用</t>
  </si>
  <si>
    <t>20-1-7</t>
  </si>
  <si>
    <t>炉门掉落砸到一名干活的操作工，该员工被紧急送医抢救无效死亡。</t>
  </si>
  <si>
    <t>焦炉焦侧</t>
  </si>
  <si>
    <t>√ 清理炉门炉框
√ 检查横栓</t>
  </si>
  <si>
    <t>炉门横栓下靠到位，防止炉门掉落</t>
  </si>
  <si>
    <t>20-1-8</t>
  </si>
  <si>
    <t>造成1人小腿骨折，住院治疗1月，出院在家休息2月，损工3个月</t>
  </si>
  <si>
    <t>√ 加盖板
√ 加强提醒，注意安全</t>
  </si>
  <si>
    <t>加装盖板，防止人员伤害</t>
  </si>
  <si>
    <t>焦四机尾</t>
  </si>
  <si>
    <t>√ 加固彩钢瓦
× 清理现场</t>
  </si>
  <si>
    <t>顶部加装彩钢瓦进行防护</t>
  </si>
  <si>
    <t>风机初冷器</t>
  </si>
  <si>
    <t>腿部擦伤，去医务室消毒处理，不影响正常工作</t>
  </si>
  <si>
    <t>从事禁忌作业</t>
  </si>
  <si>
    <t>20-2-15</t>
  </si>
  <si>
    <t>初冷器</t>
  </si>
  <si>
    <t>√ 停止施工，固定脚手板，或者使用吊笼</t>
  </si>
  <si>
    <t>煤饼砸中头部，抢救无效死亡。</t>
  </si>
  <si>
    <t>20-3-7</t>
  </si>
  <si>
    <t>× 加强打饼操作
× 清理现场人员保持安全距离</t>
  </si>
  <si>
    <t>砸中头部，抢救无效死亡。</t>
  </si>
  <si>
    <t>熄焦泵房</t>
  </si>
  <si>
    <t>× 现场人员禁止通行
× 及时维修处理</t>
  </si>
  <si>
    <t>一人右臂骨折 住院治疗60天 损工90天</t>
  </si>
  <si>
    <t>20-2-16</t>
  </si>
  <si>
    <t>1618破碎机</t>
  </si>
  <si>
    <t>√ 尽快固定接好</t>
  </si>
  <si>
    <t>人员擦伤 不影响工作</t>
  </si>
  <si>
    <t>煤六机头</t>
  </si>
  <si>
    <t>√ 尽快安装固定好</t>
  </si>
  <si>
    <t>住院10天，休养三个月</t>
  </si>
  <si>
    <t>孙超</t>
  </si>
  <si>
    <t>脱硫塔</t>
  </si>
  <si>
    <t>经设计院专业设计，施工符合要求</t>
  </si>
  <si>
    <t>左腿划伤，休养七天</t>
  </si>
  <si>
    <t>张立德</t>
  </si>
  <si>
    <t>刘冲</t>
  </si>
  <si>
    <t>20-1-18</t>
  </si>
  <si>
    <t>煤棚西北角</t>
  </si>
  <si>
    <t>煤棚盖板破损，人员踏过容易引起伤害事故</t>
  </si>
  <si>
    <t>√ 更换盖板
√ 教育员工注意行走时注意安全</t>
  </si>
  <si>
    <t>煤棚外部水沟盖板破损，更换后有效防止人员经过时引起伤害事故</t>
  </si>
  <si>
    <t>污水处理车间深度处理</t>
  </si>
  <si>
    <t>烫伤手臂及手部</t>
  </si>
  <si>
    <t>污水处理车间</t>
  </si>
  <si>
    <t>张海娜</t>
  </si>
  <si>
    <t>张林蕾</t>
  </si>
  <si>
    <t>20-2-20</t>
  </si>
  <si>
    <t>深度处理加药间</t>
  </si>
  <si>
    <t>现场立即整改</t>
  </si>
  <si>
    <t>培训和表现</t>
  </si>
  <si>
    <t>√ 加强操作和维修培训
√ 明确现场检维修安全措施</t>
  </si>
  <si>
    <t>左脚崴伤，休养七天</t>
  </si>
  <si>
    <t>煤八</t>
  </si>
  <si>
    <t>煤八台阶处破损，人员经过时易引起摔伤，造成安全事故</t>
  </si>
  <si>
    <t>√ 及时修补台阶破损处
√ 教育职工上下台阶注意脚下，关注安全</t>
  </si>
  <si>
    <t>煤八岗位台阶处台阶破损，地面损坏，及时修补地面破损处，防止安全事故发生</t>
  </si>
  <si>
    <t>20-3-2</t>
  </si>
  <si>
    <t>环境除尘二层</t>
  </si>
  <si>
    <t>规范安装爬梯防止人员失足跌落</t>
  </si>
  <si>
    <t>√ 爬梯加装护栏，使用宽踏板，防止人员攀爬过程中失足跌落</t>
  </si>
  <si>
    <t>触电导致一人死亡！</t>
  </si>
  <si>
    <t>接地线必须接好达到安全电阻值</t>
  </si>
  <si>
    <t>× 连接好接地线，防止漏电触电事故</t>
  </si>
  <si>
    <t>环境除尘</t>
  </si>
  <si>
    <t>保护套管可有效防止线缆绝缘损坏</t>
  </si>
  <si>
    <t>× 加装套管保护，防止电缆损坏</t>
  </si>
  <si>
    <t>临时移动电源已撤走</t>
  </si>
  <si>
    <t>管道水冲击，损坏设备。</t>
  </si>
  <si>
    <t>汽轮机房零米排地沟</t>
  </si>
  <si>
    <t>充分利用现有管道改造，消除因人为操作不当造成设备损坏</t>
  </si>
  <si>
    <t>× 利用现有管道改装疏水管，消除人为操作不当造成的事故</t>
  </si>
  <si>
    <t>20-1-19</t>
  </si>
  <si>
    <t>脚踝扭伤，住院治疗损工五天。</t>
  </si>
  <si>
    <t>蒸氨区域内（高联名）</t>
  </si>
  <si>
    <t>√ 覆盖铁板加固腐蚀平台</t>
  </si>
  <si>
    <t>一人右手手臂多处轻微擦伤不影响正常工作</t>
  </si>
  <si>
    <t>√ 清理杂物</t>
  </si>
  <si>
    <t>20-1-21</t>
  </si>
  <si>
    <t>一操作工右肩部脱臼损工三天</t>
  </si>
  <si>
    <t>风机房内（王  军）</t>
  </si>
  <si>
    <t>√ 复位使用后的倒链</t>
  </si>
  <si>
    <t>一人手部划伤经包扎后正常工作</t>
  </si>
  <si>
    <t>党传清</t>
  </si>
  <si>
    <t>北班长室东侧框架</t>
  </si>
  <si>
    <t>√ 清理管架铝皮</t>
  </si>
  <si>
    <t>化产车间南循环水</t>
  </si>
  <si>
    <t>突然倾倒，左胳膊扭伤。</t>
  </si>
  <si>
    <t>刘永先</t>
  </si>
  <si>
    <t>排污池</t>
  </si>
  <si>
    <t>√ 焊补护栏</t>
  </si>
  <si>
    <t>被气路绊倒，右腿膝盖骨裂，住院一个月，在家休养三个月</t>
  </si>
  <si>
    <t>南点名室东侧</t>
  </si>
  <si>
    <t>√ 清理理顺气路，贴地面放置</t>
  </si>
  <si>
    <t>造成环境污染</t>
  </si>
  <si>
    <t>赵兴家</t>
  </si>
  <si>
    <t>√ 加固堵漏泄漏点</t>
  </si>
  <si>
    <t>20-2-5</t>
  </si>
  <si>
    <t>备煤东线岗位及配电室</t>
  </si>
  <si>
    <t>身体受伤，误工一天。</t>
  </si>
  <si>
    <t>班长室西侧</t>
  </si>
  <si>
    <t>√ 加强教育培训，提高安全意识。要求员工上下爬梯，两手要扶好扶手。</t>
  </si>
  <si>
    <t>左手擦伤包扎后正常工作</t>
  </si>
  <si>
    <t>杨春鹏</t>
  </si>
  <si>
    <t>√ 联轴器处安装防护罩</t>
  </si>
  <si>
    <t>膝盖手腕碰伤，损工1天</t>
  </si>
  <si>
    <t>照明不良造成操作视线差，易出事故</t>
  </si>
  <si>
    <t>技术变更管理</t>
  </si>
  <si>
    <t>× 加装照明灯，提高现场亮度达到安全操作</t>
  </si>
  <si>
    <t>绊倒膝盖擦伤，送医务室治疗</t>
  </si>
  <si>
    <t>汽轮机七米</t>
  </si>
  <si>
    <t>作业区保持照明亮度，防止失足摔伤的保证</t>
  </si>
  <si>
    <t>蒸汽泄露，人员手部烫伤</t>
  </si>
  <si>
    <t>胡福颖</t>
  </si>
  <si>
    <t>三号初冷器</t>
  </si>
  <si>
    <t>√ 压盘根，处理阀门漏点</t>
  </si>
  <si>
    <t>20-2-8</t>
  </si>
  <si>
    <t>套管脱落划伤右侧肩膀及胳膊</t>
  </si>
  <si>
    <t>一楼中控室南侧</t>
  </si>
  <si>
    <t>线缆敷设必须规范固定</t>
  </si>
  <si>
    <t>× 对脱落电缆套管牢固固定，防止脱落</t>
  </si>
  <si>
    <t>高空坠物，一人死亡！</t>
  </si>
  <si>
    <t>邢玉坤</t>
  </si>
  <si>
    <t>东硫铵楼顶</t>
  </si>
  <si>
    <t>√ 加固焊补开焊断裂护栏</t>
  </si>
  <si>
    <t>灼伤眼球</t>
  </si>
  <si>
    <t>化学性危险和有害因素</t>
  </si>
  <si>
    <t>张伟波</t>
  </si>
  <si>
    <t>四楼结晶槽</t>
  </si>
  <si>
    <t>√ 吹扫置换，焊补漏点</t>
  </si>
  <si>
    <t>造成一名人员轻微伤害</t>
  </si>
  <si>
    <t>刘建平</t>
  </si>
  <si>
    <t>电捕水封槽（刘建平）</t>
  </si>
  <si>
    <t>平台塌陷小腿擦伤</t>
  </si>
  <si>
    <t>杨光伟</t>
  </si>
  <si>
    <t>冷凝液低位槽</t>
  </si>
  <si>
    <t>√ 更换铁板</t>
  </si>
  <si>
    <t>污水处理预处理</t>
  </si>
  <si>
    <t>盐碱损失大约一桶，地面腐蚀</t>
  </si>
  <si>
    <t>董永琴</t>
  </si>
  <si>
    <t>纳滤间</t>
  </si>
  <si>
    <t>√ 维修机封</t>
  </si>
  <si>
    <t>整改完成</t>
  </si>
  <si>
    <t>电机烧毁，经济损失2万元。</t>
  </si>
  <si>
    <t>逯洪帅</t>
  </si>
  <si>
    <t>除油池北侧</t>
  </si>
  <si>
    <t>√ 添加防护罩</t>
  </si>
  <si>
    <t>20-2-12</t>
  </si>
  <si>
    <t>巡检人员头戴安全帽被冰凌砸中头部造成头晕休息半小时后复工</t>
  </si>
  <si>
    <t>刘少勇</t>
  </si>
  <si>
    <t>20-2-21</t>
  </si>
  <si>
    <t>老凉水架北侧顶部</t>
  </si>
  <si>
    <t>√ 清理冰棱</t>
  </si>
  <si>
    <t>化产车间，深度脫硫</t>
  </si>
  <si>
    <t>蒸汽泄露造成操作人员手腕烫伤</t>
  </si>
  <si>
    <t>杨兰</t>
  </si>
  <si>
    <t>深度脱硫1#熔硫釜</t>
  </si>
  <si>
    <t>√ 停蒸汽排空置换泄压，焊补漏点</t>
  </si>
  <si>
    <t>化产车间南冷凝</t>
  </si>
  <si>
    <t>积液流到地面，造成环保事故。</t>
  </si>
  <si>
    <t>李贞涛</t>
  </si>
  <si>
    <t>脱硫箱(南)</t>
  </si>
  <si>
    <t>隐患描述尽可能详细完整</t>
  </si>
  <si>
    <t>√ 更换支架或者增加厚的支撑</t>
  </si>
  <si>
    <t>一名操作工轻微划伤手臂，就医包扎后正常工作</t>
  </si>
  <si>
    <t>刘良永</t>
  </si>
  <si>
    <t>西硫铵南框架</t>
  </si>
  <si>
    <t>√ 清除铝皮
√ 加固保温层捆绑铝皮</t>
  </si>
  <si>
    <t>操作工烫伤，去医院治疗七天，回家休养三天，损工十天。</t>
  </si>
  <si>
    <t>付海德</t>
  </si>
  <si>
    <t>西饱和器南</t>
  </si>
  <si>
    <t>√ 添加管托</t>
  </si>
  <si>
    <t>头部受伤损工20天</t>
  </si>
  <si>
    <t>毕兵</t>
  </si>
  <si>
    <t>东一通廊下</t>
  </si>
  <si>
    <t>√ 乘车人员严禁坐在车厢两侧挡板上，应采取较为安全的方式，坐于车厢中央。</t>
  </si>
  <si>
    <t>20-1-22</t>
  </si>
  <si>
    <t>环保事故</t>
  </si>
  <si>
    <t>张广顺</t>
  </si>
  <si>
    <t>东母液槽母液管道</t>
  </si>
  <si>
    <t>隐患描述不具体</t>
  </si>
  <si>
    <t>√ 清理结晶，焊补漏点</t>
  </si>
  <si>
    <t>乔玉杰</t>
  </si>
  <si>
    <t>两盐大屋北侧</t>
  </si>
  <si>
    <t>√ 更换阀门</t>
  </si>
  <si>
    <t>张昆</t>
  </si>
  <si>
    <t>初冷器喷洒</t>
  </si>
  <si>
    <t>√ 粘补泄漏点</t>
  </si>
  <si>
    <t>化产车间粗苯</t>
  </si>
  <si>
    <t>维修工脸部烫伤住院治疗15天在家修养一个月后正常上班</t>
  </si>
  <si>
    <t>夏海美</t>
  </si>
  <si>
    <t>粗苯北系统西框架</t>
  </si>
  <si>
    <t>√ 泄压后置换合格，处理漏点</t>
  </si>
  <si>
    <t>颈部被划伤，去医务室包扎后复工，无损工</t>
  </si>
  <si>
    <t>李振英</t>
  </si>
  <si>
    <t>硫磺室南墙上部管架</t>
  </si>
  <si>
    <t>√ 清理旧铝皮</t>
  </si>
  <si>
    <t>被未保温的蒸汽阀门及管道烫伤，简单处理后继续工作。</t>
  </si>
  <si>
    <t>王彩红</t>
  </si>
  <si>
    <t>二楼蒸汽管道</t>
  </si>
  <si>
    <t>√ 管线保温</t>
  </si>
  <si>
    <t>被溅出的80℃的母液烫伤，用水清洗后继续工作。</t>
  </si>
  <si>
    <t>马卫东</t>
  </si>
  <si>
    <t>三楼晶浆罐上方</t>
  </si>
  <si>
    <t>√ 清理处理漏点</t>
  </si>
  <si>
    <t>摔倒造成腿部扭伤，住院治疗5天，家中休养15天，损工20天</t>
  </si>
  <si>
    <t>付晓寺</t>
  </si>
  <si>
    <t>南风机初冷器</t>
  </si>
  <si>
    <t>风险判断错误</t>
  </si>
  <si>
    <t>井盖缺失造成巡检人员腿部擦伤</t>
  </si>
  <si>
    <t>秦顺东</t>
  </si>
  <si>
    <t>脱硫箱南侧</t>
  </si>
  <si>
    <t>损工一周应为C3</t>
  </si>
  <si>
    <t>就医简单包扎后，立即复工。</t>
  </si>
  <si>
    <t>刘明壮</t>
  </si>
  <si>
    <t>北脱硫屋前框架</t>
  </si>
  <si>
    <t>√ 清理铝皮</t>
  </si>
  <si>
    <t>两盐</t>
  </si>
  <si>
    <t>一名操作工被掉落的管道砸伤肩部，造成肩部骨折，损工三个月</t>
  </si>
  <si>
    <t>高卫东</t>
  </si>
  <si>
    <t>两盐东侧框架顶部</t>
  </si>
  <si>
    <t>√ 拆除废旧管道</t>
  </si>
  <si>
    <t>一名操作工被铝皮划伤手臂，简单处理后复工</t>
  </si>
  <si>
    <t>刘帅</t>
  </si>
  <si>
    <t>热水槽南侧框架</t>
  </si>
  <si>
    <t>粗苯</t>
  </si>
  <si>
    <t>脚部扭伤，损工三天。</t>
  </si>
  <si>
    <t>标志缺陷</t>
  </si>
  <si>
    <t>李金芳</t>
  </si>
  <si>
    <t>制氮机组</t>
  </si>
  <si>
    <t>√ 悬挂警示标识</t>
  </si>
  <si>
    <t>人员面部烫伤，住院治疗一周在家休养十五天</t>
  </si>
  <si>
    <t>分汽缸上方去除氧器阀</t>
  </si>
  <si>
    <t>消防泄漏既是节能措施也是安全措施</t>
  </si>
  <si>
    <t>× 处理漏点，防止能源浪费及人身伤害</t>
  </si>
  <si>
    <t>20-1-29</t>
  </si>
  <si>
    <t>电击伤 损工30天</t>
  </si>
  <si>
    <t>20-3-1</t>
  </si>
  <si>
    <t>西四</t>
  </si>
  <si>
    <t>√ 做好防护
√ 整改套管</t>
  </si>
  <si>
    <t>20-2-1</t>
  </si>
  <si>
    <t>东五</t>
  </si>
  <si>
    <t>√ 加强巡查
√ 尽快修复</t>
  </si>
  <si>
    <t>20-1-30</t>
  </si>
  <si>
    <t>左脚踝关节扭伤，误工10天</t>
  </si>
  <si>
    <t>高彦兵</t>
  </si>
  <si>
    <t>20-1-31</t>
  </si>
  <si>
    <t>班长值班室西侧</t>
  </si>
  <si>
    <t>√ 登梯作业时，必须有人扶稳梯子，做好安全监督。</t>
  </si>
  <si>
    <t>颈部损伤，误工3天。</t>
  </si>
  <si>
    <t>张志军</t>
  </si>
  <si>
    <t>√ 提高个人安全防范意识，对于一些不安全区域或设施要设立安全警示。</t>
  </si>
  <si>
    <t>备煤焦渣掺配系统</t>
  </si>
  <si>
    <t>一名操作工右腿胫骨骨折，损工80天。</t>
  </si>
  <si>
    <t>刘顺</t>
  </si>
  <si>
    <t>√ 立即更换盖板。</t>
  </si>
</sst>
</file>

<file path=xl/styles.xml><?xml version="1.0" encoding="utf-8"?>
<styleSheet xmlns="http://schemas.openxmlformats.org/spreadsheetml/2006/main" xml:space="preserve">
  <numFmts count="0"/>
  <fonts count="6">
    <font>
      <b val="0"/>
      <i val="0"/>
      <strike val="0"/>
      <u val="none"/>
      <sz val="8"/>
      <color rgb="FF000000"/>
      <name val="Arial"/>
    </font>
    <font>
      <b val="1"/>
      <i val="0"/>
      <strike val="0"/>
      <u val="none"/>
      <sz val="16"/>
      <color rgb="FF000000"/>
      <name val="Arial"/>
    </font>
    <font>
      <b val="0"/>
      <i val="0"/>
      <strike val="0"/>
      <u val="none"/>
      <sz val="10"/>
      <color rgb="FF000000"/>
      <name val="Arial"/>
    </font>
    <font>
      <b val="0"/>
      <i val="0"/>
      <strike val="0"/>
      <u val="none"/>
      <sz val="8"/>
      <color rgb="000000"/>
      <name val="Arial"/>
    </font>
    <font>
      <b val="0"/>
      <i val="0"/>
      <strike val="0"/>
      <u val="none"/>
      <sz val="8"/>
      <color rgb="0000CD"/>
      <name val="Arial"/>
    </font>
    <font>
      <b val="0"/>
      <i val="0"/>
      <strike val="0"/>
      <u val="none"/>
      <sz val="8"/>
      <color rgb="DC143C"/>
      <name val="Arial"/>
    </font>
  </fonts>
  <fills count="9">
    <fill>
      <patternFill patternType="none"/>
    </fill>
    <fill>
      <patternFill patternType="gray125">
        <fgColor rgb="FFFFFFFF"/>
        <bgColor rgb="FF000000"/>
      </patternFill>
    </fill>
    <fill>
      <patternFill patternType="solid">
        <fgColor rgb="FFC6E0B4"/>
        <bgColor rgb="FF000000"/>
      </patternFill>
    </fill>
    <fill>
      <patternFill patternType="solid">
        <fgColor rgb="FFBDD7EE"/>
        <bgColor rgb="FF000000"/>
      </patternFill>
    </fill>
    <fill>
      <patternFill patternType="solid">
        <fgColor rgb="FFA0D565"/>
        <bgColor rgb="FF000000"/>
      </patternFill>
    </fill>
    <fill>
      <patternFill patternType="solid">
        <fgColor rgb="FFFFD85D"/>
        <bgColor rgb="FF000000"/>
      </patternFill>
    </fill>
    <fill>
      <patternFill patternType="solid">
        <fgColor rgb="FF90EE90"/>
        <bgColor rgb="FF000000"/>
      </patternFill>
    </fill>
    <fill>
      <patternFill patternType="solid">
        <fgColor rgb="FFF8F8FF"/>
        <bgColor rgb="FF000000"/>
      </patternFill>
    </fill>
    <fill>
      <patternFill patternType="solid">
        <fgColor rgb="FF3CB371"/>
        <bgColor rgb="FF000000"/>
      </patternFill>
    </fill>
  </fills>
  <borders count="2">
    <border/>
    <border>
      <left style="thin">
        <color rgb="FF000000"/>
      </left>
      <right style="thin">
        <color rgb="FF000000"/>
      </right>
      <top style="thin">
        <color rgb="FF000000"/>
      </top>
      <bottom style="thin">
        <color rgb="FF000000"/>
      </bottom>
    </border>
  </borders>
  <cellStyleXfs count="1">
    <xf numFmtId="0" fontId="0" fillId="0" borderId="0"/>
  </cellStyleXfs>
  <cellXfs count="26">
    <xf xfId="0" fontId="0" numFmtId="0" fillId="0" borderId="0" applyFont="0" applyNumberFormat="0" applyFill="0" applyBorder="0" applyAlignment="0">
      <alignment horizontal="general" vertical="top" textRotation="0" wrapText="true" shrinkToFit="false"/>
    </xf>
    <xf xfId="0" fontId="0" numFmtId="0" fillId="0" borderId="0" applyFont="0" applyNumberFormat="0" applyFill="0" applyBorder="0" applyAlignment="1">
      <alignment horizontal="center" vertical="top" textRotation="0" wrapText="true" shrinkToFit="false"/>
    </xf>
    <xf xfId="0" fontId="1" numFmtId="0" fillId="0" borderId="0" applyFont="1" applyNumberFormat="0" applyFill="0" applyBorder="0" applyAlignment="1">
      <alignment horizontal="center" vertical="top" textRotation="0" wrapText="true" shrinkToFit="false"/>
    </xf>
    <xf xfId="0" fontId="0" numFmtId="0" fillId="2" borderId="1" applyFont="0" applyNumberFormat="0" applyFill="1" applyBorder="1" applyAlignment="1">
      <alignment horizontal="center" vertical="top" textRotation="0" wrapText="true" shrinkToFit="false"/>
    </xf>
    <xf xfId="0" fontId="0" numFmtId="0" fillId="2" borderId="1" applyFont="0" applyNumberFormat="0" applyFill="1" applyBorder="1" applyAlignment="0">
      <alignment horizontal="general" vertical="top" textRotation="0" wrapText="true" shrinkToFit="false"/>
    </xf>
    <xf xfId="0" fontId="0" numFmtId="0" fillId="3" borderId="1" applyFont="0" applyNumberFormat="0" applyFill="1" applyBorder="1" applyAlignment="1">
      <alignment horizontal="center" vertical="top" textRotation="0" wrapText="true" shrinkToFit="false"/>
    </xf>
    <xf xfId="0" fontId="0" numFmtId="0" fillId="3" borderId="1" applyFont="0" applyNumberFormat="0" applyFill="1" applyBorder="1" applyAlignment="0">
      <alignment horizontal="general" vertical="top" textRotation="0" wrapText="true" shrinkToFit="false"/>
    </xf>
    <xf xfId="0" fontId="0" numFmtId="0" fillId="4" borderId="1" applyFont="0" applyNumberFormat="0" applyFill="1" applyBorder="1" applyAlignment="0">
      <alignment horizontal="general" vertical="top" textRotation="0" wrapText="true" shrinkToFit="false"/>
    </xf>
    <xf xfId="0" fontId="0" numFmtId="0" fillId="5" borderId="1" applyFont="0" applyNumberFormat="0" applyFill="1" applyBorder="1" applyAlignment="1">
      <alignment horizontal="center" vertical="top" textRotation="0" wrapText="true" shrinkToFit="false"/>
    </xf>
    <xf xfId="0" fontId="0" numFmtId="0" fillId="5" borderId="1" applyFont="0" applyNumberFormat="0" applyFill="1" applyBorder="1" applyAlignment="0">
      <alignment horizontal="general" vertical="top" textRotation="0" wrapText="true" shrinkToFit="false"/>
    </xf>
    <xf xfId="0" fontId="2" numFmtId="0" fillId="2" borderId="1" applyFont="1" applyNumberFormat="0" applyFill="1" applyBorder="1" applyAlignment="1">
      <alignment horizontal="center" vertical="top" textRotation="0" wrapText="true" shrinkToFit="false"/>
    </xf>
    <xf xfId="0" fontId="2" numFmtId="0" fillId="2" borderId="1" applyFont="1" applyNumberFormat="0" applyFill="1" applyBorder="1" applyAlignment="0">
      <alignment horizontal="general" vertical="top" textRotation="0" wrapText="true" shrinkToFit="false"/>
    </xf>
    <xf xfId="0" fontId="2" numFmtId="0" fillId="3" borderId="1" applyFont="1" applyNumberFormat="0" applyFill="1" applyBorder="1" applyAlignment="1">
      <alignment horizontal="center" vertical="top" textRotation="0" wrapText="true" shrinkToFit="false"/>
    </xf>
    <xf xfId="0" fontId="2" numFmtId="0" fillId="3" borderId="1" applyFont="1" applyNumberFormat="0" applyFill="1" applyBorder="1" applyAlignment="0">
      <alignment horizontal="general" vertical="top" textRotation="0" wrapText="true" shrinkToFit="false"/>
    </xf>
    <xf xfId="0" fontId="2" numFmtId="0" fillId="4" borderId="1" applyFont="1" applyNumberFormat="0" applyFill="1" applyBorder="1" applyAlignment="1">
      <alignment horizontal="center" vertical="top" textRotation="0" wrapText="true" shrinkToFit="false"/>
    </xf>
    <xf xfId="0" fontId="2" numFmtId="0" fillId="4" borderId="1" applyFont="1" applyNumberFormat="0" applyFill="1" applyBorder="1" applyAlignment="0">
      <alignment horizontal="general" vertical="top" textRotation="0" wrapText="true" shrinkToFit="false"/>
    </xf>
    <xf xfId="0" fontId="2" numFmtId="0" fillId="5" borderId="1" applyFont="1" applyNumberFormat="0" applyFill="1" applyBorder="1" applyAlignment="1">
      <alignment horizontal="center" vertical="top" textRotation="0" wrapText="true" shrinkToFit="false"/>
    </xf>
    <xf xfId="0" fontId="2" numFmtId="0" fillId="5" borderId="1" applyFont="1" applyNumberFormat="0" applyFill="1" applyBorder="1" applyAlignment="0">
      <alignment horizontal="general" vertical="top" textRotation="0" wrapText="true" shrinkToFit="false"/>
    </xf>
    <xf xfId="0" fontId="2" numFmtId="0" fillId="0" borderId="0" applyFont="1" applyNumberFormat="0" applyFill="0" applyBorder="0" applyAlignment="0">
      <alignment horizontal="general" vertical="top" textRotation="0" wrapText="true" shrinkToFit="false"/>
    </xf>
    <xf xfId="0" fontId="0" numFmtId="0" fillId="0" borderId="1" applyFont="0" applyNumberFormat="0" applyFill="0" applyBorder="1" applyAlignment="0">
      <alignment horizontal="general" vertical="top" textRotation="0" wrapText="true" shrinkToFit="false"/>
    </xf>
    <xf xfId="0" fontId="0" numFmtId="0" fillId="6" borderId="1" applyFont="0" applyNumberFormat="0" applyFill="1" applyBorder="1" applyAlignment="0">
      <alignment horizontal="general" vertical="top" textRotation="0" wrapText="true" shrinkToFit="false"/>
    </xf>
    <xf xfId="0" fontId="3" numFmtId="0" fillId="0" borderId="1" applyFont="1" applyNumberFormat="0" applyFill="0" applyBorder="1" applyAlignment="0">
      <alignment horizontal="general" vertical="top" textRotation="0" wrapText="true" shrinkToFit="false"/>
    </xf>
    <xf xfId="0" fontId="4" numFmtId="0" fillId="0" borderId="1" applyFont="1" applyNumberFormat="0" applyFill="0" applyBorder="1" applyAlignment="0">
      <alignment horizontal="general" vertical="top" textRotation="0" wrapText="true" shrinkToFit="false"/>
    </xf>
    <xf xfId="0" fontId="5" numFmtId="0" fillId="0" borderId="1" applyFont="1" applyNumberFormat="0" applyFill="0" applyBorder="1" applyAlignment="0">
      <alignment horizontal="general" vertical="top" textRotation="0" wrapText="true" shrinkToFit="false"/>
    </xf>
    <xf xfId="0" fontId="0" numFmtId="0" fillId="7" borderId="1" applyFont="0" applyNumberFormat="0" applyFill="1" applyBorder="1" applyAlignment="0">
      <alignment horizontal="general" vertical="top" textRotation="0" wrapText="true" shrinkToFit="false"/>
    </xf>
    <xf xfId="0" fontId="0" numFmtId="0" fillId="8" borderId="1" applyFont="0" applyNumberFormat="0" applyFill="1" applyBorder="1" applyAlignment="0">
      <alignment horizontal="general"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www.henontech.com/fieldsafety/harzard/harzard_show.php?rid=993&amp;url=harzardrecs.php" TargetMode="External"/><Relationship Id="rId_hyperlink_2" Type="http://schemas.openxmlformats.org/officeDocument/2006/relationships/hyperlink" Target="http://www.henontech.com/fieldsafety/harzard/harzard_show.php?rid=1014&amp;url=harzardrecs.php" TargetMode="External"/><Relationship Id="rId_hyperlink_3" Type="http://schemas.openxmlformats.org/officeDocument/2006/relationships/hyperlink" Target="http://www.henontech.com/fieldsafety/harzard/harzard_show.php?rid=1025&amp;url=harzardrecs.php" TargetMode="External"/><Relationship Id="rId_hyperlink_4" Type="http://schemas.openxmlformats.org/officeDocument/2006/relationships/hyperlink" Target="http://www.henontech.com/fieldsafety/harzard/harzard_show.php?rid=1110&amp;url=harzardrecs.php" TargetMode="External"/><Relationship Id="rId_hyperlink_5" Type="http://schemas.openxmlformats.org/officeDocument/2006/relationships/hyperlink" Target="http://www.henontech.com/fieldsafety/harzard/harzard_show.php?rid=1143&amp;url=harzardrecs.php" TargetMode="External"/><Relationship Id="rId_hyperlink_6" Type="http://schemas.openxmlformats.org/officeDocument/2006/relationships/hyperlink" Target="http://www.henontech.com/fieldsafety/harzard/harzard_show.php?rid=1150&amp;url=harzardrecs.php" TargetMode="External"/><Relationship Id="rId_hyperlink_7" Type="http://schemas.openxmlformats.org/officeDocument/2006/relationships/hyperlink" Target="http://www.henontech.com/fieldsafety/harzard/harzard_show.php?rid=1155&amp;url=harzardrecs.php" TargetMode="External"/><Relationship Id="rId_hyperlink_8" Type="http://schemas.openxmlformats.org/officeDocument/2006/relationships/hyperlink" Target="http://www.henontech.com/fieldsafety/harzard/harzard_show.php?rid=1163&amp;url=harzardrecs.php" TargetMode="External"/><Relationship Id="rId_hyperlink_9" Type="http://schemas.openxmlformats.org/officeDocument/2006/relationships/hyperlink" Target="http://www.henontech.com/fieldsafety/harzard/harzard_show.php?rid=1173&amp;url=harzardrecs.php" TargetMode="External"/><Relationship Id="rId_hyperlink_10" Type="http://schemas.openxmlformats.org/officeDocument/2006/relationships/hyperlink" Target="http://www.henontech.com/fieldsafety/harzard/harzard_show.php?rid=1179&amp;url=harzardrecs.php" TargetMode="External"/><Relationship Id="rId_hyperlink_11" Type="http://schemas.openxmlformats.org/officeDocument/2006/relationships/hyperlink" Target="http://www.henontech.com/fieldsafety/harzard/harzard_show.php?rid=1254&amp;url=harzardrecs.php" TargetMode="External"/><Relationship Id="rId_hyperlink_12" Type="http://schemas.openxmlformats.org/officeDocument/2006/relationships/hyperlink" Target="http://www.henontech.com/fieldsafety/harzard/harzard_show.php?rid=1266&amp;url=harzardrecs.php" TargetMode="External"/><Relationship Id="rId_hyperlink_13" Type="http://schemas.openxmlformats.org/officeDocument/2006/relationships/hyperlink" Target="http://www.henontech.com/fieldsafety/harzard/harzard_show.php?rid=1275&amp;url=harzardrecs.php" TargetMode="External"/><Relationship Id="rId_hyperlink_14" Type="http://schemas.openxmlformats.org/officeDocument/2006/relationships/hyperlink" Target="http://www.henontech.com/fieldsafety/harzard/harzard_show.php?rid=1327&amp;url=harzardrecs.php" TargetMode="External"/><Relationship Id="rId_hyperlink_15" Type="http://schemas.openxmlformats.org/officeDocument/2006/relationships/hyperlink" Target="http://www.henontech.com/fieldsafety/harzard/harzard_show.php?rid=1336&amp;url=harzardrecs.php" TargetMode="External"/><Relationship Id="rId_hyperlink_16" Type="http://schemas.openxmlformats.org/officeDocument/2006/relationships/hyperlink" Target="http://www.henontech.com/fieldsafety/harzard/harzard_show.php?rid=1382&amp;url=harzardrecs.php" TargetMode="External"/><Relationship Id="rId_hyperlink_17" Type="http://schemas.openxmlformats.org/officeDocument/2006/relationships/hyperlink" Target="http://www.henontech.com/fieldsafety/harzard/harzard_show.php?rid=1389&amp;url=harzardrecs.php" TargetMode="External"/><Relationship Id="rId_hyperlink_18" Type="http://schemas.openxmlformats.org/officeDocument/2006/relationships/hyperlink" Target="http://www.henontech.com/fieldsafety/harzard/harzard_show.php?rid=1391&amp;url=harzardrecs.php" TargetMode="External"/><Relationship Id="rId_hyperlink_19" Type="http://schemas.openxmlformats.org/officeDocument/2006/relationships/hyperlink" Target="http://www.henontech.com/fieldsafety/harzard/harzard_show.php?rid=1402&amp;url=harzardrecs.php" TargetMode="External"/><Relationship Id="rId_hyperlink_20" Type="http://schemas.openxmlformats.org/officeDocument/2006/relationships/hyperlink" Target="http://www.henontech.com/fieldsafety/harzard/harzard_show.php?rid=1410&amp;url=harzardrecs.php" TargetMode="External"/><Relationship Id="rId_hyperlink_21" Type="http://schemas.openxmlformats.org/officeDocument/2006/relationships/hyperlink" Target="http://www.henontech.com/fieldsafety/harzard/harzard_show.php?rid=1435&amp;url=harzardrecs.php" TargetMode="External"/><Relationship Id="rId_hyperlink_22" Type="http://schemas.openxmlformats.org/officeDocument/2006/relationships/hyperlink" Target="http://www.henontech.com/fieldsafety/harzard/harzard_show.php?rid=1460&amp;url=harzardrecs.php" TargetMode="External"/><Relationship Id="rId_hyperlink_23" Type="http://schemas.openxmlformats.org/officeDocument/2006/relationships/hyperlink" Target="http://www.henontech.com/fieldsafety/harzard/harzard_show.php?rid=1462&amp;url=harzardrecs.php" TargetMode="External"/><Relationship Id="rId_hyperlink_24" Type="http://schemas.openxmlformats.org/officeDocument/2006/relationships/hyperlink" Target="http://www.henontech.com/fieldsafety/harzard/harzard_show.php?rid=1537&amp;url=harzardrecs.php" TargetMode="External"/><Relationship Id="rId_hyperlink_25" Type="http://schemas.openxmlformats.org/officeDocument/2006/relationships/hyperlink" Target="http://www.henontech.com/fieldsafety/harzard/harzard_show.php?rid=1542&amp;url=harzardrecs.php" TargetMode="External"/><Relationship Id="rId_hyperlink_26" Type="http://schemas.openxmlformats.org/officeDocument/2006/relationships/hyperlink" Target="http://www.henontech.com/fieldsafety/harzard/harzard_show.php?rid=1547&amp;url=harzardrecs.php" TargetMode="External"/><Relationship Id="rId_hyperlink_27" Type="http://schemas.openxmlformats.org/officeDocument/2006/relationships/hyperlink" Target="http://www.henontech.com/fieldsafety/harzard/harzard_show.php?rid=1592&amp;url=harzardrecs.php" TargetMode="External"/><Relationship Id="rId_hyperlink_28" Type="http://schemas.openxmlformats.org/officeDocument/2006/relationships/hyperlink" Target="http://www.henontech.com/fieldsafety/harzard/harzard_show.php?rid=1613&amp;url=harzardrecs.php" TargetMode="External"/><Relationship Id="rId_hyperlink_29" Type="http://schemas.openxmlformats.org/officeDocument/2006/relationships/hyperlink" Target="http://www.henontech.com/fieldsafety/harzard/harzard_show.php?rid=1622&amp;url=harzardrecs.php" TargetMode="External"/><Relationship Id="rId_hyperlink_30" Type="http://schemas.openxmlformats.org/officeDocument/2006/relationships/hyperlink" Target="http://www.henontech.com/fieldsafety/harzard/harzard_show.php?rid=1693&amp;url=harzardrecs.php" TargetMode="External"/><Relationship Id="rId_hyperlink_31" Type="http://schemas.openxmlformats.org/officeDocument/2006/relationships/hyperlink" Target="http://www.henontech.com/fieldsafety/harzard/harzard_show.php?rid=1703&amp;url=harzardrecs.php" TargetMode="External"/><Relationship Id="rId_hyperlink_32" Type="http://schemas.openxmlformats.org/officeDocument/2006/relationships/hyperlink" Target="http://www.henontech.com/fieldsafety/harzard/harzard_show.php?rid=1736&amp;url=harzardrecs.php" TargetMode="External"/><Relationship Id="rId_hyperlink_33" Type="http://schemas.openxmlformats.org/officeDocument/2006/relationships/hyperlink" Target="http://www.henontech.com/fieldsafety/harzard/harzard_show.php?rid=1737&amp;url=harzardrecs.php" TargetMode="External"/><Relationship Id="rId_hyperlink_34" Type="http://schemas.openxmlformats.org/officeDocument/2006/relationships/hyperlink" Target="http://www.henontech.com/fieldsafety/harzard/harzard_show.php?rid=1743&amp;url=harzardrecs.php" TargetMode="External"/><Relationship Id="rId_hyperlink_35" Type="http://schemas.openxmlformats.org/officeDocument/2006/relationships/hyperlink" Target="http://www.henontech.com/fieldsafety/harzard/harzard_show.php?rid=1753&amp;url=harzardrecs.php" TargetMode="External"/><Relationship Id="rId_hyperlink_36" Type="http://schemas.openxmlformats.org/officeDocument/2006/relationships/hyperlink" Target="http://www.henontech.com/fieldsafety/harzard/harzard_show.php?rid=1754&amp;url=harzardrecs.php" TargetMode="External"/><Relationship Id="rId_hyperlink_37" Type="http://schemas.openxmlformats.org/officeDocument/2006/relationships/hyperlink" Target="http://www.henontech.com/fieldsafety/harzard/harzard_show.php?rid=1757&amp;url=harzardrecs.php" TargetMode="External"/><Relationship Id="rId_hyperlink_38" Type="http://schemas.openxmlformats.org/officeDocument/2006/relationships/hyperlink" Target="http://www.henontech.com/fieldsafety/harzard/harzard_show.php?rid=1759&amp;url=harzardrecs.php" TargetMode="External"/><Relationship Id="rId_hyperlink_39" Type="http://schemas.openxmlformats.org/officeDocument/2006/relationships/hyperlink" Target="http://www.henontech.com/fieldsafety/harzard/harzard_show.php?rid=1767&amp;url=harzardrecs.php" TargetMode="External"/><Relationship Id="rId_hyperlink_40" Type="http://schemas.openxmlformats.org/officeDocument/2006/relationships/hyperlink" Target="http://www.henontech.com/fieldsafety/harzard/harzard_show.php?rid=1768&amp;url=harzardrecs.php" TargetMode="External"/><Relationship Id="rId_hyperlink_41" Type="http://schemas.openxmlformats.org/officeDocument/2006/relationships/hyperlink" Target="http://www.henontech.com/fieldsafety/harzard/harzard_show.php?rid=1843&amp;url=harzardrecs.php" TargetMode="External"/><Relationship Id="rId_hyperlink_42" Type="http://schemas.openxmlformats.org/officeDocument/2006/relationships/hyperlink" Target="http://www.henontech.com/fieldsafety/harzard/harzard_show.php?rid=1852&amp;url=harzardrecs.php" TargetMode="External"/><Relationship Id="rId_hyperlink_43" Type="http://schemas.openxmlformats.org/officeDocument/2006/relationships/hyperlink" Target="http://www.henontech.com/fieldsafety/harzard/harzard_show.php?rid=1856&amp;url=harzardrecs.php" TargetMode="External"/><Relationship Id="rId_hyperlink_44" Type="http://schemas.openxmlformats.org/officeDocument/2006/relationships/hyperlink" Target="http://www.henontech.com/fieldsafety/harzard/harzard_show.php?rid=1863&amp;url=harzardrecs.php" TargetMode="External"/><Relationship Id="rId_hyperlink_45" Type="http://schemas.openxmlformats.org/officeDocument/2006/relationships/hyperlink" Target="http://www.henontech.com/fieldsafety/harzard/harzard_show.php?rid=1876&amp;url=harzardrecs.php" TargetMode="External"/><Relationship Id="rId_hyperlink_46" Type="http://schemas.openxmlformats.org/officeDocument/2006/relationships/hyperlink" Target="http://www.henontech.com/fieldsafety/harzard/harzard_show.php?rid=1882&amp;url=harzardrecs.php" TargetMode="External"/><Relationship Id="rId_hyperlink_47" Type="http://schemas.openxmlformats.org/officeDocument/2006/relationships/hyperlink" Target="http://www.henontech.com/fieldsafety/harzard/harzard_show.php?rid=1887&amp;url=harzardrecs.php" TargetMode="External"/><Relationship Id="rId_hyperlink_48" Type="http://schemas.openxmlformats.org/officeDocument/2006/relationships/hyperlink" Target="http://www.henontech.com/fieldsafety/harzard/harzard_show.php?rid=1889&amp;url=harzardrecs.php" TargetMode="External"/><Relationship Id="rId_hyperlink_49" Type="http://schemas.openxmlformats.org/officeDocument/2006/relationships/hyperlink" Target="http://www.henontech.com/fieldsafety/harzard/harzard_show.php?rid=1899&amp;url=harzardrecs.php" TargetMode="External"/><Relationship Id="rId_hyperlink_50" Type="http://schemas.openxmlformats.org/officeDocument/2006/relationships/hyperlink" Target="http://www.henontech.com/fieldsafety/harzard/harzard_show.php?rid=1907&amp;url=harzardrecs.php" TargetMode="External"/><Relationship Id="rId_hyperlink_51" Type="http://schemas.openxmlformats.org/officeDocument/2006/relationships/hyperlink" Target="http://www.henontech.com/fieldsafety/harzard/harzard_show.php?rid=1926&amp;url=harzardrecs.php" TargetMode="External"/><Relationship Id="rId_hyperlink_52" Type="http://schemas.openxmlformats.org/officeDocument/2006/relationships/hyperlink" Target="http://www.henontech.com/fieldsafety/harzard/harzard_show.php?rid=1927&amp;url=harzardrecs.php" TargetMode="External"/><Relationship Id="rId_hyperlink_53" Type="http://schemas.openxmlformats.org/officeDocument/2006/relationships/hyperlink" Target="http://www.henontech.com/fieldsafety/harzard/harzard_show.php?rid=1930&amp;url=harzardrecs.php" TargetMode="External"/><Relationship Id="rId_hyperlink_54" Type="http://schemas.openxmlformats.org/officeDocument/2006/relationships/hyperlink" Target="http://www.henontech.com/fieldsafety/harzard/harzard_show.php?rid=1931&amp;url=harzardrecs.php" TargetMode="External"/><Relationship Id="rId_hyperlink_55" Type="http://schemas.openxmlformats.org/officeDocument/2006/relationships/hyperlink" Target="http://www.henontech.com/fieldsafety/harzard/harzard_show.php?rid=1932&amp;url=harzardrecs.php" TargetMode="External"/><Relationship Id="rId_hyperlink_56" Type="http://schemas.openxmlformats.org/officeDocument/2006/relationships/hyperlink" Target="http://www.henontech.com/fieldsafety/harzard/harzard_show.php?rid=1933&amp;url=harzardrecs.php" TargetMode="External"/><Relationship Id="rId_hyperlink_57" Type="http://schemas.openxmlformats.org/officeDocument/2006/relationships/hyperlink" Target="http://www.henontech.com/fieldsafety/harzard/harzard_show.php?rid=1934&amp;url=harzardrecs.php" TargetMode="External"/><Relationship Id="rId_hyperlink_58" Type="http://schemas.openxmlformats.org/officeDocument/2006/relationships/hyperlink" Target="http://www.henontech.com/fieldsafety/harzard/harzard_show.php?rid=1937&amp;url=harzardrecs.php" TargetMode="External"/><Relationship Id="rId_hyperlink_59" Type="http://schemas.openxmlformats.org/officeDocument/2006/relationships/hyperlink" Target="http://www.henontech.com/fieldsafety/harzard/harzard_show.php?rid=1940&amp;url=harzardrecs.php" TargetMode="External"/><Relationship Id="rId_hyperlink_60" Type="http://schemas.openxmlformats.org/officeDocument/2006/relationships/hyperlink" Target="http://www.henontech.com/fieldsafety/harzard/harzard_show.php?rid=1952&amp;url=harzardrecs.php" TargetMode="External"/><Relationship Id="rId_hyperlink_61" Type="http://schemas.openxmlformats.org/officeDocument/2006/relationships/hyperlink" Target="http://www.henontech.com/fieldsafety/harzard/harzard_show.php?rid=1986&amp;url=harzardrecs.php" TargetMode="External"/><Relationship Id="rId_hyperlink_62" Type="http://schemas.openxmlformats.org/officeDocument/2006/relationships/hyperlink" Target="http://www.henontech.com/fieldsafety/harzard/harzard_show.php?rid=1992&amp;url=harzardrecs.php" TargetMode="External"/><Relationship Id="rId_hyperlink_63" Type="http://schemas.openxmlformats.org/officeDocument/2006/relationships/hyperlink" Target="http://www.henontech.com/fieldsafety/harzard/harzard_show.php?rid=2000&amp;url=harzardrecs.php" TargetMode="External"/><Relationship Id="rId_hyperlink_64" Type="http://schemas.openxmlformats.org/officeDocument/2006/relationships/hyperlink" Target="http://www.henontech.com/fieldsafety/harzard/harzard_show.php?rid=2006&amp;url=harzardrecs.php" TargetMode="External"/><Relationship Id="rId_hyperlink_65" Type="http://schemas.openxmlformats.org/officeDocument/2006/relationships/hyperlink" Target="http://www.henontech.com/fieldsafety/harzard/harzard_show.php?rid=2009&amp;url=harzardrecs.php" TargetMode="External"/><Relationship Id="rId_hyperlink_66" Type="http://schemas.openxmlformats.org/officeDocument/2006/relationships/hyperlink" Target="http://www.henontech.com/fieldsafety/harzard/harzard_show.php?rid=2010&amp;url=harzardrecs.php" TargetMode="External"/><Relationship Id="rId_hyperlink_67" Type="http://schemas.openxmlformats.org/officeDocument/2006/relationships/hyperlink" Target="http://www.henontech.com/fieldsafety/harzard/harzard_show.php?rid=2015&amp;url=harzardrecs.php" TargetMode="External"/><Relationship Id="rId_hyperlink_68" Type="http://schemas.openxmlformats.org/officeDocument/2006/relationships/hyperlink" Target="http://www.henontech.com/fieldsafety/harzard/harzard_show.php?rid=2049&amp;url=harzardrecs.php" TargetMode="External"/><Relationship Id="rId_hyperlink_69" Type="http://schemas.openxmlformats.org/officeDocument/2006/relationships/hyperlink" Target="http://www.henontech.com/fieldsafety/harzard/harzard_show.php?rid=2050&amp;url=harzardrecs.php" TargetMode="External"/><Relationship Id="rId_hyperlink_70" Type="http://schemas.openxmlformats.org/officeDocument/2006/relationships/hyperlink" Target="http://www.henontech.com/fieldsafety/harzard/harzard_show.php?rid=2051&amp;url=harzardrecs.php" TargetMode="External"/><Relationship Id="rId_hyperlink_71" Type="http://schemas.openxmlformats.org/officeDocument/2006/relationships/hyperlink" Target="http://www.henontech.com/fieldsafety/harzard/harzard_show.php?rid=2052&amp;url=harzardrecs.php" TargetMode="External"/><Relationship Id="rId_hyperlink_72" Type="http://schemas.openxmlformats.org/officeDocument/2006/relationships/hyperlink" Target="http://www.henontech.com/fieldsafety/harzard/harzard_show.php?rid=2053&amp;url=harzardrecs.php" TargetMode="External"/><Relationship Id="rId_hyperlink_73" Type="http://schemas.openxmlformats.org/officeDocument/2006/relationships/hyperlink" Target="http://www.henontech.com/fieldsafety/harzard/harzard_show.php?rid=2056&amp;url=harzardrecs.php" TargetMode="External"/><Relationship Id="rId_hyperlink_74" Type="http://schemas.openxmlformats.org/officeDocument/2006/relationships/hyperlink" Target="http://www.henontech.com/fieldsafety/harzard/harzard_show.php?rid=2058&amp;url=harzardrecs.php" TargetMode="External"/><Relationship Id="rId_hyperlink_75" Type="http://schemas.openxmlformats.org/officeDocument/2006/relationships/hyperlink" Target="http://www.henontech.com/fieldsafety/harzard/harzard_show.php?rid=2059&amp;url=harzardrecs.php" TargetMode="External"/><Relationship Id="rId_hyperlink_76" Type="http://schemas.openxmlformats.org/officeDocument/2006/relationships/hyperlink" Target="http://www.henontech.com/fieldsafety/harzard/harzard_show.php?rid=2083&amp;url=harzardrecs.php" TargetMode="External"/><Relationship Id="rId_hyperlink_77" Type="http://schemas.openxmlformats.org/officeDocument/2006/relationships/hyperlink" Target="http://www.henontech.com/fieldsafety/harzard/harzard_show.php?rid=2084&amp;url=harzardrecs.php" TargetMode="External"/><Relationship Id="rId_hyperlink_78" Type="http://schemas.openxmlformats.org/officeDocument/2006/relationships/hyperlink" Target="http://www.henontech.com/fieldsafety/harzard/harzard_show.php?rid=2100&amp;url=harzardrecs.php" TargetMode="External"/><Relationship Id="rId_hyperlink_79" Type="http://schemas.openxmlformats.org/officeDocument/2006/relationships/hyperlink" Target="http://www.henontech.com/fieldsafety/harzard/harzard_show.php?rid=2103&amp;url=harzardrecs.php" TargetMode="External"/><Relationship Id="rId_hyperlink_80" Type="http://schemas.openxmlformats.org/officeDocument/2006/relationships/hyperlink" Target="http://www.henontech.com/fieldsafety/harzard/harzard_show.php?rid=2104&amp;url=harzardrecs.php" TargetMode="External"/><Relationship Id="rId_hyperlink_81" Type="http://schemas.openxmlformats.org/officeDocument/2006/relationships/hyperlink" Target="http://www.henontech.com/fieldsafety/harzard/harzard_show.php?rid=2105&amp;url=harzardrecs.php" TargetMode="External"/><Relationship Id="rId_hyperlink_82" Type="http://schemas.openxmlformats.org/officeDocument/2006/relationships/hyperlink" Target="http://www.henontech.com/fieldsafety/harzard/harzard_show.php?rid=2106&amp;url=harzardrecs.php" TargetMode="External"/><Relationship Id="rId_hyperlink_83" Type="http://schemas.openxmlformats.org/officeDocument/2006/relationships/hyperlink" Target="http://www.henontech.com/fieldsafety/harzard/harzard_show.php?rid=2107&amp;url=harzardrecs.php" TargetMode="External"/><Relationship Id="rId_hyperlink_84" Type="http://schemas.openxmlformats.org/officeDocument/2006/relationships/hyperlink" Target="http://www.henontech.com/fieldsafety/harzard/harzard_show.php?rid=2119&amp;url=harzardrecs.php" TargetMode="External"/><Relationship Id="rId_hyperlink_85" Type="http://schemas.openxmlformats.org/officeDocument/2006/relationships/hyperlink" Target="http://www.henontech.com/fieldsafety/harzard/harzard_show.php?rid=2121&amp;url=harzardrecs.php" TargetMode="External"/><Relationship Id="rId_hyperlink_86" Type="http://schemas.openxmlformats.org/officeDocument/2006/relationships/hyperlink" Target="http://www.henontech.com/fieldsafety/harzard/harzard_show.php?rid=2121&amp;url=harzardrecs.php" TargetMode="External"/><Relationship Id="rId_hyperlink_87" Type="http://schemas.openxmlformats.org/officeDocument/2006/relationships/hyperlink" Target="http://www.henontech.com/fieldsafety/harzard/harzard_show.php?rid=2128&amp;url=harzardrecs.php" TargetMode="External"/><Relationship Id="rId_hyperlink_88" Type="http://schemas.openxmlformats.org/officeDocument/2006/relationships/hyperlink" Target="http://www.henontech.com/fieldsafety/harzard/harzard_show.php?rid=2130&amp;url=harzardrecs.php" TargetMode="External"/><Relationship Id="rId_hyperlink_89" Type="http://schemas.openxmlformats.org/officeDocument/2006/relationships/hyperlink" Target="http://www.henontech.com/fieldsafety/harzard/harzard_show.php?rid=2132&amp;url=harzardrecs.php" TargetMode="External"/><Relationship Id="rId_hyperlink_90" Type="http://schemas.openxmlformats.org/officeDocument/2006/relationships/hyperlink" Target="http://www.henontech.com/fieldsafety/harzard/harzard_show.php?rid=2134&amp;url=harzardrecs.php" TargetMode="External"/><Relationship Id="rId_hyperlink_91" Type="http://schemas.openxmlformats.org/officeDocument/2006/relationships/hyperlink" Target="http://www.henontech.com/fieldsafety/harzard/harzard_show.php?rid=2142&amp;url=harzardrecs.php" TargetMode="External"/><Relationship Id="rId_hyperlink_92" Type="http://schemas.openxmlformats.org/officeDocument/2006/relationships/hyperlink" Target="http://www.henontech.com/fieldsafety/harzard/harzard_show.php?rid=2143&amp;url=harzardrecs.php" TargetMode="External"/><Relationship Id="rId_hyperlink_93" Type="http://schemas.openxmlformats.org/officeDocument/2006/relationships/hyperlink" Target="http://www.henontech.com/fieldsafety/harzard/harzard_show.php?rid=2154&amp;url=harzardrecs.php" TargetMode="External"/><Relationship Id="rId_hyperlink_94" Type="http://schemas.openxmlformats.org/officeDocument/2006/relationships/hyperlink" Target="http://www.henontech.com/fieldsafety/harzard/harzard_show.php?rid=2162&amp;url=harzardrecs.php" TargetMode="External"/><Relationship Id="rId_hyperlink_95" Type="http://schemas.openxmlformats.org/officeDocument/2006/relationships/hyperlink" Target="http://www.henontech.com/fieldsafety/harzard/harzard_show.php?rid=2165&amp;url=harzardrecs.php" TargetMode="External"/><Relationship Id="rId_hyperlink_96" Type="http://schemas.openxmlformats.org/officeDocument/2006/relationships/hyperlink" Target="http://www.henontech.com/fieldsafety/harzard/harzard_show.php?rid=2167&amp;url=harzardrecs.php" TargetMode="External"/><Relationship Id="rId_hyperlink_97" Type="http://schemas.openxmlformats.org/officeDocument/2006/relationships/hyperlink" Target="http://www.henontech.com/fieldsafety/harzard/harzard_show.php?rid=2168&amp;url=harzardrecs.php" TargetMode="External"/><Relationship Id="rId_hyperlink_98" Type="http://schemas.openxmlformats.org/officeDocument/2006/relationships/hyperlink" Target="http://www.henontech.com/fieldsafety/harzard/harzard_show.php?rid=2169&amp;url=harzardrecs.php" TargetMode="External"/><Relationship Id="rId_hyperlink_99" Type="http://schemas.openxmlformats.org/officeDocument/2006/relationships/hyperlink" Target="http://www.henontech.com/fieldsafety/harzard/harzard_show.php?rid=2171&amp;url=harzardrecs.php" TargetMode="External"/><Relationship Id="rId_hyperlink_100" Type="http://schemas.openxmlformats.org/officeDocument/2006/relationships/hyperlink" Target="http://www.henontech.com/fieldsafety/harzard/harzard_show.php?rid=2172&amp;url=harzardrecs.php" TargetMode="External"/><Relationship Id="rId_hyperlink_101" Type="http://schemas.openxmlformats.org/officeDocument/2006/relationships/hyperlink" Target="http://www.henontech.com/fieldsafety/harzard/harzard_show.php?rid=2173&amp;url=harzardrecs.php" TargetMode="External"/><Relationship Id="rId_hyperlink_102" Type="http://schemas.openxmlformats.org/officeDocument/2006/relationships/hyperlink" Target="http://www.henontech.com/fieldsafety/harzard/harzard_show.php?rid=2177&amp;url=harzardrecs.php" TargetMode="External"/><Relationship Id="rId_hyperlink_103" Type="http://schemas.openxmlformats.org/officeDocument/2006/relationships/hyperlink" Target="http://www.henontech.com/fieldsafety/harzard/harzard_show.php?rid=2181&amp;url=harzardrecs.php" TargetMode="External"/><Relationship Id="rId_hyperlink_104" Type="http://schemas.openxmlformats.org/officeDocument/2006/relationships/hyperlink" Target="http://www.henontech.com/fieldsafety/harzard/harzard_show.php?rid=2182&amp;url=harzardrecs.php" TargetMode="External"/><Relationship Id="rId_hyperlink_105" Type="http://schemas.openxmlformats.org/officeDocument/2006/relationships/hyperlink" Target="http://www.henontech.com/fieldsafety/harzard/harzard_show.php?rid=2186&amp;url=harzardrecs.php" TargetMode="External"/><Relationship Id="rId_hyperlink_106" Type="http://schemas.openxmlformats.org/officeDocument/2006/relationships/hyperlink" Target="http://www.henontech.com/fieldsafety/harzard/harzard_show.php?rid=2189&amp;url=harzardrecs.php" TargetMode="External"/><Relationship Id="rId_hyperlink_107" Type="http://schemas.openxmlformats.org/officeDocument/2006/relationships/hyperlink" Target="http://www.henontech.com/fieldsafety/harzard/harzard_show.php?rid=2190&amp;url=harzardrecs.php" TargetMode="External"/><Relationship Id="rId_hyperlink_108" Type="http://schemas.openxmlformats.org/officeDocument/2006/relationships/hyperlink" Target="http://www.henontech.com/fieldsafety/harzard/harzard_show.php?rid=2191&amp;url=harzardrecs.php" TargetMode="External"/><Relationship Id="rId_hyperlink_109" Type="http://schemas.openxmlformats.org/officeDocument/2006/relationships/hyperlink" Target="http://www.henontech.com/fieldsafety/harzard/harzard_show.php?rid=2193&amp;url=harzardrecs.php" TargetMode="External"/><Relationship Id="rId_hyperlink_110" Type="http://schemas.openxmlformats.org/officeDocument/2006/relationships/hyperlink" Target="http://www.henontech.com/fieldsafety/harzard/harzard_show.php?rid=2197&amp;url=harzardrecs.php" TargetMode="External"/><Relationship Id="rId_hyperlink_111" Type="http://schemas.openxmlformats.org/officeDocument/2006/relationships/hyperlink" Target="http://www.henontech.com/fieldsafety/harzard/harzard_show.php?rid=2201&amp;url=harzardrecs.php" TargetMode="External"/><Relationship Id="rId_hyperlink_112" Type="http://schemas.openxmlformats.org/officeDocument/2006/relationships/hyperlink" Target="http://www.henontech.com/fieldsafety/harzard/harzard_show.php?rid=2205&amp;url=harzardrecs.php" TargetMode="External"/><Relationship Id="rId_hyperlink_113" Type="http://schemas.openxmlformats.org/officeDocument/2006/relationships/hyperlink" Target="http://www.henontech.com/fieldsafety/harzard/harzard_show.php?rid=2207&amp;url=harzardrecs.php" TargetMode="External"/><Relationship Id="rId_hyperlink_114" Type="http://schemas.openxmlformats.org/officeDocument/2006/relationships/hyperlink" Target="http://www.henontech.com/fieldsafety/harzard/harzard_show.php?rid=2209&amp;url=harzardrecs.php" TargetMode="External"/><Relationship Id="rId_hyperlink_115" Type="http://schemas.openxmlformats.org/officeDocument/2006/relationships/hyperlink" Target="http://www.henontech.com/fieldsafety/harzard/harzard_show.php?rid=2210&amp;url=harzardrecs.php" TargetMode="External"/><Relationship Id="rId_hyperlink_116" Type="http://schemas.openxmlformats.org/officeDocument/2006/relationships/hyperlink" Target="http://www.henontech.com/fieldsafety/harzard/harzard_show.php?rid=2215&amp;url=harzardrecs.php" TargetMode="External"/><Relationship Id="rId_hyperlink_117" Type="http://schemas.openxmlformats.org/officeDocument/2006/relationships/hyperlink" Target="http://www.henontech.com/fieldsafety/harzard/harzard_show.php?rid=2218&amp;url=harzardrecs.php" TargetMode="External"/><Relationship Id="rId_hyperlink_118" Type="http://schemas.openxmlformats.org/officeDocument/2006/relationships/hyperlink" Target="http://www.henontech.com/fieldsafety/harzard/harzard_show.php?rid=2220&amp;url=harzardrecs.php" TargetMode="External"/><Relationship Id="rId_hyperlink_119" Type="http://schemas.openxmlformats.org/officeDocument/2006/relationships/hyperlink" Target="http://www.henontech.com/fieldsafety/harzard/harzard_show.php?rid=2221&amp;url=harzardrecs.php" TargetMode="External"/><Relationship Id="rId_hyperlink_120" Type="http://schemas.openxmlformats.org/officeDocument/2006/relationships/hyperlink" Target="http://www.henontech.com/fieldsafety/harzard/harzard_show.php?rid=2222&amp;url=harzardrecs.php" TargetMode="External"/><Relationship Id="rId_hyperlink_121" Type="http://schemas.openxmlformats.org/officeDocument/2006/relationships/hyperlink" Target="http://www.henontech.com/fieldsafety/harzard/harzard_show.php?rid=2224&amp;url=harzardrecs.php" TargetMode="External"/><Relationship Id="rId_hyperlink_122" Type="http://schemas.openxmlformats.org/officeDocument/2006/relationships/hyperlink" Target="http://www.henontech.com/fieldsafety/harzard/harzard_show.php?rid=2224&amp;url=harzardrecs.php" TargetMode="External"/><Relationship Id="rId_hyperlink_123" Type="http://schemas.openxmlformats.org/officeDocument/2006/relationships/hyperlink" Target="http://www.henontech.com/fieldsafety/harzard/harzard_show.php?rid=2225&amp;url=harzardrecs.php" TargetMode="External"/><Relationship Id="rId_hyperlink_124" Type="http://schemas.openxmlformats.org/officeDocument/2006/relationships/hyperlink" Target="http://www.henontech.com/fieldsafety/harzard/harzard_show.php?rid=2228&amp;url=harzardrecs.php" TargetMode="External"/><Relationship Id="rId_hyperlink_125" Type="http://schemas.openxmlformats.org/officeDocument/2006/relationships/hyperlink" Target="http://www.henontech.com/fieldsafety/harzard/harzard_show.php?rid=2229&amp;url=harzardrecs.php" TargetMode="External"/><Relationship Id="rId_hyperlink_126" Type="http://schemas.openxmlformats.org/officeDocument/2006/relationships/hyperlink" Target="http://www.henontech.com/fieldsafety/harzard/harzard_show.php?rid=2235&amp;url=harzardrecs.php" TargetMode="External"/><Relationship Id="rId_hyperlink_127" Type="http://schemas.openxmlformats.org/officeDocument/2006/relationships/hyperlink" Target="http://www.henontech.com/fieldsafety/harzard/harzard_show.php?rid=2236&amp;url=harzardrecs.php" TargetMode="External"/><Relationship Id="rId_hyperlink_128" Type="http://schemas.openxmlformats.org/officeDocument/2006/relationships/hyperlink" Target="http://www.henontech.com/fieldsafety/harzard/harzard_show.php?rid=2237&amp;url=harzardrecs.php" TargetMode="External"/><Relationship Id="rId_hyperlink_129" Type="http://schemas.openxmlformats.org/officeDocument/2006/relationships/hyperlink" Target="http://www.henontech.com/fieldsafety/harzard/harzard_show.php?rid=2239&amp;url=harzardrecs.php" TargetMode="External"/><Relationship Id="rId_hyperlink_130" Type="http://schemas.openxmlformats.org/officeDocument/2006/relationships/hyperlink" Target="http://www.henontech.com/fieldsafety/harzard/harzard_show.php?rid=2242&amp;url=harzardrecs.php" TargetMode="External"/><Relationship Id="rId_hyperlink_131" Type="http://schemas.openxmlformats.org/officeDocument/2006/relationships/hyperlink" Target="http://www.henontech.com/fieldsafety/harzard/harzard_show.php?rid=2245&amp;url=harzardrecs.php" TargetMode="External"/><Relationship Id="rId_hyperlink_132" Type="http://schemas.openxmlformats.org/officeDocument/2006/relationships/hyperlink" Target="http://www.henontech.com/fieldsafety/harzard/harzard_show.php?rid=2246&amp;url=harzardrecs.php" TargetMode="External"/><Relationship Id="rId_hyperlink_133" Type="http://schemas.openxmlformats.org/officeDocument/2006/relationships/hyperlink" Target="http://www.henontech.com/fieldsafety/harzard/harzard_show.php?rid=2247&amp;url=harzardrecs.php" TargetMode="External"/><Relationship Id="rId_hyperlink_134" Type="http://schemas.openxmlformats.org/officeDocument/2006/relationships/hyperlink" Target="http://www.henontech.com/fieldsafety/harzard/harzard_show.php?rid=2254&amp;url=harzardrecs.php" TargetMode="External"/><Relationship Id="rId_hyperlink_135" Type="http://schemas.openxmlformats.org/officeDocument/2006/relationships/hyperlink" Target="http://www.henontech.com/fieldsafety/harzard/harzard_show.php?rid=2258&amp;url=harzardrecs.php" TargetMode="External"/><Relationship Id="rId_hyperlink_136" Type="http://schemas.openxmlformats.org/officeDocument/2006/relationships/hyperlink" Target="http://www.henontech.com/fieldsafety/harzard/harzard_show.php?rid=2260&amp;url=harzardrecs.php" TargetMode="External"/><Relationship Id="rId_hyperlink_137" Type="http://schemas.openxmlformats.org/officeDocument/2006/relationships/hyperlink" Target="http://www.henontech.com/fieldsafety/harzard/harzard_show.php?rid=2270&amp;url=harzardrecs.php" TargetMode="External"/><Relationship Id="rId_hyperlink_138" Type="http://schemas.openxmlformats.org/officeDocument/2006/relationships/hyperlink" Target="http://www.henontech.com/fieldsafety/harzard/harzard_show.php?rid=2275&amp;url=harzardrecs.php" TargetMode="External"/><Relationship Id="rId_hyperlink_139" Type="http://schemas.openxmlformats.org/officeDocument/2006/relationships/hyperlink" Target="http://www.henontech.com/fieldsafety/harzard/harzard_show.php?rid=2280&amp;url=harzardrecs.php" TargetMode="External"/><Relationship Id="rId_hyperlink_140" Type="http://schemas.openxmlformats.org/officeDocument/2006/relationships/hyperlink" Target="http://www.henontech.com/fieldsafety/harzard/harzard_show.php?rid=2281&amp;url=harzardrecs.php" TargetMode="External"/><Relationship Id="rId_hyperlink_141" Type="http://schemas.openxmlformats.org/officeDocument/2006/relationships/hyperlink" Target="http://www.henontech.com/fieldsafety/harzard/harzard_show.php?rid=2283&amp;url=harzardrecs.php" TargetMode="External"/><Relationship Id="rId_hyperlink_142" Type="http://schemas.openxmlformats.org/officeDocument/2006/relationships/hyperlink" Target="http://www.henontech.com/fieldsafety/harzard/harzard_show.php?rid=2284&amp;url=harzardrecs.php" TargetMode="External"/><Relationship Id="rId_hyperlink_143" Type="http://schemas.openxmlformats.org/officeDocument/2006/relationships/hyperlink" Target="http://www.henontech.com/fieldsafety/harzard/harzard_show.php?rid=2285&amp;url=harzardrecs.php" TargetMode="External"/><Relationship Id="rId_hyperlink_144" Type="http://schemas.openxmlformats.org/officeDocument/2006/relationships/hyperlink" Target="http://www.henontech.com/fieldsafety/harzard/harzard_show.php?rid=2287&amp;url=harzardrecs.php" TargetMode="External"/><Relationship Id="rId_hyperlink_145" Type="http://schemas.openxmlformats.org/officeDocument/2006/relationships/hyperlink" Target="http://www.henontech.com/fieldsafety/harzard/harzard_show.php?rid=2289&amp;url=harzardrecs.php" TargetMode="External"/><Relationship Id="rId_hyperlink_146" Type="http://schemas.openxmlformats.org/officeDocument/2006/relationships/hyperlink" Target="http://www.henontech.com/fieldsafety/harzard/harzard_show.php?rid=2291&amp;url=harzardrecs.php" TargetMode="External"/><Relationship Id="rId_hyperlink_147" Type="http://schemas.openxmlformats.org/officeDocument/2006/relationships/hyperlink" Target="http://www.henontech.com/fieldsafety/harzard/harzard_show.php?rid=2293&amp;url=harzardrecs.php" TargetMode="External"/><Relationship Id="rId_hyperlink_148" Type="http://schemas.openxmlformats.org/officeDocument/2006/relationships/hyperlink" Target="http://www.henontech.com/fieldsafety/harzard/harzard_show.php?rid=2314&amp;url=harzardrecs.php" TargetMode="External"/><Relationship Id="rId_hyperlink_149" Type="http://schemas.openxmlformats.org/officeDocument/2006/relationships/hyperlink" Target="http://www.henontech.com/fieldsafety/harzard/harzard_show.php?rid=2330&amp;url=harzardrecs.php" TargetMode="External"/><Relationship Id="rId_hyperlink_150" Type="http://schemas.openxmlformats.org/officeDocument/2006/relationships/hyperlink" Target="http://www.henontech.com/fieldsafety/harzard/harzard_show.php?rid=2331&amp;url=harzardrecs.php" TargetMode="External"/><Relationship Id="rId_hyperlink_151" Type="http://schemas.openxmlformats.org/officeDocument/2006/relationships/hyperlink" Target="http://www.henontech.com/fieldsafety/harzard/harzard_show.php?rid=2351&amp;url=harzardrecs.php" TargetMode="External"/><Relationship Id="rId_hyperlink_152" Type="http://schemas.openxmlformats.org/officeDocument/2006/relationships/hyperlink" Target="http://www.henontech.com/fieldsafety/harzard/harzard_show.php?rid=2367&amp;url=harzardrecs.php" TargetMode="External"/><Relationship Id="rId_hyperlink_153" Type="http://schemas.openxmlformats.org/officeDocument/2006/relationships/hyperlink" Target="http://www.henontech.com/fieldsafety/harzard/harzard_show.php?rid=2403&amp;url=harzardrecs.php" TargetMode="External"/><Relationship Id="rId_hyperlink_154" Type="http://schemas.openxmlformats.org/officeDocument/2006/relationships/hyperlink" Target="http://www.henontech.com/fieldsafety/harzard/harzard_show.php?rid=2408&amp;url=harzardrecs.php" TargetMode="External"/><Relationship Id="rId_hyperlink_155" Type="http://schemas.openxmlformats.org/officeDocument/2006/relationships/hyperlink" Target="http://www.henontech.com/fieldsafety/harzard/harzard_show.php?rid=2409&amp;url=harzardrecs.php" TargetMode="External"/><Relationship Id="rId_hyperlink_156" Type="http://schemas.openxmlformats.org/officeDocument/2006/relationships/hyperlink" Target="http://www.henontech.com/fieldsafety/harzard/harzard_show.php?rid=2412&amp;url=harzardrecs.php" TargetMode="External"/><Relationship Id="rId_hyperlink_157" Type="http://schemas.openxmlformats.org/officeDocument/2006/relationships/hyperlink" Target="http://www.henontech.com/fieldsafety/harzard/harzard_show.php?rid=2414&amp;url=harzardrecs.php" TargetMode="External"/><Relationship Id="rId_hyperlink_158" Type="http://schemas.openxmlformats.org/officeDocument/2006/relationships/hyperlink" Target="http://www.henontech.com/fieldsafety/harzard/harzard_show.php?rid=2415&amp;url=harzardrecs.php" TargetMode="External"/><Relationship Id="rId_hyperlink_159" Type="http://schemas.openxmlformats.org/officeDocument/2006/relationships/hyperlink" Target="http://www.henontech.com/fieldsafety/harzard/harzard_show.php?rid=2419&amp;url=harzardrecs.php" TargetMode="External"/><Relationship Id="rId_hyperlink_160" Type="http://schemas.openxmlformats.org/officeDocument/2006/relationships/hyperlink" Target="http://www.henontech.com/fieldsafety/harzard/harzard_show.php?rid=2420&amp;url=harzardrecs.php" TargetMode="External"/><Relationship Id="rId_hyperlink_161" Type="http://schemas.openxmlformats.org/officeDocument/2006/relationships/hyperlink" Target="http://www.henontech.com/fieldsafety/harzard/harzard_show.php?rid=2421&amp;url=harzardrecs.php" TargetMode="External"/><Relationship Id="rId_hyperlink_162" Type="http://schemas.openxmlformats.org/officeDocument/2006/relationships/hyperlink" Target="http://www.henontech.com/fieldsafety/harzard/harzard_show.php?rid=2422&amp;url=harzardrecs.php" TargetMode="External"/><Relationship Id="rId_hyperlink_163" Type="http://schemas.openxmlformats.org/officeDocument/2006/relationships/hyperlink" Target="http://www.henontech.com/fieldsafety/harzard/harzard_show.php?rid=2423&amp;url=harzardrecs.php" TargetMode="External"/><Relationship Id="rId_hyperlink_164" Type="http://schemas.openxmlformats.org/officeDocument/2006/relationships/hyperlink" Target="http://www.henontech.com/fieldsafety/harzard/harzard_show.php?rid=2424&amp;url=harzardrecs.php" TargetMode="External"/><Relationship Id="rId_hyperlink_165" Type="http://schemas.openxmlformats.org/officeDocument/2006/relationships/hyperlink" Target="http://www.henontech.com/fieldsafety/harzard/harzard_show.php?rid=2425&amp;url=harzardrecs.php" TargetMode="External"/><Relationship Id="rId_hyperlink_166" Type="http://schemas.openxmlformats.org/officeDocument/2006/relationships/hyperlink" Target="http://www.henontech.com/fieldsafety/harzard/harzard_show.php?rid=2426&amp;url=harzardrecs.php" TargetMode="External"/><Relationship Id="rId_hyperlink_167" Type="http://schemas.openxmlformats.org/officeDocument/2006/relationships/hyperlink" Target="http://www.henontech.com/fieldsafety/harzard/harzard_show.php?rid=2427&amp;url=harzardrecs.php" TargetMode="External"/><Relationship Id="rId_hyperlink_168" Type="http://schemas.openxmlformats.org/officeDocument/2006/relationships/hyperlink" Target="http://www.henontech.com/fieldsafety/harzard/harzard_show.php?rid=2432&amp;url=harzardrecs.php" TargetMode="External"/><Relationship Id="rId_hyperlink_169" Type="http://schemas.openxmlformats.org/officeDocument/2006/relationships/hyperlink" Target="http://www.henontech.com/fieldsafety/harzard/harzard_show.php?rid=2434&amp;url=harzardrecs.php" TargetMode="External"/><Relationship Id="rId_hyperlink_170" Type="http://schemas.openxmlformats.org/officeDocument/2006/relationships/hyperlink" Target="http://www.henontech.com/fieldsafety/harzard/harzard_show.php?rid=2435&amp;url=harzardrecs.php" TargetMode="External"/><Relationship Id="rId_hyperlink_171" Type="http://schemas.openxmlformats.org/officeDocument/2006/relationships/hyperlink" Target="http://www.henontech.com/fieldsafety/harzard/harzard_show.php?rid=2436&amp;url=harzardrecs.php" TargetMode="External"/><Relationship Id="rId_hyperlink_172" Type="http://schemas.openxmlformats.org/officeDocument/2006/relationships/hyperlink" Target="http://www.henontech.com/fieldsafety/harzard/harzard_show.php?rid=2440&amp;url=harzardrecs.php" TargetMode="External"/><Relationship Id="rId_hyperlink_173" Type="http://schemas.openxmlformats.org/officeDocument/2006/relationships/hyperlink" Target="http://www.henontech.com/fieldsafety/harzard/harzard_show.php?rid=2447&amp;url=harzardrecs.php" TargetMode="External"/><Relationship Id="rId_hyperlink_174" Type="http://schemas.openxmlformats.org/officeDocument/2006/relationships/hyperlink" Target="http://www.henontech.com/fieldsafety/harzard/harzard_show.php?rid=2454&amp;url=harzardrecs.php" TargetMode="External"/><Relationship Id="rId_hyperlink_175" Type="http://schemas.openxmlformats.org/officeDocument/2006/relationships/hyperlink" Target="http://www.henontech.com/fieldsafety/harzard/harzard_show.php?rid=2455&amp;url=harzardrecs.php" TargetMode="External"/><Relationship Id="rId_hyperlink_176" Type="http://schemas.openxmlformats.org/officeDocument/2006/relationships/hyperlink" Target="http://www.henontech.com/fieldsafety/harzard/harzard_show.php?rid=2457&amp;url=harzardrecs.php" TargetMode="External"/><Relationship Id="rId_hyperlink_177" Type="http://schemas.openxmlformats.org/officeDocument/2006/relationships/hyperlink" Target="http://www.henontech.com/fieldsafety/harzard/harzard_show.php?rid=2458&amp;url=harzardrecs.php" TargetMode="External"/><Relationship Id="rId_hyperlink_178" Type="http://schemas.openxmlformats.org/officeDocument/2006/relationships/hyperlink" Target="http://www.henontech.com/fieldsafety/harzard/harzard_show.php?rid=2459&amp;url=harzardrecs.php" TargetMode="External"/><Relationship Id="rId_hyperlink_179" Type="http://schemas.openxmlformats.org/officeDocument/2006/relationships/hyperlink" Target="http://www.henontech.com/fieldsafety/harzard/harzard_show.php?rid=2460&amp;url=harzardrecs.php" TargetMode="External"/><Relationship Id="rId_hyperlink_180" Type="http://schemas.openxmlformats.org/officeDocument/2006/relationships/hyperlink" Target="http://www.henontech.com/fieldsafety/harzard/harzard_show.php?rid=2468&amp;url=harzardrecs.php" TargetMode="External"/><Relationship Id="rId_hyperlink_181" Type="http://schemas.openxmlformats.org/officeDocument/2006/relationships/hyperlink" Target="http://www.henontech.com/fieldsafety/harzard/harzard_show.php?rid=2495&amp;url=harzardrecs.php" TargetMode="External"/><Relationship Id="rId_hyperlink_182" Type="http://schemas.openxmlformats.org/officeDocument/2006/relationships/hyperlink" Target="http://www.henontech.com/fieldsafety/harzard/harzard_show.php?rid=2501&amp;url=harzardrecs.php" TargetMode="External"/><Relationship Id="rId_hyperlink_183" Type="http://schemas.openxmlformats.org/officeDocument/2006/relationships/hyperlink" Target="http://www.henontech.com/fieldsafety/harzard/harzard_show.php?rid=2503&amp;url=harzardrecs.php" TargetMode="External"/><Relationship Id="rId_hyperlink_184" Type="http://schemas.openxmlformats.org/officeDocument/2006/relationships/hyperlink" Target="http://www.henontech.com/fieldsafety/harzard/harzard_show.php?rid=2510&amp;url=harzardrecs.php" TargetMode="External"/><Relationship Id="rId_hyperlink_185" Type="http://schemas.openxmlformats.org/officeDocument/2006/relationships/hyperlink" Target="http://www.henontech.com/fieldsafety/harzard/harzard_show.php?rid=2512&amp;url=harzardrecs.php" TargetMode="External"/><Relationship Id="rId_hyperlink_186" Type="http://schemas.openxmlformats.org/officeDocument/2006/relationships/hyperlink" Target="http://www.henontech.com/fieldsafety/harzard/harzard_show.php?rid=2522&amp;url=harzardrecs.php" TargetMode="External"/><Relationship Id="rId_hyperlink_187" Type="http://schemas.openxmlformats.org/officeDocument/2006/relationships/hyperlink" Target="http://www.henontech.com/fieldsafety/harzard/harzard_show.php?rid=2535&amp;url=harzardrecs.php" TargetMode="External"/><Relationship Id="rId_hyperlink_188" Type="http://schemas.openxmlformats.org/officeDocument/2006/relationships/hyperlink" Target="http://www.henontech.com/fieldsafety/harzard/harzard_show.php?rid=2536&amp;url=harzardrecs.php" TargetMode="External"/><Relationship Id="rId_hyperlink_189" Type="http://schemas.openxmlformats.org/officeDocument/2006/relationships/hyperlink" Target="http://www.henontech.com/fieldsafety/harzard/harzard_show.php?rid=2537&amp;url=harzardrecs.php" TargetMode="External"/><Relationship Id="rId_hyperlink_190" Type="http://schemas.openxmlformats.org/officeDocument/2006/relationships/hyperlink" Target="http://www.henontech.com/fieldsafety/harzard/harzard_show.php?rid=2541&amp;url=harzardrecs.php" TargetMode="External"/><Relationship Id="rId_hyperlink_191" Type="http://schemas.openxmlformats.org/officeDocument/2006/relationships/hyperlink" Target="http://www.henontech.com/fieldsafety/harzard/harzard_show.php?rid=2542&amp;url=harzardrecs.php" TargetMode="External"/><Relationship Id="rId_hyperlink_192" Type="http://schemas.openxmlformats.org/officeDocument/2006/relationships/hyperlink" Target="http://www.henontech.com/fieldsafety/harzard/harzard_show.php?rid=2545&amp;url=harzardrecs.php" TargetMode="External"/><Relationship Id="rId_hyperlink_193" Type="http://schemas.openxmlformats.org/officeDocument/2006/relationships/hyperlink" Target="http://www.henontech.com/fieldsafety/harzard/harzard_show.php?rid=2550&amp;url=harzardrecs.php" TargetMode="External"/><Relationship Id="rId_hyperlink_194" Type="http://schemas.openxmlformats.org/officeDocument/2006/relationships/hyperlink" Target="http://www.henontech.com/fieldsafety/harzard/harzard_show.php?rid=2556&amp;url=harzardrecs.php" TargetMode="External"/><Relationship Id="rId_hyperlink_195" Type="http://schemas.openxmlformats.org/officeDocument/2006/relationships/hyperlink" Target="http://www.henontech.com/fieldsafety/harzard/harzard_show.php?rid=2557&amp;url=harzardrecs.php" TargetMode="External"/><Relationship Id="rId_hyperlink_196" Type="http://schemas.openxmlformats.org/officeDocument/2006/relationships/hyperlink" Target="http://www.henontech.com/fieldsafety/harzard/harzard_show.php?rid=2564&amp;url=harzardrecs.php" TargetMode="External"/><Relationship Id="rId_hyperlink_197" Type="http://schemas.openxmlformats.org/officeDocument/2006/relationships/hyperlink" Target="http://www.henontech.com/fieldsafety/harzard/harzard_show.php?rid=2566&amp;url=harzardrecs.php" TargetMode="External"/><Relationship Id="rId_hyperlink_198" Type="http://schemas.openxmlformats.org/officeDocument/2006/relationships/hyperlink" Target="http://www.henontech.com/fieldsafety/harzard/harzard_show.php?rid=2567&amp;url=harzardrecs.php" TargetMode="External"/><Relationship Id="rId_hyperlink_199" Type="http://schemas.openxmlformats.org/officeDocument/2006/relationships/hyperlink" Target="http://www.henontech.com/fieldsafety/harzard/harzard_show.php?rid=2568&amp;url=harzardrecs.php" TargetMode="External"/><Relationship Id="rId_hyperlink_200" Type="http://schemas.openxmlformats.org/officeDocument/2006/relationships/hyperlink" Target="http://www.henontech.com/fieldsafety/harzard/harzard_show.php?rid=2569&amp;url=harzardrecs.php" TargetMode="External"/><Relationship Id="rId_hyperlink_201" Type="http://schemas.openxmlformats.org/officeDocument/2006/relationships/hyperlink" Target="http://www.henontech.com/fieldsafety/harzard/harzard_show.php?rid=2570&amp;url=harzardrecs.php" TargetMode="External"/><Relationship Id="rId_hyperlink_202" Type="http://schemas.openxmlformats.org/officeDocument/2006/relationships/hyperlink" Target="http://www.henontech.com/fieldsafety/harzard/harzard_show.php?rid=2571&amp;url=harzardrecs.php" TargetMode="External"/><Relationship Id="rId_hyperlink_203" Type="http://schemas.openxmlformats.org/officeDocument/2006/relationships/hyperlink" Target="http://www.henontech.com/fieldsafety/harzard/harzard_show.php?rid=2572&amp;url=harzardrecs.php" TargetMode="External"/><Relationship Id="rId_hyperlink_204" Type="http://schemas.openxmlformats.org/officeDocument/2006/relationships/hyperlink" Target="http://www.henontech.com/fieldsafety/harzard/harzard_show.php?rid=2573&amp;url=harzardrecs.php" TargetMode="External"/><Relationship Id="rId_hyperlink_205" Type="http://schemas.openxmlformats.org/officeDocument/2006/relationships/hyperlink" Target="http://www.henontech.com/fieldsafety/harzard/harzard_show.php?rid=2574&amp;url=harzardrecs.php" TargetMode="External"/><Relationship Id="rId_hyperlink_206" Type="http://schemas.openxmlformats.org/officeDocument/2006/relationships/hyperlink" Target="http://www.henontech.com/fieldsafety/harzard/harzard_show.php?rid=2575&amp;url=harzardrecs.php" TargetMode="External"/><Relationship Id="rId_hyperlink_207" Type="http://schemas.openxmlformats.org/officeDocument/2006/relationships/hyperlink" Target="http://www.henontech.com/fieldsafety/harzard/harzard_show.php?rid=2576&amp;url=harzardrecs.php" TargetMode="External"/><Relationship Id="rId_hyperlink_208" Type="http://schemas.openxmlformats.org/officeDocument/2006/relationships/hyperlink" Target="http://www.henontech.com/fieldsafety/harzard/harzard_show.php?rid=2577&amp;url=harzardrecs.php" TargetMode="External"/><Relationship Id="rId_hyperlink_209" Type="http://schemas.openxmlformats.org/officeDocument/2006/relationships/hyperlink" Target="http://www.henontech.com/fieldsafety/harzard/harzard_show.php?rid=2578&amp;url=harzardrecs.php" TargetMode="External"/><Relationship Id="rId_hyperlink_210" Type="http://schemas.openxmlformats.org/officeDocument/2006/relationships/hyperlink" Target="http://www.henontech.com/fieldsafety/harzard/harzard_show.php?rid=2579&amp;url=harzardrecs.php" TargetMode="External"/><Relationship Id="rId_hyperlink_211" Type="http://schemas.openxmlformats.org/officeDocument/2006/relationships/hyperlink" Target="http://www.henontech.com/fieldsafety/harzard/harzard_show.php?rid=2580&amp;url=harzardrecs.php" TargetMode="External"/><Relationship Id="rId_hyperlink_212" Type="http://schemas.openxmlformats.org/officeDocument/2006/relationships/hyperlink" Target="http://www.henontech.com/fieldsafety/harzard/harzard_show.php?rid=2581&amp;url=harzardrecs.php" TargetMode="External"/><Relationship Id="rId_hyperlink_213" Type="http://schemas.openxmlformats.org/officeDocument/2006/relationships/hyperlink" Target="http://www.henontech.com/fieldsafety/harzard/harzard_show.php?rid=2583&amp;url=harzardrecs.php" TargetMode="External"/><Relationship Id="rId_hyperlink_214" Type="http://schemas.openxmlformats.org/officeDocument/2006/relationships/hyperlink" Target="http://www.henontech.com/fieldsafety/harzard/harzard_show.php?rid=2584&amp;url=harzardrecs.php" TargetMode="External"/><Relationship Id="rId_hyperlink_215" Type="http://schemas.openxmlformats.org/officeDocument/2006/relationships/hyperlink" Target="http://www.henontech.com/fieldsafety/harzard/harzard_show.php?rid=2585&amp;url=harzardrecs.php" TargetMode="External"/><Relationship Id="rId_hyperlink_216" Type="http://schemas.openxmlformats.org/officeDocument/2006/relationships/hyperlink" Target="http://www.henontech.com/fieldsafety/harzard/harzard_show.php?rid=2586&amp;url=harzardrecs.php" TargetMode="External"/><Relationship Id="rId_hyperlink_217" Type="http://schemas.openxmlformats.org/officeDocument/2006/relationships/hyperlink" Target="http://www.henontech.com/fieldsafety/harzard/harzard_show.php?rid=2588&amp;url=harzardrecs.php" TargetMode="External"/><Relationship Id="rId_hyperlink_218" Type="http://schemas.openxmlformats.org/officeDocument/2006/relationships/hyperlink" Target="http://www.henontech.com/fieldsafety/harzard/harzard_show.php?rid=2591&amp;url=harzardrecs.php" TargetMode="External"/><Relationship Id="rId_hyperlink_219" Type="http://schemas.openxmlformats.org/officeDocument/2006/relationships/hyperlink" Target="http://www.henontech.com/fieldsafety/harzard/harzard_show.php?rid=2593&amp;url=harzardrecs.php" TargetMode="External"/><Relationship Id="rId_hyperlink_220" Type="http://schemas.openxmlformats.org/officeDocument/2006/relationships/hyperlink" Target="http://www.henontech.com/fieldsafety/harzard/harzard_show.php?rid=2597&amp;url=harzardrecs.php" TargetMode="External"/><Relationship Id="rId_hyperlink_221" Type="http://schemas.openxmlformats.org/officeDocument/2006/relationships/hyperlink" Target="http://www.henontech.com/fieldsafety/harzard/harzard_show.php?rid=2598&amp;url=harzardrecs.php" TargetMode="External"/><Relationship Id="rId_hyperlink_222" Type="http://schemas.openxmlformats.org/officeDocument/2006/relationships/hyperlink" Target="http://www.henontech.com/fieldsafety/harzard/harzard_show.php?rid=2599&amp;url=harzardrecs.php" TargetMode="External"/><Relationship Id="rId_hyperlink_223" Type="http://schemas.openxmlformats.org/officeDocument/2006/relationships/hyperlink" Target="http://www.henontech.com/fieldsafety/harzard/harzard_show.php?rid=2610&amp;url=harzardrecs.php" TargetMode="External"/><Relationship Id="rId_hyperlink_224" Type="http://schemas.openxmlformats.org/officeDocument/2006/relationships/hyperlink" Target="http://www.henontech.com/fieldsafety/harzard/harzard_show.php?rid=2611&amp;url=harzardrecs.php" TargetMode="External"/><Relationship Id="rId_hyperlink_225" Type="http://schemas.openxmlformats.org/officeDocument/2006/relationships/hyperlink" Target="http://www.henontech.com/fieldsafety/harzard/harzard_show.php?rid=2612&amp;url=harzardrecs.php" TargetMode="External"/><Relationship Id="rId_hyperlink_226" Type="http://schemas.openxmlformats.org/officeDocument/2006/relationships/hyperlink" Target="http://www.henontech.com/fieldsafety/harzard/harzard_show.php?rid=2613&amp;url=harzardrecs.php" TargetMode="External"/><Relationship Id="rId_hyperlink_227" Type="http://schemas.openxmlformats.org/officeDocument/2006/relationships/hyperlink" Target="http://www.henontech.com/fieldsafety/harzard/harzard_show.php?rid=2614&amp;url=harzardrecs.php" TargetMode="External"/><Relationship Id="rId_hyperlink_228" Type="http://schemas.openxmlformats.org/officeDocument/2006/relationships/hyperlink" Target="http://www.henontech.com/fieldsafety/harzard/harzard_show.php?rid=2616&amp;url=harzardrecs.php" TargetMode="External"/><Relationship Id="rId_hyperlink_229" Type="http://schemas.openxmlformats.org/officeDocument/2006/relationships/hyperlink" Target="http://www.henontech.com/fieldsafety/harzard/harzard_show.php?rid=2618&amp;url=harzardrecs.php" TargetMode="External"/><Relationship Id="rId_hyperlink_230" Type="http://schemas.openxmlformats.org/officeDocument/2006/relationships/hyperlink" Target="http://www.henontech.com/fieldsafety/harzard/harzard_show.php?rid=2621&amp;url=harzardrecs.php" TargetMode="External"/><Relationship Id="rId_hyperlink_231" Type="http://schemas.openxmlformats.org/officeDocument/2006/relationships/hyperlink" Target="http://www.henontech.com/fieldsafety/harzard/harzard_show.php?rid=2623&amp;url=harzardrecs.php" TargetMode="External"/><Relationship Id="rId_hyperlink_232" Type="http://schemas.openxmlformats.org/officeDocument/2006/relationships/hyperlink" Target="http://www.henontech.com/fieldsafety/harzard/harzard_show.php?rid=2628&amp;url=harzardrecs.php" TargetMode="External"/><Relationship Id="rId_hyperlink_233" Type="http://schemas.openxmlformats.org/officeDocument/2006/relationships/hyperlink" Target="http://www.henontech.com/fieldsafety/harzard/harzard_show.php?rid=2629&amp;url=harzardrecs.php" TargetMode="External"/><Relationship Id="rId_hyperlink_234" Type="http://schemas.openxmlformats.org/officeDocument/2006/relationships/hyperlink" Target="http://www.henontech.com/fieldsafety/harzard/harzard_show.php?rid=2631&amp;url=harzardrecs.php" TargetMode="External"/><Relationship Id="rId_hyperlink_235" Type="http://schemas.openxmlformats.org/officeDocument/2006/relationships/hyperlink" Target="http://www.henontech.com/fieldsafety/harzard/harzard_show.php?rid=2634&amp;url=harzardrecs.php" TargetMode="External"/><Relationship Id="rId_hyperlink_236" Type="http://schemas.openxmlformats.org/officeDocument/2006/relationships/hyperlink" Target="http://www.henontech.com/fieldsafety/harzard/harzard_show.php?rid=2635&amp;url=harzardrecs.php" TargetMode="External"/><Relationship Id="rId_hyperlink_237" Type="http://schemas.openxmlformats.org/officeDocument/2006/relationships/hyperlink" Target="http://www.henontech.com/fieldsafety/harzard/harzard_show.php?rid=2636&amp;url=harzardrecs.php" TargetMode="External"/><Relationship Id="rId_hyperlink_238" Type="http://schemas.openxmlformats.org/officeDocument/2006/relationships/hyperlink" Target="http://www.henontech.com/fieldsafety/harzard/harzard_show.php?rid=2641&amp;url=harzardrecs.php" TargetMode="External"/><Relationship Id="rId_hyperlink_239" Type="http://schemas.openxmlformats.org/officeDocument/2006/relationships/hyperlink" Target="http://www.henontech.com/fieldsafety/harzard/harzard_show.php?rid=2647&amp;url=harzardrecs.php" TargetMode="External"/><Relationship Id="rId_hyperlink_240" Type="http://schemas.openxmlformats.org/officeDocument/2006/relationships/hyperlink" Target="http://www.henontech.com/fieldsafety/harzard/harzard_show.php?rid=2648&amp;url=harzardrecs.php" TargetMode="External"/><Relationship Id="rId_hyperlink_241" Type="http://schemas.openxmlformats.org/officeDocument/2006/relationships/hyperlink" Target="http://www.henontech.com/fieldsafety/harzard/harzard_show.php?rid=2649&amp;url=harzardrecs.php" TargetMode="External"/><Relationship Id="rId_hyperlink_242" Type="http://schemas.openxmlformats.org/officeDocument/2006/relationships/hyperlink" Target="http://www.henontech.com/fieldsafety/harzard/harzard_show.php?rid=2650&amp;url=harzardrecs.php" TargetMode="External"/><Relationship Id="rId_hyperlink_243" Type="http://schemas.openxmlformats.org/officeDocument/2006/relationships/hyperlink" Target="http://www.henontech.com/fieldsafety/harzard/harzard_show.php?rid=2651&amp;url=harzardrecs.php"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H248"/>
  <sheetViews>
    <sheetView tabSelected="1" workbookViewId="0" showGridLines="true" showRowColHeaders="1">
      <pane xSplit="4" ySplit="5" topLeftCell="E6" activePane="bottomRight" state="frozen"/>
      <selection pane="topRight"/>
      <selection pane="bottomLeft"/>
      <selection pane="bottomRight" activeCell="E6" sqref="E6"/>
    </sheetView>
  </sheetViews>
  <sheetFormatPr defaultRowHeight="14.4" outlineLevelRow="0" outlineLevelCol="0"/>
  <cols>
    <col min="1" max="1" width="5" customWidth="true" style="0"/>
    <col min="2" max="2" width="9" customWidth="true" style="0"/>
    <col min="4" max="4" width="65" customWidth="true" style="0"/>
    <col min="5" max="5" width="36" customWidth="true" style="0"/>
    <col min="6" max="6" width="9" customWidth="true" style="0"/>
    <col min="9" max="9" width="12" customWidth="true" style="0"/>
    <col min="10" max="10" width="12" customWidth="true" style="0"/>
    <col min="11" max="11" width="12" customWidth="true" style="0"/>
    <col min="12" max="12" width="12" customWidth="true" style="0"/>
    <col min="13" max="13" width="13" customWidth="true" style="0"/>
    <col min="15" max="15" width="13" customWidth="true" style="0"/>
    <col min="18" max="18" width="18" customWidth="true" style="0"/>
    <col min="19" max="19" width="30" customWidth="true" style="0"/>
    <col min="24" max="24" width="16" customWidth="true" style="0"/>
    <col min="25" max="25" width="16" customWidth="true" style="0"/>
    <col min="26" max="26" width="65" customWidth="true" style="0"/>
    <col min="32" max="32" width="50" customWidth="true" style="0"/>
  </cols>
  <sheetData>
    <row r="1" spans="1:34" customHeight="1" ht="30">
      <c r="E1" s="2" t="s">
        <v>0</v>
      </c>
      <c r="F1" s="2"/>
      <c r="G1" s="2"/>
      <c r="H1" s="2"/>
      <c r="I1" s="2"/>
      <c r="J1" s="2"/>
      <c r="K1" s="2"/>
      <c r="L1" s="2"/>
      <c r="M1" s="2"/>
    </row>
    <row r="2" spans="1:34">
      <c r="E2" s="1" t="s">
        <v>1</v>
      </c>
      <c r="F2" s="1"/>
      <c r="G2" s="1"/>
      <c r="H2" s="1"/>
      <c r="I2" s="1"/>
      <c r="J2" s="1"/>
      <c r="K2" s="1"/>
      <c r="L2" s="1"/>
      <c r="M2" s="1"/>
    </row>
    <row r="3" spans="1:34">
      <c r="E3"/>
    </row>
    <row r="4" spans="1:34">
      <c r="A4" s="10" t="s">
        <v>2</v>
      </c>
      <c r="B4" s="11"/>
      <c r="C4" s="11"/>
      <c r="D4" s="11"/>
      <c r="E4" s="11"/>
      <c r="F4" s="11"/>
      <c r="G4" s="12" t="s">
        <v>3</v>
      </c>
      <c r="H4" s="13"/>
      <c r="I4" s="13"/>
      <c r="J4" s="13"/>
      <c r="K4" s="13"/>
      <c r="L4" s="13"/>
      <c r="M4" s="13"/>
      <c r="N4" s="13"/>
      <c r="O4" s="13"/>
      <c r="P4" s="13"/>
      <c r="Q4" s="13"/>
      <c r="R4" s="13"/>
      <c r="S4" s="13"/>
      <c r="T4" s="10" t="s">
        <v>4</v>
      </c>
      <c r="U4" s="11"/>
      <c r="V4" s="11"/>
      <c r="W4" s="11"/>
      <c r="X4" s="14" t="s">
        <v>5</v>
      </c>
      <c r="Y4" s="15"/>
      <c r="Z4" s="16" t="s">
        <v>6</v>
      </c>
      <c r="AA4" s="17"/>
      <c r="AB4" s="17"/>
      <c r="AC4" s="17"/>
      <c r="AD4" s="17"/>
      <c r="AE4" s="17"/>
      <c r="AF4" s="17"/>
      <c r="AG4" s="18"/>
      <c r="AH4" s="18"/>
    </row>
    <row r="5" spans="1:34">
      <c r="A5" s="4" t="s">
        <v>7</v>
      </c>
      <c r="B5" s="4" t="s">
        <v>8</v>
      </c>
      <c r="C5" s="4" t="s">
        <v>9</v>
      </c>
      <c r="D5" s="3" t="s">
        <v>10</v>
      </c>
      <c r="E5" s="3" t="s">
        <v>11</v>
      </c>
      <c r="F5" s="4" t="s">
        <v>12</v>
      </c>
      <c r="G5" s="6" t="s">
        <v>13</v>
      </c>
      <c r="H5" s="6" t="s">
        <v>14</v>
      </c>
      <c r="I5" s="6" t="s">
        <v>15</v>
      </c>
      <c r="J5" s="6" t="s">
        <v>16</v>
      </c>
      <c r="K5" s="6" t="s">
        <v>17</v>
      </c>
      <c r="L5" s="6" t="s">
        <v>18</v>
      </c>
      <c r="M5" s="6" t="s">
        <v>19</v>
      </c>
      <c r="N5" s="6" t="s">
        <v>20</v>
      </c>
      <c r="O5" s="6" t="s">
        <v>21</v>
      </c>
      <c r="P5" s="6" t="s">
        <v>22</v>
      </c>
      <c r="Q5" s="6" t="s">
        <v>23</v>
      </c>
      <c r="R5" s="5" t="s">
        <v>24</v>
      </c>
      <c r="S5" s="5" t="s">
        <v>25</v>
      </c>
      <c r="T5" s="4" t="s">
        <v>26</v>
      </c>
      <c r="U5" s="4" t="s">
        <v>27</v>
      </c>
      <c r="V5" s="4" t="s">
        <v>28</v>
      </c>
      <c r="W5" s="4" t="s">
        <v>29</v>
      </c>
      <c r="X5" s="7" t="s">
        <v>30</v>
      </c>
      <c r="Y5" s="7" t="s">
        <v>31</v>
      </c>
      <c r="Z5" s="8" t="s">
        <v>32</v>
      </c>
      <c r="AA5" s="9" t="s">
        <v>33</v>
      </c>
      <c r="AB5" s="9" t="s">
        <v>34</v>
      </c>
      <c r="AC5" s="9" t="s">
        <v>35</v>
      </c>
      <c r="AD5" s="9" t="s">
        <v>36</v>
      </c>
      <c r="AE5" s="9" t="s">
        <v>37</v>
      </c>
      <c r="AF5" s="8" t="s">
        <v>38</v>
      </c>
    </row>
    <row r="6" spans="1:34">
      <c r="A6" s="19">
        <v>1</v>
      </c>
      <c r="B6" s="19" t="s">
        <v>39</v>
      </c>
      <c r="C6" s="19" t="s">
        <v>40</v>
      </c>
      <c r="D6" s="19" t="str">
        <f>HYPERLINK("http://www.henontech.com/fieldsafety/harzard/harzard_show.php?rid=993&amp;url=harzardrecs.php","北风机废气回收洗涤塔无护笼，如果一人在爬爬梯时手部未抓牢，可能造成人员从爬梯坠落腿部骨折，住院三个月后出院。")</f>
        <v>北风机废气回收洗涤塔无护笼，如果一人在爬爬梯时手部未抓牢，可能造成人员从爬梯坠落腿部骨折，住院三个月后出院。</v>
      </c>
      <c r="E6" s="19" t="s">
        <v>41</v>
      </c>
      <c r="F6" s="20" t="s">
        <v>42</v>
      </c>
      <c r="G6" s="21" t="s">
        <v>43</v>
      </c>
      <c r="H6" s="19" t="s">
        <v>44</v>
      </c>
      <c r="I6" s="19" t="s">
        <v>45</v>
      </c>
      <c r="J6" s="19" t="s">
        <v>46</v>
      </c>
      <c r="K6" s="19" t="s">
        <v>47</v>
      </c>
      <c r="L6" s="19" t="s">
        <v>48</v>
      </c>
      <c r="M6" s="19" t="s">
        <v>49</v>
      </c>
      <c r="N6" s="19" t="s">
        <v>50</v>
      </c>
      <c r="O6" s="19" t="s">
        <v>49</v>
      </c>
      <c r="P6" s="19" t="s">
        <v>51</v>
      </c>
      <c r="Q6" s="19" t="s">
        <v>52</v>
      </c>
      <c r="R6" s="19" t="s">
        <v>53</v>
      </c>
      <c r="S6" s="19"/>
      <c r="T6" s="19" t="s">
        <v>54</v>
      </c>
      <c r="U6" s="19" t="s">
        <v>55</v>
      </c>
      <c r="V6" s="19" t="s">
        <v>56</v>
      </c>
      <c r="W6" s="19" t="s">
        <v>57</v>
      </c>
      <c r="X6" s="19"/>
      <c r="Y6" s="19"/>
      <c r="Z6" s="19" t="s">
        <v>58</v>
      </c>
      <c r="AA6" s="19">
        <v>1</v>
      </c>
      <c r="AB6" s="19">
        <v>1</v>
      </c>
      <c r="AC6" s="19" t="s">
        <v>59</v>
      </c>
      <c r="AD6" s="19" t="s">
        <v>51</v>
      </c>
      <c r="AE6" s="19" t="s">
        <v>60</v>
      </c>
      <c r="AF6" s="19"/>
    </row>
    <row r="7" spans="1:34">
      <c r="A7" s="19">
        <v>2</v>
      </c>
      <c r="B7" s="19" t="s">
        <v>61</v>
      </c>
      <c r="C7" s="19" t="s">
        <v>62</v>
      </c>
      <c r="D7" s="19" t="str">
        <f>HYPERLINK("http://www.henontech.com/fieldsafety/harzard/harzard_show.php?rid=1014&amp;url=harzardrecs.php","废料堆现场较为杂乱，吊车司机视线不清，且双方均未佩戴对讲机进行及时沟通，假如指挥人员指挥失误会导致吊装件下落位置不准确，将会砸伤接件人员。")</f>
        <v>废料堆现场较为杂乱，吊车司机视线不清，且双方均未佩戴对讲机进行及时沟通，假如指挥人员指挥失误会导致吊装件下落位置不准确，将会砸伤接件人员。</v>
      </c>
      <c r="E7" s="19" t="s">
        <v>63</v>
      </c>
      <c r="F7" s="20" t="s">
        <v>42</v>
      </c>
      <c r="G7" s="21" t="s">
        <v>43</v>
      </c>
      <c r="H7" s="19" t="s">
        <v>44</v>
      </c>
      <c r="I7" s="19" t="s">
        <v>64</v>
      </c>
      <c r="J7" s="19" t="s">
        <v>46</v>
      </c>
      <c r="K7" s="19" t="s">
        <v>47</v>
      </c>
      <c r="L7" s="19" t="s">
        <v>48</v>
      </c>
      <c r="M7" s="19" t="s">
        <v>49</v>
      </c>
      <c r="N7" s="19" t="s">
        <v>65</v>
      </c>
      <c r="O7" s="19" t="s">
        <v>49</v>
      </c>
      <c r="P7" s="19" t="s">
        <v>66</v>
      </c>
      <c r="Q7" s="19" t="s">
        <v>67</v>
      </c>
      <c r="R7" s="19" t="s">
        <v>68</v>
      </c>
      <c r="S7" s="19"/>
      <c r="T7" s="19" t="s">
        <v>54</v>
      </c>
      <c r="U7" s="19" t="s">
        <v>69</v>
      </c>
      <c r="V7" s="19" t="s">
        <v>70</v>
      </c>
      <c r="W7" s="19" t="s">
        <v>71</v>
      </c>
      <c r="X7" s="19"/>
      <c r="Y7" s="19"/>
      <c r="Z7" s="19" t="s">
        <v>72</v>
      </c>
      <c r="AA7" s="19">
        <v>1</v>
      </c>
      <c r="AB7" s="19">
        <v>1</v>
      </c>
      <c r="AC7" s="19" t="s">
        <v>59</v>
      </c>
      <c r="AD7" s="19" t="s">
        <v>66</v>
      </c>
      <c r="AE7" s="19" t="s">
        <v>73</v>
      </c>
      <c r="AF7" s="19"/>
    </row>
    <row r="8" spans="1:34" customHeight="1" ht="42">
      <c r="A8" s="19">
        <v>3</v>
      </c>
      <c r="B8" s="19" t="s">
        <v>74</v>
      </c>
      <c r="C8" s="19" t="s">
        <v>75</v>
      </c>
      <c r="D8" s="19" t="str">
        <f>HYPERLINK("http://www.henontech.com/fieldsafety/harzard/harzard_show.php?rid=1025&amp;url=harzardrecs.php","冷凝液泵进口管道漏水，致使地面有积水，导致地面湿滑，如若有人经过比较容易滑倒摔伤。")</f>
        <v>冷凝液泵进口管道漏水，致使地面有积水，导致地面湿滑，如若有人经过比较容易滑倒摔伤。</v>
      </c>
      <c r="E8" s="19" t="s">
        <v>76</v>
      </c>
      <c r="F8" s="20" t="s">
        <v>42</v>
      </c>
      <c r="G8" s="21" t="s">
        <v>43</v>
      </c>
      <c r="H8" s="19" t="s">
        <v>44</v>
      </c>
      <c r="I8" s="19" t="s">
        <v>45</v>
      </c>
      <c r="J8" s="19" t="s">
        <v>46</v>
      </c>
      <c r="K8" s="19" t="s">
        <v>47</v>
      </c>
      <c r="L8" s="19" t="s">
        <v>48</v>
      </c>
      <c r="M8" s="19" t="s">
        <v>49</v>
      </c>
      <c r="N8" s="19" t="s">
        <v>77</v>
      </c>
      <c r="O8" s="19" t="s">
        <v>49</v>
      </c>
      <c r="P8" s="19" t="s">
        <v>66</v>
      </c>
      <c r="Q8" s="19" t="s">
        <v>67</v>
      </c>
      <c r="R8" s="19" t="s">
        <v>78</v>
      </c>
      <c r="S8" s="19"/>
      <c r="T8" s="19" t="s">
        <v>54</v>
      </c>
      <c r="U8" s="19" t="s">
        <v>69</v>
      </c>
      <c r="V8" s="19" t="s">
        <v>70</v>
      </c>
      <c r="W8" s="19" t="s">
        <v>71</v>
      </c>
      <c r="X8" s="19"/>
      <c r="Y8" s="19"/>
      <c r="Z8" s="19" t="s">
        <v>79</v>
      </c>
      <c r="AA8" s="19">
        <v>2</v>
      </c>
      <c r="AB8" s="19">
        <v>1</v>
      </c>
      <c r="AC8" s="19" t="s">
        <v>59</v>
      </c>
      <c r="AD8" s="19" t="s">
        <v>66</v>
      </c>
      <c r="AE8" s="19" t="s">
        <v>80</v>
      </c>
      <c r="AF8" s="19"/>
    </row>
    <row r="9" spans="1:34" customHeight="1" ht="42">
      <c r="A9" s="19">
        <v>4</v>
      </c>
      <c r="B9" s="19" t="s">
        <v>81</v>
      </c>
      <c r="C9" s="19" t="s">
        <v>82</v>
      </c>
      <c r="D9" s="19" t="str">
        <f>HYPERLINK("http://www.henontech.com/fieldsafety/harzard/harzard_show.php?rid=1110&amp;url=harzardrecs.php","东硫铵低位槽管道腐蚀漏液，假设操作工巡检过程中未做好个人防护，就可能被漏液喷溅灼伤。")</f>
        <v>东硫铵低位槽管道腐蚀漏液，假设操作工巡检过程中未做好个人防护，就可能被漏液喷溅灼伤。</v>
      </c>
      <c r="E9" s="19" t="s">
        <v>83</v>
      </c>
      <c r="F9" s="20" t="s">
        <v>42</v>
      </c>
      <c r="G9" s="21" t="s">
        <v>43</v>
      </c>
      <c r="H9" s="19" t="s">
        <v>44</v>
      </c>
      <c r="I9" s="19" t="s">
        <v>45</v>
      </c>
      <c r="J9" s="19" t="s">
        <v>46</v>
      </c>
      <c r="K9" s="19" t="s">
        <v>84</v>
      </c>
      <c r="L9" s="19" t="s">
        <v>48</v>
      </c>
      <c r="M9" s="19" t="s">
        <v>49</v>
      </c>
      <c r="N9" s="19" t="s">
        <v>85</v>
      </c>
      <c r="O9" s="19" t="s">
        <v>49</v>
      </c>
      <c r="P9" s="19" t="s">
        <v>66</v>
      </c>
      <c r="Q9" s="19" t="s">
        <v>86</v>
      </c>
      <c r="R9" s="19" t="s">
        <v>87</v>
      </c>
      <c r="S9" s="19"/>
      <c r="T9" s="19" t="s">
        <v>54</v>
      </c>
      <c r="U9" s="19" t="s">
        <v>69</v>
      </c>
      <c r="V9" s="19" t="s">
        <v>70</v>
      </c>
      <c r="W9" s="19" t="s">
        <v>71</v>
      </c>
      <c r="X9" s="19"/>
      <c r="Y9" s="19"/>
      <c r="Z9" s="19" t="s">
        <v>88</v>
      </c>
      <c r="AA9" s="19">
        <v>2</v>
      </c>
      <c r="AB9" s="19">
        <v>1</v>
      </c>
      <c r="AC9" s="19" t="s">
        <v>59</v>
      </c>
      <c r="AD9" s="19" t="s">
        <v>66</v>
      </c>
      <c r="AE9" s="19" t="s">
        <v>80</v>
      </c>
      <c r="AF9" s="19"/>
    </row>
    <row r="10" spans="1:34" customHeight="1" ht="42">
      <c r="A10" s="19">
        <v>5</v>
      </c>
      <c r="B10" s="19" t="s">
        <v>89</v>
      </c>
      <c r="C10" s="19" t="s">
        <v>82</v>
      </c>
      <c r="D10" s="19" t="str">
        <f>HYPERLINK("http://www.henontech.com/fieldsafety/harzard/harzard_show.php?rid=1143&amp;url=harzardrecs.php","洒水车未安防火罩，经过粗苯地沟时，假如喷出火星，容易导致易燃气体燃烧。")</f>
        <v>洒水车未安防火罩，经过粗苯地沟时，假如喷出火星，容易导致易燃气体燃烧。</v>
      </c>
      <c r="E10" s="19" t="s">
        <v>90</v>
      </c>
      <c r="F10" s="20" t="s">
        <v>42</v>
      </c>
      <c r="G10" s="21" t="s">
        <v>43</v>
      </c>
      <c r="H10" s="19" t="s">
        <v>44</v>
      </c>
      <c r="I10" s="19"/>
      <c r="J10" s="19" t="s">
        <v>46</v>
      </c>
      <c r="K10" s="19" t="s">
        <v>47</v>
      </c>
      <c r="L10" s="19" t="s">
        <v>48</v>
      </c>
      <c r="M10" s="19" t="s">
        <v>49</v>
      </c>
      <c r="N10" s="19" t="s">
        <v>91</v>
      </c>
      <c r="O10" s="19" t="s">
        <v>49</v>
      </c>
      <c r="P10" s="19" t="s">
        <v>66</v>
      </c>
      <c r="Q10" s="19" t="s">
        <v>92</v>
      </c>
      <c r="R10" s="19" t="s">
        <v>93</v>
      </c>
      <c r="S10" s="19"/>
      <c r="T10" s="19" t="s">
        <v>94</v>
      </c>
      <c r="U10" s="19" t="s">
        <v>69</v>
      </c>
      <c r="V10" s="19" t="s">
        <v>70</v>
      </c>
      <c r="W10" s="19" t="s">
        <v>71</v>
      </c>
      <c r="X10" s="19"/>
      <c r="Y10" s="19"/>
      <c r="Z10" s="19" t="s">
        <v>95</v>
      </c>
      <c r="AA10" s="19">
        <v>2</v>
      </c>
      <c r="AB10" s="19">
        <v>2</v>
      </c>
      <c r="AC10" s="19" t="s">
        <v>59</v>
      </c>
      <c r="AD10" s="19" t="s">
        <v>66</v>
      </c>
      <c r="AE10" s="19" t="s">
        <v>73</v>
      </c>
      <c r="AF10" s="19"/>
    </row>
    <row r="11" spans="1:34">
      <c r="A11" s="19">
        <v>6</v>
      </c>
      <c r="B11" s="19" t="s">
        <v>96</v>
      </c>
      <c r="C11" s="19" t="s">
        <v>97</v>
      </c>
      <c r="D11" s="19" t="str">
        <f>HYPERLINK("http://www.henontech.com/fieldsafety/harzard/harzard_show.php?rid=1150&amp;url=harzardrecs.php","2号风机在运行过程中西气封漏煤气（已切换备用机）")</f>
        <v>2号风机在运行过程中西气封漏煤气（已切换备用机）</v>
      </c>
      <c r="E11" s="19" t="s">
        <v>98</v>
      </c>
      <c r="F11" s="20" t="s">
        <v>42</v>
      </c>
      <c r="G11" s="21" t="s">
        <v>43</v>
      </c>
      <c r="H11" s="19" t="s">
        <v>44</v>
      </c>
      <c r="I11" s="19" t="s">
        <v>45</v>
      </c>
      <c r="J11" s="19" t="s">
        <v>46</v>
      </c>
      <c r="K11" s="19" t="s">
        <v>99</v>
      </c>
      <c r="L11" s="19" t="s">
        <v>48</v>
      </c>
      <c r="M11" s="19" t="s">
        <v>49</v>
      </c>
      <c r="N11" s="19" t="s">
        <v>100</v>
      </c>
      <c r="O11" s="19" t="s">
        <v>49</v>
      </c>
      <c r="P11" s="19" t="s">
        <v>66</v>
      </c>
      <c r="Q11" s="19" t="s">
        <v>92</v>
      </c>
      <c r="R11" s="19" t="s">
        <v>101</v>
      </c>
      <c r="S11" s="19"/>
      <c r="T11" s="19" t="s">
        <v>54</v>
      </c>
      <c r="U11" s="19" t="s">
        <v>55</v>
      </c>
      <c r="V11" s="19" t="s">
        <v>102</v>
      </c>
      <c r="W11" s="19" t="s">
        <v>103</v>
      </c>
      <c r="X11" s="19"/>
      <c r="Y11" s="19"/>
      <c r="Z11" s="19" t="s">
        <v>104</v>
      </c>
      <c r="AA11" s="19">
        <v>1</v>
      </c>
      <c r="AB11" s="19">
        <v>1</v>
      </c>
      <c r="AC11" s="19" t="s">
        <v>59</v>
      </c>
      <c r="AD11" s="19" t="s">
        <v>66</v>
      </c>
      <c r="AE11" s="19" t="s">
        <v>73</v>
      </c>
      <c r="AF11" s="19"/>
    </row>
    <row r="12" spans="1:34" customHeight="1" ht="42">
      <c r="A12" s="19">
        <v>7</v>
      </c>
      <c r="B12" s="19" t="s">
        <v>105</v>
      </c>
      <c r="C12" s="19" t="s">
        <v>106</v>
      </c>
      <c r="D12" s="19" t="str">
        <f>HYPERLINK("http://www.henontech.com/fieldsafety/harzard/harzard_show.php?rid=1155&amp;url=harzardrecs.php","引风机未安装防护罩，一名操作工擦拭设备时裤腿不慎被轴承卷入，造成小腿挤伤、骨折。")</f>
        <v>引风机未安装防护罩，一名操作工擦拭设备时裤腿不慎被轴承卷入，造成小腿挤伤、骨折。</v>
      </c>
      <c r="E12" s="19" t="s">
        <v>107</v>
      </c>
      <c r="F12" s="20" t="s">
        <v>42</v>
      </c>
      <c r="G12" s="22" t="s">
        <v>108</v>
      </c>
      <c r="H12" s="19" t="s">
        <v>44</v>
      </c>
      <c r="I12" s="19" t="s">
        <v>109</v>
      </c>
      <c r="J12" s="19" t="s">
        <v>46</v>
      </c>
      <c r="K12" s="19" t="s">
        <v>47</v>
      </c>
      <c r="L12" s="19" t="s">
        <v>110</v>
      </c>
      <c r="M12" s="19" t="s">
        <v>111</v>
      </c>
      <c r="N12" s="19" t="s">
        <v>112</v>
      </c>
      <c r="O12" s="19" t="s">
        <v>111</v>
      </c>
      <c r="P12" s="19" t="s">
        <v>113</v>
      </c>
      <c r="Q12" s="19" t="s">
        <v>114</v>
      </c>
      <c r="R12" s="19" t="s">
        <v>115</v>
      </c>
      <c r="S12" s="19"/>
      <c r="T12" s="19" t="s">
        <v>54</v>
      </c>
      <c r="U12" s="19" t="s">
        <v>55</v>
      </c>
      <c r="V12" s="19" t="s">
        <v>56</v>
      </c>
      <c r="W12" s="19" t="s">
        <v>57</v>
      </c>
      <c r="X12" s="19" t="s">
        <v>116</v>
      </c>
      <c r="Y12" s="19"/>
      <c r="Z12" s="19" t="s">
        <v>117</v>
      </c>
      <c r="AA12" s="19">
        <v>2</v>
      </c>
      <c r="AB12" s="19">
        <v>1</v>
      </c>
      <c r="AC12" s="19" t="s">
        <v>59</v>
      </c>
      <c r="AD12" s="19" t="s">
        <v>113</v>
      </c>
      <c r="AE12" s="19" t="s">
        <v>118</v>
      </c>
      <c r="AF12" s="19" t="s">
        <v>119</v>
      </c>
    </row>
    <row r="13" spans="1:34" customHeight="1" ht="42">
      <c r="A13" s="19">
        <v>8</v>
      </c>
      <c r="B13" s="19" t="s">
        <v>105</v>
      </c>
      <c r="C13" s="19" t="s">
        <v>120</v>
      </c>
      <c r="D13" s="19" t="str">
        <f>HYPERLINK("http://www.henontech.com/fieldsafety/harzard/harzard_show.php?rid=1163&amp;url=harzardrecs.php","一操作工在擦拭废气系统通风机时，通风机泄露废气，操作工未佩戴防毒面罩，造成轻微煤气中毒。头晕恶心呕吐。")</f>
        <v>一操作工在擦拭废气系统通风机时，通风机泄露废气，操作工未佩戴防毒面罩，造成轻微煤气中毒。头晕恶心呕吐。</v>
      </c>
      <c r="E13" s="19" t="s">
        <v>121</v>
      </c>
      <c r="F13" s="20" t="s">
        <v>42</v>
      </c>
      <c r="G13" s="21" t="s">
        <v>43</v>
      </c>
      <c r="H13" s="19" t="s">
        <v>122</v>
      </c>
      <c r="I13" s="19"/>
      <c r="J13" s="19" t="s">
        <v>46</v>
      </c>
      <c r="K13" s="19" t="s">
        <v>47</v>
      </c>
      <c r="L13" s="19"/>
      <c r="M13" s="19" t="s">
        <v>49</v>
      </c>
      <c r="N13" s="19" t="s">
        <v>123</v>
      </c>
      <c r="O13" s="19" t="s">
        <v>49</v>
      </c>
      <c r="P13" s="19" t="s">
        <v>66</v>
      </c>
      <c r="Q13" s="19" t="s">
        <v>92</v>
      </c>
      <c r="R13" s="19" t="s">
        <v>124</v>
      </c>
      <c r="S13" s="19" t="s">
        <v>125</v>
      </c>
      <c r="T13" s="19" t="s">
        <v>54</v>
      </c>
      <c r="U13" s="19" t="s">
        <v>69</v>
      </c>
      <c r="V13" s="19" t="s">
        <v>70</v>
      </c>
      <c r="W13" s="19" t="s">
        <v>71</v>
      </c>
      <c r="X13" s="19"/>
      <c r="Y13" s="19"/>
      <c r="Z13" s="19" t="s">
        <v>126</v>
      </c>
      <c r="AA13" s="19">
        <v>2</v>
      </c>
      <c r="AB13" s="19">
        <v>1</v>
      </c>
      <c r="AC13" s="19" t="s">
        <v>59</v>
      </c>
      <c r="AD13" s="19" t="s">
        <v>66</v>
      </c>
      <c r="AE13" s="19" t="s">
        <v>80</v>
      </c>
      <c r="AF13" s="19"/>
    </row>
    <row r="14" spans="1:34">
      <c r="A14" s="19">
        <v>9</v>
      </c>
      <c r="B14" s="19" t="s">
        <v>127</v>
      </c>
      <c r="C14" s="19" t="s">
        <v>128</v>
      </c>
      <c r="D14" s="19" t="str">
        <f>HYPERLINK("http://www.henontech.com/fieldsafety/harzard/harzard_show.php?rid=1173&amp;url=harzardrecs.php","北脱硫硫仓库二楼二层有一扇窗户玻璃破损，遇上风大，如果有操作人员从此处经过，玻璃掉落，可能造成人员划伤脸部，胳膊，送医院治疗三天后康复，损工三天。")</f>
        <v>北脱硫硫仓库二楼二层有一扇窗户玻璃破损，遇上风大，如果有操作人员从此处经过，玻璃掉落，可能造成人员划伤脸部，胳膊，送医院治疗三天后康复，损工三天。</v>
      </c>
      <c r="E14" s="19" t="s">
        <v>129</v>
      </c>
      <c r="F14" s="20" t="s">
        <v>42</v>
      </c>
      <c r="G14" s="21" t="s">
        <v>43</v>
      </c>
      <c r="H14" s="19" t="s">
        <v>44</v>
      </c>
      <c r="I14" s="19" t="s">
        <v>130</v>
      </c>
      <c r="J14" s="19" t="s">
        <v>46</v>
      </c>
      <c r="K14" s="19" t="s">
        <v>131</v>
      </c>
      <c r="L14" s="19" t="s">
        <v>48</v>
      </c>
      <c r="M14" s="19" t="s">
        <v>49</v>
      </c>
      <c r="N14" s="19" t="s">
        <v>132</v>
      </c>
      <c r="O14" s="19" t="s">
        <v>49</v>
      </c>
      <c r="P14" s="19" t="s">
        <v>66</v>
      </c>
      <c r="Q14" s="19" t="s">
        <v>133</v>
      </c>
      <c r="R14" s="19" t="s">
        <v>134</v>
      </c>
      <c r="S14" s="19"/>
      <c r="T14" s="19" t="s">
        <v>54</v>
      </c>
      <c r="U14" s="19" t="s">
        <v>69</v>
      </c>
      <c r="V14" s="19" t="s">
        <v>70</v>
      </c>
      <c r="W14" s="19" t="s">
        <v>71</v>
      </c>
      <c r="X14" s="19"/>
      <c r="Y14" s="19"/>
      <c r="Z14" s="19" t="s">
        <v>135</v>
      </c>
      <c r="AA14" s="19">
        <v>1</v>
      </c>
      <c r="AB14" s="19">
        <v>1</v>
      </c>
      <c r="AC14" s="19" t="s">
        <v>59</v>
      </c>
      <c r="AD14" s="19" t="s">
        <v>66</v>
      </c>
      <c r="AE14" s="19" t="s">
        <v>73</v>
      </c>
      <c r="AF14" s="19"/>
    </row>
    <row r="15" spans="1:34" customHeight="1" ht="42">
      <c r="A15" s="19">
        <v>10</v>
      </c>
      <c r="B15" s="19" t="s">
        <v>136</v>
      </c>
      <c r="C15" s="19" t="s">
        <v>75</v>
      </c>
      <c r="D15" s="19" t="str">
        <f>HYPERLINK("http://www.henontech.com/fieldsafety/harzard/harzard_show.php?rid=1179&amp;url=harzardrecs.php","西硫铵仓库门西门活页开焊，一巡检人员开仓库门时，一旦活页断裂，门失去平衡，巡检人员扶住门时造成手臂划伤。")</f>
        <v>西硫铵仓库门西门活页开焊，一巡检人员开仓库门时，一旦活页断裂，门失去平衡，巡检人员扶住门时造成手臂划伤。</v>
      </c>
      <c r="E15" s="19" t="s">
        <v>137</v>
      </c>
      <c r="F15" s="20" t="s">
        <v>42</v>
      </c>
      <c r="G15" s="21" t="s">
        <v>43</v>
      </c>
      <c r="H15" s="19" t="s">
        <v>44</v>
      </c>
      <c r="I15" s="19" t="s">
        <v>130</v>
      </c>
      <c r="J15" s="19" t="s">
        <v>46</v>
      </c>
      <c r="K15" s="19" t="s">
        <v>47</v>
      </c>
      <c r="L15" s="19" t="s">
        <v>48</v>
      </c>
      <c r="M15" s="19" t="s">
        <v>49</v>
      </c>
      <c r="N15" s="19" t="s">
        <v>138</v>
      </c>
      <c r="O15" s="19" t="s">
        <v>49</v>
      </c>
      <c r="P15" s="19" t="s">
        <v>66</v>
      </c>
      <c r="Q15" s="19" t="s">
        <v>133</v>
      </c>
      <c r="R15" s="19" t="s">
        <v>139</v>
      </c>
      <c r="S15" s="19"/>
      <c r="T15" s="19" t="s">
        <v>54</v>
      </c>
      <c r="U15" s="19" t="s">
        <v>69</v>
      </c>
      <c r="V15" s="19" t="s">
        <v>70</v>
      </c>
      <c r="W15" s="19" t="s">
        <v>71</v>
      </c>
      <c r="X15" s="19"/>
      <c r="Y15" s="19"/>
      <c r="Z15" s="19" t="s">
        <v>140</v>
      </c>
      <c r="AA15" s="19">
        <v>2</v>
      </c>
      <c r="AB15" s="19">
        <v>1</v>
      </c>
      <c r="AC15" s="19" t="s">
        <v>59</v>
      </c>
      <c r="AD15" s="19" t="s">
        <v>66</v>
      </c>
      <c r="AE15" s="19" t="s">
        <v>86</v>
      </c>
      <c r="AF15" s="19"/>
    </row>
    <row r="16" spans="1:34" customHeight="1" ht="42">
      <c r="A16" s="19">
        <v>11</v>
      </c>
      <c r="B16" s="19" t="s">
        <v>141</v>
      </c>
      <c r="C16" s="19" t="s">
        <v>142</v>
      </c>
      <c r="D16" s="19" t="str">
        <f>HYPERLINK("http://www.henontech.com/fieldsafety/harzard/harzard_show.php?rid=1254&amp;url=harzardrecs.php","电缆沟无盖板防护，如果一名巡检人员经过此处踏进坑中，会造成脚部崴伤。")</f>
        <v>电缆沟无盖板防护，如果一名巡检人员经过此处踏进坑中，会造成脚部崴伤。</v>
      </c>
      <c r="E16" s="19" t="s">
        <v>143</v>
      </c>
      <c r="F16" s="20" t="s">
        <v>42</v>
      </c>
      <c r="G16" s="21" t="s">
        <v>43</v>
      </c>
      <c r="H16" s="19" t="s">
        <v>44</v>
      </c>
      <c r="I16" s="19" t="s">
        <v>130</v>
      </c>
      <c r="J16" s="19" t="s">
        <v>46</v>
      </c>
      <c r="K16" s="19" t="s">
        <v>47</v>
      </c>
      <c r="L16" s="19"/>
      <c r="M16" s="19" t="s">
        <v>144</v>
      </c>
      <c r="N16" s="19" t="s">
        <v>145</v>
      </c>
      <c r="O16" s="19" t="s">
        <v>111</v>
      </c>
      <c r="P16" s="19" t="s">
        <v>113</v>
      </c>
      <c r="Q16" s="19" t="s">
        <v>114</v>
      </c>
      <c r="R16" s="19" t="s">
        <v>146</v>
      </c>
      <c r="S16" s="19"/>
      <c r="T16" s="19" t="s">
        <v>54</v>
      </c>
      <c r="U16" s="19" t="s">
        <v>55</v>
      </c>
      <c r="V16" s="19" t="s">
        <v>56</v>
      </c>
      <c r="W16" s="19" t="s">
        <v>57</v>
      </c>
      <c r="X16" s="19" t="s">
        <v>147</v>
      </c>
      <c r="Y16" s="19"/>
      <c r="Z16" s="19" t="s">
        <v>148</v>
      </c>
      <c r="AA16" s="19">
        <v>2</v>
      </c>
      <c r="AB16" s="19">
        <v>2</v>
      </c>
      <c r="AC16" s="19" t="s">
        <v>59</v>
      </c>
      <c r="AD16" s="19" t="s">
        <v>113</v>
      </c>
      <c r="AE16" s="19" t="s">
        <v>149</v>
      </c>
      <c r="AF16" s="19" t="s">
        <v>150</v>
      </c>
    </row>
    <row r="17" spans="1:34">
      <c r="A17" s="19">
        <v>12</v>
      </c>
      <c r="B17" s="19" t="s">
        <v>151</v>
      </c>
      <c r="C17" s="19" t="s">
        <v>40</v>
      </c>
      <c r="D17" s="19" t="str">
        <f>HYPERLINK("http://www.henontech.com/fieldsafety/harzard/harzard_show.php?rid=1266&amp;url=harzardrecs.php","东风机风机房西侧机后下液管爬梯腐蚀严重，如果一人在爬爬梯冲下液管时，因爬梯腿部腐蚀严重断裂，爬梯倒塌，人员从爬梯摔落，造成脚腕扭伤，经简单处理后不影响工作。")</f>
        <v>东风机风机房西侧机后下液管爬梯腐蚀严重，如果一人在爬爬梯冲下液管时，因爬梯腿部腐蚀严重断裂，爬梯倒塌，人员从爬梯摔落，造成脚腕扭伤，经简单处理后不影响工作。</v>
      </c>
      <c r="E17" s="19" t="s">
        <v>152</v>
      </c>
      <c r="F17" s="20" t="s">
        <v>42</v>
      </c>
      <c r="G17" s="21" t="s">
        <v>43</v>
      </c>
      <c r="H17" s="19" t="s">
        <v>44</v>
      </c>
      <c r="I17" s="19" t="s">
        <v>45</v>
      </c>
      <c r="J17" s="19" t="s">
        <v>46</v>
      </c>
      <c r="K17" s="19" t="s">
        <v>47</v>
      </c>
      <c r="L17" s="19" t="s">
        <v>48</v>
      </c>
      <c r="M17" s="19" t="s">
        <v>49</v>
      </c>
      <c r="N17" s="19" t="s">
        <v>50</v>
      </c>
      <c r="O17" s="19" t="s">
        <v>49</v>
      </c>
      <c r="P17" s="19" t="s">
        <v>66</v>
      </c>
      <c r="Q17" s="19" t="s">
        <v>153</v>
      </c>
      <c r="R17" s="19" t="s">
        <v>154</v>
      </c>
      <c r="S17" s="19"/>
      <c r="T17" s="19" t="s">
        <v>54</v>
      </c>
      <c r="U17" s="19" t="s">
        <v>69</v>
      </c>
      <c r="V17" s="19" t="s">
        <v>70</v>
      </c>
      <c r="W17" s="19" t="s">
        <v>71</v>
      </c>
      <c r="X17" s="19"/>
      <c r="Y17" s="19"/>
      <c r="Z17" s="19" t="s">
        <v>155</v>
      </c>
      <c r="AA17" s="19">
        <v>1</v>
      </c>
      <c r="AB17" s="19">
        <v>1</v>
      </c>
      <c r="AC17" s="19" t="s">
        <v>59</v>
      </c>
      <c r="AD17" s="19" t="s">
        <v>66</v>
      </c>
      <c r="AE17" s="19" t="s">
        <v>80</v>
      </c>
      <c r="AF17" s="19"/>
    </row>
    <row r="18" spans="1:34" customHeight="1" ht="42">
      <c r="A18" s="19">
        <v>13</v>
      </c>
      <c r="B18" s="19" t="s">
        <v>151</v>
      </c>
      <c r="C18" s="19" t="s">
        <v>156</v>
      </c>
      <c r="D18" s="19" t="str">
        <f>HYPERLINK("http://www.henontech.com/fieldsafety/harzard/harzard_show.php?rid=1275&amp;url=harzardrecs.php","东冷凝澄清槽东侧框架顶部平台护栏锈蚀严重，且有部分以倾斜，如果操作人从平台行走，去开关阀门时，从护栏倾斜倾斜处坠落，造成1人头部着地死亡")</f>
        <v>东冷凝澄清槽东侧框架顶部平台护栏锈蚀严重，且有部分以倾斜，如果操作人从平台行走，去开关阀门时，从护栏倾斜倾斜处坠落，造成1人头部着地死亡</v>
      </c>
      <c r="E18" s="19" t="s">
        <v>157</v>
      </c>
      <c r="F18" s="20" t="s">
        <v>42</v>
      </c>
      <c r="G18" s="22" t="s">
        <v>108</v>
      </c>
      <c r="H18" s="19" t="s">
        <v>44</v>
      </c>
      <c r="I18" s="19"/>
      <c r="J18" s="19" t="s">
        <v>158</v>
      </c>
      <c r="K18" s="19" t="s">
        <v>47</v>
      </c>
      <c r="L18" s="19"/>
      <c r="M18" s="19" t="s">
        <v>49</v>
      </c>
      <c r="N18" s="19" t="s">
        <v>159</v>
      </c>
      <c r="O18" s="19" t="s">
        <v>49</v>
      </c>
      <c r="P18" s="19" t="s">
        <v>66</v>
      </c>
      <c r="Q18" s="19" t="s">
        <v>133</v>
      </c>
      <c r="R18" s="19" t="s">
        <v>160</v>
      </c>
      <c r="S18" s="19"/>
      <c r="T18" s="19" t="s">
        <v>54</v>
      </c>
      <c r="U18" s="19" t="s">
        <v>161</v>
      </c>
      <c r="V18" s="19" t="s">
        <v>56</v>
      </c>
      <c r="W18" s="19" t="s">
        <v>103</v>
      </c>
      <c r="X18" s="19"/>
      <c r="Y18" s="19"/>
      <c r="Z18" s="19" t="s">
        <v>162</v>
      </c>
      <c r="AA18" s="19">
        <v>2</v>
      </c>
      <c r="AB18" s="19">
        <v>1</v>
      </c>
      <c r="AC18" s="19" t="s">
        <v>59</v>
      </c>
      <c r="AD18" s="19" t="s">
        <v>66</v>
      </c>
      <c r="AE18" s="19" t="s">
        <v>163</v>
      </c>
      <c r="AF18" s="19"/>
    </row>
    <row r="19" spans="1:34">
      <c r="A19" s="19">
        <v>14</v>
      </c>
      <c r="B19" s="19" t="s">
        <v>164</v>
      </c>
      <c r="C19" s="19" t="s">
        <v>165</v>
      </c>
      <c r="D19" s="19" t="str">
        <f>HYPERLINK("http://www.henontech.com/fieldsafety/harzard/harzard_show.php?rid=1327&amp;url=harzardrecs.php","mvr项目现场动火作业过程中，氧气瓶竖放，未进行固定，如果有人从旁边经过，不慎将氧气胶线踢到，将氧气瓶带倒，碰到氧气顶部，造成氧气瓶表头轻微泄露。")</f>
        <v>mvr项目现场动火作业过程中，氧气瓶竖放，未进行固定，如果有人从旁边经过，不慎将氧气胶线踢到，将氧气瓶带倒，碰到氧气顶部，造成氧气瓶表头轻微泄露。</v>
      </c>
      <c r="E19" s="19" t="s">
        <v>166</v>
      </c>
      <c r="F19" s="20" t="s">
        <v>42</v>
      </c>
      <c r="G19" s="21" t="s">
        <v>43</v>
      </c>
      <c r="H19" s="19" t="s">
        <v>44</v>
      </c>
      <c r="I19" s="19"/>
      <c r="J19" s="19"/>
      <c r="K19" s="19"/>
      <c r="L19" s="19" t="s">
        <v>48</v>
      </c>
      <c r="M19" s="19" t="s">
        <v>49</v>
      </c>
      <c r="N19" s="19" t="s">
        <v>167</v>
      </c>
      <c r="O19" s="19" t="s">
        <v>49</v>
      </c>
      <c r="P19" s="19" t="s">
        <v>66</v>
      </c>
      <c r="Q19" s="19" t="s">
        <v>163</v>
      </c>
      <c r="R19" s="19" t="s">
        <v>168</v>
      </c>
      <c r="S19" s="19"/>
      <c r="T19" s="19" t="s">
        <v>169</v>
      </c>
      <c r="U19" s="19" t="s">
        <v>170</v>
      </c>
      <c r="V19" s="19" t="s">
        <v>102</v>
      </c>
      <c r="W19" s="19" t="s">
        <v>71</v>
      </c>
      <c r="X19" s="19"/>
      <c r="Y19" s="19"/>
      <c r="Z19" s="19" t="s">
        <v>171</v>
      </c>
      <c r="AA19" s="19">
        <v>1</v>
      </c>
      <c r="AB19" s="19">
        <v>1</v>
      </c>
      <c r="AC19" s="19" t="s">
        <v>59</v>
      </c>
      <c r="AD19" s="19" t="s">
        <v>66</v>
      </c>
      <c r="AE19" s="19" t="s">
        <v>172</v>
      </c>
      <c r="AF19" s="19" t="s">
        <v>173</v>
      </c>
    </row>
    <row r="20" spans="1:34">
      <c r="A20" s="19">
        <v>15</v>
      </c>
      <c r="B20" s="19" t="s">
        <v>174</v>
      </c>
      <c r="C20" s="19" t="s">
        <v>175</v>
      </c>
      <c r="D20" s="19" t="str">
        <f>HYPERLINK("http://www.henontech.com/fieldsafety/harzard/harzard_show.php?rid=1336&amp;url=harzardrecs.php","北风机房西门上部玻璃窗晃荡严重，大风天气风力5级，假如一名操作人员巡检时被坠落的玻璃砸伤肩胛骨，住院治疗一周。损工7天")</f>
        <v>北风机房西门上部玻璃窗晃荡严重，大风天气风力5级，假如一名操作人员巡检时被坠落的玻璃砸伤肩胛骨，住院治疗一周。损工7天</v>
      </c>
      <c r="E20" s="19" t="s">
        <v>176</v>
      </c>
      <c r="F20" s="20" t="s">
        <v>42</v>
      </c>
      <c r="G20" s="21" t="s">
        <v>43</v>
      </c>
      <c r="H20" s="19" t="s">
        <v>44</v>
      </c>
      <c r="I20" s="19" t="s">
        <v>130</v>
      </c>
      <c r="J20" s="19" t="s">
        <v>158</v>
      </c>
      <c r="K20" s="19" t="s">
        <v>47</v>
      </c>
      <c r="L20" s="19" t="s">
        <v>48</v>
      </c>
      <c r="M20" s="19" t="s">
        <v>49</v>
      </c>
      <c r="N20" s="19" t="s">
        <v>100</v>
      </c>
      <c r="O20" s="19" t="s">
        <v>49</v>
      </c>
      <c r="P20" s="19" t="s">
        <v>66</v>
      </c>
      <c r="Q20" s="19" t="s">
        <v>177</v>
      </c>
      <c r="R20" s="19" t="s">
        <v>178</v>
      </c>
      <c r="S20" s="19"/>
      <c r="T20" s="19" t="s">
        <v>54</v>
      </c>
      <c r="U20" s="19" t="s">
        <v>55</v>
      </c>
      <c r="V20" s="19" t="s">
        <v>70</v>
      </c>
      <c r="W20" s="19" t="s">
        <v>179</v>
      </c>
      <c r="X20" s="19"/>
      <c r="Y20" s="19"/>
      <c r="Z20" s="19" t="s">
        <v>180</v>
      </c>
      <c r="AA20" s="19">
        <v>1</v>
      </c>
      <c r="AB20" s="19">
        <v>1</v>
      </c>
      <c r="AC20" s="19" t="s">
        <v>59</v>
      </c>
      <c r="AD20" s="19" t="s">
        <v>66</v>
      </c>
      <c r="AE20" s="19" t="s">
        <v>73</v>
      </c>
      <c r="AF20" s="19"/>
    </row>
    <row r="21" spans="1:34">
      <c r="A21" s="19">
        <v>16</v>
      </c>
      <c r="B21" s="19" t="s">
        <v>181</v>
      </c>
      <c r="C21" s="19" t="s">
        <v>182</v>
      </c>
      <c r="D21" s="19" t="str">
        <f>HYPERLINK("http://www.henontech.com/fieldsafety/harzard/harzard_show.php?rid=1382&amp;url=harzardrecs.php","空压机房北侧爬梯扶手、踏板腐蚀生锈断裂，如果操作人员上下爬梯擦空将会造成从3米高的爬梯上摔落，造成小腿轻微骨折，住院治疗三周，损工半年。")</f>
        <v>空压机房北侧爬梯扶手、踏板腐蚀生锈断裂，如果操作人员上下爬梯擦空将会造成从3米高的爬梯上摔落，造成小腿轻微骨折，住院治疗三周，损工半年。</v>
      </c>
      <c r="E21" s="19" t="s">
        <v>183</v>
      </c>
      <c r="F21" s="20" t="s">
        <v>42</v>
      </c>
      <c r="G21" s="21" t="s">
        <v>43</v>
      </c>
      <c r="H21" s="19" t="s">
        <v>44</v>
      </c>
      <c r="I21" s="19"/>
      <c r="J21" s="19" t="s">
        <v>46</v>
      </c>
      <c r="K21" s="19" t="s">
        <v>184</v>
      </c>
      <c r="L21" s="19" t="s">
        <v>48</v>
      </c>
      <c r="M21" s="19" t="s">
        <v>49</v>
      </c>
      <c r="N21" s="19" t="s">
        <v>185</v>
      </c>
      <c r="O21" s="19" t="s">
        <v>49</v>
      </c>
      <c r="P21" s="19" t="s">
        <v>66</v>
      </c>
      <c r="Q21" s="19" t="s">
        <v>186</v>
      </c>
      <c r="R21" s="19" t="s">
        <v>187</v>
      </c>
      <c r="S21" s="19"/>
      <c r="T21" s="19" t="s">
        <v>54</v>
      </c>
      <c r="U21" s="19" t="s">
        <v>55</v>
      </c>
      <c r="V21" s="19" t="s">
        <v>70</v>
      </c>
      <c r="W21" s="19" t="s">
        <v>179</v>
      </c>
      <c r="X21" s="19"/>
      <c r="Y21" s="19"/>
      <c r="Z21" s="19" t="s">
        <v>188</v>
      </c>
      <c r="AA21" s="19">
        <v>1</v>
      </c>
      <c r="AB21" s="19">
        <v>1</v>
      </c>
      <c r="AC21" s="19" t="s">
        <v>59</v>
      </c>
      <c r="AD21" s="19" t="s">
        <v>66</v>
      </c>
      <c r="AE21" s="19" t="s">
        <v>92</v>
      </c>
      <c r="AF21" s="19"/>
    </row>
    <row r="22" spans="1:34">
      <c r="A22" s="19">
        <v>17</v>
      </c>
      <c r="B22" s="19" t="s">
        <v>189</v>
      </c>
      <c r="C22" s="19" t="s">
        <v>190</v>
      </c>
      <c r="D22" s="19" t="str">
        <f>HYPERLINK("http://www.henontech.com/fieldsafety/harzard/harzard_show.php?rid=1389&amp;url=harzardrecs.php","深度脱硫东北角管廊支架上管子腐蚀严重开焊，一名操作工在打扫卫生时，管子掉落砸中腿部，致左腿小腿骨折！")</f>
        <v>深度脱硫东北角管廊支架上管子腐蚀严重开焊，一名操作工在打扫卫生时，管子掉落砸中腿部，致左腿小腿骨折！</v>
      </c>
      <c r="E22" s="19" t="s">
        <v>191</v>
      </c>
      <c r="F22" s="20" t="s">
        <v>42</v>
      </c>
      <c r="G22" s="21" t="s">
        <v>43</v>
      </c>
      <c r="H22" s="19" t="s">
        <v>44</v>
      </c>
      <c r="I22" s="19"/>
      <c r="J22" s="19" t="s">
        <v>46</v>
      </c>
      <c r="K22" s="19" t="s">
        <v>131</v>
      </c>
      <c r="L22" s="19" t="s">
        <v>48</v>
      </c>
      <c r="M22" s="19" t="s">
        <v>49</v>
      </c>
      <c r="N22" s="19" t="s">
        <v>192</v>
      </c>
      <c r="O22" s="19" t="s">
        <v>49</v>
      </c>
      <c r="P22" s="19" t="s">
        <v>66</v>
      </c>
      <c r="Q22" s="19" t="s">
        <v>193</v>
      </c>
      <c r="R22" s="19" t="s">
        <v>194</v>
      </c>
      <c r="S22" s="19"/>
      <c r="T22" s="19" t="s">
        <v>54</v>
      </c>
      <c r="U22" s="19" t="s">
        <v>55</v>
      </c>
      <c r="V22" s="19" t="s">
        <v>70</v>
      </c>
      <c r="W22" s="19" t="s">
        <v>179</v>
      </c>
      <c r="X22" s="19"/>
      <c r="Y22" s="19"/>
      <c r="Z22" s="19" t="s">
        <v>195</v>
      </c>
      <c r="AA22" s="19">
        <v>1</v>
      </c>
      <c r="AB22" s="19">
        <v>1</v>
      </c>
      <c r="AC22" s="19" t="s">
        <v>59</v>
      </c>
      <c r="AD22" s="19" t="s">
        <v>66</v>
      </c>
      <c r="AE22" s="19" t="s">
        <v>73</v>
      </c>
      <c r="AF22" s="19"/>
    </row>
    <row r="23" spans="1:34" customHeight="1" ht="42">
      <c r="A23" s="19">
        <v>18</v>
      </c>
      <c r="B23" s="19" t="s">
        <v>189</v>
      </c>
      <c r="C23" s="19" t="s">
        <v>196</v>
      </c>
      <c r="D23" s="19" t="str">
        <f>HYPERLINK("http://www.henontech.com/fieldsafety/harzard/harzard_show.php?rid=1391&amp;url=harzardrecs.php","综合供水加药间北爬梯，一名操作工登爬梯到三米时，护栏开焊断裂，坠落跌伤小腿")</f>
        <v>综合供水加药间北爬梯，一名操作工登爬梯到三米时，护栏开焊断裂，坠落跌伤小腿</v>
      </c>
      <c r="E23" s="19" t="s">
        <v>197</v>
      </c>
      <c r="F23" s="20" t="s">
        <v>42</v>
      </c>
      <c r="G23" s="21" t="s">
        <v>43</v>
      </c>
      <c r="H23" s="19" t="s">
        <v>44</v>
      </c>
      <c r="I23" s="19"/>
      <c r="J23" s="19" t="s">
        <v>46</v>
      </c>
      <c r="K23" s="19" t="s">
        <v>184</v>
      </c>
      <c r="L23" s="19" t="s">
        <v>48</v>
      </c>
      <c r="M23" s="19" t="s">
        <v>49</v>
      </c>
      <c r="N23" s="19" t="s">
        <v>198</v>
      </c>
      <c r="O23" s="19" t="s">
        <v>49</v>
      </c>
      <c r="P23" s="19" t="s">
        <v>66</v>
      </c>
      <c r="Q23" s="19" t="s">
        <v>199</v>
      </c>
      <c r="R23" s="19" t="s">
        <v>200</v>
      </c>
      <c r="S23" s="19"/>
      <c r="T23" s="19" t="s">
        <v>54</v>
      </c>
      <c r="U23" s="19" t="s">
        <v>55</v>
      </c>
      <c r="V23" s="19" t="s">
        <v>56</v>
      </c>
      <c r="W23" s="19" t="s">
        <v>57</v>
      </c>
      <c r="X23" s="19"/>
      <c r="Y23" s="19"/>
      <c r="Z23" s="19" t="s">
        <v>201</v>
      </c>
      <c r="AA23" s="19">
        <v>2</v>
      </c>
      <c r="AB23" s="19">
        <v>2</v>
      </c>
      <c r="AC23" s="19" t="s">
        <v>59</v>
      </c>
      <c r="AD23" s="19" t="s">
        <v>66</v>
      </c>
      <c r="AE23" s="19" t="s">
        <v>73</v>
      </c>
      <c r="AF23" s="19"/>
    </row>
    <row r="24" spans="1:34" customHeight="1" ht="42">
      <c r="A24" s="19">
        <v>19</v>
      </c>
      <c r="B24" s="19" t="s">
        <v>189</v>
      </c>
      <c r="C24" s="19" t="s">
        <v>202</v>
      </c>
      <c r="D24" s="19" t="str">
        <f>HYPERLINK("http://www.henontech.com/fieldsafety/harzard/harzard_show.php?rid=1402&amp;url=harzardrecs.php","导热油加热器无有效防腐，长时间暴露导致加热器腐蚀串漏，操作人员巡检时经过该区域被热空气灼伤。")</f>
        <v>导热油加热器无有效防腐，长时间暴露导致加热器腐蚀串漏，操作人员巡检时经过该区域被热空气灼伤。</v>
      </c>
      <c r="E24" s="19" t="s">
        <v>203</v>
      </c>
      <c r="F24" s="20" t="s">
        <v>42</v>
      </c>
      <c r="G24" s="21" t="s">
        <v>43</v>
      </c>
      <c r="H24" s="19" t="s">
        <v>44</v>
      </c>
      <c r="I24" s="19" t="s">
        <v>45</v>
      </c>
      <c r="J24" s="19"/>
      <c r="K24" s="19" t="s">
        <v>47</v>
      </c>
      <c r="L24" s="19" t="s">
        <v>48</v>
      </c>
      <c r="M24" s="19" t="s">
        <v>49</v>
      </c>
      <c r="N24" s="19" t="s">
        <v>65</v>
      </c>
      <c r="O24" s="19" t="s">
        <v>49</v>
      </c>
      <c r="P24" s="19" t="s">
        <v>66</v>
      </c>
      <c r="Q24" s="19" t="s">
        <v>204</v>
      </c>
      <c r="R24" s="19" t="s">
        <v>205</v>
      </c>
      <c r="S24" s="19"/>
      <c r="T24" s="19" t="s">
        <v>54</v>
      </c>
      <c r="U24" s="19" t="s">
        <v>55</v>
      </c>
      <c r="V24" s="19" t="s">
        <v>206</v>
      </c>
      <c r="W24" s="19" t="s">
        <v>71</v>
      </c>
      <c r="X24" s="19"/>
      <c r="Y24" s="19"/>
      <c r="Z24" s="19" t="s">
        <v>207</v>
      </c>
      <c r="AA24" s="19">
        <v>2</v>
      </c>
      <c r="AB24" s="19">
        <v>1</v>
      </c>
      <c r="AC24" s="19" t="s">
        <v>59</v>
      </c>
      <c r="AD24" s="19" t="s">
        <v>66</v>
      </c>
      <c r="AE24" s="19" t="s">
        <v>208</v>
      </c>
      <c r="AF24" s="19"/>
    </row>
    <row r="25" spans="1:34" customHeight="1" ht="42">
      <c r="A25" s="19">
        <v>20</v>
      </c>
      <c r="B25" s="19" t="s">
        <v>209</v>
      </c>
      <c r="C25" s="19" t="s">
        <v>106</v>
      </c>
      <c r="D25" s="19" t="str">
        <f>HYPERLINK("http://www.henontech.com/fieldsafety/harzard/harzard_show.php?rid=1410&amp;url=harzardrecs.php","5.5米抑尘项目汽轮机蒸汽管道保温施工中，施工人员所用脚手架连接处开焊，施工人员高处作业未系牢安全带，脚手架受力过大脚手板倾斜人员失足跌落")</f>
        <v>5.5米抑尘项目汽轮机蒸汽管道保温施工中，施工人员所用脚手架连接处开焊，施工人员高处作业未系牢安全带，脚手架受力过大脚手板倾斜人员失足跌落</v>
      </c>
      <c r="E25" s="19" t="s">
        <v>210</v>
      </c>
      <c r="F25" s="20" t="s">
        <v>42</v>
      </c>
      <c r="G25" s="22" t="s">
        <v>108</v>
      </c>
      <c r="H25" s="19" t="s">
        <v>44</v>
      </c>
      <c r="I25" s="19" t="s">
        <v>45</v>
      </c>
      <c r="J25" s="19" t="s">
        <v>158</v>
      </c>
      <c r="K25" s="19"/>
      <c r="L25" s="19" t="s">
        <v>48</v>
      </c>
      <c r="M25" s="19" t="s">
        <v>111</v>
      </c>
      <c r="N25" s="19" t="s">
        <v>211</v>
      </c>
      <c r="O25" s="19" t="s">
        <v>111</v>
      </c>
      <c r="P25" s="19" t="s">
        <v>113</v>
      </c>
      <c r="Q25" s="19" t="s">
        <v>212</v>
      </c>
      <c r="R25" s="19" t="s">
        <v>213</v>
      </c>
      <c r="S25" s="19"/>
      <c r="T25" s="19" t="s">
        <v>54</v>
      </c>
      <c r="U25" s="19" t="s">
        <v>55</v>
      </c>
      <c r="V25" s="19" t="s">
        <v>56</v>
      </c>
      <c r="W25" s="19" t="s">
        <v>57</v>
      </c>
      <c r="X25" s="19" t="s">
        <v>147</v>
      </c>
      <c r="Y25" s="19"/>
      <c r="Z25" s="19" t="s">
        <v>214</v>
      </c>
      <c r="AA25" s="19">
        <v>2</v>
      </c>
      <c r="AB25" s="19">
        <v>2</v>
      </c>
      <c r="AC25" s="19" t="s">
        <v>59</v>
      </c>
      <c r="AD25" s="19" t="s">
        <v>113</v>
      </c>
      <c r="AE25" s="19" t="s">
        <v>118</v>
      </c>
      <c r="AF25" s="19" t="s">
        <v>215</v>
      </c>
    </row>
    <row r="26" spans="1:34">
      <c r="A26" s="19">
        <v>21</v>
      </c>
      <c r="B26" s="19" t="s">
        <v>189</v>
      </c>
      <c r="C26" s="19" t="s">
        <v>202</v>
      </c>
      <c r="D26" s="19" t="str">
        <f>HYPERLINK("http://www.henontech.com/fieldsafety/harzard/harzard_show.php?rid=1435&amp;url=harzardrecs.php","一名外来施工人员，在气割管道中，未系安全带无人监护，木梯老化断裂，人员从梯子上面摔下，造成手臂骨折，住院治疗2月出院。")</f>
        <v>一名外来施工人员，在气割管道中，未系安全带无人监护，木梯老化断裂，人员从梯子上面摔下，造成手臂骨折，住院治疗2月出院。</v>
      </c>
      <c r="E26" s="19" t="s">
        <v>216</v>
      </c>
      <c r="F26" s="20" t="s">
        <v>42</v>
      </c>
      <c r="G26" s="22" t="s">
        <v>108</v>
      </c>
      <c r="H26" s="19" t="s">
        <v>122</v>
      </c>
      <c r="I26" s="19" t="s">
        <v>130</v>
      </c>
      <c r="J26" s="19" t="s">
        <v>46</v>
      </c>
      <c r="K26" s="19" t="s">
        <v>99</v>
      </c>
      <c r="L26" s="19" t="s">
        <v>48</v>
      </c>
      <c r="M26" s="19" t="s">
        <v>49</v>
      </c>
      <c r="N26" s="19" t="s">
        <v>217</v>
      </c>
      <c r="O26" s="19" t="s">
        <v>49</v>
      </c>
      <c r="P26" s="19" t="s">
        <v>66</v>
      </c>
      <c r="Q26" s="19" t="s">
        <v>212</v>
      </c>
      <c r="R26" s="19" t="s">
        <v>218</v>
      </c>
      <c r="S26" s="19"/>
      <c r="T26" s="19" t="s">
        <v>54</v>
      </c>
      <c r="U26" s="19" t="s">
        <v>55</v>
      </c>
      <c r="V26" s="19" t="s">
        <v>56</v>
      </c>
      <c r="W26" s="19" t="s">
        <v>57</v>
      </c>
      <c r="X26" s="19"/>
      <c r="Y26" s="19"/>
      <c r="Z26" s="19" t="s">
        <v>219</v>
      </c>
      <c r="AA26" s="19">
        <v>1</v>
      </c>
      <c r="AB26" s="19">
        <v>1</v>
      </c>
      <c r="AC26" s="19" t="s">
        <v>59</v>
      </c>
      <c r="AD26" s="19" t="s">
        <v>66</v>
      </c>
      <c r="AE26" s="19" t="s">
        <v>189</v>
      </c>
      <c r="AF26" s="19" t="s">
        <v>220</v>
      </c>
    </row>
    <row r="27" spans="1:34">
      <c r="A27" s="19">
        <v>22</v>
      </c>
      <c r="B27" s="19" t="s">
        <v>221</v>
      </c>
      <c r="C27" s="19" t="s">
        <v>222</v>
      </c>
      <c r="D27" s="19" t="str">
        <f>HYPERLINK("http://www.henontech.com/fieldsafety/harzard/harzard_show.php?rid=1460&amp;url=harzardrecs.php","一维修人员在检修加压泵时，由于未戴安全帽，起身取工具时被上方阀门碰伤头部")</f>
        <v>一维修人员在检修加压泵时，由于未戴安全帽，起身取工具时被上方阀门碰伤头部</v>
      </c>
      <c r="E27" s="19" t="s">
        <v>223</v>
      </c>
      <c r="F27" s="20" t="s">
        <v>42</v>
      </c>
      <c r="G27" s="21" t="s">
        <v>43</v>
      </c>
      <c r="H27" s="19" t="s">
        <v>44</v>
      </c>
      <c r="I27" s="19" t="s">
        <v>109</v>
      </c>
      <c r="J27" s="19" t="s">
        <v>158</v>
      </c>
      <c r="K27" s="19" t="s">
        <v>99</v>
      </c>
      <c r="L27" s="19" t="s">
        <v>48</v>
      </c>
      <c r="M27" s="19" t="s">
        <v>111</v>
      </c>
      <c r="N27" s="19" t="s">
        <v>224</v>
      </c>
      <c r="O27" s="19" t="s">
        <v>111</v>
      </c>
      <c r="P27" s="19" t="s">
        <v>211</v>
      </c>
      <c r="Q27" s="19" t="s">
        <v>225</v>
      </c>
      <c r="R27" s="19" t="s">
        <v>226</v>
      </c>
      <c r="S27" s="19" t="s">
        <v>227</v>
      </c>
      <c r="T27" s="19" t="s">
        <v>54</v>
      </c>
      <c r="U27" s="19" t="s">
        <v>69</v>
      </c>
      <c r="V27" s="19" t="s">
        <v>56</v>
      </c>
      <c r="W27" s="19" t="s">
        <v>179</v>
      </c>
      <c r="X27" s="19" t="s">
        <v>228</v>
      </c>
      <c r="Y27" s="19"/>
      <c r="Z27" s="19" t="s">
        <v>229</v>
      </c>
      <c r="AA27" s="19">
        <v>1</v>
      </c>
      <c r="AB27" s="19">
        <v>0</v>
      </c>
      <c r="AC27" s="19" t="s">
        <v>59</v>
      </c>
      <c r="AD27" s="19" t="s">
        <v>211</v>
      </c>
      <c r="AE27" s="19" t="s">
        <v>149</v>
      </c>
      <c r="AF27" s="19" t="s">
        <v>230</v>
      </c>
    </row>
    <row r="28" spans="1:34" customHeight="1" ht="42">
      <c r="A28" s="19">
        <v>23</v>
      </c>
      <c r="B28" s="19" t="s">
        <v>231</v>
      </c>
      <c r="C28" s="19" t="s">
        <v>232</v>
      </c>
      <c r="D28" s="19" t="str">
        <f>HYPERLINK("http://www.henontech.com/fieldsafety/harzard/harzard_show.php?rid=1462&amp;url=harzardrecs.php","一名操作工在清理脱硝抑尘工段主风机时，因主风机连轴器护罩未按，衣服不甚被卷入，导致整个人身体被卷入，经医院现场抢救无效死亡")</f>
        <v>一名操作工在清理脱硝抑尘工段主风机时，因主风机连轴器护罩未按，衣服不甚被卷入，导致整个人身体被卷入，经医院现场抢救无效死亡</v>
      </c>
      <c r="E28" s="19" t="s">
        <v>233</v>
      </c>
      <c r="F28" s="20" t="s">
        <v>42</v>
      </c>
      <c r="G28" s="21" t="s">
        <v>43</v>
      </c>
      <c r="H28" s="19" t="s">
        <v>44</v>
      </c>
      <c r="I28" s="19" t="s">
        <v>234</v>
      </c>
      <c r="J28" s="19" t="s">
        <v>46</v>
      </c>
      <c r="K28" s="19" t="s">
        <v>47</v>
      </c>
      <c r="L28" s="19" t="s">
        <v>48</v>
      </c>
      <c r="M28" s="19" t="s">
        <v>111</v>
      </c>
      <c r="N28" s="19" t="s">
        <v>235</v>
      </c>
      <c r="O28" s="19" t="s">
        <v>111</v>
      </c>
      <c r="P28" s="19" t="s">
        <v>113</v>
      </c>
      <c r="Q28" s="19" t="s">
        <v>236</v>
      </c>
      <c r="R28" s="19" t="s">
        <v>237</v>
      </c>
      <c r="S28" s="19" t="s">
        <v>238</v>
      </c>
      <c r="T28" s="19" t="s">
        <v>54</v>
      </c>
      <c r="U28" s="19" t="s">
        <v>161</v>
      </c>
      <c r="V28" s="19" t="s">
        <v>56</v>
      </c>
      <c r="W28" s="19" t="s">
        <v>103</v>
      </c>
      <c r="X28" s="19" t="s">
        <v>116</v>
      </c>
      <c r="Y28" s="19" t="s">
        <v>116</v>
      </c>
      <c r="Z28" s="19" t="s">
        <v>239</v>
      </c>
      <c r="AA28" s="19">
        <v>2</v>
      </c>
      <c r="AB28" s="19">
        <v>2</v>
      </c>
      <c r="AC28" s="19" t="s">
        <v>59</v>
      </c>
      <c r="AD28" s="19" t="s">
        <v>113</v>
      </c>
      <c r="AE28" s="19" t="s">
        <v>118</v>
      </c>
      <c r="AF28" s="19" t="s">
        <v>119</v>
      </c>
    </row>
    <row r="29" spans="1:34">
      <c r="A29" s="19">
        <v>24</v>
      </c>
      <c r="B29" s="19" t="s">
        <v>240</v>
      </c>
      <c r="C29" s="19" t="s">
        <v>40</v>
      </c>
      <c r="D29" s="19" t="str">
        <f>HYPERLINK("http://www.henontech.com/fieldsafety/harzard/harzard_show.php?rid=1537&amp;url=harzardrecs.php","北风机初冷器前煤气管道处爬梯较窄顶部未固定，人员在爬爬梯时会发生摆动。如果一名仪表人员在爬爬梯查看仪表时，爬梯摆动过大倒塌，造成一人从爬梯摔落左小腿骨折，送医治疗三个月后康复。")</f>
        <v>北风机初冷器前煤气管道处爬梯较窄顶部未固定，人员在爬爬梯时会发生摆动。如果一名仪表人员在爬爬梯查看仪表时，爬梯摆动过大倒塌，造成一人从爬梯摔落左小腿骨折，送医治疗三个月后康复。</v>
      </c>
      <c r="E29" s="19" t="s">
        <v>241</v>
      </c>
      <c r="F29" s="20" t="s">
        <v>42</v>
      </c>
      <c r="G29" s="21" t="s">
        <v>43</v>
      </c>
      <c r="H29" s="19" t="s">
        <v>44</v>
      </c>
      <c r="I29" s="19" t="s">
        <v>109</v>
      </c>
      <c r="J29" s="19" t="s">
        <v>46</v>
      </c>
      <c r="K29" s="19" t="s">
        <v>47</v>
      </c>
      <c r="L29" s="19" t="s">
        <v>48</v>
      </c>
      <c r="M29" s="19" t="s">
        <v>49</v>
      </c>
      <c r="N29" s="19" t="s">
        <v>50</v>
      </c>
      <c r="O29" s="19" t="s">
        <v>49</v>
      </c>
      <c r="P29" s="19" t="s">
        <v>66</v>
      </c>
      <c r="Q29" s="19" t="s">
        <v>242</v>
      </c>
      <c r="R29" s="19" t="s">
        <v>243</v>
      </c>
      <c r="S29" s="19"/>
      <c r="T29" s="19" t="s">
        <v>54</v>
      </c>
      <c r="U29" s="19" t="s">
        <v>55</v>
      </c>
      <c r="V29" s="19" t="s">
        <v>56</v>
      </c>
      <c r="W29" s="19" t="s">
        <v>57</v>
      </c>
      <c r="X29" s="19"/>
      <c r="Y29" s="19"/>
      <c r="Z29" s="19" t="s">
        <v>244</v>
      </c>
      <c r="AA29" s="19">
        <v>1</v>
      </c>
      <c r="AB29" s="19">
        <v>1</v>
      </c>
      <c r="AC29" s="19" t="s">
        <v>59</v>
      </c>
      <c r="AD29" s="19" t="s">
        <v>66</v>
      </c>
      <c r="AE29" s="19" t="s">
        <v>80</v>
      </c>
      <c r="AF29" s="19"/>
    </row>
    <row r="30" spans="1:34">
      <c r="A30" s="19">
        <v>25</v>
      </c>
      <c r="B30" s="19" t="s">
        <v>245</v>
      </c>
      <c r="C30" s="19" t="s">
        <v>246</v>
      </c>
      <c r="D30" s="19" t="str">
        <f>HYPERLINK("http://www.henontech.com/fieldsafety/harzard/harzard_show.php?rid=1542&amp;url=harzardrecs.php","一名操作人员在往液碱储槽打液碱开启泵出口阀门时，因法兰垫子老化且法兰处未加装防护罩，导致液碱喷出溅到操作人员的颈肩部，灼伤皮肤，住院治疗一周出院，限工七天。")</f>
        <v>一名操作人员在往液碱储槽打液碱开启泵出口阀门时，因法兰垫子老化且法兰处未加装防护罩，导致液碱喷出溅到操作人员的颈肩部，灼伤皮肤，住院治疗一周出院，限工七天。</v>
      </c>
      <c r="E30" s="19" t="s">
        <v>247</v>
      </c>
      <c r="F30" s="20" t="s">
        <v>42</v>
      </c>
      <c r="G30" s="21" t="s">
        <v>43</v>
      </c>
      <c r="H30" s="19" t="s">
        <v>44</v>
      </c>
      <c r="I30" s="19" t="s">
        <v>130</v>
      </c>
      <c r="J30" s="19" t="s">
        <v>46</v>
      </c>
      <c r="K30" s="19" t="s">
        <v>47</v>
      </c>
      <c r="L30" s="19" t="s">
        <v>48</v>
      </c>
      <c r="M30" s="19" t="s">
        <v>49</v>
      </c>
      <c r="N30" s="19" t="s">
        <v>100</v>
      </c>
      <c r="O30" s="19" t="s">
        <v>49</v>
      </c>
      <c r="P30" s="19" t="s">
        <v>66</v>
      </c>
      <c r="Q30" s="19" t="s">
        <v>242</v>
      </c>
      <c r="R30" s="19" t="s">
        <v>248</v>
      </c>
      <c r="S30" s="19"/>
      <c r="T30" s="19" t="s">
        <v>54</v>
      </c>
      <c r="U30" s="19" t="s">
        <v>55</v>
      </c>
      <c r="V30" s="19" t="s">
        <v>56</v>
      </c>
      <c r="W30" s="19" t="s">
        <v>57</v>
      </c>
      <c r="X30" s="19"/>
      <c r="Y30" s="19"/>
      <c r="Z30" s="19" t="s">
        <v>249</v>
      </c>
      <c r="AA30" s="19">
        <v>1</v>
      </c>
      <c r="AB30" s="19">
        <v>1</v>
      </c>
      <c r="AC30" s="19" t="s">
        <v>59</v>
      </c>
      <c r="AD30" s="19" t="s">
        <v>66</v>
      </c>
      <c r="AE30" s="19" t="s">
        <v>73</v>
      </c>
      <c r="AF30" s="19"/>
    </row>
    <row r="31" spans="1:34">
      <c r="A31" s="19">
        <v>26</v>
      </c>
      <c r="B31" s="19" t="s">
        <v>250</v>
      </c>
      <c r="C31" s="19" t="s">
        <v>246</v>
      </c>
      <c r="D31" s="19" t="str">
        <f>HYPERLINK("http://www.henontech.com/fieldsafety/harzard/harzard_show.php?rid=1547&amp;url=harzardrecs.php","两名外来人员，在按装管道中，一名员工未系安全带，地面无人监护，在转身中不慎，从管道上摔下，造成腿部骨折，住院治疗3个月出院")</f>
        <v>两名外来人员，在按装管道中，一名员工未系安全带，地面无人监护，在转身中不慎，从管道上摔下，造成腿部骨折，住院治疗3个月出院</v>
      </c>
      <c r="E31" s="19" t="s">
        <v>251</v>
      </c>
      <c r="F31" s="20" t="s">
        <v>42</v>
      </c>
      <c r="G31" s="22" t="s">
        <v>108</v>
      </c>
      <c r="H31" s="19" t="s">
        <v>44</v>
      </c>
      <c r="I31" s="19" t="s">
        <v>130</v>
      </c>
      <c r="J31" s="19" t="s">
        <v>158</v>
      </c>
      <c r="K31" s="19" t="s">
        <v>47</v>
      </c>
      <c r="L31" s="19" t="s">
        <v>252</v>
      </c>
      <c r="M31" s="19" t="s">
        <v>49</v>
      </c>
      <c r="N31" s="19" t="s">
        <v>217</v>
      </c>
      <c r="O31" s="19" t="s">
        <v>49</v>
      </c>
      <c r="P31" s="19" t="s">
        <v>66</v>
      </c>
      <c r="Q31" s="19" t="s">
        <v>253</v>
      </c>
      <c r="R31" s="19" t="s">
        <v>254</v>
      </c>
      <c r="S31" s="19"/>
      <c r="T31" s="19" t="s">
        <v>54</v>
      </c>
      <c r="U31" s="19" t="s">
        <v>55</v>
      </c>
      <c r="V31" s="19" t="s">
        <v>56</v>
      </c>
      <c r="W31" s="19" t="s">
        <v>57</v>
      </c>
      <c r="X31" s="19"/>
      <c r="Y31" s="19"/>
      <c r="Z31" s="19" t="s">
        <v>255</v>
      </c>
      <c r="AA31" s="19">
        <v>1</v>
      </c>
      <c r="AB31" s="19">
        <v>1</v>
      </c>
      <c r="AC31" s="19" t="s">
        <v>59</v>
      </c>
      <c r="AD31" s="19" t="s">
        <v>66</v>
      </c>
      <c r="AE31" s="19" t="s">
        <v>250</v>
      </c>
      <c r="AF31" s="19"/>
    </row>
    <row r="32" spans="1:34">
      <c r="A32" s="19">
        <v>27</v>
      </c>
      <c r="B32" s="19" t="s">
        <v>256</v>
      </c>
      <c r="C32" s="19" t="s">
        <v>49</v>
      </c>
      <c r="D32" s="19" t="str">
        <f>HYPERLINK("http://www.henontech.com/fieldsafety/harzard/harzard_show.php?rid=1592&amp;url=harzardrecs.php","废水池无盖板无遮拦，假如一名操作工在夜间操作抽水时，左脚不慎落入池中，造成脚部腐蚀")</f>
        <v>废水池无盖板无遮拦，假如一名操作工在夜间操作抽水时，左脚不慎落入池中，造成脚部腐蚀</v>
      </c>
      <c r="E32" s="19" t="s">
        <v>257</v>
      </c>
      <c r="F32" s="20" t="s">
        <v>42</v>
      </c>
      <c r="G32" s="21" t="s">
        <v>43</v>
      </c>
      <c r="H32" s="19" t="s">
        <v>44</v>
      </c>
      <c r="I32" s="19"/>
      <c r="J32" s="19" t="s">
        <v>158</v>
      </c>
      <c r="K32" s="19" t="s">
        <v>47</v>
      </c>
      <c r="L32" s="19"/>
      <c r="M32" s="19" t="s">
        <v>49</v>
      </c>
      <c r="N32" s="19" t="s">
        <v>192</v>
      </c>
      <c r="O32" s="19" t="s">
        <v>49</v>
      </c>
      <c r="P32" s="19" t="s">
        <v>66</v>
      </c>
      <c r="Q32" s="19" t="s">
        <v>258</v>
      </c>
      <c r="R32" s="19" t="s">
        <v>259</v>
      </c>
      <c r="S32" s="19"/>
      <c r="T32" s="19" t="s">
        <v>54</v>
      </c>
      <c r="U32" s="19" t="s">
        <v>55</v>
      </c>
      <c r="V32" s="19" t="s">
        <v>70</v>
      </c>
      <c r="W32" s="19" t="s">
        <v>179</v>
      </c>
      <c r="X32" s="19"/>
      <c r="Y32" s="19"/>
      <c r="Z32" s="19" t="s">
        <v>260</v>
      </c>
      <c r="AA32" s="19">
        <v>1</v>
      </c>
      <c r="AB32" s="19">
        <v>1</v>
      </c>
      <c r="AC32" s="19" t="s">
        <v>59</v>
      </c>
      <c r="AD32" s="19" t="s">
        <v>66</v>
      </c>
      <c r="AE32" s="19" t="s">
        <v>261</v>
      </c>
      <c r="AF32" s="19"/>
    </row>
    <row r="33" spans="1:34">
      <c r="A33" s="19">
        <v>28</v>
      </c>
      <c r="B33" s="19" t="s">
        <v>261</v>
      </c>
      <c r="C33" s="19" t="s">
        <v>97</v>
      </c>
      <c r="D33" s="19" t="str">
        <f>HYPERLINK("http://www.henontech.com/fieldsafety/harzard/harzard_show.php?rid=1613&amp;url=harzardrecs.php","南风机水封槽处灯泡坏，假设中夜班巡检人员对此处进行巡检，未带手电筒，可能会被水封槽处管线绊倒，造成腿部受伤，送医检查小腿骨折，损工两个月。")</f>
        <v>南风机水封槽处灯泡坏，假设中夜班巡检人员对此处进行巡检，未带手电筒，可能会被水封槽处管线绊倒，造成腿部受伤，送医检查小腿骨折，损工两个月。</v>
      </c>
      <c r="E33" s="19" t="s">
        <v>262</v>
      </c>
      <c r="F33" s="20" t="s">
        <v>42</v>
      </c>
      <c r="G33" s="21" t="s">
        <v>43</v>
      </c>
      <c r="H33" s="19" t="s">
        <v>44</v>
      </c>
      <c r="I33" s="19" t="s">
        <v>45</v>
      </c>
      <c r="J33" s="19" t="s">
        <v>46</v>
      </c>
      <c r="K33" s="19" t="s">
        <v>84</v>
      </c>
      <c r="L33" s="19" t="s">
        <v>48</v>
      </c>
      <c r="M33" s="19" t="s">
        <v>49</v>
      </c>
      <c r="N33" s="19" t="s">
        <v>85</v>
      </c>
      <c r="O33" s="19" t="s">
        <v>49</v>
      </c>
      <c r="P33" s="19" t="s">
        <v>66</v>
      </c>
      <c r="Q33" s="19" t="s">
        <v>263</v>
      </c>
      <c r="R33" s="19" t="s">
        <v>264</v>
      </c>
      <c r="S33" s="19"/>
      <c r="T33" s="19" t="s">
        <v>54</v>
      </c>
      <c r="U33" s="19" t="s">
        <v>55</v>
      </c>
      <c r="V33" s="19" t="s">
        <v>70</v>
      </c>
      <c r="W33" s="19" t="s">
        <v>179</v>
      </c>
      <c r="X33" s="19"/>
      <c r="Y33" s="19"/>
      <c r="Z33" s="19" t="s">
        <v>265</v>
      </c>
      <c r="AA33" s="19">
        <v>1</v>
      </c>
      <c r="AB33" s="19">
        <v>1</v>
      </c>
      <c r="AC33" s="19" t="s">
        <v>59</v>
      </c>
      <c r="AD33" s="19" t="s">
        <v>66</v>
      </c>
      <c r="AE33" s="19" t="s">
        <v>80</v>
      </c>
      <c r="AF33" s="19"/>
    </row>
    <row r="34" spans="1:34" customHeight="1" ht="42">
      <c r="A34" s="19">
        <v>29</v>
      </c>
      <c r="B34" s="19" t="s">
        <v>261</v>
      </c>
      <c r="C34" s="19" t="s">
        <v>266</v>
      </c>
      <c r="D34" s="19" t="str">
        <f>HYPERLINK("http://www.henontech.com/fieldsafety/harzard/harzard_show.php?rid=1622&amp;url=harzardrecs.php","由于废气油缸底座松动，长时间换向过程中致使油缸掉落，造成废气无法交换，恢复正常需要四个小时维修时间。")</f>
        <v>由于废气油缸底座松动，长时间换向过程中致使油缸掉落，造成废气无法交换，恢复正常需要四个小时维修时间。</v>
      </c>
      <c r="E34" s="19" t="s">
        <v>267</v>
      </c>
      <c r="F34" s="20" t="s">
        <v>42</v>
      </c>
      <c r="G34" s="21" t="s">
        <v>43</v>
      </c>
      <c r="H34" s="19" t="s">
        <v>44</v>
      </c>
      <c r="I34" s="19" t="s">
        <v>268</v>
      </c>
      <c r="J34" s="19" t="s">
        <v>46</v>
      </c>
      <c r="K34" s="19" t="s">
        <v>131</v>
      </c>
      <c r="L34" s="19" t="s">
        <v>48</v>
      </c>
      <c r="M34" s="19" t="s">
        <v>111</v>
      </c>
      <c r="N34" s="19" t="s">
        <v>269</v>
      </c>
      <c r="O34" s="19" t="s">
        <v>111</v>
      </c>
      <c r="P34" s="19" t="s">
        <v>270</v>
      </c>
      <c r="Q34" s="19" t="s">
        <v>263</v>
      </c>
      <c r="R34" s="19" t="s">
        <v>271</v>
      </c>
      <c r="S34" s="19"/>
      <c r="T34" s="19" t="s">
        <v>169</v>
      </c>
      <c r="U34" s="19" t="s">
        <v>170</v>
      </c>
      <c r="V34" s="19" t="s">
        <v>70</v>
      </c>
      <c r="W34" s="19" t="s">
        <v>71</v>
      </c>
      <c r="X34" s="19" t="s">
        <v>272</v>
      </c>
      <c r="Y34" s="19" t="s">
        <v>272</v>
      </c>
      <c r="Z34" s="19" t="s">
        <v>273</v>
      </c>
      <c r="AA34" s="19">
        <v>2</v>
      </c>
      <c r="AB34" s="19">
        <v>2</v>
      </c>
      <c r="AC34" s="19" t="s">
        <v>59</v>
      </c>
      <c r="AD34" s="19" t="s">
        <v>270</v>
      </c>
      <c r="AE34" s="19" t="s">
        <v>274</v>
      </c>
      <c r="AF34" s="19" t="s">
        <v>275</v>
      </c>
    </row>
    <row r="35" spans="1:34">
      <c r="A35" s="19">
        <v>30</v>
      </c>
      <c r="B35" s="19" t="s">
        <v>236</v>
      </c>
      <c r="C35" s="19" t="s">
        <v>276</v>
      </c>
      <c r="D35" s="19" t="str">
        <f>HYPERLINK("http://www.henontech.com/fieldsafety/harzard/harzard_show.php?rid=1693&amp;url=harzardrecs.php","在出现干熄焦汽轮机设备故障停机时，因单人操作，无法同步操作以及排查故障和在主控室操作手忙脚乱，引发更大的设备事故甚至人员伤害")</f>
        <v>在出现干熄焦汽轮机设备故障停机时，因单人操作，无法同步操作以及排查故障和在主控室操作手忙脚乱，引发更大的设备事故甚至人员伤害</v>
      </c>
      <c r="E35" s="19" t="s">
        <v>277</v>
      </c>
      <c r="F35" s="20" t="s">
        <v>42</v>
      </c>
      <c r="G35" s="21" t="s">
        <v>43</v>
      </c>
      <c r="H35" s="19" t="s">
        <v>278</v>
      </c>
      <c r="I35" s="19" t="s">
        <v>279</v>
      </c>
      <c r="J35" s="19" t="s">
        <v>280</v>
      </c>
      <c r="K35" s="19" t="s">
        <v>84</v>
      </c>
      <c r="L35" s="19" t="s">
        <v>48</v>
      </c>
      <c r="M35" s="19" t="s">
        <v>111</v>
      </c>
      <c r="N35" s="19" t="s">
        <v>281</v>
      </c>
      <c r="O35" s="19" t="s">
        <v>111</v>
      </c>
      <c r="P35" s="19" t="s">
        <v>282</v>
      </c>
      <c r="Q35" s="19" t="s">
        <v>283</v>
      </c>
      <c r="R35" s="19" t="s">
        <v>284</v>
      </c>
      <c r="S35" s="19" t="s">
        <v>285</v>
      </c>
      <c r="T35" s="19" t="s">
        <v>286</v>
      </c>
      <c r="U35" s="19" t="s">
        <v>161</v>
      </c>
      <c r="V35" s="19" t="s">
        <v>70</v>
      </c>
      <c r="W35" s="19" t="s">
        <v>57</v>
      </c>
      <c r="X35" s="19" t="s">
        <v>287</v>
      </c>
      <c r="Y35" s="19"/>
      <c r="Z35" s="19" t="s">
        <v>288</v>
      </c>
      <c r="AA35" s="19">
        <v>1</v>
      </c>
      <c r="AB35" s="19">
        <v>1</v>
      </c>
      <c r="AC35" s="19" t="s">
        <v>59</v>
      </c>
      <c r="AD35" s="19" t="s">
        <v>282</v>
      </c>
      <c r="AE35" s="19" t="s">
        <v>80</v>
      </c>
      <c r="AF35" s="19" t="s">
        <v>289</v>
      </c>
    </row>
    <row r="36" spans="1:34">
      <c r="A36" s="19">
        <v>31</v>
      </c>
      <c r="B36" s="19" t="s">
        <v>290</v>
      </c>
      <c r="C36" s="19" t="s">
        <v>291</v>
      </c>
      <c r="D36" s="19" t="str">
        <f>HYPERLINK("http://www.henontech.com/fieldsafety/harzard/harzard_show.php?rid=1703&amp;url=harzardrecs.php","地下室潜水泵电源线裸露，一名员工在冲洗地下室，水溅起喷落到裸露电线处导致连电，造成人员腿部处被电击穿，住院治疗，损工二个月。")</f>
        <v>地下室潜水泵电源线裸露，一名员工在冲洗地下室，水溅起喷落到裸露电线处导致连电，造成人员腿部处被电击穿，住院治疗，损工二个月。</v>
      </c>
      <c r="E36" s="19" t="s">
        <v>292</v>
      </c>
      <c r="F36" s="20" t="s">
        <v>42</v>
      </c>
      <c r="G36" s="21" t="s">
        <v>43</v>
      </c>
      <c r="H36" s="19" t="s">
        <v>44</v>
      </c>
      <c r="I36" s="19" t="s">
        <v>109</v>
      </c>
      <c r="J36" s="19" t="s">
        <v>46</v>
      </c>
      <c r="K36" s="19"/>
      <c r="L36" s="19"/>
      <c r="M36" s="19" t="s">
        <v>111</v>
      </c>
      <c r="N36" s="19" t="s">
        <v>293</v>
      </c>
      <c r="O36" s="19" t="s">
        <v>111</v>
      </c>
      <c r="P36" s="19" t="s">
        <v>294</v>
      </c>
      <c r="Q36" s="19" t="s">
        <v>295</v>
      </c>
      <c r="R36" s="19" t="s">
        <v>296</v>
      </c>
      <c r="S36" s="19" t="s">
        <v>297</v>
      </c>
      <c r="T36" s="19" t="s">
        <v>54</v>
      </c>
      <c r="U36" s="19" t="s">
        <v>55</v>
      </c>
      <c r="V36" s="19" t="s">
        <v>56</v>
      </c>
      <c r="W36" s="19" t="s">
        <v>57</v>
      </c>
      <c r="X36" s="19" t="s">
        <v>116</v>
      </c>
      <c r="Y36" s="19"/>
      <c r="Z36" s="19" t="s">
        <v>298</v>
      </c>
      <c r="AA36" s="19">
        <v>1</v>
      </c>
      <c r="AB36" s="19">
        <v>1</v>
      </c>
      <c r="AC36" s="19" t="s">
        <v>59</v>
      </c>
      <c r="AD36" s="19" t="s">
        <v>294</v>
      </c>
      <c r="AE36" s="19" t="s">
        <v>299</v>
      </c>
      <c r="AF36" s="19"/>
    </row>
    <row r="37" spans="1:34">
      <c r="A37" s="19">
        <v>32</v>
      </c>
      <c r="B37" s="19" t="s">
        <v>300</v>
      </c>
      <c r="C37" s="19" t="s">
        <v>301</v>
      </c>
      <c r="D37" s="19" t="str">
        <f>HYPERLINK("http://www.henontech.com/fieldsafety/harzard/harzard_show.php?rid=1736&amp;url=harzardrecs.php","一名操作工在1米高处平台操作时，因斜梯和平台没有护栏，在操作过程中因右脚用力踩空，从平台坠落右脚歪伤送往医院救治经诊断右脚骨折，经住院6个月治疗")</f>
        <v>一名操作工在1米高处平台操作时，因斜梯和平台没有护栏，在操作过程中因右脚用力踩空，从平台坠落右脚歪伤送往医院救治经诊断右脚骨折，经住院6个月治疗</v>
      </c>
      <c r="E37" s="19" t="s">
        <v>302</v>
      </c>
      <c r="F37" s="20" t="s">
        <v>42</v>
      </c>
      <c r="G37" s="21" t="s">
        <v>43</v>
      </c>
      <c r="H37" s="19" t="s">
        <v>44</v>
      </c>
      <c r="I37" s="19" t="s">
        <v>109</v>
      </c>
      <c r="J37" s="19" t="s">
        <v>46</v>
      </c>
      <c r="K37" s="19" t="s">
        <v>47</v>
      </c>
      <c r="L37" s="19" t="s">
        <v>48</v>
      </c>
      <c r="M37" s="19" t="s">
        <v>49</v>
      </c>
      <c r="N37" s="19" t="s">
        <v>303</v>
      </c>
      <c r="O37" s="19" t="s">
        <v>49</v>
      </c>
      <c r="P37" s="19" t="s">
        <v>66</v>
      </c>
      <c r="Q37" s="19" t="s">
        <v>304</v>
      </c>
      <c r="R37" s="19" t="s">
        <v>305</v>
      </c>
      <c r="S37" s="19"/>
      <c r="T37" s="19" t="s">
        <v>54</v>
      </c>
      <c r="U37" s="19" t="s">
        <v>55</v>
      </c>
      <c r="V37" s="19" t="s">
        <v>70</v>
      </c>
      <c r="W37" s="19" t="s">
        <v>179</v>
      </c>
      <c r="X37" s="19"/>
      <c r="Y37" s="19"/>
      <c r="Z37" s="19" t="s">
        <v>306</v>
      </c>
      <c r="AA37" s="19">
        <v>1</v>
      </c>
      <c r="AB37" s="19">
        <v>1</v>
      </c>
      <c r="AC37" s="19" t="s">
        <v>59</v>
      </c>
      <c r="AD37" s="19" t="s">
        <v>66</v>
      </c>
      <c r="AE37" s="19" t="s">
        <v>208</v>
      </c>
      <c r="AF37" s="19"/>
    </row>
    <row r="38" spans="1:34">
      <c r="A38" s="19">
        <v>33</v>
      </c>
      <c r="B38" s="19" t="s">
        <v>300</v>
      </c>
      <c r="C38" s="19" t="s">
        <v>307</v>
      </c>
      <c r="D38" s="19" t="str">
        <f>HYPERLINK("http://www.henontech.com/fieldsafety/harzard/harzard_show.php?rid=1737&amp;url=harzardrecs.php","深度脱硫西一号泡沫泵压力表阀门关不严，仪表工关上阀门换压力表时，喷出的泡沫有可能溅到眼中，造成角膜轻微灼伤。")</f>
        <v>深度脱硫西一号泡沫泵压力表阀门关不严，仪表工关上阀门换压力表时，喷出的泡沫有可能溅到眼中，造成角膜轻微灼伤。</v>
      </c>
      <c r="E38" s="19" t="s">
        <v>308</v>
      </c>
      <c r="F38" s="20" t="s">
        <v>42</v>
      </c>
      <c r="G38" s="21" t="s">
        <v>43</v>
      </c>
      <c r="H38" s="19" t="s">
        <v>44</v>
      </c>
      <c r="I38" s="19" t="s">
        <v>109</v>
      </c>
      <c r="J38" s="19" t="s">
        <v>46</v>
      </c>
      <c r="K38" s="19" t="s">
        <v>84</v>
      </c>
      <c r="L38" s="19" t="s">
        <v>48</v>
      </c>
      <c r="M38" s="19" t="s">
        <v>49</v>
      </c>
      <c r="N38" s="19" t="s">
        <v>91</v>
      </c>
      <c r="O38" s="19" t="s">
        <v>49</v>
      </c>
      <c r="P38" s="19" t="s">
        <v>66</v>
      </c>
      <c r="Q38" s="19" t="s">
        <v>304</v>
      </c>
      <c r="R38" s="19" t="s">
        <v>309</v>
      </c>
      <c r="S38" s="19"/>
      <c r="T38" s="19" t="s">
        <v>54</v>
      </c>
      <c r="U38" s="19" t="s">
        <v>55</v>
      </c>
      <c r="V38" s="19" t="s">
        <v>70</v>
      </c>
      <c r="W38" s="19" t="s">
        <v>179</v>
      </c>
      <c r="X38" s="19"/>
      <c r="Y38" s="19"/>
      <c r="Z38" s="19" t="s">
        <v>310</v>
      </c>
      <c r="AA38" s="19">
        <v>1</v>
      </c>
      <c r="AB38" s="19">
        <v>0</v>
      </c>
      <c r="AC38" s="19" t="s">
        <v>59</v>
      </c>
      <c r="AD38" s="19" t="s">
        <v>66</v>
      </c>
      <c r="AE38" s="19" t="s">
        <v>311</v>
      </c>
      <c r="AF38" s="19"/>
    </row>
    <row r="39" spans="1:34">
      <c r="A39" s="19">
        <v>34</v>
      </c>
      <c r="B39" s="19" t="s">
        <v>300</v>
      </c>
      <c r="C39" s="19" t="s">
        <v>40</v>
      </c>
      <c r="D39" s="19" t="str">
        <f>HYPERLINK("http://www.henontech.com/fieldsafety/harzard/harzard_show.php?rid=1743&amp;url=harzardrecs.php","一名巡检人员在初冷器平台巡检，一蒸汽阀门突然破损，若精神不集中就会躲闪不及，可能造成巡检人员左脸轻微烫伤，去医务室敷药后继续上班。")</f>
        <v>一名巡检人员在初冷器平台巡检，一蒸汽阀门突然破损，若精神不集中就会躲闪不及，可能造成巡检人员左脸轻微烫伤，去医务室敷药后继续上班。</v>
      </c>
      <c r="E39" s="19" t="s">
        <v>312</v>
      </c>
      <c r="F39" s="20" t="s">
        <v>42</v>
      </c>
      <c r="G39" s="21" t="s">
        <v>43</v>
      </c>
      <c r="H39" s="19" t="s">
        <v>44</v>
      </c>
      <c r="I39" s="19" t="s">
        <v>313</v>
      </c>
      <c r="J39" s="19"/>
      <c r="K39" s="19" t="s">
        <v>47</v>
      </c>
      <c r="L39" s="19" t="s">
        <v>48</v>
      </c>
      <c r="M39" s="19" t="s">
        <v>49</v>
      </c>
      <c r="N39" s="19" t="s">
        <v>314</v>
      </c>
      <c r="O39" s="19" t="s">
        <v>49</v>
      </c>
      <c r="P39" s="19" t="s">
        <v>66</v>
      </c>
      <c r="Q39" s="19" t="s">
        <v>304</v>
      </c>
      <c r="R39" s="19" t="s">
        <v>315</v>
      </c>
      <c r="S39" s="19"/>
      <c r="T39" s="19" t="s">
        <v>54</v>
      </c>
      <c r="U39" s="19" t="s">
        <v>69</v>
      </c>
      <c r="V39" s="19" t="s">
        <v>70</v>
      </c>
      <c r="W39" s="19" t="s">
        <v>71</v>
      </c>
      <c r="X39" s="19"/>
      <c r="Y39" s="19"/>
      <c r="Z39" s="19" t="s">
        <v>316</v>
      </c>
      <c r="AA39" s="19">
        <v>1</v>
      </c>
      <c r="AB39" s="19">
        <v>1</v>
      </c>
      <c r="AC39" s="19" t="s">
        <v>59</v>
      </c>
      <c r="AD39" s="19" t="s">
        <v>66</v>
      </c>
      <c r="AE39" s="19" t="s">
        <v>317</v>
      </c>
      <c r="AF39" s="19"/>
    </row>
    <row r="40" spans="1:34" customHeight="1" ht="42">
      <c r="A40" s="19">
        <v>35</v>
      </c>
      <c r="B40" s="19" t="s">
        <v>318</v>
      </c>
      <c r="C40" s="19" t="s">
        <v>319</v>
      </c>
      <c r="D40" s="19" t="str">
        <f>HYPERLINK("http://www.henontech.com/fieldsafety/harzard/harzard_show.php?rid=1753&amp;url=harzardrecs.php","一名工人在结束对引风机维护保养后，跳下引风机电机的平台，站立不稳，造成左脚受伤")</f>
        <v>一名工人在结束对引风机维护保养后，跳下引风机电机的平台，站立不稳，造成左脚受伤</v>
      </c>
      <c r="E40" s="19" t="s">
        <v>320</v>
      </c>
      <c r="F40" s="20" t="s">
        <v>42</v>
      </c>
      <c r="G40" s="21" t="s">
        <v>43</v>
      </c>
      <c r="H40" s="19" t="s">
        <v>44</v>
      </c>
      <c r="I40" s="19" t="s">
        <v>45</v>
      </c>
      <c r="J40" s="19" t="s">
        <v>46</v>
      </c>
      <c r="K40" s="19" t="s">
        <v>84</v>
      </c>
      <c r="L40" s="19" t="s">
        <v>48</v>
      </c>
      <c r="M40" s="19" t="s">
        <v>111</v>
      </c>
      <c r="N40" s="19" t="s">
        <v>321</v>
      </c>
      <c r="O40" s="19" t="s">
        <v>111</v>
      </c>
      <c r="P40" s="19" t="s">
        <v>322</v>
      </c>
      <c r="Q40" s="19" t="s">
        <v>323</v>
      </c>
      <c r="R40" s="19" t="s">
        <v>324</v>
      </c>
      <c r="S40" s="19"/>
      <c r="T40" s="19" t="s">
        <v>54</v>
      </c>
      <c r="U40" s="19" t="s">
        <v>55</v>
      </c>
      <c r="V40" s="19" t="s">
        <v>56</v>
      </c>
      <c r="W40" s="19" t="s">
        <v>57</v>
      </c>
      <c r="X40" s="19" t="s">
        <v>272</v>
      </c>
      <c r="Y40" s="19" t="s">
        <v>272</v>
      </c>
      <c r="Z40" s="19" t="s">
        <v>325</v>
      </c>
      <c r="AA40" s="19">
        <v>2</v>
      </c>
      <c r="AB40" s="19">
        <v>0</v>
      </c>
      <c r="AC40" s="19" t="s">
        <v>59</v>
      </c>
      <c r="AD40" s="19" t="s">
        <v>322</v>
      </c>
      <c r="AE40" s="19" t="s">
        <v>118</v>
      </c>
      <c r="AF40" s="19" t="s">
        <v>326</v>
      </c>
    </row>
    <row r="41" spans="1:34" customHeight="1" ht="42">
      <c r="A41" s="19">
        <v>36</v>
      </c>
      <c r="B41" s="19" t="s">
        <v>318</v>
      </c>
      <c r="C41" s="19" t="s">
        <v>327</v>
      </c>
      <c r="D41" s="19" t="str">
        <f>HYPERLINK("http://www.henontech.com/fieldsafety/harzard/harzard_show.php?rid=1754&amp;url=harzardrecs.php","5.5米炉顶导烟车电动葫芦操作手柄因高温烤化变形破损，内部金属接线片裸露，一员工在未佩戴绝缘防护情况下操作电动葫芦更换水封盖，手掌与接线片接触发生触电，送医抢救无效死亡。")</f>
        <v>5.5米炉顶导烟车电动葫芦操作手柄因高温烤化变形破损，内部金属接线片裸露，一员工在未佩戴绝缘防护情况下操作电动葫芦更换水封盖，手掌与接线片接触发生触电，送医抢救无效死亡。</v>
      </c>
      <c r="E41" s="19" t="s">
        <v>328</v>
      </c>
      <c r="F41" s="20" t="s">
        <v>42</v>
      </c>
      <c r="G41" s="22" t="s">
        <v>108</v>
      </c>
      <c r="H41" s="19" t="s">
        <v>44</v>
      </c>
      <c r="I41" s="19" t="s">
        <v>109</v>
      </c>
      <c r="J41" s="19" t="s">
        <v>329</v>
      </c>
      <c r="K41" s="19"/>
      <c r="L41" s="19"/>
      <c r="M41" s="19" t="s">
        <v>111</v>
      </c>
      <c r="N41" s="19" t="s">
        <v>330</v>
      </c>
      <c r="O41" s="19" t="s">
        <v>111</v>
      </c>
      <c r="P41" s="19" t="s">
        <v>294</v>
      </c>
      <c r="Q41" s="19" t="s">
        <v>323</v>
      </c>
      <c r="R41" s="19" t="s">
        <v>331</v>
      </c>
      <c r="S41" s="19"/>
      <c r="T41" s="19" t="s">
        <v>54</v>
      </c>
      <c r="U41" s="19" t="s">
        <v>161</v>
      </c>
      <c r="V41" s="19" t="s">
        <v>56</v>
      </c>
      <c r="W41" s="19" t="s">
        <v>103</v>
      </c>
      <c r="X41" s="19" t="s">
        <v>332</v>
      </c>
      <c r="Y41" s="19"/>
      <c r="Z41" s="19" t="s">
        <v>333</v>
      </c>
      <c r="AA41" s="19">
        <v>2</v>
      </c>
      <c r="AB41" s="19">
        <v>2</v>
      </c>
      <c r="AC41" s="19" t="s">
        <v>59</v>
      </c>
      <c r="AD41" s="19" t="s">
        <v>294</v>
      </c>
      <c r="AE41" s="19" t="s">
        <v>299</v>
      </c>
      <c r="AF41" s="19"/>
    </row>
    <row r="42" spans="1:34">
      <c r="A42" s="19">
        <v>37</v>
      </c>
      <c r="B42" s="19" t="s">
        <v>318</v>
      </c>
      <c r="C42" s="19" t="s">
        <v>334</v>
      </c>
      <c r="D42" s="19" t="str">
        <f>HYPERLINK("http://www.henontech.com/fieldsafety/harzard/harzard_show.php?rid=1757&amp;url=harzardrecs.php","电缆桥架盖板未固定紧实，被大风吹起，掉落砸中路过人员，造成擦伤。")</f>
        <v>电缆桥架盖板未固定紧实，被大风吹起，掉落砸中路过人员，造成擦伤。</v>
      </c>
      <c r="E42" s="19" t="s">
        <v>335</v>
      </c>
      <c r="F42" s="20" t="s">
        <v>42</v>
      </c>
      <c r="G42" s="22" t="s">
        <v>108</v>
      </c>
      <c r="H42" s="19" t="s">
        <v>44</v>
      </c>
      <c r="I42" s="19" t="s">
        <v>45</v>
      </c>
      <c r="J42" s="19" t="s">
        <v>158</v>
      </c>
      <c r="K42" s="19" t="s">
        <v>84</v>
      </c>
      <c r="L42" s="19" t="s">
        <v>48</v>
      </c>
      <c r="M42" s="19" t="s">
        <v>336</v>
      </c>
      <c r="N42" s="19" t="s">
        <v>337</v>
      </c>
      <c r="O42" s="19" t="s">
        <v>336</v>
      </c>
      <c r="P42" s="19" t="s">
        <v>338</v>
      </c>
      <c r="Q42" s="19" t="s">
        <v>339</v>
      </c>
      <c r="R42" s="19" t="s">
        <v>340</v>
      </c>
      <c r="S42" s="19"/>
      <c r="T42" s="19" t="s">
        <v>54</v>
      </c>
      <c r="U42" s="19" t="s">
        <v>69</v>
      </c>
      <c r="V42" s="19" t="s">
        <v>56</v>
      </c>
      <c r="W42" s="19" t="s">
        <v>179</v>
      </c>
      <c r="X42" s="19" t="s">
        <v>341</v>
      </c>
      <c r="Y42" s="19" t="s">
        <v>341</v>
      </c>
      <c r="Z42" s="19" t="s">
        <v>342</v>
      </c>
      <c r="AA42" s="19">
        <v>1</v>
      </c>
      <c r="AB42" s="19">
        <v>1</v>
      </c>
      <c r="AC42" s="19" t="s">
        <v>59</v>
      </c>
      <c r="AD42" s="19" t="s">
        <v>338</v>
      </c>
      <c r="AE42" s="19" t="s">
        <v>73</v>
      </c>
      <c r="AF42" s="19"/>
    </row>
    <row r="43" spans="1:34" customHeight="1" ht="42">
      <c r="A43" s="19">
        <v>38</v>
      </c>
      <c r="B43" s="19" t="s">
        <v>318</v>
      </c>
      <c r="C43" s="19" t="s">
        <v>343</v>
      </c>
      <c r="D43" s="19" t="str">
        <f>HYPERLINK("http://www.henontech.com/fieldsafety/harzard/harzard_show.php?rid=1759&amp;url=harzardrecs.php","5.5米推焦车行走至9号碳化室处时，由于滑块雨搭开焊下垂，造成滑块连电起火烧毁")</f>
        <v>5.5米推焦车行走至9号碳化室处时，由于滑块雨搭开焊下垂，造成滑块连电起火烧毁</v>
      </c>
      <c r="E43" s="19" t="s">
        <v>344</v>
      </c>
      <c r="F43" s="20" t="s">
        <v>42</v>
      </c>
      <c r="G43" s="22" t="s">
        <v>108</v>
      </c>
      <c r="H43" s="19" t="s">
        <v>44</v>
      </c>
      <c r="I43" s="19" t="s">
        <v>45</v>
      </c>
      <c r="J43" s="19" t="s">
        <v>46</v>
      </c>
      <c r="K43" s="19" t="s">
        <v>84</v>
      </c>
      <c r="L43" s="19" t="s">
        <v>48</v>
      </c>
      <c r="M43" s="19" t="s">
        <v>111</v>
      </c>
      <c r="N43" s="19" t="s">
        <v>345</v>
      </c>
      <c r="O43" s="19" t="s">
        <v>111</v>
      </c>
      <c r="P43" s="19" t="s">
        <v>294</v>
      </c>
      <c r="Q43" s="19" t="s">
        <v>323</v>
      </c>
      <c r="R43" s="19" t="s">
        <v>346</v>
      </c>
      <c r="S43" s="19"/>
      <c r="T43" s="19" t="s">
        <v>169</v>
      </c>
      <c r="U43" s="19" t="s">
        <v>69</v>
      </c>
      <c r="V43" s="19" t="s">
        <v>102</v>
      </c>
      <c r="W43" s="19" t="s">
        <v>57</v>
      </c>
      <c r="X43" s="19" t="s">
        <v>347</v>
      </c>
      <c r="Y43" s="19"/>
      <c r="Z43" s="19" t="s">
        <v>348</v>
      </c>
      <c r="AA43" s="19">
        <v>2</v>
      </c>
      <c r="AB43" s="19">
        <v>2</v>
      </c>
      <c r="AC43" s="19" t="s">
        <v>59</v>
      </c>
      <c r="AD43" s="19" t="s">
        <v>294</v>
      </c>
      <c r="AE43" s="19" t="s">
        <v>118</v>
      </c>
      <c r="AF43" s="19"/>
    </row>
    <row r="44" spans="1:34" customHeight="1" ht="42">
      <c r="A44" s="19">
        <v>39</v>
      </c>
      <c r="B44" s="19" t="s">
        <v>349</v>
      </c>
      <c r="C44" s="19" t="s">
        <v>266</v>
      </c>
      <c r="D44" s="19" t="str">
        <f>HYPERLINK("http://www.henontech.com/fieldsafety/harzard/harzard_show.php?rid=1767&amp;url=harzardrecs.php","一名操作工在靠近护栏时，不慎跌落至炉顶面，且头部先着地，造成重伤，随即送医，抢救无效死亡")</f>
        <v>一名操作工在靠近护栏时，不慎跌落至炉顶面，且头部先着地，造成重伤，随即送医，抢救无效死亡</v>
      </c>
      <c r="E44" s="19" t="s">
        <v>350</v>
      </c>
      <c r="F44" s="20" t="s">
        <v>42</v>
      </c>
      <c r="G44" s="21" t="s">
        <v>43</v>
      </c>
      <c r="H44" s="19" t="s">
        <v>44</v>
      </c>
      <c r="I44" s="19" t="s">
        <v>45</v>
      </c>
      <c r="J44" s="19" t="s">
        <v>46</v>
      </c>
      <c r="K44" s="19" t="s">
        <v>47</v>
      </c>
      <c r="L44" s="19" t="s">
        <v>48</v>
      </c>
      <c r="M44" s="19" t="s">
        <v>111</v>
      </c>
      <c r="N44" s="19" t="s">
        <v>351</v>
      </c>
      <c r="O44" s="19" t="s">
        <v>111</v>
      </c>
      <c r="P44" s="19" t="s">
        <v>294</v>
      </c>
      <c r="Q44" s="19" t="s">
        <v>323</v>
      </c>
      <c r="R44" s="19" t="s">
        <v>352</v>
      </c>
      <c r="S44" s="19"/>
      <c r="T44" s="19" t="s">
        <v>54</v>
      </c>
      <c r="U44" s="19" t="s">
        <v>161</v>
      </c>
      <c r="V44" s="19" t="s">
        <v>56</v>
      </c>
      <c r="W44" s="19" t="s">
        <v>103</v>
      </c>
      <c r="X44" s="19"/>
      <c r="Y44" s="19"/>
      <c r="Z44" s="19" t="s">
        <v>353</v>
      </c>
      <c r="AA44" s="19">
        <v>2</v>
      </c>
      <c r="AB44" s="19">
        <v>2</v>
      </c>
      <c r="AC44" s="19" t="s">
        <v>59</v>
      </c>
      <c r="AD44" s="19" t="s">
        <v>294</v>
      </c>
      <c r="AE44" s="19" t="s">
        <v>299</v>
      </c>
      <c r="AF44" s="19"/>
    </row>
    <row r="45" spans="1:34" customHeight="1" ht="42">
      <c r="A45" s="19">
        <v>40</v>
      </c>
      <c r="B45" s="19" t="s">
        <v>349</v>
      </c>
      <c r="C45" s="19" t="s">
        <v>266</v>
      </c>
      <c r="D45" s="19" t="str">
        <f>HYPERLINK("http://www.henontech.com/fieldsafety/harzard/harzard_show.php?rid=1768&amp;url=harzardrecs.php","一名操作工在平台堵烟时，由于平台腐蚀严重，不堪人体重力，致使人员跌落，造成重伤，紧急送医，抢救无效死亡")</f>
        <v>一名操作工在平台堵烟时，由于平台腐蚀严重，不堪人体重力，致使人员跌落，造成重伤，紧急送医，抢救无效死亡</v>
      </c>
      <c r="E45" s="19" t="s">
        <v>350</v>
      </c>
      <c r="F45" s="20" t="s">
        <v>42</v>
      </c>
      <c r="G45" s="22" t="s">
        <v>108</v>
      </c>
      <c r="H45" s="19" t="s">
        <v>44</v>
      </c>
      <c r="I45" s="19" t="s">
        <v>45</v>
      </c>
      <c r="J45" s="19" t="s">
        <v>46</v>
      </c>
      <c r="K45" s="19" t="s">
        <v>47</v>
      </c>
      <c r="L45" s="19" t="s">
        <v>48</v>
      </c>
      <c r="M45" s="19" t="s">
        <v>111</v>
      </c>
      <c r="N45" s="19" t="s">
        <v>354</v>
      </c>
      <c r="O45" s="19" t="s">
        <v>111</v>
      </c>
      <c r="P45" s="19" t="s">
        <v>294</v>
      </c>
      <c r="Q45" s="19" t="s">
        <v>323</v>
      </c>
      <c r="R45" s="19" t="s">
        <v>355</v>
      </c>
      <c r="S45" s="19"/>
      <c r="T45" s="19" t="s">
        <v>54</v>
      </c>
      <c r="U45" s="19" t="s">
        <v>161</v>
      </c>
      <c r="V45" s="19" t="s">
        <v>56</v>
      </c>
      <c r="W45" s="19" t="s">
        <v>103</v>
      </c>
      <c r="X45" s="19"/>
      <c r="Y45" s="19"/>
      <c r="Z45" s="19" t="s">
        <v>356</v>
      </c>
      <c r="AA45" s="19">
        <v>2</v>
      </c>
      <c r="AB45" s="19">
        <v>2</v>
      </c>
      <c r="AC45" s="19" t="s">
        <v>59</v>
      </c>
      <c r="AD45" s="19" t="s">
        <v>294</v>
      </c>
      <c r="AE45" s="19" t="s">
        <v>118</v>
      </c>
      <c r="AF45" s="19"/>
    </row>
    <row r="46" spans="1:34">
      <c r="A46" s="19">
        <v>41</v>
      </c>
      <c r="B46" s="19" t="s">
        <v>357</v>
      </c>
      <c r="C46" s="19" t="s">
        <v>358</v>
      </c>
      <c r="D46" s="19" t="str">
        <f>HYPERLINK("http://www.henontech.com/fieldsafety/harzard/harzard_show.php?rid=1843&amp;url=harzardrecs.php","粗苯蒸汽管架保温铝皮未及时清理，一名巡检人员在管架下部清理卫生，一旦铝皮脱落击中巡检人员手臂，轻微擦伤。")</f>
        <v>粗苯蒸汽管架保温铝皮未及时清理，一名巡检人员在管架下部清理卫生，一旦铝皮脱落击中巡检人员手臂，轻微擦伤。</v>
      </c>
      <c r="E46" s="19" t="s">
        <v>359</v>
      </c>
      <c r="F46" s="20" t="s">
        <v>42</v>
      </c>
      <c r="G46" s="21" t="s">
        <v>43</v>
      </c>
      <c r="H46" s="19" t="s">
        <v>44</v>
      </c>
      <c r="I46" s="19" t="s">
        <v>130</v>
      </c>
      <c r="J46" s="19" t="s">
        <v>46</v>
      </c>
      <c r="K46" s="19" t="s">
        <v>47</v>
      </c>
      <c r="L46" s="19"/>
      <c r="M46" s="19" t="s">
        <v>49</v>
      </c>
      <c r="N46" s="19" t="s">
        <v>360</v>
      </c>
      <c r="O46" s="19" t="s">
        <v>49</v>
      </c>
      <c r="P46" s="19" t="s">
        <v>66</v>
      </c>
      <c r="Q46" s="19" t="s">
        <v>361</v>
      </c>
      <c r="R46" s="19" t="s">
        <v>362</v>
      </c>
      <c r="S46" s="19"/>
      <c r="T46" s="19" t="s">
        <v>54</v>
      </c>
      <c r="U46" s="19" t="s">
        <v>170</v>
      </c>
      <c r="V46" s="19" t="s">
        <v>206</v>
      </c>
      <c r="W46" s="19" t="s">
        <v>71</v>
      </c>
      <c r="X46" s="19"/>
      <c r="Y46" s="19"/>
      <c r="Z46" s="19" t="s">
        <v>363</v>
      </c>
      <c r="AA46" s="19">
        <v>1</v>
      </c>
      <c r="AB46" s="19">
        <v>1</v>
      </c>
      <c r="AC46" s="19" t="s">
        <v>59</v>
      </c>
      <c r="AD46" s="19" t="s">
        <v>66</v>
      </c>
      <c r="AE46" s="19" t="s">
        <v>80</v>
      </c>
      <c r="AF46" s="19"/>
    </row>
    <row r="47" spans="1:34">
      <c r="A47" s="19">
        <v>42</v>
      </c>
      <c r="B47" s="19" t="s">
        <v>357</v>
      </c>
      <c r="C47" s="19" t="s">
        <v>364</v>
      </c>
      <c r="D47" s="19" t="str">
        <f>HYPERLINK("http://www.henontech.com/fieldsafety/harzard/harzard_show.php?rid=1852&amp;url=harzardrecs.php","导热油空气预热器保温材料缺失，操作工在巡检时，不小心胳膊触碰到预热器")</f>
        <v>导热油空气预热器保温材料缺失，操作工在巡检时，不小心胳膊触碰到预热器</v>
      </c>
      <c r="E47" s="19" t="s">
        <v>365</v>
      </c>
      <c r="F47" s="20" t="s">
        <v>42</v>
      </c>
      <c r="G47" s="21" t="s">
        <v>43</v>
      </c>
      <c r="H47" s="19" t="s">
        <v>44</v>
      </c>
      <c r="I47" s="19" t="s">
        <v>130</v>
      </c>
      <c r="J47" s="19" t="s">
        <v>46</v>
      </c>
      <c r="K47" s="19" t="s">
        <v>47</v>
      </c>
      <c r="L47" s="19"/>
      <c r="M47" s="19" t="s">
        <v>49</v>
      </c>
      <c r="N47" s="19" t="s">
        <v>366</v>
      </c>
      <c r="O47" s="19" t="s">
        <v>49</v>
      </c>
      <c r="P47" s="19" t="s">
        <v>66</v>
      </c>
      <c r="Q47" s="19" t="s">
        <v>367</v>
      </c>
      <c r="R47" s="19" t="s">
        <v>368</v>
      </c>
      <c r="S47" s="19"/>
      <c r="T47" s="19" t="s">
        <v>54</v>
      </c>
      <c r="U47" s="19" t="s">
        <v>69</v>
      </c>
      <c r="V47" s="19" t="s">
        <v>56</v>
      </c>
      <c r="W47" s="19" t="s">
        <v>179</v>
      </c>
      <c r="X47" s="19"/>
      <c r="Y47" s="19"/>
      <c r="Z47" s="19" t="s">
        <v>369</v>
      </c>
      <c r="AA47" s="19">
        <v>1</v>
      </c>
      <c r="AB47" s="19">
        <v>1</v>
      </c>
      <c r="AC47" s="19" t="s">
        <v>59</v>
      </c>
      <c r="AD47" s="19" t="s">
        <v>66</v>
      </c>
      <c r="AE47" s="19" t="s">
        <v>370</v>
      </c>
      <c r="AF47" s="19"/>
    </row>
    <row r="48" spans="1:34" customHeight="1" ht="42">
      <c r="A48" s="19">
        <v>43</v>
      </c>
      <c r="B48" s="19" t="s">
        <v>258</v>
      </c>
      <c r="C48" s="19" t="s">
        <v>142</v>
      </c>
      <c r="D48" s="19" t="str">
        <f>HYPERLINK("http://www.henontech.com/fieldsafety/harzard/harzard_show.php?rid=1856&amp;url=harzardrecs.php","5.5米焦侧南头通风道上部漏水严重，腐蚀通风道，假如人员经过此处时，通风道坍塌造成人员身体多处骨折，住院治疗三个月的损工事故")</f>
        <v>5.5米焦侧南头通风道上部漏水严重，腐蚀通风道，假如人员经过此处时，通风道坍塌造成人员身体多处骨折，住院治疗三个月的损工事故</v>
      </c>
      <c r="E48" s="19" t="s">
        <v>371</v>
      </c>
      <c r="F48" s="20" t="s">
        <v>42</v>
      </c>
      <c r="G48" s="21" t="s">
        <v>43</v>
      </c>
      <c r="H48" s="19" t="s">
        <v>44</v>
      </c>
      <c r="I48" s="19"/>
      <c r="J48" s="19" t="s">
        <v>46</v>
      </c>
      <c r="K48" s="19"/>
      <c r="L48" s="19"/>
      <c r="M48" s="19" t="s">
        <v>111</v>
      </c>
      <c r="N48" s="19" t="s">
        <v>372</v>
      </c>
      <c r="O48" s="19" t="s">
        <v>111</v>
      </c>
      <c r="P48" s="19" t="s">
        <v>270</v>
      </c>
      <c r="Q48" s="19" t="s">
        <v>373</v>
      </c>
      <c r="R48" s="19" t="s">
        <v>374</v>
      </c>
      <c r="S48" s="19"/>
      <c r="T48" s="19" t="s">
        <v>54</v>
      </c>
      <c r="U48" s="19" t="s">
        <v>55</v>
      </c>
      <c r="V48" s="19" t="s">
        <v>70</v>
      </c>
      <c r="W48" s="19" t="s">
        <v>179</v>
      </c>
      <c r="X48" s="19" t="s">
        <v>332</v>
      </c>
      <c r="Y48" s="19"/>
      <c r="Z48" s="19" t="s">
        <v>375</v>
      </c>
      <c r="AA48" s="19">
        <v>2</v>
      </c>
      <c r="AB48" s="19">
        <v>2</v>
      </c>
      <c r="AC48" s="19" t="s">
        <v>59</v>
      </c>
      <c r="AD48" s="19" t="s">
        <v>270</v>
      </c>
      <c r="AE48" s="19" t="s">
        <v>376</v>
      </c>
      <c r="AF48" s="19" t="s">
        <v>377</v>
      </c>
    </row>
    <row r="49" spans="1:34">
      <c r="A49" s="19">
        <v>44</v>
      </c>
      <c r="B49" s="19" t="s">
        <v>378</v>
      </c>
      <c r="C49" s="19" t="s">
        <v>379</v>
      </c>
      <c r="D49" s="19" t="str">
        <f>HYPERLINK("http://www.henontech.com/fieldsafety/harzard/harzard_show.php?rid=1863&amp;url=harzardrecs.php","2#提升机框架七层西侧护栏外悬挂一云梯，长期暴露室外未做防腐，如遇大风天气，焊点开焊坠落，砸中地面过路人员头肩部，造成人员死亡。")</f>
        <v>2#提升机框架七层西侧护栏外悬挂一云梯，长期暴露室外未做防腐，如遇大风天气，焊点开焊坠落，砸中地面过路人员头肩部，造成人员死亡。</v>
      </c>
      <c r="E49" s="19" t="s">
        <v>380</v>
      </c>
      <c r="F49" s="20" t="s">
        <v>42</v>
      </c>
      <c r="G49" s="21" t="s">
        <v>43</v>
      </c>
      <c r="H49" s="19" t="s">
        <v>44</v>
      </c>
      <c r="I49" s="19"/>
      <c r="J49" s="19" t="s">
        <v>381</v>
      </c>
      <c r="K49" s="19" t="s">
        <v>184</v>
      </c>
      <c r="L49" s="19"/>
      <c r="M49" s="19" t="s">
        <v>111</v>
      </c>
      <c r="N49" s="19" t="s">
        <v>382</v>
      </c>
      <c r="O49" s="19" t="s">
        <v>111</v>
      </c>
      <c r="P49" s="19" t="s">
        <v>294</v>
      </c>
      <c r="Q49" s="19" t="s">
        <v>373</v>
      </c>
      <c r="R49" s="19" t="s">
        <v>383</v>
      </c>
      <c r="S49" s="19" t="s">
        <v>384</v>
      </c>
      <c r="T49" s="19" t="s">
        <v>54</v>
      </c>
      <c r="U49" s="19" t="s">
        <v>161</v>
      </c>
      <c r="V49" s="19" t="s">
        <v>70</v>
      </c>
      <c r="W49" s="19" t="s">
        <v>57</v>
      </c>
      <c r="X49" s="19" t="s">
        <v>116</v>
      </c>
      <c r="Y49" s="19"/>
      <c r="Z49" s="19" t="s">
        <v>385</v>
      </c>
      <c r="AA49" s="19">
        <v>1</v>
      </c>
      <c r="AB49" s="19">
        <v>1</v>
      </c>
      <c r="AC49" s="19" t="s">
        <v>59</v>
      </c>
      <c r="AD49" s="19" t="s">
        <v>294</v>
      </c>
      <c r="AE49" s="19" t="s">
        <v>299</v>
      </c>
      <c r="AF49" s="19"/>
    </row>
    <row r="50" spans="1:34" customHeight="1" ht="42">
      <c r="A50" s="19">
        <v>45</v>
      </c>
      <c r="B50" s="19" t="s">
        <v>263</v>
      </c>
      <c r="C50" s="19" t="s">
        <v>266</v>
      </c>
      <c r="D50" s="19" t="str">
        <f>HYPERLINK("http://www.henontech.com/fieldsafety/harzard/harzard_show.php?rid=1876&amp;url=harzardrecs.php","推焦平台与炉柱间有缝隙，煤粉从缝隙落到开闭器上，造成开闭器盖板盖不严，致使燃烧室内煤气过剩，最终导致烟囱冒黑烟。")</f>
        <v>推焦平台与炉柱间有缝隙，煤粉从缝隙落到开闭器上，造成开闭器盖板盖不严，致使燃烧室内煤气过剩，最终导致烟囱冒黑烟。</v>
      </c>
      <c r="E50" s="19" t="s">
        <v>386</v>
      </c>
      <c r="F50" s="20" t="s">
        <v>42</v>
      </c>
      <c r="G50" s="21" t="s">
        <v>43</v>
      </c>
      <c r="H50" s="19" t="s">
        <v>44</v>
      </c>
      <c r="I50" s="19" t="s">
        <v>45</v>
      </c>
      <c r="J50" s="19" t="s">
        <v>46</v>
      </c>
      <c r="K50" s="19" t="s">
        <v>47</v>
      </c>
      <c r="L50" s="19" t="s">
        <v>48</v>
      </c>
      <c r="M50" s="19" t="s">
        <v>111</v>
      </c>
      <c r="N50" s="19" t="s">
        <v>269</v>
      </c>
      <c r="O50" s="19" t="s">
        <v>111</v>
      </c>
      <c r="P50" s="19" t="s">
        <v>270</v>
      </c>
      <c r="Q50" s="19" t="s">
        <v>387</v>
      </c>
      <c r="R50" s="19" t="s">
        <v>388</v>
      </c>
      <c r="S50" s="19"/>
      <c r="T50" s="19" t="s">
        <v>94</v>
      </c>
      <c r="U50" s="19" t="s">
        <v>170</v>
      </c>
      <c r="V50" s="19" t="s">
        <v>56</v>
      </c>
      <c r="W50" s="19" t="s">
        <v>71</v>
      </c>
      <c r="X50" s="19" t="s">
        <v>272</v>
      </c>
      <c r="Y50" s="19" t="s">
        <v>272</v>
      </c>
      <c r="Z50" s="19" t="s">
        <v>389</v>
      </c>
      <c r="AA50" s="19">
        <v>2</v>
      </c>
      <c r="AB50" s="19">
        <v>0</v>
      </c>
      <c r="AC50" s="19" t="s">
        <v>59</v>
      </c>
      <c r="AD50" s="19" t="s">
        <v>270</v>
      </c>
      <c r="AE50" s="19" t="s">
        <v>390</v>
      </c>
      <c r="AF50" s="19" t="s">
        <v>391</v>
      </c>
    </row>
    <row r="51" spans="1:34">
      <c r="A51" s="19">
        <v>46</v>
      </c>
      <c r="B51" s="19" t="s">
        <v>263</v>
      </c>
      <c r="C51" s="19" t="s">
        <v>276</v>
      </c>
      <c r="D51" s="19" t="str">
        <f>HYPERLINK("http://www.henontech.com/fieldsafety/harzard/harzard_show.php?rid=1882&amp;url=harzardrecs.php","排污泵接电380V，电缆所加套管不全且接线处与电缆沟上沿摩擦易破损，一巡检人员开启污水泵后返回观察时触电倒地，送医治疗，死亡。")</f>
        <v>排污泵接电380V，电缆所加套管不全且接线处与电缆沟上沿摩擦易破损，一巡检人员开启污水泵后返回观察时触电倒地，送医治疗，死亡。</v>
      </c>
      <c r="E51" s="19" t="s">
        <v>392</v>
      </c>
      <c r="F51" s="20" t="s">
        <v>42</v>
      </c>
      <c r="G51" s="21" t="s">
        <v>43</v>
      </c>
      <c r="H51" s="19" t="s">
        <v>44</v>
      </c>
      <c r="I51" s="19"/>
      <c r="J51" s="19" t="s">
        <v>158</v>
      </c>
      <c r="K51" s="19" t="s">
        <v>99</v>
      </c>
      <c r="L51" s="19"/>
      <c r="M51" s="19" t="s">
        <v>111</v>
      </c>
      <c r="N51" s="19" t="s">
        <v>393</v>
      </c>
      <c r="O51" s="19" t="s">
        <v>111</v>
      </c>
      <c r="P51" s="19" t="s">
        <v>394</v>
      </c>
      <c r="Q51" s="19" t="s">
        <v>395</v>
      </c>
      <c r="R51" s="19" t="s">
        <v>396</v>
      </c>
      <c r="S51" s="19" t="s">
        <v>397</v>
      </c>
      <c r="T51" s="19" t="s">
        <v>54</v>
      </c>
      <c r="U51" s="19" t="s">
        <v>161</v>
      </c>
      <c r="V51" s="19" t="s">
        <v>56</v>
      </c>
      <c r="W51" s="19" t="s">
        <v>103</v>
      </c>
      <c r="X51" s="19" t="s">
        <v>332</v>
      </c>
      <c r="Y51" s="19" t="s">
        <v>332</v>
      </c>
      <c r="Z51" s="19" t="s">
        <v>398</v>
      </c>
      <c r="AA51" s="19">
        <v>1</v>
      </c>
      <c r="AB51" s="19">
        <v>1</v>
      </c>
      <c r="AC51" s="19" t="s">
        <v>59</v>
      </c>
      <c r="AD51" s="19" t="s">
        <v>394</v>
      </c>
      <c r="AE51" s="19" t="s">
        <v>399</v>
      </c>
      <c r="AF51" s="19" t="s">
        <v>400</v>
      </c>
    </row>
    <row r="52" spans="1:34">
      <c r="A52" s="19">
        <v>47</v>
      </c>
      <c r="B52" s="19" t="s">
        <v>401</v>
      </c>
      <c r="C52" s="19" t="s">
        <v>276</v>
      </c>
      <c r="D52" s="19" t="str">
        <f>HYPERLINK("http://www.henontech.com/fieldsafety/harzard/harzard_show.php?rid=1887&amp;url=harzardrecs.php","汽机零米配电柜外接电缆（电压380伏）未加套管，长时间使用磨损绝缘层，导致配电柜表面带电，操作人员在停送电操作时触电倒地，抢救并送医，人员死亡。")</f>
        <v>汽机零米配电柜外接电缆（电压380伏）未加套管，长时间使用磨损绝缘层，导致配电柜表面带电，操作人员在停送电操作时触电倒地，抢救并送医，人员死亡。</v>
      </c>
      <c r="E52" s="19" t="s">
        <v>402</v>
      </c>
      <c r="F52" s="20" t="s">
        <v>42</v>
      </c>
      <c r="G52" s="21" t="s">
        <v>43</v>
      </c>
      <c r="H52" s="19" t="s">
        <v>44</v>
      </c>
      <c r="I52" s="19"/>
      <c r="J52" s="19" t="s">
        <v>46</v>
      </c>
      <c r="K52" s="19"/>
      <c r="L52" s="19"/>
      <c r="M52" s="19" t="s">
        <v>111</v>
      </c>
      <c r="N52" s="19" t="s">
        <v>403</v>
      </c>
      <c r="O52" s="19" t="s">
        <v>111</v>
      </c>
      <c r="P52" s="19" t="s">
        <v>294</v>
      </c>
      <c r="Q52" s="19" t="s">
        <v>387</v>
      </c>
      <c r="R52" s="19" t="s">
        <v>404</v>
      </c>
      <c r="S52" s="19" t="s">
        <v>405</v>
      </c>
      <c r="T52" s="19" t="s">
        <v>54</v>
      </c>
      <c r="U52" s="19" t="s">
        <v>161</v>
      </c>
      <c r="V52" s="19" t="s">
        <v>56</v>
      </c>
      <c r="W52" s="19" t="s">
        <v>103</v>
      </c>
      <c r="X52" s="19" t="s">
        <v>116</v>
      </c>
      <c r="Y52" s="19"/>
      <c r="Z52" s="19" t="s">
        <v>406</v>
      </c>
      <c r="AA52" s="19">
        <v>1</v>
      </c>
      <c r="AB52" s="19">
        <v>1</v>
      </c>
      <c r="AC52" s="19" t="s">
        <v>59</v>
      </c>
      <c r="AD52" s="19" t="s">
        <v>294</v>
      </c>
      <c r="AE52" s="19" t="s">
        <v>399</v>
      </c>
      <c r="AF52" s="19"/>
    </row>
    <row r="53" spans="1:34">
      <c r="A53" s="19">
        <v>48</v>
      </c>
      <c r="B53" s="19" t="s">
        <v>407</v>
      </c>
      <c r="C53" s="19" t="s">
        <v>408</v>
      </c>
      <c r="D53" s="19" t="str">
        <f>HYPERLINK("http://www.henontech.com/fieldsafety/harzard/harzard_show.php?rid=1889&amp;url=harzardrecs.php","一操作工在巡检时，由于2#减温减压压力调节阀处焊缝突然漏汽，未能及时躲避，被漏出的1.6Mpa、535℃蒸汽击中左胳膊，造成烫伤，送医院救治。")</f>
        <v>一操作工在巡检时，由于2#减温减压压力调节阀处焊缝突然漏汽，未能及时躲避，被漏出的1.6Mpa、535℃蒸汽击中左胳膊，造成烫伤，送医院救治。</v>
      </c>
      <c r="E53" s="19" t="s">
        <v>409</v>
      </c>
      <c r="F53" s="20" t="s">
        <v>42</v>
      </c>
      <c r="G53" s="22" t="s">
        <v>108</v>
      </c>
      <c r="H53" s="19" t="s">
        <v>44</v>
      </c>
      <c r="I53" s="19" t="s">
        <v>45</v>
      </c>
      <c r="J53" s="19" t="s">
        <v>410</v>
      </c>
      <c r="K53" s="19" t="s">
        <v>99</v>
      </c>
      <c r="L53" s="19" t="s">
        <v>48</v>
      </c>
      <c r="M53" s="19" t="s">
        <v>111</v>
      </c>
      <c r="N53" s="19" t="s">
        <v>224</v>
      </c>
      <c r="O53" s="19" t="s">
        <v>111</v>
      </c>
      <c r="P53" s="19" t="s">
        <v>411</v>
      </c>
      <c r="Q53" s="19" t="s">
        <v>387</v>
      </c>
      <c r="R53" s="19" t="s">
        <v>412</v>
      </c>
      <c r="S53" s="19" t="s">
        <v>413</v>
      </c>
      <c r="T53" s="19" t="s">
        <v>54</v>
      </c>
      <c r="U53" s="19" t="s">
        <v>55</v>
      </c>
      <c r="V53" s="19" t="s">
        <v>102</v>
      </c>
      <c r="W53" s="19" t="s">
        <v>103</v>
      </c>
      <c r="X53" s="19" t="s">
        <v>116</v>
      </c>
      <c r="Y53" s="19"/>
      <c r="Z53" s="19" t="s">
        <v>414</v>
      </c>
      <c r="AA53" s="19">
        <v>1</v>
      </c>
      <c r="AB53" s="19">
        <v>1</v>
      </c>
      <c r="AC53" s="19" t="s">
        <v>59</v>
      </c>
      <c r="AD53" s="19" t="s">
        <v>411</v>
      </c>
      <c r="AE53" s="19" t="s">
        <v>415</v>
      </c>
      <c r="AF53" s="19" t="s">
        <v>416</v>
      </c>
    </row>
    <row r="54" spans="1:34">
      <c r="A54" s="19">
        <v>49</v>
      </c>
      <c r="B54" s="19" t="s">
        <v>407</v>
      </c>
      <c r="C54" s="19" t="s">
        <v>417</v>
      </c>
      <c r="D54" s="19" t="str">
        <f>HYPERLINK("http://www.henontech.com/fieldsafety/harzard/harzard_show.php?rid=1899&amp;url=harzardrecs.php","高压配电室1#联络线配电柜在线测温装置温度显示异常，无法判定触头温度是否正常，如温度过高发生断路器触头烧损，会引起设备停电造成财产损失。")</f>
        <v>高压配电室1#联络线配电柜在线测温装置温度显示异常，无法判定触头温度是否正常，如温度过高发生断路器触头烧损，会引起设备停电造成财产损失。</v>
      </c>
      <c r="E54" s="19" t="s">
        <v>418</v>
      </c>
      <c r="F54" s="20" t="s">
        <v>42</v>
      </c>
      <c r="G54" s="21" t="s">
        <v>43</v>
      </c>
      <c r="H54" s="19" t="s">
        <v>44</v>
      </c>
      <c r="I54" s="19" t="s">
        <v>45</v>
      </c>
      <c r="J54" s="19" t="s">
        <v>419</v>
      </c>
      <c r="K54" s="19" t="s">
        <v>84</v>
      </c>
      <c r="L54" s="19" t="s">
        <v>48</v>
      </c>
      <c r="M54" s="19" t="s">
        <v>111</v>
      </c>
      <c r="N54" s="19" t="s">
        <v>420</v>
      </c>
      <c r="O54" s="19" t="s">
        <v>111</v>
      </c>
      <c r="P54" s="19" t="s">
        <v>113</v>
      </c>
      <c r="Q54" s="19" t="s">
        <v>421</v>
      </c>
      <c r="R54" s="19" t="s">
        <v>422</v>
      </c>
      <c r="S54" s="19" t="s">
        <v>423</v>
      </c>
      <c r="T54" s="19" t="s">
        <v>169</v>
      </c>
      <c r="U54" s="19" t="s">
        <v>170</v>
      </c>
      <c r="V54" s="19" t="s">
        <v>56</v>
      </c>
      <c r="W54" s="19" t="s">
        <v>71</v>
      </c>
      <c r="X54" s="19" t="s">
        <v>332</v>
      </c>
      <c r="Y54" s="19"/>
      <c r="Z54" s="19" t="s">
        <v>424</v>
      </c>
      <c r="AA54" s="19">
        <v>1</v>
      </c>
      <c r="AB54" s="19">
        <v>1</v>
      </c>
      <c r="AC54" s="19" t="s">
        <v>59</v>
      </c>
      <c r="AD54" s="19" t="s">
        <v>113</v>
      </c>
      <c r="AE54" s="19" t="s">
        <v>80</v>
      </c>
      <c r="AF54" s="19" t="s">
        <v>425</v>
      </c>
    </row>
    <row r="55" spans="1:34">
      <c r="A55" s="19">
        <v>50</v>
      </c>
      <c r="B55" s="19" t="s">
        <v>426</v>
      </c>
      <c r="C55" s="19" t="s">
        <v>427</v>
      </c>
      <c r="D55" s="19" t="str">
        <f>HYPERLINK("http://www.henontech.com/fieldsafety/harzard/harzard_show.php?rid=1907&amp;url=harzardrecs.php","精炼南墙上侧仪表管线已废弃未拆除，悬挂空中易坠落砸伤巡检人员，造成头部划伤，医务室就医后复工。")</f>
        <v>精炼南墙上侧仪表管线已废弃未拆除，悬挂空中易坠落砸伤巡检人员，造成头部划伤，医务室就医后复工。</v>
      </c>
      <c r="E55" s="19" t="s">
        <v>428</v>
      </c>
      <c r="F55" s="20" t="s">
        <v>42</v>
      </c>
      <c r="G55" s="21" t="s">
        <v>43</v>
      </c>
      <c r="H55" s="19" t="s">
        <v>44</v>
      </c>
      <c r="I55" s="19"/>
      <c r="J55" s="19" t="s">
        <v>46</v>
      </c>
      <c r="K55" s="19" t="s">
        <v>99</v>
      </c>
      <c r="L55" s="19"/>
      <c r="M55" s="19" t="s">
        <v>336</v>
      </c>
      <c r="N55" s="19" t="s">
        <v>429</v>
      </c>
      <c r="O55" s="19" t="s">
        <v>336</v>
      </c>
      <c r="P55" s="19" t="s">
        <v>430</v>
      </c>
      <c r="Q55" s="19" t="s">
        <v>431</v>
      </c>
      <c r="R55" s="19" t="s">
        <v>432</v>
      </c>
      <c r="S55" s="19"/>
      <c r="T55" s="19" t="s">
        <v>54</v>
      </c>
      <c r="U55" s="19" t="s">
        <v>69</v>
      </c>
      <c r="V55" s="19" t="s">
        <v>56</v>
      </c>
      <c r="W55" s="19" t="s">
        <v>179</v>
      </c>
      <c r="X55" s="19" t="s">
        <v>347</v>
      </c>
      <c r="Y55" s="19" t="s">
        <v>332</v>
      </c>
      <c r="Z55" s="19" t="s">
        <v>433</v>
      </c>
      <c r="AA55" s="19">
        <v>1</v>
      </c>
      <c r="AB55" s="19">
        <v>0</v>
      </c>
      <c r="AC55" s="19" t="s">
        <v>59</v>
      </c>
      <c r="AD55" s="19" t="s">
        <v>430</v>
      </c>
      <c r="AE55" s="19" t="s">
        <v>80</v>
      </c>
      <c r="AF55" s="19" t="s">
        <v>434</v>
      </c>
    </row>
    <row r="56" spans="1:34">
      <c r="A56" s="19">
        <v>51</v>
      </c>
      <c r="B56" s="19" t="s">
        <v>376</v>
      </c>
      <c r="C56" s="19" t="s">
        <v>408</v>
      </c>
      <c r="D56" s="19" t="str">
        <f>HYPERLINK("http://www.henontech.com/fieldsafety/harzard/harzard_show.php?rid=1926&amp;url=harzardrecs.php","循环水加药间门口无挡鼠板，老鼠进入咬破加药罐，咬坏电缆，造成设备损坏，损失一万元。")</f>
        <v>循环水加药间门口无挡鼠板，老鼠进入咬破加药罐，咬坏电缆，造成设备损坏，损失一万元。</v>
      </c>
      <c r="E56" s="19" t="s">
        <v>435</v>
      </c>
      <c r="F56" s="20" t="s">
        <v>42</v>
      </c>
      <c r="G56" s="21" t="s">
        <v>43</v>
      </c>
      <c r="H56" s="19" t="s">
        <v>44</v>
      </c>
      <c r="I56" s="19"/>
      <c r="J56" s="19" t="s">
        <v>158</v>
      </c>
      <c r="K56" s="19"/>
      <c r="L56" s="19"/>
      <c r="M56" s="19" t="s">
        <v>111</v>
      </c>
      <c r="N56" s="19" t="s">
        <v>436</v>
      </c>
      <c r="O56" s="19" t="s">
        <v>111</v>
      </c>
      <c r="P56" s="19" t="s">
        <v>411</v>
      </c>
      <c r="Q56" s="19" t="s">
        <v>437</v>
      </c>
      <c r="R56" s="19" t="s">
        <v>438</v>
      </c>
      <c r="S56" s="19" t="s">
        <v>439</v>
      </c>
      <c r="T56" s="19" t="s">
        <v>169</v>
      </c>
      <c r="U56" s="19" t="s">
        <v>170</v>
      </c>
      <c r="V56" s="19" t="s">
        <v>70</v>
      </c>
      <c r="W56" s="19" t="s">
        <v>71</v>
      </c>
      <c r="X56" s="19" t="s">
        <v>116</v>
      </c>
      <c r="Y56" s="19"/>
      <c r="Z56" s="19" t="s">
        <v>440</v>
      </c>
      <c r="AA56" s="19">
        <v>1</v>
      </c>
      <c r="AB56" s="19">
        <v>1</v>
      </c>
      <c r="AC56" s="19" t="s">
        <v>59</v>
      </c>
      <c r="AD56" s="19" t="s">
        <v>411</v>
      </c>
      <c r="AE56" s="19" t="s">
        <v>415</v>
      </c>
      <c r="AF56" s="19" t="s">
        <v>441</v>
      </c>
    </row>
    <row r="57" spans="1:34">
      <c r="A57" s="19">
        <v>52</v>
      </c>
      <c r="B57" s="19" t="s">
        <v>376</v>
      </c>
      <c r="C57" s="19" t="s">
        <v>222</v>
      </c>
      <c r="D57" s="19" t="str">
        <f>HYPERLINK("http://www.henontech.com/fieldsafety/harzard/harzard_show.php?rid=1927&amp;url=harzardrecs.php","硫酸管道铺设不合理，硫酸管道与循环水配电室北门斜坡距离0.4米，一巡检人员快速通过绿化带跑至此处时被硫酸管道绊倒，磕在配电室斜坡上，造成人员右手上臂骨折，去医院救治，损工3个月。")</f>
        <v>硫酸管道铺设不合理，硫酸管道与循环水配电室北门斜坡距离0.4米，一巡检人员快速通过绿化带跑至此处时被硫酸管道绊倒，磕在配电室斜坡上，造成人员右手上臂骨折，去医院救治，损工3个月。</v>
      </c>
      <c r="E57" s="19" t="s">
        <v>442</v>
      </c>
      <c r="F57" s="20" t="s">
        <v>42</v>
      </c>
      <c r="G57" s="21" t="s">
        <v>43</v>
      </c>
      <c r="H57" s="19" t="s">
        <v>44</v>
      </c>
      <c r="I57" s="19" t="s">
        <v>130</v>
      </c>
      <c r="J57" s="19" t="s">
        <v>158</v>
      </c>
      <c r="K57" s="19" t="s">
        <v>47</v>
      </c>
      <c r="L57" s="19"/>
      <c r="M57" s="19" t="s">
        <v>111</v>
      </c>
      <c r="N57" s="19" t="s">
        <v>443</v>
      </c>
      <c r="O57" s="19" t="s">
        <v>336</v>
      </c>
      <c r="P57" s="19" t="s">
        <v>430</v>
      </c>
      <c r="Q57" s="19" t="s">
        <v>193</v>
      </c>
      <c r="R57" s="19" t="s">
        <v>444</v>
      </c>
      <c r="S57" s="19"/>
      <c r="T57" s="19" t="s">
        <v>54</v>
      </c>
      <c r="U57" s="19" t="s">
        <v>55</v>
      </c>
      <c r="V57" s="19" t="s">
        <v>70</v>
      </c>
      <c r="W57" s="19" t="s">
        <v>179</v>
      </c>
      <c r="X57" s="19" t="s">
        <v>445</v>
      </c>
      <c r="Y57" s="19" t="s">
        <v>341</v>
      </c>
      <c r="Z57" s="19" t="s">
        <v>446</v>
      </c>
      <c r="AA57" s="19">
        <v>1</v>
      </c>
      <c r="AB57" s="19">
        <v>1</v>
      </c>
      <c r="AC57" s="19" t="s">
        <v>59</v>
      </c>
      <c r="AD57" s="19" t="s">
        <v>430</v>
      </c>
      <c r="AE57" s="19" t="s">
        <v>118</v>
      </c>
      <c r="AF57" s="19" t="s">
        <v>447</v>
      </c>
    </row>
    <row r="58" spans="1:34">
      <c r="A58" s="19">
        <v>53</v>
      </c>
      <c r="B58" s="19" t="s">
        <v>376</v>
      </c>
      <c r="C58" s="19" t="s">
        <v>448</v>
      </c>
      <c r="D58" s="19" t="str">
        <f>HYPERLINK("http://www.henontech.com/fieldsafety/harzard/harzard_show.php?rid=1930&amp;url=harzardrecs.php","转化循环水泵房北侧平台警示牌脱落，平台无警示牌无法提醒巡检人员，雨雪天气巡检人员在平台滑倒，造成腿部划伤，医务室就医后复工。")</f>
        <v>转化循环水泵房北侧平台警示牌脱落，平台无警示牌无法提醒巡检人员，雨雪天气巡检人员在平台滑倒，造成腿部划伤，医务室就医后复工。</v>
      </c>
      <c r="E58" s="19" t="s">
        <v>449</v>
      </c>
      <c r="F58" s="20" t="s">
        <v>42</v>
      </c>
      <c r="G58" s="21" t="s">
        <v>43</v>
      </c>
      <c r="H58" s="19" t="s">
        <v>44</v>
      </c>
      <c r="I58" s="19"/>
      <c r="J58" s="19" t="s">
        <v>46</v>
      </c>
      <c r="K58" s="19" t="s">
        <v>47</v>
      </c>
      <c r="L58" s="19"/>
      <c r="M58" s="19" t="s">
        <v>336</v>
      </c>
      <c r="N58" s="19" t="s">
        <v>450</v>
      </c>
      <c r="O58" s="19" t="s">
        <v>336</v>
      </c>
      <c r="P58" s="19" t="s">
        <v>430</v>
      </c>
      <c r="Q58" s="19" t="s">
        <v>193</v>
      </c>
      <c r="R58" s="19" t="s">
        <v>451</v>
      </c>
      <c r="S58" s="19"/>
      <c r="T58" s="19" t="s">
        <v>54</v>
      </c>
      <c r="U58" s="19" t="s">
        <v>69</v>
      </c>
      <c r="V58" s="19" t="s">
        <v>56</v>
      </c>
      <c r="W58" s="19" t="s">
        <v>179</v>
      </c>
      <c r="X58" s="19" t="s">
        <v>445</v>
      </c>
      <c r="Y58" s="19" t="s">
        <v>341</v>
      </c>
      <c r="Z58" s="19" t="s">
        <v>452</v>
      </c>
      <c r="AA58" s="19">
        <v>1</v>
      </c>
      <c r="AB58" s="19">
        <v>1</v>
      </c>
      <c r="AC58" s="19" t="s">
        <v>59</v>
      </c>
      <c r="AD58" s="19" t="s">
        <v>430</v>
      </c>
      <c r="AE58" s="19" t="s">
        <v>80</v>
      </c>
      <c r="AF58" s="19"/>
    </row>
    <row r="59" spans="1:34">
      <c r="A59" s="19">
        <v>54</v>
      </c>
      <c r="B59" s="19" t="s">
        <v>376</v>
      </c>
      <c r="C59" s="19" t="s">
        <v>291</v>
      </c>
      <c r="D59" s="19" t="str">
        <f>HYPERLINK("http://www.henontech.com/fieldsafety/harzard/harzard_show.php?rid=1931&amp;url=harzardrecs.php","设备维修后枕木摆放杂乱高低不平，一名巡检人员从此处通过，被枕木绊倒，磕倒在平台上，造成人员脚扭伤需休息一个月损工事故。")</f>
        <v>设备维修后枕木摆放杂乱高低不平，一名巡检人员从此处通过，被枕木绊倒，磕倒在平台上，造成人员脚扭伤需休息一个月损工事故。</v>
      </c>
      <c r="E59" s="19" t="s">
        <v>453</v>
      </c>
      <c r="F59" s="20" t="s">
        <v>42</v>
      </c>
      <c r="G59" s="21" t="s">
        <v>43</v>
      </c>
      <c r="H59" s="19" t="s">
        <v>44</v>
      </c>
      <c r="I59" s="19" t="s">
        <v>45</v>
      </c>
      <c r="J59" s="19" t="s">
        <v>46</v>
      </c>
      <c r="K59" s="19" t="s">
        <v>47</v>
      </c>
      <c r="L59" s="19" t="s">
        <v>48</v>
      </c>
      <c r="M59" s="19" t="s">
        <v>111</v>
      </c>
      <c r="N59" s="19" t="s">
        <v>454</v>
      </c>
      <c r="O59" s="19" t="s">
        <v>111</v>
      </c>
      <c r="P59" s="19" t="s">
        <v>411</v>
      </c>
      <c r="Q59" s="19" t="s">
        <v>437</v>
      </c>
      <c r="R59" s="19" t="s">
        <v>455</v>
      </c>
      <c r="S59" s="19" t="s">
        <v>456</v>
      </c>
      <c r="T59" s="19" t="s">
        <v>54</v>
      </c>
      <c r="U59" s="19" t="s">
        <v>55</v>
      </c>
      <c r="V59" s="19" t="s">
        <v>70</v>
      </c>
      <c r="W59" s="19" t="s">
        <v>179</v>
      </c>
      <c r="X59" s="19" t="s">
        <v>116</v>
      </c>
      <c r="Y59" s="19"/>
      <c r="Z59" s="19" t="s">
        <v>457</v>
      </c>
      <c r="AA59" s="19">
        <v>1</v>
      </c>
      <c r="AB59" s="19">
        <v>1</v>
      </c>
      <c r="AC59" s="19" t="s">
        <v>59</v>
      </c>
      <c r="AD59" s="19" t="s">
        <v>411</v>
      </c>
      <c r="AE59" s="19" t="s">
        <v>415</v>
      </c>
      <c r="AF59" s="19" t="s">
        <v>458</v>
      </c>
    </row>
    <row r="60" spans="1:34">
      <c r="A60" s="19">
        <v>55</v>
      </c>
      <c r="B60" s="19" t="s">
        <v>376</v>
      </c>
      <c r="C60" s="19" t="s">
        <v>379</v>
      </c>
      <c r="D60" s="19" t="str">
        <f>HYPERLINK("http://www.henontech.com/fieldsafety/harzard/harzard_show.php?rid=1932&amp;url=harzardrecs.php","干熄焦1号提升机三层护栏护板开焊伸出，一巡检人员巡检经过时，未及时发现，将其拌倒，身体前俯爬在平台上，导致右手撑轻微擦伤，经简单处理后继续工作。")</f>
        <v>干熄焦1号提升机三层护栏护板开焊伸出，一巡检人员巡检经过时，未及时发现，将其拌倒，身体前俯爬在平台上，导致右手撑轻微擦伤，经简单处理后继续工作。</v>
      </c>
      <c r="E60" s="19" t="s">
        <v>459</v>
      </c>
      <c r="F60" s="20" t="s">
        <v>42</v>
      </c>
      <c r="G60" s="21" t="s">
        <v>43</v>
      </c>
      <c r="H60" s="19" t="s">
        <v>44</v>
      </c>
      <c r="I60" s="19" t="s">
        <v>45</v>
      </c>
      <c r="J60" s="19" t="s">
        <v>46</v>
      </c>
      <c r="K60" s="19"/>
      <c r="L60" s="19"/>
      <c r="M60" s="19" t="s">
        <v>111</v>
      </c>
      <c r="N60" s="19" t="s">
        <v>460</v>
      </c>
      <c r="O60" s="19" t="s">
        <v>111</v>
      </c>
      <c r="P60" s="19" t="s">
        <v>294</v>
      </c>
      <c r="Q60" s="19" t="s">
        <v>437</v>
      </c>
      <c r="R60" s="19" t="s">
        <v>461</v>
      </c>
      <c r="S60" s="19" t="s">
        <v>462</v>
      </c>
      <c r="T60" s="19" t="s">
        <v>54</v>
      </c>
      <c r="U60" s="19" t="s">
        <v>69</v>
      </c>
      <c r="V60" s="19" t="s">
        <v>70</v>
      </c>
      <c r="W60" s="19" t="s">
        <v>71</v>
      </c>
      <c r="X60" s="19" t="s">
        <v>116</v>
      </c>
      <c r="Y60" s="19"/>
      <c r="Z60" s="19" t="s">
        <v>463</v>
      </c>
      <c r="AA60" s="19">
        <v>1</v>
      </c>
      <c r="AB60" s="19">
        <v>1</v>
      </c>
      <c r="AC60" s="19" t="s">
        <v>59</v>
      </c>
      <c r="AD60" s="19" t="s">
        <v>294</v>
      </c>
      <c r="AE60" s="19" t="s">
        <v>299</v>
      </c>
      <c r="AF60" s="19"/>
    </row>
    <row r="61" spans="1:34">
      <c r="A61" s="19">
        <v>56</v>
      </c>
      <c r="B61" s="19" t="s">
        <v>376</v>
      </c>
      <c r="C61" s="19" t="s">
        <v>464</v>
      </c>
      <c r="D61" s="19" t="str">
        <f>HYPERLINK("http://www.henontech.com/fieldsafety/harzard/harzard_show.php?rid=1933&amp;url=harzardrecs.php","1#分馏塔爬梯处小门未关闭，一操作工私自攀爬，在攀爬过程中失足跌落地面，造成腿部骨折。住院医疗1个月，修养2个月。")</f>
        <v>1#分馏塔爬梯处小门未关闭，一操作工私自攀爬，在攀爬过程中失足跌落地面，造成腿部骨折。住院医疗1个月，修养2个月。</v>
      </c>
      <c r="E61" s="19" t="s">
        <v>465</v>
      </c>
      <c r="F61" s="20" t="s">
        <v>42</v>
      </c>
      <c r="G61" s="21" t="s">
        <v>43</v>
      </c>
      <c r="H61" s="19" t="s">
        <v>44</v>
      </c>
      <c r="I61" s="19" t="s">
        <v>109</v>
      </c>
      <c r="J61" s="19" t="s">
        <v>158</v>
      </c>
      <c r="K61" s="19" t="s">
        <v>47</v>
      </c>
      <c r="L61" s="19" t="s">
        <v>48</v>
      </c>
      <c r="M61" s="19" t="s">
        <v>336</v>
      </c>
      <c r="N61" s="19" t="s">
        <v>466</v>
      </c>
      <c r="O61" s="19" t="s">
        <v>336</v>
      </c>
      <c r="P61" s="19" t="s">
        <v>430</v>
      </c>
      <c r="Q61" s="19" t="s">
        <v>467</v>
      </c>
      <c r="R61" s="19" t="s">
        <v>468</v>
      </c>
      <c r="S61" s="19"/>
      <c r="T61" s="19" t="s">
        <v>54</v>
      </c>
      <c r="U61" s="19" t="s">
        <v>55</v>
      </c>
      <c r="V61" s="19" t="s">
        <v>102</v>
      </c>
      <c r="W61" s="19" t="s">
        <v>103</v>
      </c>
      <c r="X61" s="19" t="s">
        <v>445</v>
      </c>
      <c r="Y61" s="19" t="s">
        <v>341</v>
      </c>
      <c r="Z61" s="19" t="s">
        <v>469</v>
      </c>
      <c r="AA61" s="19">
        <v>1</v>
      </c>
      <c r="AB61" s="19">
        <v>1</v>
      </c>
      <c r="AC61" s="19" t="s">
        <v>59</v>
      </c>
      <c r="AD61" s="19" t="s">
        <v>430</v>
      </c>
      <c r="AE61" s="19" t="s">
        <v>80</v>
      </c>
      <c r="AF61" s="19"/>
    </row>
    <row r="62" spans="1:34">
      <c r="A62" s="19">
        <v>57</v>
      </c>
      <c r="B62" s="19" t="s">
        <v>376</v>
      </c>
      <c r="C62" s="19" t="s">
        <v>464</v>
      </c>
      <c r="D62" s="19" t="str">
        <f>HYPERLINK("http://www.henontech.com/fieldsafety/harzard/harzard_show.php?rid=1934&amp;url=harzardrecs.php","空压机地沟盖板未盖好，一名操作工巡检过程中不慎踩空，造成小腿骨折。")</f>
        <v>空压机地沟盖板未盖好，一名操作工巡检过程中不慎踩空，造成小腿骨折。</v>
      </c>
      <c r="E62" s="19" t="s">
        <v>470</v>
      </c>
      <c r="F62" s="20" t="s">
        <v>42</v>
      </c>
      <c r="G62" s="21" t="s">
        <v>43</v>
      </c>
      <c r="H62" s="19" t="s">
        <v>44</v>
      </c>
      <c r="I62" s="19" t="s">
        <v>234</v>
      </c>
      <c r="J62" s="19" t="s">
        <v>158</v>
      </c>
      <c r="K62" s="19" t="s">
        <v>99</v>
      </c>
      <c r="L62" s="19" t="s">
        <v>48</v>
      </c>
      <c r="M62" s="19" t="s">
        <v>336</v>
      </c>
      <c r="N62" s="19" t="s">
        <v>471</v>
      </c>
      <c r="O62" s="19" t="s">
        <v>336</v>
      </c>
      <c r="P62" s="19" t="s">
        <v>430</v>
      </c>
      <c r="Q62" s="19" t="s">
        <v>467</v>
      </c>
      <c r="R62" s="19" t="s">
        <v>472</v>
      </c>
      <c r="S62" s="19"/>
      <c r="T62" s="19" t="s">
        <v>54</v>
      </c>
      <c r="U62" s="19" t="s">
        <v>55</v>
      </c>
      <c r="V62" s="19" t="s">
        <v>56</v>
      </c>
      <c r="W62" s="19" t="s">
        <v>57</v>
      </c>
      <c r="X62" s="19" t="s">
        <v>445</v>
      </c>
      <c r="Y62" s="19" t="s">
        <v>341</v>
      </c>
      <c r="Z62" s="19" t="s">
        <v>473</v>
      </c>
      <c r="AA62" s="19">
        <v>1</v>
      </c>
      <c r="AB62" s="19">
        <v>1</v>
      </c>
      <c r="AC62" s="19" t="s">
        <v>59</v>
      </c>
      <c r="AD62" s="19" t="s">
        <v>430</v>
      </c>
      <c r="AE62" s="19" t="s">
        <v>80</v>
      </c>
      <c r="AF62" s="19"/>
    </row>
    <row r="63" spans="1:34">
      <c r="A63" s="19">
        <v>58</v>
      </c>
      <c r="B63" s="19" t="s">
        <v>376</v>
      </c>
      <c r="C63" s="19" t="s">
        <v>474</v>
      </c>
      <c r="D63" s="19" t="str">
        <f>HYPERLINK("http://www.henontech.com/fieldsafety/harzard/harzard_show.php?rid=1937&amp;url=harzardrecs.php","除盐水站西墙3米高处电缆盖板松动，大风天气，一名员工巡检至此时，盖板脱落，砸伤肩部，送医后诊断为肩部骨折，损工3个月")</f>
        <v>除盐水站西墙3米高处电缆盖板松动，大风天气，一名员工巡检至此时，盖板脱落，砸伤肩部，送医后诊断为肩部骨折，损工3个月</v>
      </c>
      <c r="E63" s="19" t="s">
        <v>475</v>
      </c>
      <c r="F63" s="20" t="s">
        <v>42</v>
      </c>
      <c r="G63" s="21" t="s">
        <v>43</v>
      </c>
      <c r="H63" s="19" t="s">
        <v>44</v>
      </c>
      <c r="I63" s="19" t="s">
        <v>130</v>
      </c>
      <c r="J63" s="19" t="s">
        <v>46</v>
      </c>
      <c r="K63" s="19"/>
      <c r="L63" s="19"/>
      <c r="M63" s="19" t="s">
        <v>111</v>
      </c>
      <c r="N63" s="19" t="s">
        <v>476</v>
      </c>
      <c r="O63" s="19" t="s">
        <v>111</v>
      </c>
      <c r="P63" s="19" t="s">
        <v>113</v>
      </c>
      <c r="Q63" s="19" t="s">
        <v>421</v>
      </c>
      <c r="R63" s="19" t="s">
        <v>477</v>
      </c>
      <c r="S63" s="19" t="s">
        <v>478</v>
      </c>
      <c r="T63" s="19" t="s">
        <v>54</v>
      </c>
      <c r="U63" s="19" t="s">
        <v>55</v>
      </c>
      <c r="V63" s="19" t="s">
        <v>70</v>
      </c>
      <c r="W63" s="19" t="s">
        <v>179</v>
      </c>
      <c r="X63" s="19" t="s">
        <v>116</v>
      </c>
      <c r="Y63" s="19"/>
      <c r="Z63" s="19" t="s">
        <v>479</v>
      </c>
      <c r="AA63" s="19">
        <v>1</v>
      </c>
      <c r="AB63" s="19">
        <v>1</v>
      </c>
      <c r="AC63" s="19" t="s">
        <v>59</v>
      </c>
      <c r="AD63" s="19" t="s">
        <v>113</v>
      </c>
      <c r="AE63" s="19" t="s">
        <v>118</v>
      </c>
      <c r="AF63" s="19" t="s">
        <v>480</v>
      </c>
    </row>
    <row r="64" spans="1:34">
      <c r="A64" s="19">
        <v>59</v>
      </c>
      <c r="B64" s="19" t="s">
        <v>376</v>
      </c>
      <c r="C64" s="19" t="s">
        <v>408</v>
      </c>
      <c r="D64" s="19" t="str">
        <f>HYPERLINK("http://www.henontech.com/fieldsafety/harzard/harzard_show.php?rid=1940&amp;url=harzardrecs.php","3号减温减压照明灯电缆铺设不规范，一名员工开阀门时，不慎绊倒，膝盖破皮，去医务室简单处理")</f>
        <v>3号减温减压照明灯电缆铺设不规范，一名员工开阀门时，不慎绊倒，膝盖破皮，去医务室简单处理</v>
      </c>
      <c r="E64" s="19" t="s">
        <v>481</v>
      </c>
      <c r="F64" s="20" t="s">
        <v>42</v>
      </c>
      <c r="G64" s="21" t="s">
        <v>43</v>
      </c>
      <c r="H64" s="19" t="s">
        <v>44</v>
      </c>
      <c r="I64" s="19" t="s">
        <v>130</v>
      </c>
      <c r="J64" s="19" t="s">
        <v>46</v>
      </c>
      <c r="K64" s="19" t="s">
        <v>47</v>
      </c>
      <c r="L64" s="19"/>
      <c r="M64" s="19" t="s">
        <v>111</v>
      </c>
      <c r="N64" s="19" t="s">
        <v>482</v>
      </c>
      <c r="O64" s="19" t="s">
        <v>111</v>
      </c>
      <c r="P64" s="19" t="s">
        <v>411</v>
      </c>
      <c r="Q64" s="19" t="s">
        <v>421</v>
      </c>
      <c r="R64" s="19" t="s">
        <v>483</v>
      </c>
      <c r="S64" s="19" t="s">
        <v>484</v>
      </c>
      <c r="T64" s="19" t="s">
        <v>54</v>
      </c>
      <c r="U64" s="19" t="s">
        <v>69</v>
      </c>
      <c r="V64" s="19" t="s">
        <v>56</v>
      </c>
      <c r="W64" s="19" t="s">
        <v>179</v>
      </c>
      <c r="X64" s="19" t="s">
        <v>116</v>
      </c>
      <c r="Y64" s="19"/>
      <c r="Z64" s="19" t="s">
        <v>485</v>
      </c>
      <c r="AA64" s="19">
        <v>1</v>
      </c>
      <c r="AB64" s="19">
        <v>1</v>
      </c>
      <c r="AC64" s="19" t="s">
        <v>59</v>
      </c>
      <c r="AD64" s="19" t="s">
        <v>411</v>
      </c>
      <c r="AE64" s="19" t="s">
        <v>415</v>
      </c>
      <c r="AF64" s="19" t="s">
        <v>486</v>
      </c>
    </row>
    <row r="65" spans="1:34">
      <c r="A65" s="19">
        <v>60</v>
      </c>
      <c r="B65" s="19" t="s">
        <v>487</v>
      </c>
      <c r="C65" s="19" t="s">
        <v>474</v>
      </c>
      <c r="D65" s="19" t="str">
        <f>HYPERLINK("http://www.henontech.com/fieldsafety/harzard/harzard_show.php?rid=1952&amp;url=harzardrecs.php","除盐水站东侧地沟盖板断裂下沉，夜班一名职工巡检至此时，人员踩空脚部受伤，送医后诊断为脚踝扭伤，损工半个月。")</f>
        <v>除盐水站东侧地沟盖板断裂下沉，夜班一名职工巡检至此时，人员踩空脚部受伤，送医后诊断为脚踝扭伤，损工半个月。</v>
      </c>
      <c r="E65" s="19" t="s">
        <v>488</v>
      </c>
      <c r="F65" s="20" t="s">
        <v>42</v>
      </c>
      <c r="G65" s="21" t="s">
        <v>43</v>
      </c>
      <c r="H65" s="19" t="s">
        <v>44</v>
      </c>
      <c r="I65" s="19" t="s">
        <v>130</v>
      </c>
      <c r="J65" s="19" t="s">
        <v>46</v>
      </c>
      <c r="K65" s="19"/>
      <c r="L65" s="19"/>
      <c r="M65" s="19" t="s">
        <v>111</v>
      </c>
      <c r="N65" s="19" t="s">
        <v>489</v>
      </c>
      <c r="O65" s="19" t="s">
        <v>111</v>
      </c>
      <c r="P65" s="19" t="s">
        <v>411</v>
      </c>
      <c r="Q65" s="19" t="s">
        <v>421</v>
      </c>
      <c r="R65" s="19" t="s">
        <v>490</v>
      </c>
      <c r="S65" s="19" t="s">
        <v>491</v>
      </c>
      <c r="T65" s="19" t="s">
        <v>54</v>
      </c>
      <c r="U65" s="19" t="s">
        <v>69</v>
      </c>
      <c r="V65" s="19" t="s">
        <v>206</v>
      </c>
      <c r="W65" s="19" t="s">
        <v>71</v>
      </c>
      <c r="X65" s="19" t="s">
        <v>116</v>
      </c>
      <c r="Y65" s="19"/>
      <c r="Z65" s="19" t="s">
        <v>492</v>
      </c>
      <c r="AA65" s="19">
        <v>1</v>
      </c>
      <c r="AB65" s="19">
        <v>1</v>
      </c>
      <c r="AC65" s="19" t="s">
        <v>59</v>
      </c>
      <c r="AD65" s="19" t="s">
        <v>411</v>
      </c>
      <c r="AE65" s="19" t="s">
        <v>415</v>
      </c>
      <c r="AF65" s="19" t="s">
        <v>493</v>
      </c>
    </row>
    <row r="66" spans="1:34">
      <c r="A66" s="19">
        <v>61</v>
      </c>
      <c r="B66" s="19" t="s">
        <v>494</v>
      </c>
      <c r="C66" s="19" t="s">
        <v>495</v>
      </c>
      <c r="D66" s="19" t="str">
        <f>HYPERLINK("http://www.henontech.com/fieldsafety/harzard/harzard_show.php?rid=1986&amp;url=harzardrecs.php","维修人员在设备顶部更换法兰螺栓时，未佩戴安全带，用力紧固螺栓时，因用力过大，从高处设备上坠落，造成右小臂骨折，多处擦伤，送医院治疗。")</f>
        <v>维修人员在设备顶部更换法兰螺栓时，未佩戴安全带，用力紧固螺栓时，因用力过大，从高处设备上坠落，造成右小臂骨折，多处擦伤，送医院治疗。</v>
      </c>
      <c r="E66" s="19" t="s">
        <v>496</v>
      </c>
      <c r="F66" s="20" t="s">
        <v>42</v>
      </c>
      <c r="G66" s="23" t="s">
        <v>497</v>
      </c>
      <c r="H66" s="19" t="s">
        <v>44</v>
      </c>
      <c r="I66" s="19" t="s">
        <v>268</v>
      </c>
      <c r="J66" s="19" t="s">
        <v>158</v>
      </c>
      <c r="K66" s="19" t="s">
        <v>84</v>
      </c>
      <c r="L66" s="19" t="s">
        <v>48</v>
      </c>
      <c r="M66" s="19" t="s">
        <v>336</v>
      </c>
      <c r="N66" s="19" t="s">
        <v>498</v>
      </c>
      <c r="O66" s="19" t="s">
        <v>336</v>
      </c>
      <c r="P66" s="19" t="s">
        <v>338</v>
      </c>
      <c r="Q66" s="19" t="s">
        <v>311</v>
      </c>
      <c r="R66" s="19" t="s">
        <v>499</v>
      </c>
      <c r="S66" s="19"/>
      <c r="T66" s="19" t="s">
        <v>54</v>
      </c>
      <c r="U66" s="19" t="s">
        <v>55</v>
      </c>
      <c r="V66" s="19" t="s">
        <v>56</v>
      </c>
      <c r="W66" s="19" t="s">
        <v>57</v>
      </c>
      <c r="X66" s="19" t="s">
        <v>272</v>
      </c>
      <c r="Y66" s="19" t="s">
        <v>272</v>
      </c>
      <c r="Z66" s="19" t="s">
        <v>500</v>
      </c>
      <c r="AA66" s="19">
        <v>1</v>
      </c>
      <c r="AB66" s="19">
        <v>1</v>
      </c>
      <c r="AC66" s="19" t="s">
        <v>59</v>
      </c>
      <c r="AD66" s="19" t="s">
        <v>338</v>
      </c>
      <c r="AE66" s="19" t="s">
        <v>494</v>
      </c>
      <c r="AF66" s="19" t="s">
        <v>501</v>
      </c>
    </row>
    <row r="67" spans="1:34">
      <c r="A67" s="19">
        <v>62</v>
      </c>
      <c r="B67" s="19" t="s">
        <v>204</v>
      </c>
      <c r="C67" s="19" t="s">
        <v>495</v>
      </c>
      <c r="D67" s="19" t="str">
        <f>HYPERLINK("http://www.henontech.com/fieldsafety/harzard/harzard_show.php?rid=1992&amp;url=harzardrecs.php","夜间操作工巡查2#压缩机时压缩机操作平台处黑皮管子，由于夜间光线差，操作工走到平台处时，不小心被平台处黑皮管线绊倒")</f>
        <v>夜间操作工巡查2#压缩机时压缩机操作平台处黑皮管子，由于夜间光线差，操作工走到平台处时，不小心被平台处黑皮管线绊倒</v>
      </c>
      <c r="E67" s="19" t="s">
        <v>502</v>
      </c>
      <c r="F67" s="20" t="s">
        <v>42</v>
      </c>
      <c r="G67" s="21" t="s">
        <v>43</v>
      </c>
      <c r="H67" s="19" t="s">
        <v>44</v>
      </c>
      <c r="I67" s="19" t="s">
        <v>130</v>
      </c>
      <c r="J67" s="19" t="s">
        <v>381</v>
      </c>
      <c r="K67" s="19" t="s">
        <v>47</v>
      </c>
      <c r="L67" s="19" t="s">
        <v>48</v>
      </c>
      <c r="M67" s="19" t="s">
        <v>336</v>
      </c>
      <c r="N67" s="19" t="s">
        <v>503</v>
      </c>
      <c r="O67" s="19" t="s">
        <v>336</v>
      </c>
      <c r="P67" s="19" t="s">
        <v>430</v>
      </c>
      <c r="Q67" s="19" t="s">
        <v>504</v>
      </c>
      <c r="R67" s="19" t="s">
        <v>505</v>
      </c>
      <c r="S67" s="19"/>
      <c r="T67" s="19" t="s">
        <v>54</v>
      </c>
      <c r="U67" s="19" t="s">
        <v>55</v>
      </c>
      <c r="V67" s="19" t="s">
        <v>56</v>
      </c>
      <c r="W67" s="19" t="s">
        <v>57</v>
      </c>
      <c r="X67" s="19" t="s">
        <v>272</v>
      </c>
      <c r="Y67" s="19" t="s">
        <v>272</v>
      </c>
      <c r="Z67" s="19" t="s">
        <v>506</v>
      </c>
      <c r="AA67" s="19">
        <v>1</v>
      </c>
      <c r="AB67" s="19">
        <v>1</v>
      </c>
      <c r="AC67" s="19" t="s">
        <v>59</v>
      </c>
      <c r="AD67" s="19" t="s">
        <v>430</v>
      </c>
      <c r="AE67" s="19" t="s">
        <v>73</v>
      </c>
      <c r="AF67" s="19" t="s">
        <v>507</v>
      </c>
    </row>
    <row r="68" spans="1:34">
      <c r="A68" s="19">
        <v>63</v>
      </c>
      <c r="B68" s="19" t="s">
        <v>193</v>
      </c>
      <c r="C68" s="19" t="s">
        <v>508</v>
      </c>
      <c r="D68" s="19" t="str">
        <f>HYPERLINK("http://www.henontech.com/fieldsafety/harzard/harzard_show.php?rid=2000&amp;url=harzardrecs.php","一名操作工在调节蒸汽阀门时，正对蒸汽连管倒淋，黑胶皮管由于未固定好，阀门开启过大过程中，导致黑胶皮管窜出，蒸汽喷出，人员躲避不及时，造成一名操作工小腿烫伤，住院治疗半月，休息半月。")</f>
        <v>一名操作工在调节蒸汽阀门时，正对蒸汽连管倒淋，黑胶皮管由于未固定好，阀门开启过大过程中，导致黑胶皮管窜出，蒸汽喷出，人员躲避不及时，造成一名操作工小腿烫伤，住院治疗半月，休息半月。</v>
      </c>
      <c r="E68" s="19" t="s">
        <v>509</v>
      </c>
      <c r="F68" s="20" t="s">
        <v>42</v>
      </c>
      <c r="G68" s="21" t="s">
        <v>43</v>
      </c>
      <c r="H68" s="19" t="s">
        <v>44</v>
      </c>
      <c r="I68" s="19" t="s">
        <v>130</v>
      </c>
      <c r="J68" s="19" t="s">
        <v>158</v>
      </c>
      <c r="K68" s="19" t="s">
        <v>47</v>
      </c>
      <c r="L68" s="19"/>
      <c r="M68" s="19" t="s">
        <v>336</v>
      </c>
      <c r="N68" s="19" t="s">
        <v>510</v>
      </c>
      <c r="O68" s="19" t="s">
        <v>336</v>
      </c>
      <c r="P68" s="19" t="s">
        <v>430</v>
      </c>
      <c r="Q68" s="19" t="s">
        <v>511</v>
      </c>
      <c r="R68" s="19" t="s">
        <v>512</v>
      </c>
      <c r="S68" s="19"/>
      <c r="T68" s="19" t="s">
        <v>54</v>
      </c>
      <c r="U68" s="19" t="s">
        <v>55</v>
      </c>
      <c r="V68" s="19" t="s">
        <v>56</v>
      </c>
      <c r="W68" s="19" t="s">
        <v>57</v>
      </c>
      <c r="X68" s="19"/>
      <c r="Y68" s="19"/>
      <c r="Z68" s="19" t="s">
        <v>513</v>
      </c>
      <c r="AA68" s="19">
        <v>1</v>
      </c>
      <c r="AB68" s="19">
        <v>0</v>
      </c>
      <c r="AC68" s="19" t="s">
        <v>59</v>
      </c>
      <c r="AD68" s="19" t="s">
        <v>430</v>
      </c>
      <c r="AE68" s="19" t="s">
        <v>80</v>
      </c>
      <c r="AF68" s="19" t="s">
        <v>434</v>
      </c>
    </row>
    <row r="69" spans="1:34">
      <c r="A69" s="19">
        <v>64</v>
      </c>
      <c r="B69" s="19" t="s">
        <v>193</v>
      </c>
      <c r="C69" s="19" t="s">
        <v>514</v>
      </c>
      <c r="D69" s="19" t="str">
        <f>HYPERLINK("http://www.henontech.com/fieldsafety/harzard/harzard_show.php?rid=2006&amp;url=harzardrecs.php","2#废锅南侧过桥无扶手，在一个下雨的夜晚一名操作工在穿越过桥时，脚底打滑，由于没有扶手支撑身体，从过桥上跌落到地面。")</f>
        <v>2#废锅南侧过桥无扶手，在一个下雨的夜晚一名操作工在穿越过桥时，脚底打滑，由于没有扶手支撑身体，从过桥上跌落到地面。</v>
      </c>
      <c r="E69" s="19" t="s">
        <v>515</v>
      </c>
      <c r="F69" s="20" t="s">
        <v>42</v>
      </c>
      <c r="G69" s="21" t="s">
        <v>43</v>
      </c>
      <c r="H69" s="19" t="s">
        <v>44</v>
      </c>
      <c r="I69" s="19"/>
      <c r="J69" s="19" t="s">
        <v>46</v>
      </c>
      <c r="K69" s="19" t="s">
        <v>84</v>
      </c>
      <c r="L69" s="19" t="s">
        <v>48</v>
      </c>
      <c r="M69" s="19" t="s">
        <v>336</v>
      </c>
      <c r="N69" s="19" t="s">
        <v>516</v>
      </c>
      <c r="O69" s="19" t="s">
        <v>336</v>
      </c>
      <c r="P69" s="19" t="s">
        <v>517</v>
      </c>
      <c r="Q69" s="19" t="s">
        <v>511</v>
      </c>
      <c r="R69" s="19" t="s">
        <v>518</v>
      </c>
      <c r="S69" s="19"/>
      <c r="T69" s="19" t="s">
        <v>54</v>
      </c>
      <c r="U69" s="19" t="s">
        <v>55</v>
      </c>
      <c r="V69" s="19" t="s">
        <v>70</v>
      </c>
      <c r="W69" s="19" t="s">
        <v>179</v>
      </c>
      <c r="X69" s="19" t="s">
        <v>445</v>
      </c>
      <c r="Y69" s="19" t="s">
        <v>341</v>
      </c>
      <c r="Z69" s="19" t="s">
        <v>519</v>
      </c>
      <c r="AA69" s="19">
        <v>1</v>
      </c>
      <c r="AB69" s="19">
        <v>0</v>
      </c>
      <c r="AC69" s="19" t="s">
        <v>59</v>
      </c>
      <c r="AD69" s="19" t="s">
        <v>517</v>
      </c>
      <c r="AE69" s="19" t="s">
        <v>73</v>
      </c>
      <c r="AF69" s="19" t="s">
        <v>520</v>
      </c>
    </row>
    <row r="70" spans="1:34">
      <c r="A70" s="19">
        <v>65</v>
      </c>
      <c r="B70" s="19" t="s">
        <v>193</v>
      </c>
      <c r="C70" s="19" t="s">
        <v>521</v>
      </c>
      <c r="D70" s="19" t="str">
        <f>HYPERLINK("http://www.henontech.com/fieldsafety/harzard/harzard_show.php?rid=2009&amp;url=harzardrecs.php","叉车充电室配电盒内电源线拆线后未用绝缘胶带包扎，叉车司机送电充电时碰触到裸露的电源线发生触电，漏电保护器动作跳闸，叉车司机及时脱离触电。")</f>
        <v>叉车充电室配电盒内电源线拆线后未用绝缘胶带包扎，叉车司机送电充电时碰触到裸露的电源线发生触电，漏电保护器动作跳闸，叉车司机及时脱离触电。</v>
      </c>
      <c r="E70" s="19" t="s">
        <v>522</v>
      </c>
      <c r="F70" s="20" t="s">
        <v>42</v>
      </c>
      <c r="G70" s="21" t="s">
        <v>43</v>
      </c>
      <c r="H70" s="19" t="s">
        <v>44</v>
      </c>
      <c r="I70" s="19" t="s">
        <v>45</v>
      </c>
      <c r="J70" s="19" t="s">
        <v>329</v>
      </c>
      <c r="K70" s="19" t="s">
        <v>99</v>
      </c>
      <c r="L70" s="19" t="s">
        <v>48</v>
      </c>
      <c r="M70" s="19" t="s">
        <v>336</v>
      </c>
      <c r="N70" s="19" t="s">
        <v>523</v>
      </c>
      <c r="O70" s="19" t="s">
        <v>336</v>
      </c>
      <c r="P70" s="19" t="s">
        <v>338</v>
      </c>
      <c r="Q70" s="19" t="s">
        <v>295</v>
      </c>
      <c r="R70" s="19" t="s">
        <v>524</v>
      </c>
      <c r="S70" s="19"/>
      <c r="T70" s="19" t="s">
        <v>54</v>
      </c>
      <c r="U70" s="19" t="s">
        <v>170</v>
      </c>
      <c r="V70" s="19" t="s">
        <v>56</v>
      </c>
      <c r="W70" s="19" t="s">
        <v>71</v>
      </c>
      <c r="X70" s="19" t="s">
        <v>116</v>
      </c>
      <c r="Y70" s="19"/>
      <c r="Z70" s="19" t="s">
        <v>525</v>
      </c>
      <c r="AA70" s="19">
        <v>1</v>
      </c>
      <c r="AB70" s="19">
        <v>1</v>
      </c>
      <c r="AC70" s="19" t="s">
        <v>59</v>
      </c>
      <c r="AD70" s="19" t="s">
        <v>338</v>
      </c>
      <c r="AE70" s="19" t="s">
        <v>73</v>
      </c>
      <c r="AF70" s="19"/>
    </row>
    <row r="71" spans="1:34">
      <c r="A71" s="19">
        <v>66</v>
      </c>
      <c r="B71" s="19" t="s">
        <v>193</v>
      </c>
      <c r="C71" s="19" t="s">
        <v>526</v>
      </c>
      <c r="D71" s="19" t="str">
        <f>HYPERLINK("http://www.henontech.com/fieldsafety/harzard/harzard_show.php?rid=2010&amp;url=harzardrecs.php","一侧窗户框缺失,玻璃裸露，操作人员在清理卫生时容易被裸露的玻璃割伤手部，经医务室包扎后继续工作，5日后康复，造成一人限工事故")</f>
        <v>一侧窗户框缺失,玻璃裸露，操作人员在清理卫生时容易被裸露的玻璃割伤手部，经医务室包扎后继续工作，5日后康复，造成一人限工事故</v>
      </c>
      <c r="E71" s="19" t="s">
        <v>527</v>
      </c>
      <c r="F71" s="20" t="s">
        <v>42</v>
      </c>
      <c r="G71" s="21" t="s">
        <v>43</v>
      </c>
      <c r="H71" s="19" t="s">
        <v>44</v>
      </c>
      <c r="I71" s="19" t="s">
        <v>45</v>
      </c>
      <c r="J71" s="19" t="s">
        <v>46</v>
      </c>
      <c r="K71" s="19" t="s">
        <v>99</v>
      </c>
      <c r="L71" s="19" t="s">
        <v>48</v>
      </c>
      <c r="M71" s="19" t="s">
        <v>144</v>
      </c>
      <c r="N71" s="19" t="s">
        <v>528</v>
      </c>
      <c r="O71" s="19" t="s">
        <v>529</v>
      </c>
      <c r="P71" s="19" t="s">
        <v>530</v>
      </c>
      <c r="Q71" s="19" t="s">
        <v>531</v>
      </c>
      <c r="R71" s="19" t="s">
        <v>532</v>
      </c>
      <c r="S71" s="19"/>
      <c r="T71" s="19" t="s">
        <v>54</v>
      </c>
      <c r="U71" s="19" t="s">
        <v>55</v>
      </c>
      <c r="V71" s="19" t="s">
        <v>102</v>
      </c>
      <c r="W71" s="19" t="s">
        <v>103</v>
      </c>
      <c r="X71" s="19"/>
      <c r="Y71" s="19"/>
      <c r="Z71" s="19" t="s">
        <v>533</v>
      </c>
      <c r="AA71" s="19">
        <v>1</v>
      </c>
      <c r="AB71" s="19">
        <v>1</v>
      </c>
      <c r="AC71" s="19" t="s">
        <v>59</v>
      </c>
      <c r="AD71" s="19" t="s">
        <v>530</v>
      </c>
      <c r="AE71" s="19" t="s">
        <v>399</v>
      </c>
      <c r="AF71" s="19" t="s">
        <v>534</v>
      </c>
    </row>
    <row r="72" spans="1:34">
      <c r="A72" s="19">
        <v>67</v>
      </c>
      <c r="B72" s="19" t="s">
        <v>193</v>
      </c>
      <c r="C72" s="19" t="s">
        <v>535</v>
      </c>
      <c r="D72" s="19" t="str">
        <f>HYPERLINK("http://www.henontech.com/fieldsafety/harzard/harzard_show.php?rid=2015&amp;url=harzardrecs.php","在操作过程中由于工具放置不牢一名操作工巡检时工具滑落将操作工脚面砸伤送院治疗")</f>
        <v>在操作过程中由于工具放置不牢一名操作工巡检时工具滑落将操作工脚面砸伤送院治疗</v>
      </c>
      <c r="E72" s="19" t="s">
        <v>536</v>
      </c>
      <c r="F72" s="20" t="s">
        <v>42</v>
      </c>
      <c r="G72" s="21" t="s">
        <v>43</v>
      </c>
      <c r="H72" s="19" t="s">
        <v>44</v>
      </c>
      <c r="I72" s="19"/>
      <c r="J72" s="19" t="s">
        <v>46</v>
      </c>
      <c r="K72" s="19" t="s">
        <v>99</v>
      </c>
      <c r="L72" s="19"/>
      <c r="M72" s="19" t="s">
        <v>336</v>
      </c>
      <c r="N72" s="19" t="s">
        <v>537</v>
      </c>
      <c r="O72" s="19" t="s">
        <v>336</v>
      </c>
      <c r="P72" s="19" t="s">
        <v>517</v>
      </c>
      <c r="Q72" s="19" t="s">
        <v>511</v>
      </c>
      <c r="R72" s="19" t="s">
        <v>336</v>
      </c>
      <c r="S72" s="19"/>
      <c r="T72" s="19" t="s">
        <v>54</v>
      </c>
      <c r="U72" s="19" t="s">
        <v>69</v>
      </c>
      <c r="V72" s="19" t="s">
        <v>102</v>
      </c>
      <c r="W72" s="19" t="s">
        <v>57</v>
      </c>
      <c r="X72" s="19" t="s">
        <v>272</v>
      </c>
      <c r="Y72" s="19" t="s">
        <v>272</v>
      </c>
      <c r="Z72" s="19" t="s">
        <v>538</v>
      </c>
      <c r="AA72" s="19">
        <v>1</v>
      </c>
      <c r="AB72" s="19">
        <v>1</v>
      </c>
      <c r="AC72" s="19" t="s">
        <v>59</v>
      </c>
      <c r="AD72" s="19" t="s">
        <v>517</v>
      </c>
      <c r="AE72" s="19" t="s">
        <v>73</v>
      </c>
      <c r="AF72" s="19"/>
    </row>
    <row r="73" spans="1:34" customHeight="1" ht="42">
      <c r="A73" s="19">
        <v>68</v>
      </c>
      <c r="B73" s="19" t="s">
        <v>304</v>
      </c>
      <c r="C73" s="19" t="s">
        <v>266</v>
      </c>
      <c r="D73" s="19" t="str">
        <f>HYPERLINK("http://www.henontech.com/fieldsafety/harzard/harzard_show.php?rid=2049&amp;url=harzardrecs.php","一名工人从5.5米干熄车的应急爬梯下车时，在爬梯上滑倒，滑跌至地面，至该工人腿部受伤")</f>
        <v>一名工人从5.5米干熄车的应急爬梯下车时，在爬梯上滑倒，滑跌至地面，至该工人腿部受伤</v>
      </c>
      <c r="E73" s="19" t="s">
        <v>539</v>
      </c>
      <c r="F73" s="20" t="s">
        <v>42</v>
      </c>
      <c r="G73" s="21" t="s">
        <v>43</v>
      </c>
      <c r="H73" s="19" t="s">
        <v>44</v>
      </c>
      <c r="I73" s="19" t="s">
        <v>45</v>
      </c>
      <c r="J73" s="19" t="s">
        <v>46</v>
      </c>
      <c r="K73" s="19" t="s">
        <v>84</v>
      </c>
      <c r="L73" s="19" t="s">
        <v>48</v>
      </c>
      <c r="M73" s="19" t="s">
        <v>111</v>
      </c>
      <c r="N73" s="19" t="s">
        <v>321</v>
      </c>
      <c r="O73" s="19" t="s">
        <v>111</v>
      </c>
      <c r="P73" s="19" t="s">
        <v>294</v>
      </c>
      <c r="Q73" s="19" t="s">
        <v>540</v>
      </c>
      <c r="R73" s="19" t="s">
        <v>541</v>
      </c>
      <c r="S73" s="19"/>
      <c r="T73" s="19" t="s">
        <v>54</v>
      </c>
      <c r="U73" s="19" t="s">
        <v>55</v>
      </c>
      <c r="V73" s="19" t="s">
        <v>56</v>
      </c>
      <c r="W73" s="19" t="s">
        <v>57</v>
      </c>
      <c r="X73" s="19" t="s">
        <v>272</v>
      </c>
      <c r="Y73" s="19" t="s">
        <v>272</v>
      </c>
      <c r="Z73" s="19" t="s">
        <v>542</v>
      </c>
      <c r="AA73" s="19">
        <v>2</v>
      </c>
      <c r="AB73" s="19">
        <v>2</v>
      </c>
      <c r="AC73" s="19" t="s">
        <v>59</v>
      </c>
      <c r="AD73" s="19" t="s">
        <v>294</v>
      </c>
      <c r="AE73" s="19" t="s">
        <v>118</v>
      </c>
      <c r="AF73" s="19"/>
    </row>
    <row r="74" spans="1:34" customHeight="1" ht="42">
      <c r="A74" s="19">
        <v>69</v>
      </c>
      <c r="B74" s="19" t="s">
        <v>304</v>
      </c>
      <c r="C74" s="19" t="s">
        <v>543</v>
      </c>
      <c r="D74" s="19" t="str">
        <f>HYPERLINK("http://www.henontech.com/fieldsafety/harzard/harzard_show.php?rid=2050&amp;url=harzardrecs.php","干熄炉东侧北边除尘上部平台通道踏板腐烂缺失，一名职工巡检时没有注意脚下，不慎踩空，从8米的高度坠落地面，头部受伤，送医治疗。")</f>
        <v>干熄炉东侧北边除尘上部平台通道踏板腐烂缺失，一名职工巡检时没有注意脚下，不慎踩空，从8米的高度坠落地面，头部受伤，送医治疗。</v>
      </c>
      <c r="E74" s="19" t="s">
        <v>544</v>
      </c>
      <c r="F74" s="20" t="s">
        <v>42</v>
      </c>
      <c r="G74" s="21" t="s">
        <v>43</v>
      </c>
      <c r="H74" s="19" t="s">
        <v>44</v>
      </c>
      <c r="I74" s="19" t="s">
        <v>109</v>
      </c>
      <c r="J74" s="19" t="s">
        <v>46</v>
      </c>
      <c r="K74" s="19" t="s">
        <v>184</v>
      </c>
      <c r="L74" s="19" t="s">
        <v>48</v>
      </c>
      <c r="M74" s="19" t="s">
        <v>111</v>
      </c>
      <c r="N74" s="19" t="s">
        <v>545</v>
      </c>
      <c r="O74" s="19" t="s">
        <v>111</v>
      </c>
      <c r="P74" s="19" t="s">
        <v>294</v>
      </c>
      <c r="Q74" s="19" t="s">
        <v>540</v>
      </c>
      <c r="R74" s="19" t="s">
        <v>546</v>
      </c>
      <c r="S74" s="19"/>
      <c r="T74" s="19" t="s">
        <v>54</v>
      </c>
      <c r="U74" s="19" t="s">
        <v>161</v>
      </c>
      <c r="V74" s="19" t="s">
        <v>56</v>
      </c>
      <c r="W74" s="19" t="s">
        <v>103</v>
      </c>
      <c r="X74" s="19" t="s">
        <v>272</v>
      </c>
      <c r="Y74" s="19" t="s">
        <v>272</v>
      </c>
      <c r="Z74" s="19" t="s">
        <v>547</v>
      </c>
      <c r="AA74" s="19">
        <v>2</v>
      </c>
      <c r="AB74" s="19">
        <v>2</v>
      </c>
      <c r="AC74" s="19" t="s">
        <v>59</v>
      </c>
      <c r="AD74" s="19" t="s">
        <v>294</v>
      </c>
      <c r="AE74" s="19" t="s">
        <v>118</v>
      </c>
      <c r="AF74" s="19"/>
    </row>
    <row r="75" spans="1:34" customHeight="1" ht="42">
      <c r="A75" s="19">
        <v>70</v>
      </c>
      <c r="B75" s="19" t="s">
        <v>304</v>
      </c>
      <c r="C75" s="19" t="s">
        <v>142</v>
      </c>
      <c r="D75" s="19" t="str">
        <f>HYPERLINK("http://www.henontech.com/fieldsafety/harzard/harzard_show.php?rid=2051&amp;url=harzardrecs.php","5.5米炉顶北侧间台盖板缺失，如果一名操作工在巡检过程没有注意脚下不慎踩空，造成大腿骨折，送往医院治疗。")</f>
        <v>5.5米炉顶北侧间台盖板缺失，如果一名操作工在巡检过程没有注意脚下不慎踩空，造成大腿骨折，送往医院治疗。</v>
      </c>
      <c r="E75" s="19" t="s">
        <v>548</v>
      </c>
      <c r="F75" s="20" t="s">
        <v>42</v>
      </c>
      <c r="G75" s="21" t="s">
        <v>43</v>
      </c>
      <c r="H75" s="19" t="s">
        <v>44</v>
      </c>
      <c r="I75" s="19" t="s">
        <v>45</v>
      </c>
      <c r="J75" s="19" t="s">
        <v>46</v>
      </c>
      <c r="K75" s="19" t="s">
        <v>184</v>
      </c>
      <c r="L75" s="19" t="s">
        <v>48</v>
      </c>
      <c r="M75" s="19" t="s">
        <v>111</v>
      </c>
      <c r="N75" s="19" t="s">
        <v>549</v>
      </c>
      <c r="O75" s="19" t="s">
        <v>111</v>
      </c>
      <c r="P75" s="19" t="s">
        <v>294</v>
      </c>
      <c r="Q75" s="19" t="s">
        <v>540</v>
      </c>
      <c r="R75" s="19" t="s">
        <v>550</v>
      </c>
      <c r="S75" s="19"/>
      <c r="T75" s="19" t="s">
        <v>54</v>
      </c>
      <c r="U75" s="19" t="s">
        <v>55</v>
      </c>
      <c r="V75" s="19" t="s">
        <v>56</v>
      </c>
      <c r="W75" s="19" t="s">
        <v>57</v>
      </c>
      <c r="X75" s="19" t="s">
        <v>272</v>
      </c>
      <c r="Y75" s="19" t="s">
        <v>272</v>
      </c>
      <c r="Z75" s="19" t="s">
        <v>551</v>
      </c>
      <c r="AA75" s="19">
        <v>2</v>
      </c>
      <c r="AB75" s="19">
        <v>2</v>
      </c>
      <c r="AC75" s="19" t="s">
        <v>59</v>
      </c>
      <c r="AD75" s="19" t="s">
        <v>294</v>
      </c>
      <c r="AE75" s="19" t="s">
        <v>299</v>
      </c>
      <c r="AF75" s="19"/>
    </row>
    <row r="76" spans="1:34" customHeight="1" ht="42">
      <c r="A76" s="19">
        <v>71</v>
      </c>
      <c r="B76" s="19" t="s">
        <v>304</v>
      </c>
      <c r="C76" s="19" t="s">
        <v>552</v>
      </c>
      <c r="D76" s="19" t="str">
        <f>HYPERLINK("http://www.henontech.com/fieldsafety/harzard/harzard_show.php?rid=2052&amp;url=harzardrecs.php","东焦场除尘施工时，未设置警戒带，一名工人路过时被上方掉落的工具砸伤头部")</f>
        <v>东焦场除尘施工时，未设置警戒带，一名工人路过时被上方掉落的工具砸伤头部</v>
      </c>
      <c r="E76" s="19" t="s">
        <v>553</v>
      </c>
      <c r="F76" s="20" t="s">
        <v>42</v>
      </c>
      <c r="G76" s="21" t="s">
        <v>43</v>
      </c>
      <c r="H76" s="19" t="s">
        <v>44</v>
      </c>
      <c r="I76" s="19" t="s">
        <v>45</v>
      </c>
      <c r="J76" s="19" t="s">
        <v>46</v>
      </c>
      <c r="K76" s="19" t="s">
        <v>84</v>
      </c>
      <c r="L76" s="19" t="s">
        <v>48</v>
      </c>
      <c r="M76" s="19" t="s">
        <v>111</v>
      </c>
      <c r="N76" s="19" t="s">
        <v>554</v>
      </c>
      <c r="O76" s="19" t="s">
        <v>111</v>
      </c>
      <c r="P76" s="19" t="s">
        <v>322</v>
      </c>
      <c r="Q76" s="19" t="s">
        <v>555</v>
      </c>
      <c r="R76" s="19" t="s">
        <v>556</v>
      </c>
      <c r="S76" s="19"/>
      <c r="T76" s="19" t="s">
        <v>54</v>
      </c>
      <c r="U76" s="19" t="s">
        <v>55</v>
      </c>
      <c r="V76" s="19" t="s">
        <v>102</v>
      </c>
      <c r="W76" s="19" t="s">
        <v>103</v>
      </c>
      <c r="X76" s="19" t="s">
        <v>272</v>
      </c>
      <c r="Y76" s="19" t="s">
        <v>272</v>
      </c>
      <c r="Z76" s="19" t="s">
        <v>557</v>
      </c>
      <c r="AA76" s="19">
        <v>2</v>
      </c>
      <c r="AB76" s="19">
        <v>2</v>
      </c>
      <c r="AC76" s="19" t="s">
        <v>59</v>
      </c>
      <c r="AD76" s="19" t="s">
        <v>322</v>
      </c>
      <c r="AE76" s="19" t="s">
        <v>118</v>
      </c>
      <c r="AF76" s="19" t="s">
        <v>558</v>
      </c>
    </row>
    <row r="77" spans="1:34" customHeight="1" ht="42">
      <c r="A77" s="19">
        <v>72</v>
      </c>
      <c r="B77" s="19" t="s">
        <v>304</v>
      </c>
      <c r="C77" s="19" t="s">
        <v>327</v>
      </c>
      <c r="D77" s="19" t="str">
        <f>HYPERLINK("http://www.henontech.com/fieldsafety/harzard/harzard_show.php?rid=2053&amp;url=harzardrecs.php","5.5米焦炉炉顶焦侧29号清理上升管桥管小平台倾斜晃动比较严重，如果一名操作工在清理上升管桥管时不慎闪落，从六米高处坠落，严重摔伤，送院治疗。")</f>
        <v>5.5米焦炉炉顶焦侧29号清理上升管桥管小平台倾斜晃动比较严重，如果一名操作工在清理上升管桥管时不慎闪落，从六米高处坠落，严重摔伤，送院治疗。</v>
      </c>
      <c r="E77" s="19" t="s">
        <v>559</v>
      </c>
      <c r="F77" s="20" t="s">
        <v>42</v>
      </c>
      <c r="G77" s="21" t="s">
        <v>43</v>
      </c>
      <c r="H77" s="19" t="s">
        <v>44</v>
      </c>
      <c r="I77" s="19" t="s">
        <v>45</v>
      </c>
      <c r="J77" s="19" t="s">
        <v>46</v>
      </c>
      <c r="K77" s="19" t="s">
        <v>184</v>
      </c>
      <c r="L77" s="19" t="s">
        <v>48</v>
      </c>
      <c r="M77" s="19" t="s">
        <v>111</v>
      </c>
      <c r="N77" s="19" t="s">
        <v>560</v>
      </c>
      <c r="O77" s="19" t="s">
        <v>111</v>
      </c>
      <c r="P77" s="19" t="s">
        <v>294</v>
      </c>
      <c r="Q77" s="19" t="s">
        <v>555</v>
      </c>
      <c r="R77" s="19" t="s">
        <v>561</v>
      </c>
      <c r="S77" s="19"/>
      <c r="T77" s="19" t="s">
        <v>54</v>
      </c>
      <c r="U77" s="19" t="s">
        <v>161</v>
      </c>
      <c r="V77" s="19" t="s">
        <v>56</v>
      </c>
      <c r="W77" s="19" t="s">
        <v>103</v>
      </c>
      <c r="X77" s="19" t="s">
        <v>272</v>
      </c>
      <c r="Y77" s="19" t="s">
        <v>272</v>
      </c>
      <c r="Z77" s="19" t="s">
        <v>562</v>
      </c>
      <c r="AA77" s="19">
        <v>2</v>
      </c>
      <c r="AB77" s="19">
        <v>2</v>
      </c>
      <c r="AC77" s="19" t="s">
        <v>59</v>
      </c>
      <c r="AD77" s="19" t="s">
        <v>294</v>
      </c>
      <c r="AE77" s="19" t="s">
        <v>299</v>
      </c>
      <c r="AF77" s="19"/>
    </row>
    <row r="78" spans="1:34" customHeight="1" ht="42">
      <c r="A78" s="19">
        <v>73</v>
      </c>
      <c r="B78" s="19" t="s">
        <v>304</v>
      </c>
      <c r="C78" s="19" t="s">
        <v>266</v>
      </c>
      <c r="D78" s="19" t="str">
        <f>HYPERLINK("http://www.henontech.com/fieldsafety/harzard/harzard_show.php?rid=2056&amp;url=harzardrecs.php","一测换工在夜间巡检经过此处时，由于光钱昏暗未发现地面有坑，不惧一脚踩入坑内跌倒，造成右脚受伤，送医诊断为右脚骨折。")</f>
        <v>一测换工在夜间巡检经过此处时，由于光钱昏暗未发现地面有坑，不惧一脚踩入坑内跌倒，造成右脚受伤，送医诊断为右脚骨折。</v>
      </c>
      <c r="E78" s="19" t="s">
        <v>563</v>
      </c>
      <c r="F78" s="20" t="s">
        <v>42</v>
      </c>
      <c r="G78" s="21" t="s">
        <v>43</v>
      </c>
      <c r="H78" s="19" t="s">
        <v>44</v>
      </c>
      <c r="I78" s="19" t="s">
        <v>109</v>
      </c>
      <c r="J78" s="19" t="s">
        <v>46</v>
      </c>
      <c r="K78" s="19" t="s">
        <v>131</v>
      </c>
      <c r="L78" s="19" t="s">
        <v>48</v>
      </c>
      <c r="M78" s="19" t="s">
        <v>111</v>
      </c>
      <c r="N78" s="19" t="s">
        <v>345</v>
      </c>
      <c r="O78" s="19" t="s">
        <v>111</v>
      </c>
      <c r="P78" s="19" t="s">
        <v>270</v>
      </c>
      <c r="Q78" s="19" t="s">
        <v>555</v>
      </c>
      <c r="R78" s="19" t="s">
        <v>564</v>
      </c>
      <c r="S78" s="19"/>
      <c r="T78" s="19" t="s">
        <v>54</v>
      </c>
      <c r="U78" s="19" t="s">
        <v>55</v>
      </c>
      <c r="V78" s="19" t="s">
        <v>56</v>
      </c>
      <c r="W78" s="19" t="s">
        <v>57</v>
      </c>
      <c r="X78" s="19" t="s">
        <v>272</v>
      </c>
      <c r="Y78" s="19" t="s">
        <v>272</v>
      </c>
      <c r="Z78" s="19" t="s">
        <v>565</v>
      </c>
      <c r="AA78" s="19">
        <v>2</v>
      </c>
      <c r="AB78" s="19">
        <v>2</v>
      </c>
      <c r="AC78" s="19" t="s">
        <v>59</v>
      </c>
      <c r="AD78" s="19" t="s">
        <v>270</v>
      </c>
      <c r="AE78" s="19" t="s">
        <v>566</v>
      </c>
      <c r="AF78" s="19" t="s">
        <v>567</v>
      </c>
    </row>
    <row r="79" spans="1:34">
      <c r="A79" s="19">
        <v>74</v>
      </c>
      <c r="B79" s="19" t="s">
        <v>370</v>
      </c>
      <c r="C79" s="19" t="s">
        <v>568</v>
      </c>
      <c r="D79" s="19" t="str">
        <f>HYPERLINK("http://www.henontech.com/fieldsafety/harzard/harzard_show.php?rid=2058&amp;url=harzardrecs.php","北脱硫溶液换热器封头因垫子有裂缝，造成脱硫液外渗，假如换热器压力高，造成垫子破裂，导致脱硫液大量外溢。")</f>
        <v>北脱硫溶液换热器封头因垫子有裂缝，造成脱硫液外渗，假如换热器压力高，造成垫子破裂，导致脱硫液大量外溢。</v>
      </c>
      <c r="E79" s="19" t="s">
        <v>569</v>
      </c>
      <c r="F79" s="20" t="s">
        <v>42</v>
      </c>
      <c r="G79" s="21" t="s">
        <v>43</v>
      </c>
      <c r="H79" s="19" t="s">
        <v>44</v>
      </c>
      <c r="I79" s="19" t="s">
        <v>313</v>
      </c>
      <c r="J79" s="19" t="s">
        <v>46</v>
      </c>
      <c r="K79" s="19" t="s">
        <v>47</v>
      </c>
      <c r="L79" s="19"/>
      <c r="M79" s="19" t="s">
        <v>49</v>
      </c>
      <c r="N79" s="19" t="s">
        <v>366</v>
      </c>
      <c r="O79" s="19" t="s">
        <v>49</v>
      </c>
      <c r="P79" s="19" t="s">
        <v>66</v>
      </c>
      <c r="Q79" s="19" t="s">
        <v>555</v>
      </c>
      <c r="R79" s="19" t="s">
        <v>570</v>
      </c>
      <c r="S79" s="19"/>
      <c r="T79" s="19" t="s">
        <v>94</v>
      </c>
      <c r="U79" s="19" t="s">
        <v>170</v>
      </c>
      <c r="V79" s="19" t="s">
        <v>102</v>
      </c>
      <c r="W79" s="19" t="s">
        <v>71</v>
      </c>
      <c r="X79" s="19"/>
      <c r="Y79" s="19"/>
      <c r="Z79" s="19" t="s">
        <v>571</v>
      </c>
      <c r="AA79" s="19">
        <v>1</v>
      </c>
      <c r="AB79" s="19">
        <v>1</v>
      </c>
      <c r="AC79" s="19" t="s">
        <v>59</v>
      </c>
      <c r="AD79" s="19" t="s">
        <v>66</v>
      </c>
      <c r="AE79" s="19" t="s">
        <v>572</v>
      </c>
      <c r="AF79" s="19"/>
    </row>
    <row r="80" spans="1:34">
      <c r="A80" s="19">
        <v>75</v>
      </c>
      <c r="B80" s="19" t="s">
        <v>304</v>
      </c>
      <c r="C80" s="19" t="s">
        <v>202</v>
      </c>
      <c r="D80" s="19" t="str">
        <f>HYPERLINK("http://www.henontech.com/fieldsafety/harzard/harzard_show.php?rid=2059&amp;url=harzardrecs.php","北脱硫东管架保温铝皮脱落，假如大风天气一名巡检工途径此处，铝皮被风吹落轻微划伤颈部，去医院简单治疗后上班，无损工")</f>
        <v>北脱硫东管架保温铝皮脱落，假如大风天气一名巡检工途径此处，铝皮被风吹落轻微划伤颈部，去医院简单治疗后上班，无损工</v>
      </c>
      <c r="E80" s="19" t="s">
        <v>573</v>
      </c>
      <c r="F80" s="20" t="s">
        <v>42</v>
      </c>
      <c r="G80" s="21" t="s">
        <v>43</v>
      </c>
      <c r="H80" s="19" t="s">
        <v>44</v>
      </c>
      <c r="I80" s="19" t="s">
        <v>45</v>
      </c>
      <c r="J80" s="19" t="s">
        <v>381</v>
      </c>
      <c r="K80" s="19" t="s">
        <v>47</v>
      </c>
      <c r="L80" s="19"/>
      <c r="M80" s="19" t="s">
        <v>49</v>
      </c>
      <c r="N80" s="19" t="s">
        <v>574</v>
      </c>
      <c r="O80" s="19" t="s">
        <v>49</v>
      </c>
      <c r="P80" s="19" t="s">
        <v>66</v>
      </c>
      <c r="Q80" s="19" t="s">
        <v>575</v>
      </c>
      <c r="R80" s="19" t="s">
        <v>576</v>
      </c>
      <c r="S80" s="19"/>
      <c r="T80" s="19" t="s">
        <v>54</v>
      </c>
      <c r="U80" s="19" t="s">
        <v>69</v>
      </c>
      <c r="V80" s="19" t="s">
        <v>70</v>
      </c>
      <c r="W80" s="19" t="s">
        <v>71</v>
      </c>
      <c r="X80" s="19"/>
      <c r="Y80" s="19"/>
      <c r="Z80" s="19" t="s">
        <v>577</v>
      </c>
      <c r="AA80" s="19">
        <v>1</v>
      </c>
      <c r="AB80" s="19">
        <v>1</v>
      </c>
      <c r="AC80" s="19" t="s">
        <v>59</v>
      </c>
      <c r="AD80" s="19" t="s">
        <v>66</v>
      </c>
      <c r="AE80" s="19" t="s">
        <v>73</v>
      </c>
      <c r="AF80" s="19"/>
    </row>
    <row r="81" spans="1:34" customHeight="1" ht="42">
      <c r="A81" s="19">
        <v>76</v>
      </c>
      <c r="B81" s="19" t="s">
        <v>323</v>
      </c>
      <c r="C81" s="19" t="s">
        <v>327</v>
      </c>
      <c r="D81" s="19" t="str">
        <f>HYPERLINK("http://www.henontech.com/fieldsafety/harzard/harzard_show.php?rid=2083&amp;url=harzardrecs.php","炉顶机侧集气管道，42#上升管处的支架偏离掉落，正好砸中一名出炉工头部，紧急送医。")</f>
        <v>炉顶机侧集气管道，42#上升管处的支架偏离掉落，正好砸中一名出炉工头部，紧急送医。</v>
      </c>
      <c r="E81" s="19" t="s">
        <v>578</v>
      </c>
      <c r="F81" s="20" t="s">
        <v>42</v>
      </c>
      <c r="G81" s="22" t="s">
        <v>108</v>
      </c>
      <c r="H81" s="19" t="s">
        <v>44</v>
      </c>
      <c r="I81" s="19" t="s">
        <v>45</v>
      </c>
      <c r="J81" s="19" t="s">
        <v>46</v>
      </c>
      <c r="K81" s="19" t="s">
        <v>47</v>
      </c>
      <c r="L81" s="19" t="s">
        <v>48</v>
      </c>
      <c r="M81" s="19" t="s">
        <v>111</v>
      </c>
      <c r="N81" s="19" t="s">
        <v>354</v>
      </c>
      <c r="O81" s="19" t="s">
        <v>111</v>
      </c>
      <c r="P81" s="19" t="s">
        <v>294</v>
      </c>
      <c r="Q81" s="19" t="s">
        <v>579</v>
      </c>
      <c r="R81" s="19" t="s">
        <v>580</v>
      </c>
      <c r="S81" s="19"/>
      <c r="T81" s="19" t="s">
        <v>54</v>
      </c>
      <c r="U81" s="19" t="s">
        <v>161</v>
      </c>
      <c r="V81" s="19" t="s">
        <v>56</v>
      </c>
      <c r="W81" s="19" t="s">
        <v>103</v>
      </c>
      <c r="X81" s="19" t="s">
        <v>116</v>
      </c>
      <c r="Y81" s="19"/>
      <c r="Z81" s="19" t="s">
        <v>581</v>
      </c>
      <c r="AA81" s="19">
        <v>2</v>
      </c>
      <c r="AB81" s="19">
        <v>2</v>
      </c>
      <c r="AC81" s="19" t="s">
        <v>59</v>
      </c>
      <c r="AD81" s="19" t="s">
        <v>294</v>
      </c>
      <c r="AE81" s="19" t="s">
        <v>118</v>
      </c>
      <c r="AF81" s="19"/>
    </row>
    <row r="82" spans="1:34" customHeight="1" ht="42">
      <c r="A82" s="19">
        <v>77</v>
      </c>
      <c r="B82" s="19" t="s">
        <v>323</v>
      </c>
      <c r="C82" s="19" t="s">
        <v>327</v>
      </c>
      <c r="D82" s="19" t="str">
        <f>HYPERLINK("http://www.henontech.com/fieldsafety/harzard/harzard_show.php?rid=2084&amp;url=harzardrecs.php","焦侧8#、29#上升管平台不牢固，且腐蚀严重，一操作工在工作时由此跌落，且头部着地受重伤，随即送医。")</f>
        <v>焦侧8#、29#上升管平台不牢固，且腐蚀严重，一操作工在工作时由此跌落，且头部着地受重伤，随即送医。</v>
      </c>
      <c r="E82" s="19" t="s">
        <v>582</v>
      </c>
      <c r="F82" s="20" t="s">
        <v>42</v>
      </c>
      <c r="G82" s="21" t="s">
        <v>43</v>
      </c>
      <c r="H82" s="19" t="s">
        <v>44</v>
      </c>
      <c r="I82" s="19" t="s">
        <v>45</v>
      </c>
      <c r="J82" s="19" t="s">
        <v>46</v>
      </c>
      <c r="K82" s="19" t="s">
        <v>47</v>
      </c>
      <c r="L82" s="19" t="s">
        <v>48</v>
      </c>
      <c r="M82" s="19" t="s">
        <v>111</v>
      </c>
      <c r="N82" s="19" t="s">
        <v>351</v>
      </c>
      <c r="O82" s="19" t="s">
        <v>111</v>
      </c>
      <c r="P82" s="19" t="s">
        <v>294</v>
      </c>
      <c r="Q82" s="19" t="s">
        <v>579</v>
      </c>
      <c r="R82" s="19" t="s">
        <v>583</v>
      </c>
      <c r="S82" s="19"/>
      <c r="T82" s="19" t="s">
        <v>54</v>
      </c>
      <c r="U82" s="19" t="s">
        <v>161</v>
      </c>
      <c r="V82" s="19" t="s">
        <v>56</v>
      </c>
      <c r="W82" s="19" t="s">
        <v>103</v>
      </c>
      <c r="X82" s="19" t="s">
        <v>116</v>
      </c>
      <c r="Y82" s="19"/>
      <c r="Z82" s="19" t="s">
        <v>584</v>
      </c>
      <c r="AA82" s="19">
        <v>2</v>
      </c>
      <c r="AB82" s="19">
        <v>2</v>
      </c>
      <c r="AC82" s="19" t="s">
        <v>59</v>
      </c>
      <c r="AD82" s="19" t="s">
        <v>294</v>
      </c>
      <c r="AE82" s="19" t="s">
        <v>299</v>
      </c>
      <c r="AF82" s="19"/>
    </row>
    <row r="83" spans="1:34" customHeight="1" ht="42">
      <c r="A83" s="19">
        <v>78</v>
      </c>
      <c r="B83" s="19" t="s">
        <v>585</v>
      </c>
      <c r="C83" s="19" t="s">
        <v>586</v>
      </c>
      <c r="D83" s="19" t="str">
        <f>HYPERLINK("http://www.henontech.com/fieldsafety/harzard/harzard_show.php?rid=2100&amp;url=harzardrecs.php","西区化水老系统水池约4米，池顶楼梯平台腐蚀严重有破洞，不牢固，一名操作工在工作时由此跌落，腿先着地受伤，随即送医院治疗。")</f>
        <v>西区化水老系统水池约4米，池顶楼梯平台腐蚀严重有破洞，不牢固，一名操作工在工作时由此跌落，腿先着地受伤，随即送医院治疗。</v>
      </c>
      <c r="E83" s="19" t="s">
        <v>587</v>
      </c>
      <c r="F83" s="24" t="s">
        <v>588</v>
      </c>
      <c r="G83" s="21" t="s">
        <v>43</v>
      </c>
      <c r="H83" s="19" t="s">
        <v>44</v>
      </c>
      <c r="I83" s="19" t="s">
        <v>45</v>
      </c>
      <c r="J83" s="19" t="s">
        <v>46</v>
      </c>
      <c r="K83" s="19" t="s">
        <v>47</v>
      </c>
      <c r="L83" s="19" t="s">
        <v>48</v>
      </c>
      <c r="M83" s="19" t="s">
        <v>589</v>
      </c>
      <c r="N83" s="19" t="s">
        <v>590</v>
      </c>
      <c r="O83" s="19" t="s">
        <v>589</v>
      </c>
      <c r="P83" s="19" t="s">
        <v>591</v>
      </c>
      <c r="Q83" s="19" t="s">
        <v>531</v>
      </c>
      <c r="R83" s="19" t="s">
        <v>592</v>
      </c>
      <c r="S83" s="19"/>
      <c r="T83" s="19" t="s">
        <v>54</v>
      </c>
      <c r="U83" s="19" t="s">
        <v>55</v>
      </c>
      <c r="V83" s="19" t="s">
        <v>102</v>
      </c>
      <c r="W83" s="19" t="s">
        <v>103</v>
      </c>
      <c r="X83" s="19" t="s">
        <v>116</v>
      </c>
      <c r="Y83" s="19"/>
      <c r="Z83" s="19" t="s">
        <v>593</v>
      </c>
      <c r="AA83" s="19">
        <v>2</v>
      </c>
      <c r="AB83" s="19"/>
      <c r="AC83" s="19" t="s">
        <v>594</v>
      </c>
      <c r="AD83" s="19"/>
      <c r="AE83" s="19"/>
      <c r="AF83" s="19"/>
    </row>
    <row r="84" spans="1:34" customHeight="1" ht="42">
      <c r="A84" s="19">
        <v>79</v>
      </c>
      <c r="B84" s="19" t="s">
        <v>585</v>
      </c>
      <c r="C84" s="19" t="s">
        <v>266</v>
      </c>
      <c r="D84" s="19" t="str">
        <f>HYPERLINK("http://www.henontech.com/fieldsafety/harzard/harzard_show.php?rid=2103&amp;url=harzardrecs.php","5.5米焦炉拦焦车除尘船撑架开焊断开，一名操作工巡检踩过时，不慎跌落水槽，受伤送医。")</f>
        <v>5.5米焦炉拦焦车除尘船撑架开焊断开，一名操作工巡检踩过时，不慎跌落水槽，受伤送医。</v>
      </c>
      <c r="E84" s="19" t="s">
        <v>595</v>
      </c>
      <c r="F84" s="20" t="s">
        <v>42</v>
      </c>
      <c r="G84" s="21" t="s">
        <v>43</v>
      </c>
      <c r="H84" s="19" t="s">
        <v>44</v>
      </c>
      <c r="I84" s="19" t="s">
        <v>45</v>
      </c>
      <c r="J84" s="19" t="s">
        <v>46</v>
      </c>
      <c r="K84" s="19" t="s">
        <v>47</v>
      </c>
      <c r="L84" s="19" t="s">
        <v>48</v>
      </c>
      <c r="M84" s="19" t="s">
        <v>111</v>
      </c>
      <c r="N84" s="19" t="s">
        <v>596</v>
      </c>
      <c r="O84" s="19" t="s">
        <v>111</v>
      </c>
      <c r="P84" s="19" t="s">
        <v>294</v>
      </c>
      <c r="Q84" s="19" t="s">
        <v>579</v>
      </c>
      <c r="R84" s="19" t="s">
        <v>597</v>
      </c>
      <c r="S84" s="19"/>
      <c r="T84" s="19" t="s">
        <v>54</v>
      </c>
      <c r="U84" s="19" t="s">
        <v>55</v>
      </c>
      <c r="V84" s="19" t="s">
        <v>56</v>
      </c>
      <c r="W84" s="19" t="s">
        <v>57</v>
      </c>
      <c r="X84" s="19" t="s">
        <v>116</v>
      </c>
      <c r="Y84" s="19"/>
      <c r="Z84" s="19" t="s">
        <v>598</v>
      </c>
      <c r="AA84" s="19">
        <v>2</v>
      </c>
      <c r="AB84" s="19">
        <v>2</v>
      </c>
      <c r="AC84" s="19" t="s">
        <v>59</v>
      </c>
      <c r="AD84" s="19" t="s">
        <v>294</v>
      </c>
      <c r="AE84" s="19" t="s">
        <v>299</v>
      </c>
      <c r="AF84" s="19"/>
    </row>
    <row r="85" spans="1:34" customHeight="1" ht="42">
      <c r="A85" s="19">
        <v>80</v>
      </c>
      <c r="B85" s="19" t="s">
        <v>585</v>
      </c>
      <c r="C85" s="19" t="s">
        <v>266</v>
      </c>
      <c r="D85" s="19" t="str">
        <f>HYPERLINK("http://www.henontech.com/fieldsafety/harzard/harzard_show.php?rid=2104&amp;url=harzardrecs.php","高处的煤仓护瓦腐蚀严重，突然掉落，正好砸在一名操作工头上，划伤脸部，送医。")</f>
        <v>高处的煤仓护瓦腐蚀严重，突然掉落，正好砸在一名操作工头上，划伤脸部，送医。</v>
      </c>
      <c r="E85" s="19" t="s">
        <v>599</v>
      </c>
      <c r="F85" s="20" t="s">
        <v>42</v>
      </c>
      <c r="G85" s="22" t="s">
        <v>108</v>
      </c>
      <c r="H85" s="19" t="s">
        <v>44</v>
      </c>
      <c r="I85" s="19" t="s">
        <v>45</v>
      </c>
      <c r="J85" s="19" t="s">
        <v>46</v>
      </c>
      <c r="K85" s="19" t="s">
        <v>47</v>
      </c>
      <c r="L85" s="19" t="s">
        <v>48</v>
      </c>
      <c r="M85" s="19" t="s">
        <v>111</v>
      </c>
      <c r="N85" s="19" t="s">
        <v>596</v>
      </c>
      <c r="O85" s="19" t="s">
        <v>111</v>
      </c>
      <c r="P85" s="19" t="s">
        <v>294</v>
      </c>
      <c r="Q85" s="19" t="s">
        <v>579</v>
      </c>
      <c r="R85" s="19" t="s">
        <v>600</v>
      </c>
      <c r="S85" s="19"/>
      <c r="T85" s="19" t="s">
        <v>54</v>
      </c>
      <c r="U85" s="19" t="s">
        <v>55</v>
      </c>
      <c r="V85" s="19" t="s">
        <v>56</v>
      </c>
      <c r="W85" s="19" t="s">
        <v>57</v>
      </c>
      <c r="X85" s="19" t="s">
        <v>116</v>
      </c>
      <c r="Y85" s="19"/>
      <c r="Z85" s="19" t="s">
        <v>601</v>
      </c>
      <c r="AA85" s="19">
        <v>2</v>
      </c>
      <c r="AB85" s="19">
        <v>2</v>
      </c>
      <c r="AC85" s="19" t="s">
        <v>59</v>
      </c>
      <c r="AD85" s="19" t="s">
        <v>294</v>
      </c>
      <c r="AE85" s="19" t="s">
        <v>299</v>
      </c>
      <c r="AF85" s="19"/>
    </row>
    <row r="86" spans="1:34" customHeight="1" ht="42">
      <c r="A86" s="19">
        <v>81</v>
      </c>
      <c r="B86" s="19" t="s">
        <v>585</v>
      </c>
      <c r="C86" s="19" t="s">
        <v>327</v>
      </c>
      <c r="D86" s="19" t="str">
        <f>HYPERLINK("http://www.henontech.com/fieldsafety/harzard/harzard_show.php?rid=2105&amp;url=harzardrecs.php","焦侧上升管一平台铺板翘起，1操作工经过时不慎绊倒，头部磕在扁铁上，受伤送医。")</f>
        <v>焦侧上升管一平台铺板翘起，1操作工经过时不慎绊倒，头部磕在扁铁上，受伤送医。</v>
      </c>
      <c r="E86" s="19" t="s">
        <v>602</v>
      </c>
      <c r="F86" s="20" t="s">
        <v>42</v>
      </c>
      <c r="G86" s="21" t="s">
        <v>43</v>
      </c>
      <c r="H86" s="19" t="s">
        <v>44</v>
      </c>
      <c r="I86" s="19" t="s">
        <v>45</v>
      </c>
      <c r="J86" s="19" t="s">
        <v>46</v>
      </c>
      <c r="K86" s="19" t="s">
        <v>47</v>
      </c>
      <c r="L86" s="19" t="s">
        <v>48</v>
      </c>
      <c r="M86" s="19" t="s">
        <v>111</v>
      </c>
      <c r="N86" s="19" t="s">
        <v>603</v>
      </c>
      <c r="O86" s="19" t="s">
        <v>111</v>
      </c>
      <c r="P86" s="19" t="s">
        <v>294</v>
      </c>
      <c r="Q86" s="19" t="s">
        <v>579</v>
      </c>
      <c r="R86" s="19" t="s">
        <v>604</v>
      </c>
      <c r="S86" s="19"/>
      <c r="T86" s="19" t="s">
        <v>54</v>
      </c>
      <c r="U86" s="19" t="s">
        <v>55</v>
      </c>
      <c r="V86" s="19" t="s">
        <v>56</v>
      </c>
      <c r="W86" s="19" t="s">
        <v>57</v>
      </c>
      <c r="X86" s="19" t="s">
        <v>116</v>
      </c>
      <c r="Y86" s="19"/>
      <c r="Z86" s="19" t="s">
        <v>605</v>
      </c>
      <c r="AA86" s="19">
        <v>2</v>
      </c>
      <c r="AB86" s="19">
        <v>2</v>
      </c>
      <c r="AC86" s="19" t="s">
        <v>59</v>
      </c>
      <c r="AD86" s="19" t="s">
        <v>294</v>
      </c>
      <c r="AE86" s="19" t="s">
        <v>299</v>
      </c>
      <c r="AF86" s="19"/>
    </row>
    <row r="87" spans="1:34" customHeight="1" ht="42">
      <c r="A87" s="19">
        <v>82</v>
      </c>
      <c r="B87" s="19" t="s">
        <v>585</v>
      </c>
      <c r="C87" s="19" t="s">
        <v>343</v>
      </c>
      <c r="D87" s="19" t="str">
        <f>HYPERLINK("http://www.henontech.com/fieldsafety/harzard/harzard_show.php?rid=2106&amp;url=harzardrecs.php","机侧平台南头端台处，出现一段裂缝塌陷，掉落的水泥块砸在从下面经过的1名员工头上，员工受伤送医。")</f>
        <v>机侧平台南头端台处，出现一段裂缝塌陷，掉落的水泥块砸在从下面经过的1名员工头上，员工受伤送医。</v>
      </c>
      <c r="E87" s="19" t="s">
        <v>606</v>
      </c>
      <c r="F87" s="20" t="s">
        <v>42</v>
      </c>
      <c r="G87" s="21" t="s">
        <v>43</v>
      </c>
      <c r="H87" s="19" t="s">
        <v>44</v>
      </c>
      <c r="I87" s="19" t="s">
        <v>45</v>
      </c>
      <c r="J87" s="19" t="s">
        <v>46</v>
      </c>
      <c r="K87" s="19" t="s">
        <v>47</v>
      </c>
      <c r="L87" s="19" t="s">
        <v>48</v>
      </c>
      <c r="M87" s="19" t="s">
        <v>111</v>
      </c>
      <c r="N87" s="19" t="s">
        <v>607</v>
      </c>
      <c r="O87" s="19" t="s">
        <v>111</v>
      </c>
      <c r="P87" s="19" t="s">
        <v>270</v>
      </c>
      <c r="Q87" s="19" t="s">
        <v>579</v>
      </c>
      <c r="R87" s="19" t="s">
        <v>608</v>
      </c>
      <c r="S87" s="19"/>
      <c r="T87" s="19" t="s">
        <v>54</v>
      </c>
      <c r="U87" s="19" t="s">
        <v>55</v>
      </c>
      <c r="V87" s="19" t="s">
        <v>56</v>
      </c>
      <c r="W87" s="19" t="s">
        <v>57</v>
      </c>
      <c r="X87" s="19" t="s">
        <v>332</v>
      </c>
      <c r="Y87" s="19"/>
      <c r="Z87" s="19" t="s">
        <v>609</v>
      </c>
      <c r="AA87" s="19">
        <v>2</v>
      </c>
      <c r="AB87" s="19">
        <v>2</v>
      </c>
      <c r="AC87" s="19" t="s">
        <v>59</v>
      </c>
      <c r="AD87" s="19" t="s">
        <v>270</v>
      </c>
      <c r="AE87" s="19" t="s">
        <v>610</v>
      </c>
      <c r="AF87" s="19" t="s">
        <v>611</v>
      </c>
    </row>
    <row r="88" spans="1:34" customHeight="1" ht="42">
      <c r="A88" s="19">
        <v>83</v>
      </c>
      <c r="B88" s="19" t="s">
        <v>585</v>
      </c>
      <c r="C88" s="19" t="s">
        <v>142</v>
      </c>
      <c r="D88" s="19" t="str">
        <f>HYPERLINK("http://www.henontech.com/fieldsafety/harzard/harzard_show.php?rid=2107&amp;url=harzardrecs.php","送煤车前头运送余煤的刮板机篦子盖板变形，1操作工工作时不慎跌入左脚，造成左小腿骨折，送医。")</f>
        <v>送煤车前头运送余煤的刮板机篦子盖板变形，1操作工工作时不慎跌入左脚，造成左小腿骨折，送医。</v>
      </c>
      <c r="E88" s="19" t="s">
        <v>612</v>
      </c>
      <c r="F88" s="20" t="s">
        <v>42</v>
      </c>
      <c r="G88" s="22" t="s">
        <v>108</v>
      </c>
      <c r="H88" s="19" t="s">
        <v>44</v>
      </c>
      <c r="I88" s="19" t="s">
        <v>45</v>
      </c>
      <c r="J88" s="19" t="s">
        <v>46</v>
      </c>
      <c r="K88" s="19" t="s">
        <v>47</v>
      </c>
      <c r="L88" s="19" t="s">
        <v>48</v>
      </c>
      <c r="M88" s="19" t="s">
        <v>111</v>
      </c>
      <c r="N88" s="19" t="s">
        <v>613</v>
      </c>
      <c r="O88" s="19" t="s">
        <v>111</v>
      </c>
      <c r="P88" s="19" t="s">
        <v>294</v>
      </c>
      <c r="Q88" s="19" t="s">
        <v>579</v>
      </c>
      <c r="R88" s="19" t="s">
        <v>614</v>
      </c>
      <c r="S88" s="19"/>
      <c r="T88" s="19" t="s">
        <v>54</v>
      </c>
      <c r="U88" s="19" t="s">
        <v>55</v>
      </c>
      <c r="V88" s="19" t="s">
        <v>56</v>
      </c>
      <c r="W88" s="19" t="s">
        <v>57</v>
      </c>
      <c r="X88" s="19" t="s">
        <v>116</v>
      </c>
      <c r="Y88" s="19"/>
      <c r="Z88" s="19" t="s">
        <v>615</v>
      </c>
      <c r="AA88" s="19">
        <v>2</v>
      </c>
      <c r="AB88" s="19">
        <v>2</v>
      </c>
      <c r="AC88" s="19" t="s">
        <v>59</v>
      </c>
      <c r="AD88" s="19" t="s">
        <v>294</v>
      </c>
      <c r="AE88" s="19" t="s">
        <v>118</v>
      </c>
      <c r="AF88" s="19"/>
    </row>
    <row r="89" spans="1:34" customHeight="1" ht="42">
      <c r="A89" s="19">
        <v>84</v>
      </c>
      <c r="B89" s="19" t="s">
        <v>616</v>
      </c>
      <c r="C89" s="19" t="s">
        <v>111</v>
      </c>
      <c r="D89" s="19" t="str">
        <f>HYPERLINK("http://www.henontech.com/fieldsafety/harzard/harzard_show.php?rid=2119&amp;url=harzardrecs.php","5.5米机侧平台处，一铲车司机清理废料时，将铲伸至平台处，下方是摩电轨，假如油缸失灵铲自动下落，导致车辆联电，人员触电，当场死亡。")</f>
        <v>5.5米机侧平台处，一铲车司机清理废料时，将铲伸至平台处，下方是摩电轨，假如油缸失灵铲自动下落，导致车辆联电，人员触电，当场死亡。</v>
      </c>
      <c r="E89" s="19" t="s">
        <v>617</v>
      </c>
      <c r="F89" s="20" t="s">
        <v>42</v>
      </c>
      <c r="G89" s="23" t="s">
        <v>497</v>
      </c>
      <c r="H89" s="19" t="s">
        <v>44</v>
      </c>
      <c r="I89" s="19" t="s">
        <v>109</v>
      </c>
      <c r="J89" s="19" t="s">
        <v>329</v>
      </c>
      <c r="K89" s="19" t="s">
        <v>84</v>
      </c>
      <c r="L89" s="19" t="s">
        <v>48</v>
      </c>
      <c r="M89" s="19" t="s">
        <v>111</v>
      </c>
      <c r="N89" s="19" t="s">
        <v>322</v>
      </c>
      <c r="O89" s="19" t="s">
        <v>111</v>
      </c>
      <c r="P89" s="19" t="s">
        <v>322</v>
      </c>
      <c r="Q89" s="19" t="s">
        <v>618</v>
      </c>
      <c r="R89" s="19" t="s">
        <v>266</v>
      </c>
      <c r="S89" s="19"/>
      <c r="T89" s="19" t="s">
        <v>54</v>
      </c>
      <c r="U89" s="19" t="s">
        <v>161</v>
      </c>
      <c r="V89" s="19" t="s">
        <v>56</v>
      </c>
      <c r="W89" s="19" t="s">
        <v>103</v>
      </c>
      <c r="X89" s="19" t="s">
        <v>332</v>
      </c>
      <c r="Y89" s="19"/>
      <c r="Z89" s="19" t="s">
        <v>619</v>
      </c>
      <c r="AA89" s="19">
        <v>2</v>
      </c>
      <c r="AB89" s="19">
        <v>2</v>
      </c>
      <c r="AC89" s="19" t="s">
        <v>59</v>
      </c>
      <c r="AD89" s="19" t="s">
        <v>322</v>
      </c>
      <c r="AE89" s="19" t="s">
        <v>118</v>
      </c>
      <c r="AF89" s="19" t="s">
        <v>620</v>
      </c>
    </row>
    <row r="90" spans="1:34">
      <c r="A90" s="19">
        <v>85</v>
      </c>
      <c r="B90" s="19" t="s">
        <v>616</v>
      </c>
      <c r="C90" s="19" t="s">
        <v>327</v>
      </c>
      <c r="D90" s="19" t="str">
        <f>HYPERLINK("http://www.henontech.com/fieldsafety/harzard/harzard_show.php?rid=2121&amp;url=harzardrecs.php","高压氨水管线插入集气道吹扫集气道，因插口大，用岩棉堵塞。操作工在清理上升管时，因集气道压力突然增高，造成岩棉松动，致使煤气泄露，操作工吸入煤气，中毒晕倒，头部着地摔倒在炉面上。")</f>
        <v>高压氨水管线插入集气道吹扫集气道，因插口大，用岩棉堵塞。操作工在清理上升管时，因集气道压力突然增高，造成岩棉松动，致使煤气泄露，操作工吸入煤气，中毒晕倒，头部着地摔倒在炉面上。</v>
      </c>
      <c r="E90" s="19" t="s">
        <v>621</v>
      </c>
      <c r="F90" s="20" t="s">
        <v>42</v>
      </c>
      <c r="G90" s="21" t="s">
        <v>43</v>
      </c>
      <c r="H90" s="19" t="s">
        <v>44</v>
      </c>
      <c r="I90" s="19" t="s">
        <v>109</v>
      </c>
      <c r="J90" s="19" t="s">
        <v>46</v>
      </c>
      <c r="K90" s="19" t="s">
        <v>47</v>
      </c>
      <c r="L90" s="19" t="s">
        <v>622</v>
      </c>
      <c r="M90" s="19" t="s">
        <v>111</v>
      </c>
      <c r="N90" s="19" t="s">
        <v>623</v>
      </c>
      <c r="O90" s="19" t="s">
        <v>111</v>
      </c>
      <c r="P90" s="19" t="s">
        <v>322</v>
      </c>
      <c r="Q90" s="19" t="s">
        <v>618</v>
      </c>
      <c r="R90" s="19" t="s">
        <v>624</v>
      </c>
      <c r="S90" s="19"/>
      <c r="T90" s="19" t="s">
        <v>54</v>
      </c>
      <c r="U90" s="19" t="s">
        <v>161</v>
      </c>
      <c r="V90" s="19" t="s">
        <v>56</v>
      </c>
      <c r="W90" s="19" t="s">
        <v>103</v>
      </c>
      <c r="X90" s="19" t="s">
        <v>332</v>
      </c>
      <c r="Y90" s="19"/>
      <c r="Z90" s="19" t="s">
        <v>625</v>
      </c>
      <c r="AA90" s="19">
        <v>2</v>
      </c>
      <c r="AB90" s="19">
        <v>2</v>
      </c>
      <c r="AC90" s="19" t="s">
        <v>59</v>
      </c>
      <c r="AD90" s="19" t="s">
        <v>322</v>
      </c>
      <c r="AE90" s="19" t="s">
        <v>118</v>
      </c>
      <c r="AF90" s="19" t="s">
        <v>626</v>
      </c>
    </row>
    <row r="91" spans="1:34">
      <c r="A91" s="19"/>
      <c r="B91" s="19"/>
      <c r="C91" s="19"/>
      <c r="D91" s="19" t="str">
        <f>HYPERLINK("http://www.henontech.com/fieldsafety/harzard/harzard_show.php?rid=2121&amp;url=harzardrecs.php","高压氨水管线插入集气道吹扫集气道，因高压氨水管及固定氨水管的横管高于平台，操作工行走时不注意绊倒，摔倒在顺水槽上，造成面部摔伤。")</f>
        <v>高压氨水管线插入集气道吹扫集气道，因高压氨水管及固定氨水管的横管高于平台，操作工行走时不注意绊倒，摔倒在顺水槽上，造成面部摔伤。</v>
      </c>
      <c r="E91" s="19" t="s">
        <v>627</v>
      </c>
      <c r="F91" s="19"/>
      <c r="G91" s="19"/>
      <c r="H91" s="19"/>
      <c r="I91" s="19"/>
      <c r="J91" s="19" t="s">
        <v>46</v>
      </c>
      <c r="K91" s="19" t="s">
        <v>47</v>
      </c>
      <c r="L91" s="19" t="s">
        <v>622</v>
      </c>
      <c r="M91" s="19"/>
      <c r="N91" s="19"/>
      <c r="O91" s="19"/>
      <c r="P91" s="19"/>
      <c r="Q91" s="19"/>
      <c r="R91" s="19"/>
      <c r="S91" s="19"/>
      <c r="T91" s="19" t="s">
        <v>54</v>
      </c>
      <c r="U91" s="19" t="s">
        <v>55</v>
      </c>
      <c r="V91" s="19" t="s">
        <v>56</v>
      </c>
      <c r="W91" s="19" t="s">
        <v>57</v>
      </c>
      <c r="X91" s="19"/>
      <c r="Y91" s="19"/>
      <c r="Z91" s="19"/>
      <c r="AA91" s="19"/>
      <c r="AB91" s="19"/>
      <c r="AC91" s="19"/>
      <c r="AD91" s="19"/>
      <c r="AE91" s="19"/>
      <c r="AF91" s="19"/>
    </row>
    <row r="92" spans="1:34" customHeight="1" ht="42">
      <c r="A92" s="19">
        <v>86</v>
      </c>
      <c r="B92" s="19" t="s">
        <v>628</v>
      </c>
      <c r="C92" s="19" t="s">
        <v>266</v>
      </c>
      <c r="D92" s="19" t="str">
        <f>HYPERLINK("http://www.henontech.com/fieldsafety/harzard/harzard_show.php?rid=2128&amp;url=harzardrecs.php","地下室巡检人员，巡检过程中由于视线不好被清水软皮管绊倒磕到肩膀，造成肩膀骨折！")</f>
        <v>地下室巡检人员，巡检过程中由于视线不好被清水软皮管绊倒磕到肩膀，造成肩膀骨折！</v>
      </c>
      <c r="E92" s="19" t="s">
        <v>629</v>
      </c>
      <c r="F92" s="20" t="s">
        <v>42</v>
      </c>
      <c r="G92" s="22" t="s">
        <v>108</v>
      </c>
      <c r="H92" s="19" t="s">
        <v>44</v>
      </c>
      <c r="I92" s="19" t="s">
        <v>130</v>
      </c>
      <c r="J92" s="19" t="s">
        <v>46</v>
      </c>
      <c r="K92" s="19" t="s">
        <v>99</v>
      </c>
      <c r="L92" s="19" t="s">
        <v>622</v>
      </c>
      <c r="M92" s="19" t="s">
        <v>111</v>
      </c>
      <c r="N92" s="19" t="s">
        <v>630</v>
      </c>
      <c r="O92" s="19" t="s">
        <v>111</v>
      </c>
      <c r="P92" s="19" t="s">
        <v>270</v>
      </c>
      <c r="Q92" s="19" t="s">
        <v>618</v>
      </c>
      <c r="R92" s="19" t="s">
        <v>631</v>
      </c>
      <c r="S92" s="19"/>
      <c r="T92" s="19" t="s">
        <v>54</v>
      </c>
      <c r="U92" s="19" t="s">
        <v>55</v>
      </c>
      <c r="V92" s="19" t="s">
        <v>56</v>
      </c>
      <c r="W92" s="19" t="s">
        <v>57</v>
      </c>
      <c r="X92" s="19" t="s">
        <v>332</v>
      </c>
      <c r="Y92" s="19"/>
      <c r="Z92" s="19" t="s">
        <v>632</v>
      </c>
      <c r="AA92" s="19">
        <v>2</v>
      </c>
      <c r="AB92" s="19">
        <v>2</v>
      </c>
      <c r="AC92" s="19" t="s">
        <v>59</v>
      </c>
      <c r="AD92" s="19" t="s">
        <v>270</v>
      </c>
      <c r="AE92" s="19" t="s">
        <v>437</v>
      </c>
      <c r="AF92" s="19" t="s">
        <v>633</v>
      </c>
    </row>
    <row r="93" spans="1:34" customHeight="1" ht="42">
      <c r="A93" s="19">
        <v>87</v>
      </c>
      <c r="B93" s="19" t="s">
        <v>628</v>
      </c>
      <c r="C93" s="19" t="s">
        <v>142</v>
      </c>
      <c r="D93" s="19" t="str">
        <f>HYPERLINK("http://www.henontech.com/fieldsafety/harzard/harzard_show.php?rid=2130&amp;url=harzardrecs.php","假如一操作工巡检引风机时，因无爬梯需要攀爬，当爬到平台时因没抓牢后仰跌落，头部被铁板边角戳伤送医院抢救。")</f>
        <v>假如一操作工巡检引风机时，因无爬梯需要攀爬，当爬到平台时因没抓牢后仰跌落，头部被铁板边角戳伤送医院抢救。</v>
      </c>
      <c r="E93" s="19" t="s">
        <v>634</v>
      </c>
      <c r="F93" s="20" t="s">
        <v>42</v>
      </c>
      <c r="G93" s="22" t="s">
        <v>108</v>
      </c>
      <c r="H93" s="19" t="s">
        <v>44</v>
      </c>
      <c r="I93" s="19" t="s">
        <v>109</v>
      </c>
      <c r="J93" s="19" t="s">
        <v>46</v>
      </c>
      <c r="K93" s="19" t="s">
        <v>47</v>
      </c>
      <c r="L93" s="19" t="s">
        <v>635</v>
      </c>
      <c r="M93" s="19" t="s">
        <v>111</v>
      </c>
      <c r="N93" s="19" t="s">
        <v>112</v>
      </c>
      <c r="O93" s="19" t="s">
        <v>111</v>
      </c>
      <c r="P93" s="19" t="s">
        <v>294</v>
      </c>
      <c r="Q93" s="19" t="s">
        <v>618</v>
      </c>
      <c r="R93" s="19" t="s">
        <v>636</v>
      </c>
      <c r="S93" s="19"/>
      <c r="T93" s="19" t="s">
        <v>54</v>
      </c>
      <c r="U93" s="19" t="s">
        <v>161</v>
      </c>
      <c r="V93" s="19" t="s">
        <v>70</v>
      </c>
      <c r="W93" s="19" t="s">
        <v>57</v>
      </c>
      <c r="X93" s="19" t="s">
        <v>116</v>
      </c>
      <c r="Y93" s="19"/>
      <c r="Z93" s="19" t="s">
        <v>637</v>
      </c>
      <c r="AA93" s="19">
        <v>2</v>
      </c>
      <c r="AB93" s="19">
        <v>2</v>
      </c>
      <c r="AC93" s="19" t="s">
        <v>59</v>
      </c>
      <c r="AD93" s="19" t="s">
        <v>294</v>
      </c>
      <c r="AE93" s="19" t="s">
        <v>299</v>
      </c>
      <c r="AF93" s="19"/>
    </row>
    <row r="94" spans="1:34" customHeight="1" ht="42">
      <c r="A94" s="19">
        <v>88</v>
      </c>
      <c r="B94" s="19" t="s">
        <v>628</v>
      </c>
      <c r="C94" s="19" t="s">
        <v>142</v>
      </c>
      <c r="D94" s="19" t="str">
        <f>HYPERLINK("http://www.henontech.com/fieldsafety/harzard/harzard_show.php?rid=2132&amp;url=harzardrecs.php","5.5米脱硫脱硝，高压风机平台无防护栏，一名操作人员在巡检时，从平台跌落，头部与铁器撞击昏迷不醒，送医院抢救。")</f>
        <v>5.5米脱硫脱硝，高压风机平台无防护栏，一名操作人员在巡检时，从平台跌落，头部与铁器撞击昏迷不醒，送医院抢救。</v>
      </c>
      <c r="E94" s="19" t="s">
        <v>638</v>
      </c>
      <c r="F94" s="20" t="s">
        <v>42</v>
      </c>
      <c r="G94" s="21" t="s">
        <v>43</v>
      </c>
      <c r="H94" s="19" t="s">
        <v>44</v>
      </c>
      <c r="I94" s="19" t="s">
        <v>109</v>
      </c>
      <c r="J94" s="19" t="s">
        <v>158</v>
      </c>
      <c r="K94" s="19" t="s">
        <v>47</v>
      </c>
      <c r="L94" s="19" t="s">
        <v>110</v>
      </c>
      <c r="M94" s="19" t="s">
        <v>111</v>
      </c>
      <c r="N94" s="19" t="s">
        <v>639</v>
      </c>
      <c r="O94" s="19" t="s">
        <v>111</v>
      </c>
      <c r="P94" s="19" t="s">
        <v>294</v>
      </c>
      <c r="Q94" s="19" t="s">
        <v>618</v>
      </c>
      <c r="R94" s="19" t="s">
        <v>319</v>
      </c>
      <c r="S94" s="19"/>
      <c r="T94" s="19" t="s">
        <v>54</v>
      </c>
      <c r="U94" s="19" t="s">
        <v>161</v>
      </c>
      <c r="V94" s="19" t="s">
        <v>70</v>
      </c>
      <c r="W94" s="19" t="s">
        <v>57</v>
      </c>
      <c r="X94" s="19" t="s">
        <v>116</v>
      </c>
      <c r="Y94" s="19"/>
      <c r="Z94" s="19" t="s">
        <v>640</v>
      </c>
      <c r="AA94" s="19">
        <v>2</v>
      </c>
      <c r="AB94" s="19">
        <v>2</v>
      </c>
      <c r="AC94" s="19" t="s">
        <v>59</v>
      </c>
      <c r="AD94" s="19" t="s">
        <v>294</v>
      </c>
      <c r="AE94" s="19" t="s">
        <v>118</v>
      </c>
      <c r="AF94" s="19"/>
    </row>
    <row r="95" spans="1:34" customHeight="1" ht="42">
      <c r="A95" s="19">
        <v>89</v>
      </c>
      <c r="B95" s="19" t="s">
        <v>628</v>
      </c>
      <c r="C95" s="19" t="s">
        <v>111</v>
      </c>
      <c r="D95" s="19" t="str">
        <f>HYPERLINK("http://www.henontech.com/fieldsafety/harzard/harzard_show.php?rid=2134&amp;url=harzardrecs.php","5米5焦炉推焦操作工，在出焦操作过程中，被集气管道管托掉落砸中头部，当场昏迷，送医抢救。")</f>
        <v>5米5焦炉推焦操作工，在出焦操作过程中，被集气管道管托掉落砸中头部，当场昏迷，送医抢救。</v>
      </c>
      <c r="E95" s="19" t="s">
        <v>641</v>
      </c>
      <c r="F95" s="20" t="s">
        <v>42</v>
      </c>
      <c r="G95" s="22" t="s">
        <v>108</v>
      </c>
      <c r="H95" s="19" t="s">
        <v>44</v>
      </c>
      <c r="I95" s="19" t="s">
        <v>130</v>
      </c>
      <c r="J95" s="19" t="s">
        <v>46</v>
      </c>
      <c r="K95" s="19" t="s">
        <v>131</v>
      </c>
      <c r="L95" s="19"/>
      <c r="M95" s="19" t="s">
        <v>111</v>
      </c>
      <c r="N95" s="19" t="s">
        <v>642</v>
      </c>
      <c r="O95" s="19" t="s">
        <v>111</v>
      </c>
      <c r="P95" s="19" t="s">
        <v>294</v>
      </c>
      <c r="Q95" s="19" t="s">
        <v>618</v>
      </c>
      <c r="R95" s="19" t="s">
        <v>643</v>
      </c>
      <c r="S95" s="19"/>
      <c r="T95" s="19" t="s">
        <v>54</v>
      </c>
      <c r="U95" s="19" t="s">
        <v>161</v>
      </c>
      <c r="V95" s="19" t="s">
        <v>56</v>
      </c>
      <c r="W95" s="19" t="s">
        <v>103</v>
      </c>
      <c r="X95" s="19" t="s">
        <v>116</v>
      </c>
      <c r="Y95" s="19"/>
      <c r="Z95" s="19" t="s">
        <v>644</v>
      </c>
      <c r="AA95" s="19">
        <v>2</v>
      </c>
      <c r="AB95" s="19">
        <v>2</v>
      </c>
      <c r="AC95" s="19" t="s">
        <v>59</v>
      </c>
      <c r="AD95" s="19" t="s">
        <v>294</v>
      </c>
      <c r="AE95" s="19" t="s">
        <v>118</v>
      </c>
      <c r="AF95" s="19"/>
    </row>
    <row r="96" spans="1:34" customHeight="1" ht="42">
      <c r="A96" s="19">
        <v>90</v>
      </c>
      <c r="B96" s="19" t="s">
        <v>645</v>
      </c>
      <c r="C96" s="19" t="s">
        <v>142</v>
      </c>
      <c r="D96" s="19" t="str">
        <f>HYPERLINK("http://www.henontech.com/fieldsafety/harzard/harzard_show.php?rid=2142&amp;url=harzardrecs.php","在送煤过程中，如果托煤板线位故障，送煤过头顶落炉门，将拦焦正在处理焦炭的操作工砸到，救治无效死亡。")</f>
        <v>在送煤过程中，如果托煤板线位故障，送煤过头顶落炉门，将拦焦正在处理焦炭的操作工砸到，救治无效死亡。</v>
      </c>
      <c r="E96" s="19" t="s">
        <v>646</v>
      </c>
      <c r="F96" s="20" t="s">
        <v>42</v>
      </c>
      <c r="G96" s="21" t="s">
        <v>43</v>
      </c>
      <c r="H96" s="19" t="s">
        <v>44</v>
      </c>
      <c r="I96" s="19" t="s">
        <v>109</v>
      </c>
      <c r="J96" s="19" t="s">
        <v>381</v>
      </c>
      <c r="K96" s="19" t="s">
        <v>47</v>
      </c>
      <c r="L96" s="19" t="s">
        <v>110</v>
      </c>
      <c r="M96" s="19" t="s">
        <v>111</v>
      </c>
      <c r="N96" s="19" t="s">
        <v>647</v>
      </c>
      <c r="O96" s="19" t="s">
        <v>111</v>
      </c>
      <c r="P96" s="19" t="s">
        <v>322</v>
      </c>
      <c r="Q96" s="19" t="s">
        <v>648</v>
      </c>
      <c r="R96" s="19" t="s">
        <v>649</v>
      </c>
      <c r="S96" s="19"/>
      <c r="T96" s="19" t="s">
        <v>54</v>
      </c>
      <c r="U96" s="19" t="s">
        <v>161</v>
      </c>
      <c r="V96" s="19" t="s">
        <v>70</v>
      </c>
      <c r="W96" s="19" t="s">
        <v>57</v>
      </c>
      <c r="X96" s="19" t="s">
        <v>272</v>
      </c>
      <c r="Y96" s="19" t="s">
        <v>272</v>
      </c>
      <c r="Z96" s="19" t="s">
        <v>650</v>
      </c>
      <c r="AA96" s="19">
        <v>2</v>
      </c>
      <c r="AB96" s="19">
        <v>2</v>
      </c>
      <c r="AC96" s="19" t="s">
        <v>59</v>
      </c>
      <c r="AD96" s="19" t="s">
        <v>322</v>
      </c>
      <c r="AE96" s="19" t="s">
        <v>118</v>
      </c>
      <c r="AF96" s="19" t="s">
        <v>651</v>
      </c>
    </row>
    <row r="97" spans="1:34" customHeight="1" ht="42">
      <c r="A97" s="19">
        <v>91</v>
      </c>
      <c r="B97" s="19" t="s">
        <v>645</v>
      </c>
      <c r="C97" s="19" t="s">
        <v>142</v>
      </c>
      <c r="D97" s="19" t="str">
        <f>HYPERLINK("http://www.henontech.com/fieldsafety/harzard/harzard_show.php?rid=2143&amp;url=harzardrecs.php","焦一皮带护栏缺失，一名操作人员在清理卫生时，不慎将手臂卷入皮带，造成手臂骨折，就医救治。")</f>
        <v>焦一皮带护栏缺失，一名操作人员在清理卫生时，不慎将手臂卷入皮带，造成手臂骨折，就医救治。</v>
      </c>
      <c r="E97" s="19" t="s">
        <v>652</v>
      </c>
      <c r="F97" s="20" t="s">
        <v>42</v>
      </c>
      <c r="G97" s="22" t="s">
        <v>108</v>
      </c>
      <c r="H97" s="19" t="s">
        <v>44</v>
      </c>
      <c r="I97" s="19" t="s">
        <v>109</v>
      </c>
      <c r="J97" s="19" t="s">
        <v>158</v>
      </c>
      <c r="K97" s="19" t="s">
        <v>184</v>
      </c>
      <c r="L97" s="19" t="s">
        <v>110</v>
      </c>
      <c r="M97" s="19" t="s">
        <v>111</v>
      </c>
      <c r="N97" s="19" t="s">
        <v>653</v>
      </c>
      <c r="O97" s="19" t="s">
        <v>111</v>
      </c>
      <c r="P97" s="19" t="s">
        <v>322</v>
      </c>
      <c r="Q97" s="19" t="s">
        <v>648</v>
      </c>
      <c r="R97" s="19" t="s">
        <v>654</v>
      </c>
      <c r="S97" s="19"/>
      <c r="T97" s="19" t="s">
        <v>54</v>
      </c>
      <c r="U97" s="19" t="s">
        <v>55</v>
      </c>
      <c r="V97" s="19" t="s">
        <v>56</v>
      </c>
      <c r="W97" s="19" t="s">
        <v>57</v>
      </c>
      <c r="X97" s="19" t="s">
        <v>655</v>
      </c>
      <c r="Y97" s="19" t="s">
        <v>655</v>
      </c>
      <c r="Z97" s="19" t="s">
        <v>656</v>
      </c>
      <c r="AA97" s="19">
        <v>2</v>
      </c>
      <c r="AB97" s="19">
        <v>2</v>
      </c>
      <c r="AC97" s="19" t="s">
        <v>59</v>
      </c>
      <c r="AD97" s="19" t="s">
        <v>322</v>
      </c>
      <c r="AE97" s="19" t="s">
        <v>118</v>
      </c>
      <c r="AF97" s="19" t="s">
        <v>657</v>
      </c>
    </row>
    <row r="98" spans="1:34" customHeight="1" ht="42">
      <c r="A98" s="19">
        <v>92</v>
      </c>
      <c r="B98" s="19" t="s">
        <v>610</v>
      </c>
      <c r="C98" s="19" t="s">
        <v>658</v>
      </c>
      <c r="D98" s="19" t="str">
        <f>HYPERLINK("http://www.henontech.com/fieldsafety/harzard/harzard_show.php?rid=2154&amp;url=harzardrecs.php","炉顶爬梯电缆杂乱，如果一名职工巡检下楼梯时未注意脚下，且双手未扶牢扶手，被电缆绊倒身体失去平衡前倾摔倒，头部撞击在地面上，送医院抢救，颈椎粉碎性骨折，抢救无效死亡。")</f>
        <v>炉顶爬梯电缆杂乱，如果一名职工巡检下楼梯时未注意脚下，且双手未扶牢扶手，被电缆绊倒身体失去平衡前倾摔倒，头部撞击在地面上，送医院抢救，颈椎粉碎性骨折，抢救无效死亡。</v>
      </c>
      <c r="E98" s="19" t="s">
        <v>659</v>
      </c>
      <c r="F98" s="20" t="s">
        <v>42</v>
      </c>
      <c r="G98" s="21" t="s">
        <v>43</v>
      </c>
      <c r="H98" s="19" t="s">
        <v>44</v>
      </c>
      <c r="I98" s="19" t="s">
        <v>109</v>
      </c>
      <c r="J98" s="19" t="s">
        <v>46</v>
      </c>
      <c r="K98" s="19" t="s">
        <v>47</v>
      </c>
      <c r="L98" s="19" t="s">
        <v>660</v>
      </c>
      <c r="M98" s="19" t="s">
        <v>111</v>
      </c>
      <c r="N98" s="19" t="s">
        <v>661</v>
      </c>
      <c r="O98" s="19" t="s">
        <v>111</v>
      </c>
      <c r="P98" s="19" t="s">
        <v>322</v>
      </c>
      <c r="Q98" s="19" t="s">
        <v>648</v>
      </c>
      <c r="R98" s="19" t="s">
        <v>662</v>
      </c>
      <c r="S98" s="19"/>
      <c r="T98" s="19" t="s">
        <v>54</v>
      </c>
      <c r="U98" s="19" t="s">
        <v>161</v>
      </c>
      <c r="V98" s="19" t="s">
        <v>56</v>
      </c>
      <c r="W98" s="19" t="s">
        <v>103</v>
      </c>
      <c r="X98" s="19" t="s">
        <v>332</v>
      </c>
      <c r="Y98" s="19" t="s">
        <v>332</v>
      </c>
      <c r="Z98" s="19" t="s">
        <v>663</v>
      </c>
      <c r="AA98" s="19">
        <v>2</v>
      </c>
      <c r="AB98" s="19">
        <v>2</v>
      </c>
      <c r="AC98" s="19" t="s">
        <v>59</v>
      </c>
      <c r="AD98" s="19" t="s">
        <v>322</v>
      </c>
      <c r="AE98" s="19" t="s">
        <v>118</v>
      </c>
      <c r="AF98" s="19" t="s">
        <v>664</v>
      </c>
    </row>
    <row r="99" spans="1:34">
      <c r="A99" s="19">
        <v>93</v>
      </c>
      <c r="B99" s="19" t="s">
        <v>504</v>
      </c>
      <c r="C99" s="19" t="s">
        <v>665</v>
      </c>
      <c r="D99" s="19" t="str">
        <f>HYPERLINK("http://www.henontech.com/fieldsafety/harzard/harzard_show.php?rid=2162&amp;url=harzardrecs.php","1#转化炉废锅顶部人孔保护罩在检查时未盖好，人孔温度100°以上，一名操作工在巡检时，脚下打滑，滑入人孔边的空间，造成小腿下部被人孔盖烫伤，送医务室处理后就医治疗7天，损工7天")</f>
        <v>1#转化炉废锅顶部人孔保护罩在检查时未盖好，人孔温度100°以上，一名操作工在巡检时，脚下打滑，滑入人孔边的空间，造成小腿下部被人孔盖烫伤，送医务室处理后就医治疗7天，损工7天</v>
      </c>
      <c r="E99" s="19" t="s">
        <v>666</v>
      </c>
      <c r="F99" s="20" t="s">
        <v>42</v>
      </c>
      <c r="G99" s="21" t="s">
        <v>43</v>
      </c>
      <c r="H99" s="19" t="s">
        <v>44</v>
      </c>
      <c r="I99" s="19" t="s">
        <v>109</v>
      </c>
      <c r="J99" s="19" t="s">
        <v>46</v>
      </c>
      <c r="K99" s="19" t="s">
        <v>47</v>
      </c>
      <c r="L99" s="19" t="s">
        <v>48</v>
      </c>
      <c r="M99" s="19" t="s">
        <v>336</v>
      </c>
      <c r="N99" s="19" t="s">
        <v>430</v>
      </c>
      <c r="O99" s="19" t="s">
        <v>336</v>
      </c>
      <c r="P99" s="19" t="s">
        <v>430</v>
      </c>
      <c r="Q99" s="19" t="s">
        <v>648</v>
      </c>
      <c r="R99" s="19" t="s">
        <v>667</v>
      </c>
      <c r="S99" s="19"/>
      <c r="T99" s="19" t="s">
        <v>54</v>
      </c>
      <c r="U99" s="19" t="s">
        <v>55</v>
      </c>
      <c r="V99" s="19" t="s">
        <v>56</v>
      </c>
      <c r="W99" s="19" t="s">
        <v>57</v>
      </c>
      <c r="X99" s="19" t="s">
        <v>445</v>
      </c>
      <c r="Y99" s="19" t="s">
        <v>341</v>
      </c>
      <c r="Z99" s="19" t="s">
        <v>668</v>
      </c>
      <c r="AA99" s="19">
        <v>1</v>
      </c>
      <c r="AB99" s="19">
        <v>1</v>
      </c>
      <c r="AC99" s="19" t="s">
        <v>59</v>
      </c>
      <c r="AD99" s="19" t="s">
        <v>430</v>
      </c>
      <c r="AE99" s="19" t="s">
        <v>80</v>
      </c>
      <c r="AF99" s="19"/>
    </row>
    <row r="100" spans="1:34">
      <c r="A100" s="19">
        <v>94</v>
      </c>
      <c r="B100" s="19" t="s">
        <v>504</v>
      </c>
      <c r="C100" s="19" t="s">
        <v>669</v>
      </c>
      <c r="D100" s="19" t="str">
        <f>HYPERLINK("http://www.henontech.com/fieldsafety/harzard/harzard_show.php?rid=2165&amp;url=harzardrecs.php","精炼分离器上部，检修时用的脚手板及铁管等，未及时清理干净。1名巡检人员在上去巡检时，不小心被脚手板绊倒，手臂擦伤，经医务人员包扎后继续上班。")</f>
        <v>精炼分离器上部，检修时用的脚手板及铁管等，未及时清理干净。1名巡检人员在上去巡检时，不小心被脚手板绊倒，手臂擦伤，经医务人员包扎后继续上班。</v>
      </c>
      <c r="E100" s="19" t="s">
        <v>670</v>
      </c>
      <c r="F100" s="20" t="s">
        <v>42</v>
      </c>
      <c r="G100" s="21" t="s">
        <v>43</v>
      </c>
      <c r="H100" s="19" t="s">
        <v>44</v>
      </c>
      <c r="I100" s="19" t="s">
        <v>109</v>
      </c>
      <c r="J100" s="19" t="s">
        <v>419</v>
      </c>
      <c r="K100" s="19" t="s">
        <v>47</v>
      </c>
      <c r="L100" s="19"/>
      <c r="M100" s="19" t="s">
        <v>336</v>
      </c>
      <c r="N100" s="19" t="s">
        <v>671</v>
      </c>
      <c r="O100" s="19" t="s">
        <v>336</v>
      </c>
      <c r="P100" s="19" t="s">
        <v>430</v>
      </c>
      <c r="Q100" s="19" t="s">
        <v>648</v>
      </c>
      <c r="R100" s="19" t="s">
        <v>672</v>
      </c>
      <c r="S100" s="19"/>
      <c r="T100" s="19" t="s">
        <v>54</v>
      </c>
      <c r="U100" s="19" t="s">
        <v>69</v>
      </c>
      <c r="V100" s="19" t="s">
        <v>70</v>
      </c>
      <c r="W100" s="19" t="s">
        <v>71</v>
      </c>
      <c r="X100" s="19" t="s">
        <v>673</v>
      </c>
      <c r="Y100" s="19" t="s">
        <v>673</v>
      </c>
      <c r="Z100" s="19" t="s">
        <v>674</v>
      </c>
      <c r="AA100" s="19">
        <v>1</v>
      </c>
      <c r="AB100" s="19">
        <v>1</v>
      </c>
      <c r="AC100" s="19" t="s">
        <v>59</v>
      </c>
      <c r="AD100" s="19" t="s">
        <v>430</v>
      </c>
      <c r="AE100" s="19" t="s">
        <v>73</v>
      </c>
      <c r="AF100" s="19"/>
    </row>
    <row r="101" spans="1:34">
      <c r="A101" s="19">
        <v>95</v>
      </c>
      <c r="B101" s="19" t="s">
        <v>504</v>
      </c>
      <c r="C101" s="19" t="s">
        <v>514</v>
      </c>
      <c r="D101" s="19" t="str">
        <f>HYPERLINK("http://www.henontech.com/fieldsafety/harzard/harzard_show.php?rid=2167&amp;url=harzardrecs.php","三万气柜地沟盖板缺失，一名操作工在巡检时不慎踏入地沟，造成小腿骨折住院10天，休息90天。")</f>
        <v>三万气柜地沟盖板缺失，一名操作工在巡检时不慎踏入地沟，造成小腿骨折住院10天，休息90天。</v>
      </c>
      <c r="E101" s="19" t="s">
        <v>675</v>
      </c>
      <c r="F101" s="20" t="s">
        <v>42</v>
      </c>
      <c r="G101" s="21" t="s">
        <v>43</v>
      </c>
      <c r="H101" s="19" t="s">
        <v>44</v>
      </c>
      <c r="I101" s="19"/>
      <c r="J101" s="19" t="s">
        <v>46</v>
      </c>
      <c r="K101" s="19"/>
      <c r="L101" s="19"/>
      <c r="M101" s="19" t="s">
        <v>336</v>
      </c>
      <c r="N101" s="19" t="s">
        <v>676</v>
      </c>
      <c r="O101" s="19" t="s">
        <v>336</v>
      </c>
      <c r="P101" s="19" t="s">
        <v>430</v>
      </c>
      <c r="Q101" s="19" t="s">
        <v>648</v>
      </c>
      <c r="R101" s="19" t="s">
        <v>677</v>
      </c>
      <c r="S101" s="19"/>
      <c r="T101" s="19" t="s">
        <v>54</v>
      </c>
      <c r="U101" s="19" t="s">
        <v>55</v>
      </c>
      <c r="V101" s="19" t="s">
        <v>70</v>
      </c>
      <c r="W101" s="19" t="s">
        <v>179</v>
      </c>
      <c r="X101" s="19" t="s">
        <v>445</v>
      </c>
      <c r="Y101" s="19" t="s">
        <v>341</v>
      </c>
      <c r="Z101" s="19" t="s">
        <v>678</v>
      </c>
      <c r="AA101" s="19">
        <v>1</v>
      </c>
      <c r="AB101" s="19">
        <v>1</v>
      </c>
      <c r="AC101" s="19" t="s">
        <v>59</v>
      </c>
      <c r="AD101" s="19" t="s">
        <v>430</v>
      </c>
      <c r="AE101" s="19" t="s">
        <v>73</v>
      </c>
      <c r="AF101" s="19"/>
    </row>
    <row r="102" spans="1:34">
      <c r="A102" s="19">
        <v>96</v>
      </c>
      <c r="B102" s="19" t="s">
        <v>504</v>
      </c>
      <c r="C102" s="19" t="s">
        <v>669</v>
      </c>
      <c r="D102" s="19" t="str">
        <f>HYPERLINK("http://www.henontech.com/fieldsafety/harzard/harzard_show.php?rid=2168&amp;url=harzardrecs.php","精炼地缸处加醋酸，由于倒淋管高出地面，操作工往地缸盖上提放醋酸桶时被倒淋管绊倒，轻微擦伤。")</f>
        <v>精炼地缸处加醋酸，由于倒淋管高出地面，操作工往地缸盖上提放醋酸桶时被倒淋管绊倒，轻微擦伤。</v>
      </c>
      <c r="E102" s="19" t="s">
        <v>679</v>
      </c>
      <c r="F102" s="20" t="s">
        <v>42</v>
      </c>
      <c r="G102" s="21" t="s">
        <v>43</v>
      </c>
      <c r="H102" s="19" t="s">
        <v>44</v>
      </c>
      <c r="I102" s="19"/>
      <c r="J102" s="19" t="s">
        <v>46</v>
      </c>
      <c r="K102" s="19" t="s">
        <v>47</v>
      </c>
      <c r="L102" s="19"/>
      <c r="M102" s="19" t="s">
        <v>336</v>
      </c>
      <c r="N102" s="19" t="s">
        <v>680</v>
      </c>
      <c r="O102" s="19" t="s">
        <v>336</v>
      </c>
      <c r="P102" s="19" t="s">
        <v>430</v>
      </c>
      <c r="Q102" s="19" t="s">
        <v>648</v>
      </c>
      <c r="R102" s="19" t="s">
        <v>681</v>
      </c>
      <c r="S102" s="19"/>
      <c r="T102" s="19" t="s">
        <v>54</v>
      </c>
      <c r="U102" s="19" t="s">
        <v>69</v>
      </c>
      <c r="V102" s="19" t="s">
        <v>70</v>
      </c>
      <c r="W102" s="19" t="s">
        <v>71</v>
      </c>
      <c r="X102" s="19" t="s">
        <v>116</v>
      </c>
      <c r="Y102" s="19" t="s">
        <v>116</v>
      </c>
      <c r="Z102" s="19" t="s">
        <v>682</v>
      </c>
      <c r="AA102" s="19">
        <v>1</v>
      </c>
      <c r="AB102" s="19">
        <v>0</v>
      </c>
      <c r="AC102" s="19" t="s">
        <v>59</v>
      </c>
      <c r="AD102" s="19" t="s">
        <v>430</v>
      </c>
      <c r="AE102" s="19" t="s">
        <v>80</v>
      </c>
      <c r="AF102" s="19" t="s">
        <v>434</v>
      </c>
    </row>
    <row r="103" spans="1:34">
      <c r="A103" s="19">
        <v>97</v>
      </c>
      <c r="B103" s="19" t="s">
        <v>504</v>
      </c>
      <c r="C103" s="19" t="s">
        <v>521</v>
      </c>
      <c r="D103" s="19" t="str">
        <f>HYPERLINK("http://www.henontech.com/fieldsafety/harzard/harzard_show.php?rid=2169&amp;url=harzardrecs.php","循环机操作室顶蒸汽管线保温破损，一名巡检工在开关阀门时小腿被烫伤，住院治疗30天后复工上班。")</f>
        <v>循环机操作室顶蒸汽管线保温破损，一名巡检工在开关阀门时小腿被烫伤，住院治疗30天后复工上班。</v>
      </c>
      <c r="E103" s="19" t="s">
        <v>683</v>
      </c>
      <c r="F103" s="20" t="s">
        <v>42</v>
      </c>
      <c r="G103" s="21" t="s">
        <v>43</v>
      </c>
      <c r="H103" s="19" t="s">
        <v>44</v>
      </c>
      <c r="I103" s="19"/>
      <c r="J103" s="19" t="s">
        <v>46</v>
      </c>
      <c r="K103" s="19" t="s">
        <v>47</v>
      </c>
      <c r="L103" s="19"/>
      <c r="M103" s="19" t="s">
        <v>336</v>
      </c>
      <c r="N103" s="19" t="s">
        <v>684</v>
      </c>
      <c r="O103" s="19" t="s">
        <v>336</v>
      </c>
      <c r="P103" s="19" t="s">
        <v>430</v>
      </c>
      <c r="Q103" s="19" t="s">
        <v>648</v>
      </c>
      <c r="R103" s="19" t="s">
        <v>685</v>
      </c>
      <c r="S103" s="19"/>
      <c r="T103" s="19" t="s">
        <v>54</v>
      </c>
      <c r="U103" s="19" t="s">
        <v>55</v>
      </c>
      <c r="V103" s="19" t="s">
        <v>56</v>
      </c>
      <c r="W103" s="19" t="s">
        <v>57</v>
      </c>
      <c r="X103" s="19" t="s">
        <v>116</v>
      </c>
      <c r="Y103" s="19" t="s">
        <v>116</v>
      </c>
      <c r="Z103" s="19" t="s">
        <v>686</v>
      </c>
      <c r="AA103" s="19">
        <v>1</v>
      </c>
      <c r="AB103" s="19">
        <v>0</v>
      </c>
      <c r="AC103" s="19" t="s">
        <v>59</v>
      </c>
      <c r="AD103" s="19" t="s">
        <v>430</v>
      </c>
      <c r="AE103" s="19" t="s">
        <v>73</v>
      </c>
      <c r="AF103" s="19" t="s">
        <v>687</v>
      </c>
    </row>
    <row r="104" spans="1:34">
      <c r="A104" s="19">
        <v>98</v>
      </c>
      <c r="B104" s="19" t="s">
        <v>504</v>
      </c>
      <c r="C104" s="19" t="s">
        <v>688</v>
      </c>
      <c r="D104" s="19" t="str">
        <f>HYPERLINK("http://www.henontech.com/fieldsafety/harzard/harzard_show.php?rid=2171&amp;url=harzardrecs.php","加热器倒淋管的弯头处经长期使用出现裂痕，造成蒸汽泄漏，水汽从保温层冒出滴落，一名巡检人员在下方巡检维护设备时，被烫伤，送医务室处理后复工。")</f>
        <v>加热器倒淋管的弯头处经长期使用出现裂痕，造成蒸汽泄漏，水汽从保温层冒出滴落，一名巡检人员在下方巡检维护设备时，被烫伤，送医务室处理后复工。</v>
      </c>
      <c r="E104" s="19" t="s">
        <v>689</v>
      </c>
      <c r="F104" s="20" t="s">
        <v>42</v>
      </c>
      <c r="G104" s="22" t="s">
        <v>108</v>
      </c>
      <c r="H104" s="19" t="s">
        <v>44</v>
      </c>
      <c r="I104" s="19"/>
      <c r="J104" s="19" t="s">
        <v>46</v>
      </c>
      <c r="K104" s="19" t="s">
        <v>47</v>
      </c>
      <c r="L104" s="19" t="s">
        <v>110</v>
      </c>
      <c r="M104" s="19" t="s">
        <v>336</v>
      </c>
      <c r="N104" s="19" t="s">
        <v>690</v>
      </c>
      <c r="O104" s="19" t="s">
        <v>336</v>
      </c>
      <c r="P104" s="19" t="s">
        <v>430</v>
      </c>
      <c r="Q104" s="19" t="s">
        <v>648</v>
      </c>
      <c r="R104" s="19" t="s">
        <v>691</v>
      </c>
      <c r="S104" s="19"/>
      <c r="T104" s="19" t="s">
        <v>54</v>
      </c>
      <c r="U104" s="19" t="s">
        <v>69</v>
      </c>
      <c r="V104" s="19" t="s">
        <v>56</v>
      </c>
      <c r="W104" s="19" t="s">
        <v>179</v>
      </c>
      <c r="X104" s="19" t="s">
        <v>673</v>
      </c>
      <c r="Y104" s="19" t="s">
        <v>673</v>
      </c>
      <c r="Z104" s="19" t="s">
        <v>692</v>
      </c>
      <c r="AA104" s="19">
        <v>1</v>
      </c>
      <c r="AB104" s="19">
        <v>1</v>
      </c>
      <c r="AC104" s="19" t="s">
        <v>59</v>
      </c>
      <c r="AD104" s="19" t="s">
        <v>430</v>
      </c>
      <c r="AE104" s="19" t="s">
        <v>73</v>
      </c>
      <c r="AF104" s="19" t="s">
        <v>693</v>
      </c>
    </row>
    <row r="105" spans="1:34">
      <c r="A105" s="19">
        <v>99</v>
      </c>
      <c r="B105" s="19" t="s">
        <v>504</v>
      </c>
      <c r="C105" s="19" t="s">
        <v>448</v>
      </c>
      <c r="D105" s="19" t="str">
        <f>HYPERLINK("http://www.henontech.com/fieldsafety/harzard/harzard_show.php?rid=2172&amp;url=harzardrecs.php","循环水污水处理站平台，有一木棍横在平台上，夜间有一操作工，巡检时，不慎拌倒，造成手腕扑伤，经去医院检查，手腕脱臼，休息三天，损工三天。")</f>
        <v>循环水污水处理站平台，有一木棍横在平台上，夜间有一操作工，巡检时，不慎拌倒，造成手腕扑伤，经去医院检查，手腕脱臼，休息三天，损工三天。</v>
      </c>
      <c r="E105" s="19" t="s">
        <v>694</v>
      </c>
      <c r="F105" s="20" t="s">
        <v>42</v>
      </c>
      <c r="G105" s="21" t="s">
        <v>43</v>
      </c>
      <c r="H105" s="19" t="s">
        <v>44</v>
      </c>
      <c r="I105" s="19" t="s">
        <v>45</v>
      </c>
      <c r="J105" s="19" t="s">
        <v>419</v>
      </c>
      <c r="K105" s="19" t="s">
        <v>47</v>
      </c>
      <c r="L105" s="19" t="s">
        <v>48</v>
      </c>
      <c r="M105" s="19" t="s">
        <v>336</v>
      </c>
      <c r="N105" s="19" t="s">
        <v>695</v>
      </c>
      <c r="O105" s="19" t="s">
        <v>336</v>
      </c>
      <c r="P105" s="19" t="s">
        <v>430</v>
      </c>
      <c r="Q105" s="19" t="s">
        <v>648</v>
      </c>
      <c r="R105" s="19" t="s">
        <v>696</v>
      </c>
      <c r="S105" s="19"/>
      <c r="T105" s="19" t="s">
        <v>54</v>
      </c>
      <c r="U105" s="19" t="s">
        <v>55</v>
      </c>
      <c r="V105" s="19" t="s">
        <v>56</v>
      </c>
      <c r="W105" s="19" t="s">
        <v>57</v>
      </c>
      <c r="X105" s="19" t="s">
        <v>445</v>
      </c>
      <c r="Y105" s="19" t="s">
        <v>341</v>
      </c>
      <c r="Z105" s="19" t="s">
        <v>697</v>
      </c>
      <c r="AA105" s="19">
        <v>1</v>
      </c>
      <c r="AB105" s="19">
        <v>1</v>
      </c>
      <c r="AC105" s="19" t="s">
        <v>59</v>
      </c>
      <c r="AD105" s="19" t="s">
        <v>430</v>
      </c>
      <c r="AE105" s="19" t="s">
        <v>80</v>
      </c>
      <c r="AF105" s="19"/>
    </row>
    <row r="106" spans="1:34">
      <c r="A106" s="19">
        <v>100</v>
      </c>
      <c r="B106" s="19" t="s">
        <v>504</v>
      </c>
      <c r="C106" s="19" t="s">
        <v>698</v>
      </c>
      <c r="D106" s="19" t="str">
        <f>HYPERLINK("http://www.henontech.com/fieldsafety/harzard/harzard_show.php?rid=2173&amp;url=harzardrecs.php","操作工夜间巡查时，经过冷却泵时，被地面杂乱的黑皮管绊倒，造成小腿骨折")</f>
        <v>操作工夜间巡查时，经过冷却泵时，被地面杂乱的黑皮管绊倒，造成小腿骨折</v>
      </c>
      <c r="E106" s="19" t="s">
        <v>699</v>
      </c>
      <c r="F106" s="20" t="s">
        <v>42</v>
      </c>
      <c r="G106" s="21" t="s">
        <v>43</v>
      </c>
      <c r="H106" s="19" t="s">
        <v>44</v>
      </c>
      <c r="I106" s="19" t="s">
        <v>130</v>
      </c>
      <c r="J106" s="19" t="s">
        <v>46</v>
      </c>
      <c r="K106" s="19" t="s">
        <v>99</v>
      </c>
      <c r="L106" s="19" t="s">
        <v>48</v>
      </c>
      <c r="M106" s="19" t="s">
        <v>336</v>
      </c>
      <c r="N106" s="19" t="s">
        <v>503</v>
      </c>
      <c r="O106" s="19" t="s">
        <v>336</v>
      </c>
      <c r="P106" s="19" t="s">
        <v>430</v>
      </c>
      <c r="Q106" s="19" t="s">
        <v>648</v>
      </c>
      <c r="R106" s="19" t="s">
        <v>700</v>
      </c>
      <c r="S106" s="19"/>
      <c r="T106" s="19" t="s">
        <v>54</v>
      </c>
      <c r="U106" s="19" t="s">
        <v>55</v>
      </c>
      <c r="V106" s="19" t="s">
        <v>56</v>
      </c>
      <c r="W106" s="19" t="s">
        <v>57</v>
      </c>
      <c r="X106" s="19" t="s">
        <v>445</v>
      </c>
      <c r="Y106" s="19" t="s">
        <v>341</v>
      </c>
      <c r="Z106" s="19" t="s">
        <v>701</v>
      </c>
      <c r="AA106" s="19">
        <v>1</v>
      </c>
      <c r="AB106" s="19">
        <v>1</v>
      </c>
      <c r="AC106" s="19" t="s">
        <v>59</v>
      </c>
      <c r="AD106" s="19" t="s">
        <v>430</v>
      </c>
      <c r="AE106" s="19" t="s">
        <v>80</v>
      </c>
      <c r="AF106" s="19"/>
    </row>
    <row r="107" spans="1:34">
      <c r="A107" s="19">
        <v>101</v>
      </c>
      <c r="B107" s="19" t="s">
        <v>361</v>
      </c>
      <c r="C107" s="19" t="s">
        <v>464</v>
      </c>
      <c r="D107" s="19" t="str">
        <f>HYPERLINK("http://www.henontech.com/fieldsafety/harzard/harzard_show.php?rid=2177&amp;url=harzardrecs.php","夜间操作工巡查时，路过冷却泵时被地面杂乱的黑皮管绊倒，造成小腿骨折")</f>
        <v>夜间操作工巡查时，路过冷却泵时被地面杂乱的黑皮管绊倒，造成小腿骨折</v>
      </c>
      <c r="E107" s="19" t="s">
        <v>699</v>
      </c>
      <c r="F107" s="20" t="s">
        <v>42</v>
      </c>
      <c r="G107" s="21" t="s">
        <v>43</v>
      </c>
      <c r="H107" s="19" t="s">
        <v>44</v>
      </c>
      <c r="I107" s="19" t="s">
        <v>130</v>
      </c>
      <c r="J107" s="19" t="s">
        <v>46</v>
      </c>
      <c r="K107" s="19" t="s">
        <v>99</v>
      </c>
      <c r="L107" s="19" t="s">
        <v>48</v>
      </c>
      <c r="M107" s="19" t="s">
        <v>336</v>
      </c>
      <c r="N107" s="19" t="s">
        <v>503</v>
      </c>
      <c r="O107" s="19" t="s">
        <v>336</v>
      </c>
      <c r="P107" s="19" t="s">
        <v>430</v>
      </c>
      <c r="Q107" s="19" t="s">
        <v>702</v>
      </c>
      <c r="R107" s="19" t="s">
        <v>700</v>
      </c>
      <c r="S107" s="19"/>
      <c r="T107" s="19" t="s">
        <v>54</v>
      </c>
      <c r="U107" s="19" t="s">
        <v>55</v>
      </c>
      <c r="V107" s="19" t="s">
        <v>56</v>
      </c>
      <c r="W107" s="19" t="s">
        <v>57</v>
      </c>
      <c r="X107" s="19" t="s">
        <v>445</v>
      </c>
      <c r="Y107" s="19" t="s">
        <v>341</v>
      </c>
      <c r="Z107" s="19" t="s">
        <v>703</v>
      </c>
      <c r="AA107" s="19">
        <v>1</v>
      </c>
      <c r="AB107" s="19">
        <v>1</v>
      </c>
      <c r="AC107" s="19" t="s">
        <v>59</v>
      </c>
      <c r="AD107" s="19" t="s">
        <v>430</v>
      </c>
      <c r="AE107" s="19" t="s">
        <v>80</v>
      </c>
      <c r="AF107" s="19"/>
    </row>
    <row r="108" spans="1:34" customHeight="1" ht="42">
      <c r="A108" s="19">
        <v>102</v>
      </c>
      <c r="B108" s="19" t="s">
        <v>361</v>
      </c>
      <c r="C108" s="19" t="s">
        <v>704</v>
      </c>
      <c r="D108" s="19" t="str">
        <f>HYPERLINK("http://www.henontech.com/fieldsafety/harzard/harzard_show.php?rid=2181&amp;url=harzardrecs.php","干熄焦环境除尘西侧除尘管道.距地面七米框架处有一废旧钢筋，若遇大风天气，钢筋掉落，砸伤过路行人肩部，在家修养两天")</f>
        <v>干熄焦环境除尘西侧除尘管道.距地面七米框架处有一废旧钢筋，若遇大风天气，钢筋掉落，砸伤过路行人肩部，在家修养两天</v>
      </c>
      <c r="E108" s="19" t="s">
        <v>705</v>
      </c>
      <c r="F108" s="20" t="s">
        <v>42</v>
      </c>
      <c r="G108" s="21" t="s">
        <v>43</v>
      </c>
      <c r="H108" s="19" t="s">
        <v>44</v>
      </c>
      <c r="I108" s="19"/>
      <c r="J108" s="19" t="s">
        <v>381</v>
      </c>
      <c r="K108" s="19"/>
      <c r="L108" s="19"/>
      <c r="M108" s="19" t="s">
        <v>111</v>
      </c>
      <c r="N108" s="19" t="s">
        <v>382</v>
      </c>
      <c r="O108" s="19" t="s">
        <v>111</v>
      </c>
      <c r="P108" s="19" t="s">
        <v>706</v>
      </c>
      <c r="Q108" s="19" t="s">
        <v>707</v>
      </c>
      <c r="R108" s="19" t="s">
        <v>708</v>
      </c>
      <c r="S108" s="19" t="s">
        <v>709</v>
      </c>
      <c r="T108" s="19" t="s">
        <v>54</v>
      </c>
      <c r="U108" s="19" t="s">
        <v>55</v>
      </c>
      <c r="V108" s="19" t="s">
        <v>70</v>
      </c>
      <c r="W108" s="19" t="s">
        <v>179</v>
      </c>
      <c r="X108" s="19" t="s">
        <v>332</v>
      </c>
      <c r="Y108" s="19" t="s">
        <v>332</v>
      </c>
      <c r="Z108" s="19" t="s">
        <v>710</v>
      </c>
      <c r="AA108" s="19">
        <v>2</v>
      </c>
      <c r="AB108" s="19">
        <v>2</v>
      </c>
      <c r="AC108" s="19" t="s">
        <v>59</v>
      </c>
      <c r="AD108" s="19" t="s">
        <v>706</v>
      </c>
      <c r="AE108" s="19" t="s">
        <v>118</v>
      </c>
      <c r="AF108" s="19"/>
    </row>
    <row r="109" spans="1:34" customHeight="1" ht="42">
      <c r="A109" s="19">
        <v>103</v>
      </c>
      <c r="B109" s="19" t="s">
        <v>361</v>
      </c>
      <c r="C109" s="19" t="s">
        <v>111</v>
      </c>
      <c r="D109" s="19" t="str">
        <f>HYPERLINK("http://www.henontech.com/fieldsafety/harzard/harzard_show.php?rid=2182&amp;url=harzardrecs.php","炉顶旋臂吊处，一槽钢横放在端台上，一名职工在夜间工作时，因视线不好被槽钢绊倒，致使肩膀碰在旋臂吊铁架上，造成肩膀骨折。")</f>
        <v>炉顶旋臂吊处，一槽钢横放在端台上，一名职工在夜间工作时，因视线不好被槽钢绊倒，致使肩膀碰在旋臂吊铁架上，造成肩膀骨折。</v>
      </c>
      <c r="E109" s="19" t="s">
        <v>711</v>
      </c>
      <c r="F109" s="20" t="s">
        <v>42</v>
      </c>
      <c r="G109" s="22" t="s">
        <v>108</v>
      </c>
      <c r="H109" s="19" t="s">
        <v>44</v>
      </c>
      <c r="I109" s="19" t="s">
        <v>109</v>
      </c>
      <c r="J109" s="19" t="s">
        <v>381</v>
      </c>
      <c r="K109" s="19" t="s">
        <v>47</v>
      </c>
      <c r="L109" s="19" t="s">
        <v>252</v>
      </c>
      <c r="M109" s="19" t="s">
        <v>111</v>
      </c>
      <c r="N109" s="19" t="s">
        <v>712</v>
      </c>
      <c r="O109" s="19" t="s">
        <v>111</v>
      </c>
      <c r="P109" s="19" t="s">
        <v>642</v>
      </c>
      <c r="Q109" s="19" t="s">
        <v>713</v>
      </c>
      <c r="R109" s="19" t="s">
        <v>714</v>
      </c>
      <c r="S109" s="19"/>
      <c r="T109" s="19" t="s">
        <v>54</v>
      </c>
      <c r="U109" s="19" t="s">
        <v>55</v>
      </c>
      <c r="V109" s="19" t="s">
        <v>56</v>
      </c>
      <c r="W109" s="19" t="s">
        <v>57</v>
      </c>
      <c r="X109" s="19" t="s">
        <v>332</v>
      </c>
      <c r="Y109" s="19"/>
      <c r="Z109" s="19" t="s">
        <v>715</v>
      </c>
      <c r="AA109" s="19">
        <v>2</v>
      </c>
      <c r="AB109" s="19">
        <v>2</v>
      </c>
      <c r="AC109" s="19" t="s">
        <v>59</v>
      </c>
      <c r="AD109" s="19" t="s">
        <v>642</v>
      </c>
      <c r="AE109" s="19" t="s">
        <v>118</v>
      </c>
      <c r="AF109" s="19" t="s">
        <v>716</v>
      </c>
    </row>
    <row r="110" spans="1:34">
      <c r="A110" s="19">
        <v>104</v>
      </c>
      <c r="B110" s="19" t="s">
        <v>367</v>
      </c>
      <c r="C110" s="19" t="s">
        <v>717</v>
      </c>
      <c r="D110" s="19" t="str">
        <f>HYPERLINK("http://www.henontech.com/fieldsafety/harzard/harzard_show.php?rid=2186&amp;url=harzardrecs.php","变换操作工在排放二热交换器倒淋时，因倒淋管出口离地沟存在距离，使排出的热水和蒸汽向四周喷溅，造成操作人员脚腕部轻微烫伤，立即用冷水冲洗，到医务室清洗上药后复工。")</f>
        <v>变换操作工在排放二热交换器倒淋时，因倒淋管出口离地沟存在距离，使排出的热水和蒸汽向四周喷溅，造成操作人员脚腕部轻微烫伤，立即用冷水冲洗，到医务室清洗上药后复工。</v>
      </c>
      <c r="E110" s="19" t="s">
        <v>718</v>
      </c>
      <c r="F110" s="20" t="s">
        <v>42</v>
      </c>
      <c r="G110" s="21" t="s">
        <v>43</v>
      </c>
      <c r="H110" s="19" t="s">
        <v>44</v>
      </c>
      <c r="I110" s="19" t="s">
        <v>45</v>
      </c>
      <c r="J110" s="19" t="s">
        <v>46</v>
      </c>
      <c r="K110" s="19" t="s">
        <v>99</v>
      </c>
      <c r="L110" s="19" t="s">
        <v>48</v>
      </c>
      <c r="M110" s="19" t="s">
        <v>336</v>
      </c>
      <c r="N110" s="19" t="s">
        <v>719</v>
      </c>
      <c r="O110" s="19" t="s">
        <v>336</v>
      </c>
      <c r="P110" s="19" t="s">
        <v>430</v>
      </c>
      <c r="Q110" s="19" t="s">
        <v>707</v>
      </c>
      <c r="R110" s="19" t="s">
        <v>720</v>
      </c>
      <c r="S110" s="19"/>
      <c r="T110" s="19" t="s">
        <v>54</v>
      </c>
      <c r="U110" s="19" t="s">
        <v>69</v>
      </c>
      <c r="V110" s="19" t="s">
        <v>70</v>
      </c>
      <c r="W110" s="19" t="s">
        <v>71</v>
      </c>
      <c r="X110" s="19" t="s">
        <v>116</v>
      </c>
      <c r="Y110" s="19" t="s">
        <v>116</v>
      </c>
      <c r="Z110" s="19" t="s">
        <v>721</v>
      </c>
      <c r="AA110" s="19">
        <v>1</v>
      </c>
      <c r="AB110" s="19">
        <v>0</v>
      </c>
      <c r="AC110" s="19" t="s">
        <v>59</v>
      </c>
      <c r="AD110" s="19" t="s">
        <v>430</v>
      </c>
      <c r="AE110" s="19" t="s">
        <v>80</v>
      </c>
      <c r="AF110" s="19" t="s">
        <v>434</v>
      </c>
    </row>
    <row r="111" spans="1:34">
      <c r="A111" s="19">
        <v>105</v>
      </c>
      <c r="B111" s="19" t="s">
        <v>367</v>
      </c>
      <c r="C111" s="19" t="s">
        <v>111</v>
      </c>
      <c r="D111" s="19" t="str">
        <f>HYPERLINK("http://www.henontech.com/fieldsafety/harzard/harzard_show.php?rid=2189&amp;url=harzardrecs.php","1#循环水泵出口南侧排地沟盖板破损，一操作工巡检检查压力表时，不慎踩空摔倒，造成脚踝扭伤，损工5天")</f>
        <v>1#循环水泵出口南侧排地沟盖板破损，一操作工巡检检查压力表时，不慎踩空摔倒，造成脚踝扭伤，损工5天</v>
      </c>
      <c r="E111" s="19" t="s">
        <v>722</v>
      </c>
      <c r="F111" s="20" t="s">
        <v>42</v>
      </c>
      <c r="G111" s="21" t="s">
        <v>43</v>
      </c>
      <c r="H111" s="19" t="s">
        <v>44</v>
      </c>
      <c r="I111" s="19" t="s">
        <v>45</v>
      </c>
      <c r="J111" s="19" t="s">
        <v>46</v>
      </c>
      <c r="K111" s="19" t="s">
        <v>131</v>
      </c>
      <c r="L111" s="19"/>
      <c r="M111" s="19" t="s">
        <v>111</v>
      </c>
      <c r="N111" s="19" t="s">
        <v>723</v>
      </c>
      <c r="O111" s="19" t="s">
        <v>111</v>
      </c>
      <c r="P111" s="19" t="s">
        <v>706</v>
      </c>
      <c r="Q111" s="19" t="s">
        <v>707</v>
      </c>
      <c r="R111" s="19" t="s">
        <v>724</v>
      </c>
      <c r="S111" s="19" t="s">
        <v>725</v>
      </c>
      <c r="T111" s="19" t="s">
        <v>54</v>
      </c>
      <c r="U111" s="19" t="s">
        <v>55</v>
      </c>
      <c r="V111" s="19" t="s">
        <v>70</v>
      </c>
      <c r="W111" s="19" t="s">
        <v>179</v>
      </c>
      <c r="X111" s="19" t="s">
        <v>116</v>
      </c>
      <c r="Y111" s="19"/>
      <c r="Z111" s="19" t="s">
        <v>726</v>
      </c>
      <c r="AA111" s="19">
        <v>1</v>
      </c>
      <c r="AB111" s="19">
        <v>1</v>
      </c>
      <c r="AC111" s="19" t="s">
        <v>59</v>
      </c>
      <c r="AD111" s="19" t="s">
        <v>706</v>
      </c>
      <c r="AE111" s="19" t="s">
        <v>118</v>
      </c>
      <c r="AF111" s="19"/>
    </row>
    <row r="112" spans="1:34">
      <c r="A112" s="19">
        <v>106</v>
      </c>
      <c r="B112" s="19" t="s">
        <v>367</v>
      </c>
      <c r="C112" s="19" t="s">
        <v>276</v>
      </c>
      <c r="D112" s="19" t="str">
        <f>HYPERLINK("http://www.henontech.com/fieldsafety/harzard/harzard_show.php?rid=2190&amp;url=harzardrecs.php","电工人员到楼顶检查天窗电机，右肩上挎着工具包，爬至到一半时，工具包不慎滑落，人员下意识的用右手去拿，另一只手没有抓紧爬梯从爬梯上跌落，身体右侧着地，造成身体右侧多处骨折，送医治疗损工150天。")</f>
        <v>电工人员到楼顶检查天窗电机，右肩上挎着工具包，爬至到一半时，工具包不慎滑落，人员下意识的用右手去拿，另一只手没有抓紧爬梯从爬梯上跌落，身体右侧着地，造成身体右侧多处骨折，送医治疗损工150天。</v>
      </c>
      <c r="E112" s="19" t="s">
        <v>727</v>
      </c>
      <c r="F112" s="20" t="s">
        <v>42</v>
      </c>
      <c r="G112" s="21" t="s">
        <v>43</v>
      </c>
      <c r="H112" s="19" t="s">
        <v>44</v>
      </c>
      <c r="I112" s="19"/>
      <c r="J112" s="19"/>
      <c r="K112" s="19" t="s">
        <v>184</v>
      </c>
      <c r="L112" s="19"/>
      <c r="M112" s="19" t="s">
        <v>111</v>
      </c>
      <c r="N112" s="19" t="s">
        <v>728</v>
      </c>
      <c r="O112" s="19" t="s">
        <v>111</v>
      </c>
      <c r="P112" s="19" t="s">
        <v>706</v>
      </c>
      <c r="Q112" s="19" t="s">
        <v>707</v>
      </c>
      <c r="R112" s="19" t="s">
        <v>729</v>
      </c>
      <c r="S112" s="19" t="s">
        <v>730</v>
      </c>
      <c r="T112" s="19" t="s">
        <v>54</v>
      </c>
      <c r="U112" s="19" t="s">
        <v>55</v>
      </c>
      <c r="V112" s="19" t="s">
        <v>56</v>
      </c>
      <c r="W112" s="19" t="s">
        <v>57</v>
      </c>
      <c r="X112" s="19" t="s">
        <v>332</v>
      </c>
      <c r="Y112" s="19"/>
      <c r="Z112" s="19" t="s">
        <v>731</v>
      </c>
      <c r="AA112" s="19">
        <v>1</v>
      </c>
      <c r="AB112" s="19">
        <v>1</v>
      </c>
      <c r="AC112" s="19" t="s">
        <v>59</v>
      </c>
      <c r="AD112" s="19" t="s">
        <v>706</v>
      </c>
      <c r="AE112" s="19" t="s">
        <v>118</v>
      </c>
      <c r="AF112" s="19"/>
    </row>
    <row r="113" spans="1:34">
      <c r="A113" s="19">
        <v>107</v>
      </c>
      <c r="B113" s="19" t="s">
        <v>367</v>
      </c>
      <c r="C113" s="19" t="s">
        <v>111</v>
      </c>
      <c r="D113" s="19" t="str">
        <f>HYPERLINK("http://www.henontech.com/fieldsafety/harzard/harzard_show.php?rid=2191&amp;url=harzardrecs.php","雨雪天气，员工在夜间操作3号4号减温减压时，由于照明灯（220v）线路未加防护套管 线头裸露，操作工脚底打滑，手扶漏电处，造成触电，经医院抢救无效死亡！")</f>
        <v>雨雪天气，员工在夜间操作3号4号减温减压时，由于照明灯（220v）线路未加防护套管 线头裸露，操作工脚底打滑，手扶漏电处，造成触电，经医院抢救无效死亡！</v>
      </c>
      <c r="E113" s="19" t="s">
        <v>732</v>
      </c>
      <c r="F113" s="20" t="s">
        <v>42</v>
      </c>
      <c r="G113" s="21" t="s">
        <v>43</v>
      </c>
      <c r="H113" s="19" t="s">
        <v>44</v>
      </c>
      <c r="I113" s="19"/>
      <c r="J113" s="19" t="s">
        <v>329</v>
      </c>
      <c r="K113" s="19"/>
      <c r="L113" s="19"/>
      <c r="M113" s="19" t="s">
        <v>111</v>
      </c>
      <c r="N113" s="19" t="s">
        <v>403</v>
      </c>
      <c r="O113" s="19" t="s">
        <v>111</v>
      </c>
      <c r="P113" s="19" t="s">
        <v>294</v>
      </c>
      <c r="Q113" s="19" t="s">
        <v>707</v>
      </c>
      <c r="R113" s="19" t="s">
        <v>733</v>
      </c>
      <c r="S113" s="19" t="s">
        <v>734</v>
      </c>
      <c r="T113" s="19" t="s">
        <v>54</v>
      </c>
      <c r="U113" s="19" t="s">
        <v>161</v>
      </c>
      <c r="V113" s="19" t="s">
        <v>70</v>
      </c>
      <c r="W113" s="19" t="s">
        <v>57</v>
      </c>
      <c r="X113" s="19" t="s">
        <v>116</v>
      </c>
      <c r="Y113" s="19"/>
      <c r="Z113" s="19" t="s">
        <v>735</v>
      </c>
      <c r="AA113" s="19">
        <v>1</v>
      </c>
      <c r="AB113" s="19">
        <v>1</v>
      </c>
      <c r="AC113" s="19" t="s">
        <v>59</v>
      </c>
      <c r="AD113" s="19" t="s">
        <v>294</v>
      </c>
      <c r="AE113" s="19" t="s">
        <v>399</v>
      </c>
      <c r="AF113" s="19" t="s">
        <v>736</v>
      </c>
    </row>
    <row r="114" spans="1:34" customHeight="1" ht="42">
      <c r="A114" s="19">
        <v>108</v>
      </c>
      <c r="B114" s="19" t="s">
        <v>367</v>
      </c>
      <c r="C114" s="19" t="s">
        <v>276</v>
      </c>
      <c r="D114" s="19" t="str">
        <f>HYPERLINK("http://www.henontech.com/fieldsafety/harzard/harzard_show.php?rid=2193&amp;url=harzardrecs.php","冬季雨雪天气较多，爬梯台阶湿滑，一巡检人员通过循环水北侧爬梯去循环水池加药时，由于爬梯台阶未安装防滑条，台阶湿滑，巡检人员脚底打滑，从爬梯滑落至地面，送医治疗，脚踝扭伤，损工十天。")</f>
        <v>冬季雨雪天气较多，爬梯台阶湿滑，一巡检人员通过循环水北侧爬梯去循环水池加药时，由于爬梯台阶未安装防滑条，台阶湿滑，巡检人员脚底打滑，从爬梯滑落至地面，送医治疗，脚踝扭伤，损工十天。</v>
      </c>
      <c r="E114" s="19" t="s">
        <v>737</v>
      </c>
      <c r="F114" s="20" t="s">
        <v>42</v>
      </c>
      <c r="G114" s="21" t="s">
        <v>43</v>
      </c>
      <c r="H114" s="19" t="s">
        <v>44</v>
      </c>
      <c r="I114" s="19" t="s">
        <v>268</v>
      </c>
      <c r="J114" s="19" t="s">
        <v>158</v>
      </c>
      <c r="K114" s="19" t="s">
        <v>184</v>
      </c>
      <c r="L114" s="19" t="s">
        <v>48</v>
      </c>
      <c r="M114" s="19" t="s">
        <v>111</v>
      </c>
      <c r="N114" s="19" t="s">
        <v>394</v>
      </c>
      <c r="O114" s="19" t="s">
        <v>111</v>
      </c>
      <c r="P114" s="19" t="s">
        <v>706</v>
      </c>
      <c r="Q114" s="19" t="s">
        <v>738</v>
      </c>
      <c r="R114" s="19" t="s">
        <v>739</v>
      </c>
      <c r="S114" s="19" t="s">
        <v>740</v>
      </c>
      <c r="T114" s="19" t="s">
        <v>54</v>
      </c>
      <c r="U114" s="19" t="s">
        <v>55</v>
      </c>
      <c r="V114" s="19" t="s">
        <v>56</v>
      </c>
      <c r="W114" s="19" t="s">
        <v>57</v>
      </c>
      <c r="X114" s="19" t="s">
        <v>332</v>
      </c>
      <c r="Y114" s="19" t="s">
        <v>116</v>
      </c>
      <c r="Z114" s="19" t="s">
        <v>741</v>
      </c>
      <c r="AA114" s="19">
        <v>2</v>
      </c>
      <c r="AB114" s="19">
        <v>2</v>
      </c>
      <c r="AC114" s="19" t="s">
        <v>59</v>
      </c>
      <c r="AD114" s="19" t="s">
        <v>706</v>
      </c>
      <c r="AE114" s="19" t="s">
        <v>118</v>
      </c>
      <c r="AF114" s="19"/>
    </row>
    <row r="115" spans="1:34">
      <c r="A115" s="19">
        <v>109</v>
      </c>
      <c r="B115" s="19" t="s">
        <v>367</v>
      </c>
      <c r="C115" s="19" t="s">
        <v>742</v>
      </c>
      <c r="D115" s="19" t="str">
        <f>HYPERLINK("http://www.henontech.com/fieldsafety/harzard/harzard_show.php?rid=2197&amp;url=harzardrecs.php","四号离心机皮带破损，一名操作工在巡检擦拭离心机时，皮带在高速运转中突然断裂打出，致使操作工手部受伤，去医院包扎后，损工两天。")</f>
        <v>四号离心机皮带破损，一名操作工在巡检擦拭离心机时，皮带在高速运转中突然断裂打出，致使操作工手部受伤，去医院包扎后，损工两天。</v>
      </c>
      <c r="E115" s="19" t="s">
        <v>743</v>
      </c>
      <c r="F115" s="20" t="s">
        <v>42</v>
      </c>
      <c r="G115" s="22" t="s">
        <v>108</v>
      </c>
      <c r="H115" s="19" t="s">
        <v>44</v>
      </c>
      <c r="I115" s="19" t="s">
        <v>130</v>
      </c>
      <c r="J115" s="19" t="s">
        <v>46</v>
      </c>
      <c r="K115" s="19" t="s">
        <v>99</v>
      </c>
      <c r="L115" s="19" t="s">
        <v>48</v>
      </c>
      <c r="M115" s="19" t="s">
        <v>336</v>
      </c>
      <c r="N115" s="19" t="s">
        <v>744</v>
      </c>
      <c r="O115" s="19" t="s">
        <v>336</v>
      </c>
      <c r="P115" s="19" t="s">
        <v>517</v>
      </c>
      <c r="Q115" s="19" t="s">
        <v>745</v>
      </c>
      <c r="R115" s="19" t="s">
        <v>746</v>
      </c>
      <c r="S115" s="19"/>
      <c r="T115" s="19" t="s">
        <v>54</v>
      </c>
      <c r="U115" s="19" t="s">
        <v>55</v>
      </c>
      <c r="V115" s="19" t="s">
        <v>70</v>
      </c>
      <c r="W115" s="19" t="s">
        <v>179</v>
      </c>
      <c r="X115" s="19" t="s">
        <v>116</v>
      </c>
      <c r="Y115" s="19" t="s">
        <v>116</v>
      </c>
      <c r="Z115" s="19" t="s">
        <v>747</v>
      </c>
      <c r="AA115" s="19">
        <v>1</v>
      </c>
      <c r="AB115" s="19">
        <v>1</v>
      </c>
      <c r="AC115" s="19" t="s">
        <v>59</v>
      </c>
      <c r="AD115" s="19" t="s">
        <v>517</v>
      </c>
      <c r="AE115" s="19" t="s">
        <v>73</v>
      </c>
      <c r="AF115" s="19"/>
    </row>
    <row r="116" spans="1:34" customHeight="1" ht="42">
      <c r="A116" s="19">
        <v>110</v>
      </c>
      <c r="B116" s="19" t="s">
        <v>373</v>
      </c>
      <c r="C116" s="19" t="s">
        <v>111</v>
      </c>
      <c r="D116" s="19" t="str">
        <f>HYPERLINK("http://www.henontech.com/fieldsafety/harzard/harzard_show.php?rid=2201&amp;url=harzardrecs.php","洗焦泵房窗户合页腐烂严重，万一巡检人员经过时坠落砸伤头部。去医院包扎，限工3天。")</f>
        <v>洗焦泵房窗户合页腐烂严重，万一巡检人员经过时坠落砸伤头部。去医院包扎，限工3天。</v>
      </c>
      <c r="E116" s="19" t="s">
        <v>748</v>
      </c>
      <c r="F116" s="20" t="s">
        <v>42</v>
      </c>
      <c r="G116" s="22" t="s">
        <v>108</v>
      </c>
      <c r="H116" s="19" t="s">
        <v>44</v>
      </c>
      <c r="I116" s="19" t="s">
        <v>45</v>
      </c>
      <c r="J116" s="19" t="s">
        <v>46</v>
      </c>
      <c r="K116" s="19" t="s">
        <v>84</v>
      </c>
      <c r="L116" s="19" t="s">
        <v>48</v>
      </c>
      <c r="M116" s="19" t="s">
        <v>111</v>
      </c>
      <c r="N116" s="19" t="s">
        <v>749</v>
      </c>
      <c r="O116" s="19" t="s">
        <v>111</v>
      </c>
      <c r="P116" s="19" t="s">
        <v>294</v>
      </c>
      <c r="Q116" s="19" t="s">
        <v>713</v>
      </c>
      <c r="R116" s="19" t="s">
        <v>750</v>
      </c>
      <c r="S116" s="19"/>
      <c r="T116" s="19" t="s">
        <v>54</v>
      </c>
      <c r="U116" s="19" t="s">
        <v>55</v>
      </c>
      <c r="V116" s="19" t="s">
        <v>56</v>
      </c>
      <c r="W116" s="19" t="s">
        <v>57</v>
      </c>
      <c r="X116" s="19" t="s">
        <v>116</v>
      </c>
      <c r="Y116" s="19"/>
      <c r="Z116" s="19" t="s">
        <v>751</v>
      </c>
      <c r="AA116" s="19">
        <v>2</v>
      </c>
      <c r="AB116" s="19">
        <v>2</v>
      </c>
      <c r="AC116" s="19" t="s">
        <v>59</v>
      </c>
      <c r="AD116" s="19" t="s">
        <v>294</v>
      </c>
      <c r="AE116" s="19" t="s">
        <v>299</v>
      </c>
      <c r="AF116" s="19"/>
    </row>
    <row r="117" spans="1:34">
      <c r="A117" s="19">
        <v>111</v>
      </c>
      <c r="B117" s="19" t="s">
        <v>373</v>
      </c>
      <c r="C117" s="19" t="s">
        <v>752</v>
      </c>
      <c r="D117" s="19" t="str">
        <f>HYPERLINK("http://www.henontech.com/fieldsafety/harzard/harzard_show.php?rid=2205&amp;url=harzardrecs.php","压缩岗位因检修更换旧阀门未及时清理现场，夜间一名巡检工在巡查过程中，因夜间视线不好，没能发现安全通道处阀门，被阀门拌倒造成手腕扭伤，立即就医治疗。")</f>
        <v>压缩岗位因检修更换旧阀门未及时清理现场，夜间一名巡检工在巡查过程中，因夜间视线不好，没能发现安全通道处阀门，被阀门拌倒造成手腕扭伤，立即就医治疗。</v>
      </c>
      <c r="E117" s="19" t="s">
        <v>753</v>
      </c>
      <c r="F117" s="20" t="s">
        <v>42</v>
      </c>
      <c r="G117" s="21" t="s">
        <v>43</v>
      </c>
      <c r="H117" s="19" t="s">
        <v>44</v>
      </c>
      <c r="I117" s="19" t="s">
        <v>109</v>
      </c>
      <c r="J117" s="19" t="s">
        <v>46</v>
      </c>
      <c r="K117" s="19" t="s">
        <v>99</v>
      </c>
      <c r="L117" s="19"/>
      <c r="M117" s="19" t="s">
        <v>336</v>
      </c>
      <c r="N117" s="19" t="s">
        <v>517</v>
      </c>
      <c r="O117" s="19" t="s">
        <v>336</v>
      </c>
      <c r="P117" s="19" t="s">
        <v>517</v>
      </c>
      <c r="Q117" s="19" t="s">
        <v>511</v>
      </c>
      <c r="R117" s="19" t="s">
        <v>754</v>
      </c>
      <c r="S117" s="19"/>
      <c r="T117" s="19" t="s">
        <v>54</v>
      </c>
      <c r="U117" s="19" t="s">
        <v>55</v>
      </c>
      <c r="V117" s="19" t="s">
        <v>70</v>
      </c>
      <c r="W117" s="19" t="s">
        <v>179</v>
      </c>
      <c r="X117" s="19" t="s">
        <v>332</v>
      </c>
      <c r="Y117" s="19" t="s">
        <v>332</v>
      </c>
      <c r="Z117" s="19" t="s">
        <v>755</v>
      </c>
      <c r="AA117" s="19">
        <v>1</v>
      </c>
      <c r="AB117" s="19">
        <v>1</v>
      </c>
      <c r="AC117" s="19" t="s">
        <v>59</v>
      </c>
      <c r="AD117" s="19" t="s">
        <v>517</v>
      </c>
      <c r="AE117" s="19" t="s">
        <v>80</v>
      </c>
      <c r="AF117" s="19"/>
    </row>
    <row r="118" spans="1:34">
      <c r="A118" s="19">
        <v>112</v>
      </c>
      <c r="B118" s="19" t="s">
        <v>373</v>
      </c>
      <c r="C118" s="19" t="s">
        <v>535</v>
      </c>
      <c r="D118" s="19" t="str">
        <f>HYPERLINK("http://www.henontech.com/fieldsafety/harzard/harzard_show.php?rid=2207&amp;url=harzardrecs.php","缝包机接头处电缆裸露，当操作工在使用缝包机时不慎触电")</f>
        <v>缝包机接头处电缆裸露，当操作工在使用缝包机时不慎触电</v>
      </c>
      <c r="E118" s="19" t="s">
        <v>756</v>
      </c>
      <c r="F118" s="20" t="s">
        <v>42</v>
      </c>
      <c r="G118" s="21" t="s">
        <v>43</v>
      </c>
      <c r="H118" s="19" t="s">
        <v>44</v>
      </c>
      <c r="I118" s="19" t="s">
        <v>109</v>
      </c>
      <c r="J118" s="19" t="s">
        <v>46</v>
      </c>
      <c r="K118" s="19" t="s">
        <v>99</v>
      </c>
      <c r="L118" s="19"/>
      <c r="M118" s="19" t="s">
        <v>336</v>
      </c>
      <c r="N118" s="19" t="s">
        <v>757</v>
      </c>
      <c r="O118" s="19" t="s">
        <v>336</v>
      </c>
      <c r="P118" s="19" t="s">
        <v>430</v>
      </c>
      <c r="Q118" s="19" t="s">
        <v>738</v>
      </c>
      <c r="R118" s="19" t="s">
        <v>758</v>
      </c>
      <c r="S118" s="19"/>
      <c r="T118" s="19" t="s">
        <v>54</v>
      </c>
      <c r="U118" s="19" t="s">
        <v>55</v>
      </c>
      <c r="V118" s="19" t="s">
        <v>70</v>
      </c>
      <c r="W118" s="19" t="s">
        <v>179</v>
      </c>
      <c r="X118" s="19" t="s">
        <v>673</v>
      </c>
      <c r="Y118" s="19" t="s">
        <v>673</v>
      </c>
      <c r="Z118" s="19" t="s">
        <v>759</v>
      </c>
      <c r="AA118" s="19">
        <v>1</v>
      </c>
      <c r="AB118" s="19">
        <v>1</v>
      </c>
      <c r="AC118" s="19" t="s">
        <v>59</v>
      </c>
      <c r="AD118" s="19" t="s">
        <v>430</v>
      </c>
      <c r="AE118" s="19" t="s">
        <v>73</v>
      </c>
      <c r="AF118" s="19"/>
    </row>
    <row r="119" spans="1:34">
      <c r="A119" s="19">
        <v>113</v>
      </c>
      <c r="B119" s="19" t="s">
        <v>373</v>
      </c>
      <c r="C119" s="19" t="s">
        <v>495</v>
      </c>
      <c r="D119" s="19" t="str">
        <f>HYPERLINK("http://www.henontech.com/fieldsafety/harzard/harzard_show.php?rid=2209&amp;url=harzardrecs.php","压缩巡检室内静电地板塌陷，巡检工外出巡检时，没能及时发现不慎踩空，造成一名巡检工脚腕扭伤，立即就医诊断脚腕骨折，住院治疗。")</f>
        <v>压缩巡检室内静电地板塌陷，巡检工外出巡检时，没能及时发现不慎踩空，造成一名巡检工脚腕扭伤，立即就医诊断脚腕骨折，住院治疗。</v>
      </c>
      <c r="E119" s="19" t="s">
        <v>760</v>
      </c>
      <c r="F119" s="20" t="s">
        <v>42</v>
      </c>
      <c r="G119" s="21" t="s">
        <v>43</v>
      </c>
      <c r="H119" s="19" t="s">
        <v>44</v>
      </c>
      <c r="I119" s="19" t="s">
        <v>109</v>
      </c>
      <c r="J119" s="19" t="s">
        <v>46</v>
      </c>
      <c r="K119" s="19" t="s">
        <v>99</v>
      </c>
      <c r="L119" s="19"/>
      <c r="M119" s="19" t="s">
        <v>336</v>
      </c>
      <c r="N119" s="19" t="s">
        <v>761</v>
      </c>
      <c r="O119" s="19" t="s">
        <v>336</v>
      </c>
      <c r="P119" s="19" t="s">
        <v>517</v>
      </c>
      <c r="Q119" s="19" t="s">
        <v>738</v>
      </c>
      <c r="R119" s="19" t="s">
        <v>762</v>
      </c>
      <c r="S119" s="19"/>
      <c r="T119" s="19" t="s">
        <v>54</v>
      </c>
      <c r="U119" s="19" t="s">
        <v>55</v>
      </c>
      <c r="V119" s="19" t="s">
        <v>70</v>
      </c>
      <c r="W119" s="19" t="s">
        <v>179</v>
      </c>
      <c r="X119" s="19" t="s">
        <v>347</v>
      </c>
      <c r="Y119" s="19" t="s">
        <v>347</v>
      </c>
      <c r="Z119" s="19" t="s">
        <v>763</v>
      </c>
      <c r="AA119" s="19">
        <v>1</v>
      </c>
      <c r="AB119" s="19">
        <v>1</v>
      </c>
      <c r="AC119" s="19" t="s">
        <v>59</v>
      </c>
      <c r="AD119" s="19" t="s">
        <v>517</v>
      </c>
      <c r="AE119" s="19" t="s">
        <v>73</v>
      </c>
      <c r="AF119" s="19"/>
    </row>
    <row r="120" spans="1:34">
      <c r="A120" s="19">
        <v>114</v>
      </c>
      <c r="B120" s="19" t="s">
        <v>373</v>
      </c>
      <c r="C120" s="19" t="s">
        <v>495</v>
      </c>
      <c r="D120" s="19" t="str">
        <f>HYPERLINK("http://www.henontech.com/fieldsafety/harzard/harzard_show.php?rid=2210&amp;url=harzardrecs.php","一名操作工在巡检时，因踏板塌陷打滑扭伤脚踝，到医务室治疗。")</f>
        <v>一名操作工在巡检时，因踏板塌陷打滑扭伤脚踝，到医务室治疗。</v>
      </c>
      <c r="E120" s="19" t="s">
        <v>764</v>
      </c>
      <c r="F120" s="20" t="s">
        <v>42</v>
      </c>
      <c r="G120" s="21" t="s">
        <v>43</v>
      </c>
      <c r="H120" s="19" t="s">
        <v>44</v>
      </c>
      <c r="I120" s="19" t="s">
        <v>109</v>
      </c>
      <c r="J120" s="19" t="s">
        <v>46</v>
      </c>
      <c r="K120" s="19" t="s">
        <v>184</v>
      </c>
      <c r="L120" s="19"/>
      <c r="M120" s="19" t="s">
        <v>336</v>
      </c>
      <c r="N120" s="19" t="s">
        <v>765</v>
      </c>
      <c r="O120" s="19" t="s">
        <v>336</v>
      </c>
      <c r="P120" s="19" t="s">
        <v>517</v>
      </c>
      <c r="Q120" s="19" t="s">
        <v>738</v>
      </c>
      <c r="R120" s="19" t="s">
        <v>766</v>
      </c>
      <c r="S120" s="19"/>
      <c r="T120" s="19" t="s">
        <v>54</v>
      </c>
      <c r="U120" s="19" t="s">
        <v>69</v>
      </c>
      <c r="V120" s="19" t="s">
        <v>56</v>
      </c>
      <c r="W120" s="19" t="s">
        <v>179</v>
      </c>
      <c r="X120" s="19" t="s">
        <v>673</v>
      </c>
      <c r="Y120" s="19" t="s">
        <v>673</v>
      </c>
      <c r="Z120" s="19" t="s">
        <v>767</v>
      </c>
      <c r="AA120" s="19">
        <v>1</v>
      </c>
      <c r="AB120" s="19">
        <v>1</v>
      </c>
      <c r="AC120" s="19" t="s">
        <v>59</v>
      </c>
      <c r="AD120" s="19" t="s">
        <v>517</v>
      </c>
      <c r="AE120" s="19" t="s">
        <v>73</v>
      </c>
      <c r="AF120" s="19"/>
    </row>
    <row r="121" spans="1:34">
      <c r="A121" s="19">
        <v>115</v>
      </c>
      <c r="B121" s="19" t="s">
        <v>373</v>
      </c>
      <c r="C121" s="19" t="s">
        <v>464</v>
      </c>
      <c r="D121" s="19" t="str">
        <f>HYPERLINK("http://www.henontech.com/fieldsafety/harzard/harzard_show.php?rid=2215&amp;url=harzardrecs.php","1#分馏塔二层平台有外协人员刷漆时遗落的漆桶，大风天一名操作工巡检时被刮落的漆桶砸中右肩部，立即送医治疗。")</f>
        <v>1#分馏塔二层平台有外协人员刷漆时遗落的漆桶，大风天一名操作工巡检时被刮落的漆桶砸中右肩部，立即送医治疗。</v>
      </c>
      <c r="E121" s="19" t="s">
        <v>768</v>
      </c>
      <c r="F121" s="20" t="s">
        <v>42</v>
      </c>
      <c r="G121" s="21" t="s">
        <v>43</v>
      </c>
      <c r="H121" s="19" t="s">
        <v>44</v>
      </c>
      <c r="I121" s="19" t="s">
        <v>109</v>
      </c>
      <c r="J121" s="19"/>
      <c r="K121" s="19" t="s">
        <v>47</v>
      </c>
      <c r="L121" s="19"/>
      <c r="M121" s="19" t="s">
        <v>336</v>
      </c>
      <c r="N121" s="19" t="s">
        <v>769</v>
      </c>
      <c r="O121" s="19" t="s">
        <v>336</v>
      </c>
      <c r="P121" s="19" t="s">
        <v>517</v>
      </c>
      <c r="Q121" s="19" t="s">
        <v>738</v>
      </c>
      <c r="R121" s="19" t="s">
        <v>468</v>
      </c>
      <c r="S121" s="19"/>
      <c r="T121" s="19" t="s">
        <v>54</v>
      </c>
      <c r="U121" s="19" t="s">
        <v>55</v>
      </c>
      <c r="V121" s="19" t="s">
        <v>56</v>
      </c>
      <c r="W121" s="19" t="s">
        <v>57</v>
      </c>
      <c r="X121" s="19" t="s">
        <v>445</v>
      </c>
      <c r="Y121" s="19" t="s">
        <v>341</v>
      </c>
      <c r="Z121" s="19" t="s">
        <v>770</v>
      </c>
      <c r="AA121" s="19">
        <v>1</v>
      </c>
      <c r="AB121" s="19">
        <v>1</v>
      </c>
      <c r="AC121" s="19" t="s">
        <v>59</v>
      </c>
      <c r="AD121" s="19" t="s">
        <v>517</v>
      </c>
      <c r="AE121" s="19" t="s">
        <v>73</v>
      </c>
      <c r="AF121" s="19"/>
    </row>
    <row r="122" spans="1:34">
      <c r="A122" s="19">
        <v>116</v>
      </c>
      <c r="B122" s="19" t="s">
        <v>373</v>
      </c>
      <c r="C122" s="19" t="s">
        <v>665</v>
      </c>
      <c r="D122" s="19" t="str">
        <f>HYPERLINK("http://www.henontech.com/fieldsafety/harzard/harzard_show.php?rid=2218&amp;url=harzardrecs.php","焦炉预热器管架有维修时未清理的保温材料，一名操作工巡检时被掉落的保温材料砸伤胳膊，造成骨折住院治疗")</f>
        <v>焦炉预热器管架有维修时未清理的保温材料，一名操作工巡检时被掉落的保温材料砸伤胳膊，造成骨折住院治疗</v>
      </c>
      <c r="E122" s="19" t="s">
        <v>771</v>
      </c>
      <c r="F122" s="20" t="s">
        <v>42</v>
      </c>
      <c r="G122" s="21" t="s">
        <v>43</v>
      </c>
      <c r="H122" s="19" t="s">
        <v>44</v>
      </c>
      <c r="I122" s="19" t="s">
        <v>109</v>
      </c>
      <c r="J122" s="19"/>
      <c r="K122" s="19" t="s">
        <v>47</v>
      </c>
      <c r="L122" s="19"/>
      <c r="M122" s="19" t="s">
        <v>336</v>
      </c>
      <c r="N122" s="19" t="s">
        <v>772</v>
      </c>
      <c r="O122" s="19" t="s">
        <v>336</v>
      </c>
      <c r="P122" s="19" t="s">
        <v>517</v>
      </c>
      <c r="Q122" s="19" t="s">
        <v>738</v>
      </c>
      <c r="R122" s="19" t="s">
        <v>773</v>
      </c>
      <c r="S122" s="19"/>
      <c r="T122" s="19" t="s">
        <v>54</v>
      </c>
      <c r="U122" s="19" t="s">
        <v>55</v>
      </c>
      <c r="V122" s="19" t="s">
        <v>56</v>
      </c>
      <c r="W122" s="19" t="s">
        <v>57</v>
      </c>
      <c r="X122" s="19" t="s">
        <v>445</v>
      </c>
      <c r="Y122" s="19" t="s">
        <v>341</v>
      </c>
      <c r="Z122" s="19" t="s">
        <v>774</v>
      </c>
      <c r="AA122" s="19">
        <v>1</v>
      </c>
      <c r="AB122" s="19">
        <v>1</v>
      </c>
      <c r="AC122" s="19" t="s">
        <v>59</v>
      </c>
      <c r="AD122" s="19" t="s">
        <v>517</v>
      </c>
      <c r="AE122" s="19" t="s">
        <v>73</v>
      </c>
      <c r="AF122" s="19"/>
    </row>
    <row r="123" spans="1:34">
      <c r="A123" s="19">
        <v>117</v>
      </c>
      <c r="B123" s="19" t="s">
        <v>373</v>
      </c>
      <c r="C123" s="19" t="s">
        <v>775</v>
      </c>
      <c r="D123" s="19" t="str">
        <f>HYPERLINK("http://www.henontech.com/fieldsafety/harzard/harzard_show.php?rid=2220&amp;url=harzardrecs.php","1号吸氨泵机械密封漏液，一名操作工在巡检过程中氨水不慎溅入眼内，送医院救治")</f>
        <v>1号吸氨泵机械密封漏液，一名操作工在巡检过程中氨水不慎溅入眼内，送医院救治</v>
      </c>
      <c r="E123" s="19" t="s">
        <v>776</v>
      </c>
      <c r="F123" s="20" t="s">
        <v>42</v>
      </c>
      <c r="G123" s="22" t="s">
        <v>108</v>
      </c>
      <c r="H123" s="19" t="s">
        <v>44</v>
      </c>
      <c r="I123" s="19" t="s">
        <v>45</v>
      </c>
      <c r="J123" s="19" t="s">
        <v>46</v>
      </c>
      <c r="K123" s="19" t="s">
        <v>47</v>
      </c>
      <c r="L123" s="19"/>
      <c r="M123" s="19" t="s">
        <v>336</v>
      </c>
      <c r="N123" s="19" t="s">
        <v>777</v>
      </c>
      <c r="O123" s="19" t="s">
        <v>336</v>
      </c>
      <c r="P123" s="19" t="s">
        <v>778</v>
      </c>
      <c r="Q123" s="19" t="s">
        <v>566</v>
      </c>
      <c r="R123" s="19" t="s">
        <v>779</v>
      </c>
      <c r="S123" s="19"/>
      <c r="T123" s="19" t="s">
        <v>54</v>
      </c>
      <c r="U123" s="19" t="s">
        <v>55</v>
      </c>
      <c r="V123" s="19" t="s">
        <v>56</v>
      </c>
      <c r="W123" s="19" t="s">
        <v>57</v>
      </c>
      <c r="X123" s="19" t="s">
        <v>116</v>
      </c>
      <c r="Y123" s="19" t="s">
        <v>116</v>
      </c>
      <c r="Z123" s="19" t="s">
        <v>780</v>
      </c>
      <c r="AA123" s="19">
        <v>1</v>
      </c>
      <c r="AB123" s="19">
        <v>1</v>
      </c>
      <c r="AC123" s="19" t="s">
        <v>59</v>
      </c>
      <c r="AD123" s="19" t="s">
        <v>778</v>
      </c>
      <c r="AE123" s="19" t="s">
        <v>80</v>
      </c>
      <c r="AF123" s="19" t="s">
        <v>781</v>
      </c>
    </row>
    <row r="124" spans="1:34">
      <c r="A124" s="19">
        <v>118</v>
      </c>
      <c r="B124" s="19" t="s">
        <v>373</v>
      </c>
      <c r="C124" s="19" t="s">
        <v>782</v>
      </c>
      <c r="D124" s="19" t="str">
        <f>HYPERLINK("http://www.henontech.com/fieldsafety/harzard/harzard_show.php?rid=2221&amp;url=harzardrecs.php","一名巡检工在巡检码垛机运转情况过程中，由于护栏门未锁闭将护栏门向里推开被运行中的机械手重击头部当场昏迷，另一名巡检工发现立即通知班长将其送往医院抢救。")</f>
        <v>一名巡检工在巡检码垛机运转情况过程中，由于护栏门未锁闭将护栏门向里推开被运行中的机械手重击头部当场昏迷，另一名巡检工发现立即通知班长将其送往医院抢救。</v>
      </c>
      <c r="E124" s="19" t="s">
        <v>783</v>
      </c>
      <c r="F124" s="20" t="s">
        <v>42</v>
      </c>
      <c r="G124" s="23" t="s">
        <v>497</v>
      </c>
      <c r="H124" s="19" t="s">
        <v>44</v>
      </c>
      <c r="I124" s="19" t="s">
        <v>109</v>
      </c>
      <c r="J124" s="19" t="s">
        <v>381</v>
      </c>
      <c r="K124" s="19" t="s">
        <v>99</v>
      </c>
      <c r="L124" s="19"/>
      <c r="M124" s="19" t="s">
        <v>336</v>
      </c>
      <c r="N124" s="19" t="s">
        <v>537</v>
      </c>
      <c r="O124" s="19" t="s">
        <v>336</v>
      </c>
      <c r="P124" s="19" t="s">
        <v>517</v>
      </c>
      <c r="Q124" s="19" t="s">
        <v>784</v>
      </c>
      <c r="R124" s="19" t="s">
        <v>785</v>
      </c>
      <c r="S124" s="19"/>
      <c r="T124" s="19" t="s">
        <v>54</v>
      </c>
      <c r="U124" s="19" t="s">
        <v>161</v>
      </c>
      <c r="V124" s="19" t="s">
        <v>70</v>
      </c>
      <c r="W124" s="19" t="s">
        <v>57</v>
      </c>
      <c r="X124" s="19" t="s">
        <v>116</v>
      </c>
      <c r="Y124" s="19" t="s">
        <v>116</v>
      </c>
      <c r="Z124" s="19" t="s">
        <v>786</v>
      </c>
      <c r="AA124" s="19">
        <v>1</v>
      </c>
      <c r="AB124" s="19">
        <v>1</v>
      </c>
      <c r="AC124" s="19" t="s">
        <v>59</v>
      </c>
      <c r="AD124" s="19" t="s">
        <v>517</v>
      </c>
      <c r="AE124" s="19" t="s">
        <v>73</v>
      </c>
      <c r="AF124" s="19"/>
    </row>
    <row r="125" spans="1:34">
      <c r="A125" s="19">
        <v>119</v>
      </c>
      <c r="B125" s="19" t="s">
        <v>787</v>
      </c>
      <c r="C125" s="19" t="s">
        <v>788</v>
      </c>
      <c r="D125" s="19" t="str">
        <f>HYPERLINK("http://www.henontech.com/fieldsafety/harzard/harzard_show.php?rid=2222&amp;url=harzardrecs.php","一名操作工巡检过程中，接线箱接线柱无防爆泥，现场可燃气体进入接线箱，引发防爆箱爆炸。")</f>
        <v>一名操作工巡检过程中，接线箱接线柱无防爆泥，现场可燃气体进入接线箱，引发防爆箱爆炸。</v>
      </c>
      <c r="E125" s="19" t="s">
        <v>789</v>
      </c>
      <c r="F125" s="20" t="s">
        <v>42</v>
      </c>
      <c r="G125" s="22" t="s">
        <v>108</v>
      </c>
      <c r="H125" s="19" t="s">
        <v>44</v>
      </c>
      <c r="I125" s="19" t="s">
        <v>45</v>
      </c>
      <c r="J125" s="19" t="s">
        <v>46</v>
      </c>
      <c r="K125" s="19" t="s">
        <v>47</v>
      </c>
      <c r="L125" s="19"/>
      <c r="M125" s="19" t="s">
        <v>336</v>
      </c>
      <c r="N125" s="19" t="s">
        <v>790</v>
      </c>
      <c r="O125" s="19" t="s">
        <v>336</v>
      </c>
      <c r="P125" s="19" t="s">
        <v>517</v>
      </c>
      <c r="Q125" s="19" t="s">
        <v>713</v>
      </c>
      <c r="R125" s="19" t="s">
        <v>791</v>
      </c>
      <c r="S125" s="19"/>
      <c r="T125" s="19" t="s">
        <v>54</v>
      </c>
      <c r="U125" s="19" t="s">
        <v>161</v>
      </c>
      <c r="V125" s="19" t="s">
        <v>70</v>
      </c>
      <c r="W125" s="19" t="s">
        <v>57</v>
      </c>
      <c r="X125" s="19" t="s">
        <v>673</v>
      </c>
      <c r="Y125" s="19" t="s">
        <v>673</v>
      </c>
      <c r="Z125" s="19" t="s">
        <v>792</v>
      </c>
      <c r="AA125" s="19">
        <v>1</v>
      </c>
      <c r="AB125" s="19">
        <v>1</v>
      </c>
      <c r="AC125" s="19" t="s">
        <v>59</v>
      </c>
      <c r="AD125" s="19" t="s">
        <v>517</v>
      </c>
      <c r="AE125" s="19" t="s">
        <v>73</v>
      </c>
      <c r="AF125" s="19"/>
    </row>
    <row r="126" spans="1:34">
      <c r="A126" s="19">
        <v>120</v>
      </c>
      <c r="B126" s="19" t="s">
        <v>787</v>
      </c>
      <c r="C126" s="19" t="s">
        <v>417</v>
      </c>
      <c r="D126" s="19" t="str">
        <f>HYPERLINK("http://www.henontech.com/fieldsafety/harzard/harzard_show.php?rid=2224&amp;url=harzardrecs.php","低压配电室，380v配电柜柜门与柜体接地线脱落，导致柜门带电，电运人员在巡检时未带绝缘手套，用双手向两侧开启柜门上观察内部情况时，触电倒地经医院抢救无效死亡。")</f>
        <v>低压配电室，380v配电柜柜门与柜体接地线脱落，导致柜门带电，电运人员在巡检时未带绝缘手套，用双手向两侧开启柜门上观察内部情况时，触电倒地经医院抢救无效死亡。</v>
      </c>
      <c r="E126" s="19" t="s">
        <v>732</v>
      </c>
      <c r="F126" s="20" t="s">
        <v>42</v>
      </c>
      <c r="G126" s="21" t="s">
        <v>43</v>
      </c>
      <c r="H126" s="19" t="s">
        <v>44</v>
      </c>
      <c r="I126" s="19" t="s">
        <v>45</v>
      </c>
      <c r="J126" s="19" t="s">
        <v>158</v>
      </c>
      <c r="K126" s="19"/>
      <c r="L126" s="19"/>
      <c r="M126" s="19" t="s">
        <v>111</v>
      </c>
      <c r="N126" s="19" t="s">
        <v>393</v>
      </c>
      <c r="O126" s="19" t="s">
        <v>111</v>
      </c>
      <c r="P126" s="19" t="s">
        <v>294</v>
      </c>
      <c r="Q126" s="19" t="s">
        <v>566</v>
      </c>
      <c r="R126" s="19" t="s">
        <v>793</v>
      </c>
      <c r="S126" s="19" t="s">
        <v>794</v>
      </c>
      <c r="T126" s="19" t="s">
        <v>54</v>
      </c>
      <c r="U126" s="19" t="s">
        <v>161</v>
      </c>
      <c r="V126" s="19" t="s">
        <v>56</v>
      </c>
      <c r="W126" s="19" t="s">
        <v>103</v>
      </c>
      <c r="X126" s="19" t="s">
        <v>116</v>
      </c>
      <c r="Y126" s="19"/>
      <c r="Z126" s="19" t="s">
        <v>795</v>
      </c>
      <c r="AA126" s="19">
        <v>1</v>
      </c>
      <c r="AB126" s="19">
        <v>1</v>
      </c>
      <c r="AC126" s="19" t="s">
        <v>59</v>
      </c>
      <c r="AD126" s="19" t="s">
        <v>294</v>
      </c>
      <c r="AE126" s="19" t="s">
        <v>399</v>
      </c>
      <c r="AF126" s="19"/>
    </row>
    <row r="127" spans="1:34">
      <c r="A127" s="19"/>
      <c r="B127" s="19"/>
      <c r="C127" s="19"/>
      <c r="D127" s="19" t="str">
        <f>HYPERLINK("http://www.henontech.com/fieldsafety/harzard/harzard_show.php?rid=2224&amp;url=harzardrecs.php","低压配电室，380v配电柜柜门与柜体接地线脱落，电缆破皮导致柜门带电，电运人员在巡检时未戴绝缘手套，用双手向两侧开启柜门时左手与带电柜门接触，触电倒地，送医抢救无效死亡。")</f>
        <v>低压配电室，380v配电柜柜门与柜体接地线脱落，电缆破皮导致柜门带电，电运人员在巡检时未戴绝缘手套，用双手向两侧开启柜门时左手与带电柜门接触，触电倒地，送医抢救无效死亡。</v>
      </c>
      <c r="E127" s="19" t="s">
        <v>732</v>
      </c>
      <c r="F127" s="19"/>
      <c r="G127" s="19"/>
      <c r="H127" s="19"/>
      <c r="I127" s="19"/>
      <c r="J127" s="19" t="s">
        <v>329</v>
      </c>
      <c r="K127" s="19"/>
      <c r="L127" s="19"/>
      <c r="M127" s="19"/>
      <c r="N127" s="19"/>
      <c r="O127" s="19"/>
      <c r="P127" s="19"/>
      <c r="Q127" s="19"/>
      <c r="R127" s="19"/>
      <c r="S127" s="19"/>
      <c r="T127" s="19" t="s">
        <v>54</v>
      </c>
      <c r="U127" s="19" t="s">
        <v>161</v>
      </c>
      <c r="V127" s="19" t="s">
        <v>56</v>
      </c>
      <c r="W127" s="19" t="s">
        <v>103</v>
      </c>
      <c r="X127" s="19"/>
      <c r="Y127" s="19"/>
      <c r="Z127" s="19"/>
      <c r="AA127" s="19"/>
      <c r="AB127" s="19"/>
      <c r="AC127" s="19"/>
      <c r="AD127" s="19"/>
      <c r="AE127" s="19"/>
      <c r="AF127" s="19"/>
    </row>
    <row r="128" spans="1:34">
      <c r="A128" s="19">
        <v>121</v>
      </c>
      <c r="B128" s="19" t="s">
        <v>787</v>
      </c>
      <c r="C128" s="19" t="s">
        <v>742</v>
      </c>
      <c r="D128" s="19" t="str">
        <f>HYPERLINK("http://www.henontech.com/fieldsafety/harzard/harzard_show.php?rid=2225&amp;url=harzardrecs.php","晶分地池入口阀门扳手未及时撤除，一操作工巡检途径此处因刮大风扳手卡的不紧掉下来砸伤脚，及时送往医务室治疗。")</f>
        <v>晶分地池入口阀门扳手未及时撤除，一操作工巡检途径此处因刮大风扳手卡的不紧掉下来砸伤脚，及时送往医务室治疗。</v>
      </c>
      <c r="E128" s="19" t="s">
        <v>796</v>
      </c>
      <c r="F128" s="20" t="s">
        <v>42</v>
      </c>
      <c r="G128" s="21" t="s">
        <v>43</v>
      </c>
      <c r="H128" s="19" t="s">
        <v>44</v>
      </c>
      <c r="I128" s="19" t="s">
        <v>45</v>
      </c>
      <c r="J128" s="19"/>
      <c r="K128" s="19" t="s">
        <v>47</v>
      </c>
      <c r="L128" s="19"/>
      <c r="M128" s="19" t="s">
        <v>336</v>
      </c>
      <c r="N128" s="19" t="s">
        <v>797</v>
      </c>
      <c r="O128" s="19" t="s">
        <v>336</v>
      </c>
      <c r="P128" s="19" t="s">
        <v>517</v>
      </c>
      <c r="Q128" s="19" t="s">
        <v>713</v>
      </c>
      <c r="R128" s="19" t="s">
        <v>798</v>
      </c>
      <c r="S128" s="19"/>
      <c r="T128" s="19" t="s">
        <v>54</v>
      </c>
      <c r="U128" s="19" t="s">
        <v>69</v>
      </c>
      <c r="V128" s="19" t="s">
        <v>70</v>
      </c>
      <c r="W128" s="19" t="s">
        <v>71</v>
      </c>
      <c r="X128" s="19" t="s">
        <v>116</v>
      </c>
      <c r="Y128" s="19" t="s">
        <v>116</v>
      </c>
      <c r="Z128" s="19" t="s">
        <v>799</v>
      </c>
      <c r="AA128" s="19">
        <v>1</v>
      </c>
      <c r="AB128" s="19">
        <v>1</v>
      </c>
      <c r="AC128" s="19" t="s">
        <v>59</v>
      </c>
      <c r="AD128" s="19" t="s">
        <v>517</v>
      </c>
      <c r="AE128" s="19" t="s">
        <v>73</v>
      </c>
      <c r="AF128" s="19"/>
    </row>
    <row r="129" spans="1:34">
      <c r="A129" s="19">
        <v>122</v>
      </c>
      <c r="B129" s="19" t="s">
        <v>787</v>
      </c>
      <c r="C129" s="19" t="s">
        <v>276</v>
      </c>
      <c r="D129" s="19" t="str">
        <f>HYPERLINK("http://www.henontech.com/fieldsafety/harzard/harzard_show.php?rid=2228&amp;url=harzardrecs.php","主控楼顶3#减温减压无行走平台，巡检人员巡检3#减温减压时踩踏翻越高温高压管线，高温高压管线泄露蒸汽由下至上吹割巡检人员全身，巡检人员全身重度烫伤，呼吸道烫伤，部分肢体割裂伤，送医治疗15天后死亡。")</f>
        <v>主控楼顶3#减温减压无行走平台，巡检人员巡检3#减温减压时踩踏翻越高温高压管线，高温高压管线泄露蒸汽由下至上吹割巡检人员全身，巡检人员全身重度烫伤，呼吸道烫伤，部分肢体割裂伤，送医治疗15天后死亡。</v>
      </c>
      <c r="E129" s="19" t="s">
        <v>800</v>
      </c>
      <c r="F129" s="20" t="s">
        <v>42</v>
      </c>
      <c r="G129" s="21" t="s">
        <v>43</v>
      </c>
      <c r="H129" s="19" t="s">
        <v>44</v>
      </c>
      <c r="I129" s="19" t="s">
        <v>234</v>
      </c>
      <c r="J129" s="19" t="s">
        <v>410</v>
      </c>
      <c r="K129" s="19" t="s">
        <v>47</v>
      </c>
      <c r="L129" s="19"/>
      <c r="M129" s="19" t="s">
        <v>111</v>
      </c>
      <c r="N129" s="19" t="s">
        <v>706</v>
      </c>
      <c r="O129" s="19" t="s">
        <v>111</v>
      </c>
      <c r="P129" s="19" t="s">
        <v>294</v>
      </c>
      <c r="Q129" s="19" t="s">
        <v>713</v>
      </c>
      <c r="R129" s="19" t="s">
        <v>801</v>
      </c>
      <c r="S129" s="19" t="s">
        <v>802</v>
      </c>
      <c r="T129" s="19" t="s">
        <v>54</v>
      </c>
      <c r="U129" s="19" t="s">
        <v>161</v>
      </c>
      <c r="V129" s="19" t="s">
        <v>70</v>
      </c>
      <c r="W129" s="19" t="s">
        <v>57</v>
      </c>
      <c r="X129" s="19" t="s">
        <v>116</v>
      </c>
      <c r="Y129" s="19"/>
      <c r="Z129" s="19" t="s">
        <v>803</v>
      </c>
      <c r="AA129" s="19">
        <v>1</v>
      </c>
      <c r="AB129" s="19">
        <v>1</v>
      </c>
      <c r="AC129" s="19" t="s">
        <v>59</v>
      </c>
      <c r="AD129" s="19" t="s">
        <v>294</v>
      </c>
      <c r="AE129" s="19" t="s">
        <v>399</v>
      </c>
      <c r="AF129" s="19"/>
    </row>
    <row r="130" spans="1:34">
      <c r="A130" s="19">
        <v>123</v>
      </c>
      <c r="B130" s="19" t="s">
        <v>787</v>
      </c>
      <c r="C130" s="19" t="s">
        <v>804</v>
      </c>
      <c r="D130" s="19" t="str">
        <f>HYPERLINK("http://www.henontech.com/fieldsafety/harzard/harzard_show.php?rid=2229&amp;url=harzardrecs.php","精脱硫脱硫泵防护罩松动为加固牢")</f>
        <v>精脱硫脱硫泵防护罩松动为加固牢</v>
      </c>
      <c r="E130" s="19" t="s">
        <v>805</v>
      </c>
      <c r="F130" s="20" t="s">
        <v>42</v>
      </c>
      <c r="G130" s="21" t="s">
        <v>43</v>
      </c>
      <c r="H130" s="19" t="s">
        <v>44</v>
      </c>
      <c r="I130" s="19" t="s">
        <v>130</v>
      </c>
      <c r="J130" s="19" t="s">
        <v>46</v>
      </c>
      <c r="K130" s="19" t="s">
        <v>47</v>
      </c>
      <c r="L130" s="19" t="s">
        <v>110</v>
      </c>
      <c r="M130" s="19" t="s">
        <v>336</v>
      </c>
      <c r="N130" s="19" t="s">
        <v>806</v>
      </c>
      <c r="O130" s="19" t="s">
        <v>336</v>
      </c>
      <c r="P130" s="19" t="s">
        <v>517</v>
      </c>
      <c r="Q130" s="19" t="s">
        <v>713</v>
      </c>
      <c r="R130" s="19" t="s">
        <v>807</v>
      </c>
      <c r="S130" s="19"/>
      <c r="T130" s="19" t="s">
        <v>54</v>
      </c>
      <c r="U130" s="19" t="s">
        <v>69</v>
      </c>
      <c r="V130" s="19" t="s">
        <v>70</v>
      </c>
      <c r="W130" s="19" t="s">
        <v>71</v>
      </c>
      <c r="X130" s="19" t="s">
        <v>116</v>
      </c>
      <c r="Y130" s="19" t="s">
        <v>116</v>
      </c>
      <c r="Z130" s="19" t="s">
        <v>808</v>
      </c>
      <c r="AA130" s="19">
        <v>1</v>
      </c>
      <c r="AB130" s="19">
        <v>1</v>
      </c>
      <c r="AC130" s="19" t="s">
        <v>59</v>
      </c>
      <c r="AD130" s="19" t="s">
        <v>517</v>
      </c>
      <c r="AE130" s="19" t="s">
        <v>73</v>
      </c>
      <c r="AF130" s="19" t="s">
        <v>809</v>
      </c>
    </row>
    <row r="131" spans="1:34">
      <c r="A131" s="19">
        <v>124</v>
      </c>
      <c r="B131" s="19" t="s">
        <v>395</v>
      </c>
      <c r="C131" s="19" t="s">
        <v>688</v>
      </c>
      <c r="D131" s="19" t="str">
        <f>HYPERLINK("http://www.henontech.com/fieldsafety/harzard/harzard_show.php?rid=2235&amp;url=harzardrecs.php","碳化一楼凉水塔平台人孔盖板未及时复位，一名巡检人员夜间巡检时不慎掉入池内溺水，送医院抢救无效死亡。")</f>
        <v>碳化一楼凉水塔平台人孔盖板未及时复位，一名巡检人员夜间巡检时不慎掉入池内溺水，送医院抢救无效死亡。</v>
      </c>
      <c r="E131" s="19" t="s">
        <v>810</v>
      </c>
      <c r="F131" s="20" t="s">
        <v>42</v>
      </c>
      <c r="G131" s="22" t="s">
        <v>108</v>
      </c>
      <c r="H131" s="19" t="s">
        <v>44</v>
      </c>
      <c r="I131" s="19"/>
      <c r="J131" s="19" t="s">
        <v>46</v>
      </c>
      <c r="K131" s="19" t="s">
        <v>47</v>
      </c>
      <c r="L131" s="19"/>
      <c r="M131" s="19" t="s">
        <v>336</v>
      </c>
      <c r="N131" s="19" t="s">
        <v>811</v>
      </c>
      <c r="O131" s="19" t="s">
        <v>336</v>
      </c>
      <c r="P131" s="19" t="s">
        <v>778</v>
      </c>
      <c r="Q131" s="19" t="s">
        <v>566</v>
      </c>
      <c r="R131" s="19" t="s">
        <v>812</v>
      </c>
      <c r="S131" s="19"/>
      <c r="T131" s="19" t="s">
        <v>54</v>
      </c>
      <c r="U131" s="19" t="s">
        <v>161</v>
      </c>
      <c r="V131" s="19" t="s">
        <v>70</v>
      </c>
      <c r="W131" s="19" t="s">
        <v>57</v>
      </c>
      <c r="X131" s="19" t="s">
        <v>673</v>
      </c>
      <c r="Y131" s="19" t="s">
        <v>673</v>
      </c>
      <c r="Z131" s="19" t="s">
        <v>813</v>
      </c>
      <c r="AA131" s="19">
        <v>1</v>
      </c>
      <c r="AB131" s="19">
        <v>1</v>
      </c>
      <c r="AC131" s="19" t="s">
        <v>59</v>
      </c>
      <c r="AD131" s="19" t="s">
        <v>778</v>
      </c>
      <c r="AE131" s="19" t="s">
        <v>80</v>
      </c>
      <c r="AF131" s="19" t="s">
        <v>814</v>
      </c>
    </row>
    <row r="132" spans="1:34" customHeight="1" ht="42">
      <c r="A132" s="19">
        <v>125</v>
      </c>
      <c r="B132" s="19" t="s">
        <v>395</v>
      </c>
      <c r="C132" s="19" t="s">
        <v>815</v>
      </c>
      <c r="D132" s="19" t="str">
        <f>HYPERLINK("http://www.henontech.com/fieldsafety/harzard/harzard_show.php?rid=2236&amp;url=harzardrecs.php","巡检工经过电缆沟时盖板断裂造成巡检工掉入电缆沟摔伤。")</f>
        <v>巡检工经过电缆沟时盖板断裂造成巡检工掉入电缆沟摔伤。</v>
      </c>
      <c r="E132" s="19" t="s">
        <v>816</v>
      </c>
      <c r="F132" s="24" t="s">
        <v>588</v>
      </c>
      <c r="G132" s="21" t="s">
        <v>43</v>
      </c>
      <c r="H132" s="19" t="s">
        <v>44</v>
      </c>
      <c r="I132" s="19" t="s">
        <v>130</v>
      </c>
      <c r="J132" s="19" t="s">
        <v>46</v>
      </c>
      <c r="K132" s="19"/>
      <c r="L132" s="19"/>
      <c r="M132" s="19" t="s">
        <v>589</v>
      </c>
      <c r="N132" s="19" t="s">
        <v>591</v>
      </c>
      <c r="O132" s="19" t="s">
        <v>589</v>
      </c>
      <c r="P132" s="19" t="s">
        <v>591</v>
      </c>
      <c r="Q132" s="19" t="s">
        <v>817</v>
      </c>
      <c r="R132" s="19" t="s">
        <v>818</v>
      </c>
      <c r="S132" s="19"/>
      <c r="T132" s="19" t="s">
        <v>54</v>
      </c>
      <c r="U132" s="19" t="s">
        <v>55</v>
      </c>
      <c r="V132" s="19" t="s">
        <v>70</v>
      </c>
      <c r="W132" s="19" t="s">
        <v>179</v>
      </c>
      <c r="X132" s="19" t="s">
        <v>116</v>
      </c>
      <c r="Y132" s="19" t="s">
        <v>116</v>
      </c>
      <c r="Z132" s="19" t="s">
        <v>819</v>
      </c>
      <c r="AA132" s="19">
        <v>2</v>
      </c>
      <c r="AB132" s="19"/>
      <c r="AC132" s="19" t="s">
        <v>594</v>
      </c>
      <c r="AD132" s="19"/>
      <c r="AE132" s="19"/>
      <c r="AF132" s="19"/>
    </row>
    <row r="133" spans="1:34" customHeight="1" ht="42">
      <c r="A133" s="19">
        <v>126</v>
      </c>
      <c r="B133" s="19" t="s">
        <v>395</v>
      </c>
      <c r="C133" s="19" t="s">
        <v>815</v>
      </c>
      <c r="D133" s="19" t="str">
        <f>HYPERLINK("http://www.henontech.com/fieldsafety/harzard/harzard_show.php?rid=2237&amp;url=harzardrecs.php","巡检工经过电缆沟时盖板断裂造成巡检工掉入电缆沟摔伤。")</f>
        <v>巡检工经过电缆沟时盖板断裂造成巡检工掉入电缆沟摔伤。</v>
      </c>
      <c r="E133" s="19" t="s">
        <v>816</v>
      </c>
      <c r="F133" s="24" t="s">
        <v>588</v>
      </c>
      <c r="G133" s="21" t="s">
        <v>43</v>
      </c>
      <c r="H133" s="19" t="s">
        <v>44</v>
      </c>
      <c r="I133" s="19" t="s">
        <v>130</v>
      </c>
      <c r="J133" s="19" t="s">
        <v>46</v>
      </c>
      <c r="K133" s="19"/>
      <c r="L133" s="19"/>
      <c r="M133" s="19" t="s">
        <v>589</v>
      </c>
      <c r="N133" s="19" t="s">
        <v>591</v>
      </c>
      <c r="O133" s="19" t="s">
        <v>589</v>
      </c>
      <c r="P133" s="19" t="s">
        <v>591</v>
      </c>
      <c r="Q133" s="19" t="s">
        <v>817</v>
      </c>
      <c r="R133" s="19" t="s">
        <v>818</v>
      </c>
      <c r="S133" s="19"/>
      <c r="T133" s="19" t="s">
        <v>54</v>
      </c>
      <c r="U133" s="19" t="s">
        <v>55</v>
      </c>
      <c r="V133" s="19" t="s">
        <v>70</v>
      </c>
      <c r="W133" s="19" t="s">
        <v>179</v>
      </c>
      <c r="X133" s="19" t="s">
        <v>116</v>
      </c>
      <c r="Y133" s="19" t="s">
        <v>116</v>
      </c>
      <c r="Z133" s="19" t="s">
        <v>819</v>
      </c>
      <c r="AA133" s="19">
        <v>2</v>
      </c>
      <c r="AB133" s="19"/>
      <c r="AC133" s="19" t="s">
        <v>594</v>
      </c>
      <c r="AD133" s="19"/>
      <c r="AE133" s="19"/>
      <c r="AF133" s="19"/>
    </row>
    <row r="134" spans="1:34">
      <c r="A134" s="19">
        <v>127</v>
      </c>
      <c r="B134" s="19" t="s">
        <v>395</v>
      </c>
      <c r="C134" s="19" t="s">
        <v>474</v>
      </c>
      <c r="D134" s="19" t="str">
        <f>HYPERLINK("http://www.henontech.com/fieldsafety/harzard/harzard_show.php?rid=2239&amp;url=harzardrecs.php","超浓水水池高5.5米，爬梯无安全护笼，无防护门及安全警示牌，一员工清理池底后水靴和橡胶手套沾水防滑性能降低，清理完后攀登爬梯至出口时脚底打滑，手抓握不牢坠落池底，脚踝骨折，送医治疗后休养4个月。")</f>
        <v>超浓水水池高5.5米，爬梯无安全护笼，无防护门及安全警示牌，一员工清理池底后水靴和橡胶手套沾水防滑性能降低，清理完后攀登爬梯至出口时脚底打滑，手抓握不牢坠落池底，脚踝骨折，送医治疗后休养4个月。</v>
      </c>
      <c r="E134" s="19" t="s">
        <v>820</v>
      </c>
      <c r="F134" s="20" t="s">
        <v>42</v>
      </c>
      <c r="G134" s="21" t="s">
        <v>43</v>
      </c>
      <c r="H134" s="19" t="s">
        <v>44</v>
      </c>
      <c r="I134" s="19"/>
      <c r="J134" s="19" t="s">
        <v>158</v>
      </c>
      <c r="K134" s="19" t="s">
        <v>84</v>
      </c>
      <c r="L134" s="19" t="s">
        <v>48</v>
      </c>
      <c r="M134" s="19" t="s">
        <v>111</v>
      </c>
      <c r="N134" s="19" t="s">
        <v>821</v>
      </c>
      <c r="O134" s="19" t="s">
        <v>111</v>
      </c>
      <c r="P134" s="19" t="s">
        <v>294</v>
      </c>
      <c r="Q134" s="19" t="s">
        <v>784</v>
      </c>
      <c r="R134" s="19" t="s">
        <v>822</v>
      </c>
      <c r="S134" s="19" t="s">
        <v>823</v>
      </c>
      <c r="T134" s="19" t="s">
        <v>54</v>
      </c>
      <c r="U134" s="19" t="s">
        <v>55</v>
      </c>
      <c r="V134" s="19" t="s">
        <v>56</v>
      </c>
      <c r="W134" s="19" t="s">
        <v>57</v>
      </c>
      <c r="X134" s="19" t="s">
        <v>116</v>
      </c>
      <c r="Y134" s="19"/>
      <c r="Z134" s="19" t="s">
        <v>824</v>
      </c>
      <c r="AA134" s="19">
        <v>1</v>
      </c>
      <c r="AB134" s="19">
        <v>1</v>
      </c>
      <c r="AC134" s="19" t="s">
        <v>59</v>
      </c>
      <c r="AD134" s="19" t="s">
        <v>294</v>
      </c>
      <c r="AE134" s="19" t="s">
        <v>118</v>
      </c>
      <c r="AF134" s="19" t="s">
        <v>825</v>
      </c>
    </row>
    <row r="135" spans="1:34">
      <c r="A135" s="19">
        <v>128</v>
      </c>
      <c r="B135" s="19" t="s">
        <v>395</v>
      </c>
      <c r="C135" s="19" t="s">
        <v>408</v>
      </c>
      <c r="D135" s="19" t="str">
        <f>HYPERLINK("http://www.henontech.com/fieldsafety/harzard/harzard_show.php?rid=2242&amp;url=harzardrecs.php","一操作工在巡检减温减压时，因2#减温减压后电动门法兰处漏汽，不慎被漏出的蒸汽（约360℃）烫伤右胳膊，送医院救治。")</f>
        <v>一操作工在巡检减温减压时，因2#减温减压后电动门法兰处漏汽，不慎被漏出的蒸汽（约360℃）烫伤右胳膊，送医院救治。</v>
      </c>
      <c r="E135" s="19" t="s">
        <v>826</v>
      </c>
      <c r="F135" s="20" t="s">
        <v>42</v>
      </c>
      <c r="G135" s="21" t="s">
        <v>43</v>
      </c>
      <c r="H135" s="19" t="s">
        <v>44</v>
      </c>
      <c r="I135" s="19" t="s">
        <v>130</v>
      </c>
      <c r="J135" s="19" t="s">
        <v>410</v>
      </c>
      <c r="K135" s="19" t="s">
        <v>99</v>
      </c>
      <c r="L135" s="19" t="s">
        <v>48</v>
      </c>
      <c r="M135" s="19" t="s">
        <v>111</v>
      </c>
      <c r="N135" s="19" t="s">
        <v>224</v>
      </c>
      <c r="O135" s="19" t="s">
        <v>111</v>
      </c>
      <c r="P135" s="19" t="s">
        <v>411</v>
      </c>
      <c r="Q135" s="19" t="s">
        <v>566</v>
      </c>
      <c r="R135" s="19" t="s">
        <v>412</v>
      </c>
      <c r="S135" s="19" t="s">
        <v>827</v>
      </c>
      <c r="T135" s="19" t="s">
        <v>54</v>
      </c>
      <c r="U135" s="19" t="s">
        <v>55</v>
      </c>
      <c r="V135" s="19" t="s">
        <v>56</v>
      </c>
      <c r="W135" s="19" t="s">
        <v>57</v>
      </c>
      <c r="X135" s="19" t="s">
        <v>116</v>
      </c>
      <c r="Y135" s="19"/>
      <c r="Z135" s="19" t="s">
        <v>828</v>
      </c>
      <c r="AA135" s="19">
        <v>1</v>
      </c>
      <c r="AB135" s="19">
        <v>1</v>
      </c>
      <c r="AC135" s="19" t="s">
        <v>59</v>
      </c>
      <c r="AD135" s="19" t="s">
        <v>411</v>
      </c>
      <c r="AE135" s="19" t="s">
        <v>415</v>
      </c>
      <c r="AF135" s="19" t="s">
        <v>829</v>
      </c>
    </row>
    <row r="136" spans="1:34">
      <c r="A136" s="19">
        <v>129</v>
      </c>
      <c r="B136" s="19" t="s">
        <v>395</v>
      </c>
      <c r="C136" s="19" t="s">
        <v>830</v>
      </c>
      <c r="D136" s="19" t="str">
        <f>HYPERLINK("http://www.henontech.com/fieldsafety/harzard/harzard_show.php?rid=2245&amp;url=harzardrecs.php","提升机变频室充电屏经常性故障报警，如不及时查找排除故障隐患，会引起直流电源无法正常供电，致使使用直流电源控制的设备不能正常操作，影响生产造成财产损失")</f>
        <v>提升机变频室充电屏经常性故障报警，如不及时查找排除故障隐患，会引起直流电源无法正常供电，致使使用直流电源控制的设备不能正常操作，影响生产造成财产损失</v>
      </c>
      <c r="E136" s="19" t="s">
        <v>831</v>
      </c>
      <c r="F136" s="20" t="s">
        <v>42</v>
      </c>
      <c r="G136" s="21" t="s">
        <v>43</v>
      </c>
      <c r="H136" s="19" t="s">
        <v>44</v>
      </c>
      <c r="I136" s="19" t="s">
        <v>45</v>
      </c>
      <c r="J136" s="19" t="s">
        <v>46</v>
      </c>
      <c r="K136" s="19" t="s">
        <v>84</v>
      </c>
      <c r="L136" s="19" t="s">
        <v>48</v>
      </c>
      <c r="M136" s="19" t="s">
        <v>111</v>
      </c>
      <c r="N136" s="19" t="s">
        <v>420</v>
      </c>
      <c r="O136" s="19" t="s">
        <v>111</v>
      </c>
      <c r="P136" s="19" t="s">
        <v>113</v>
      </c>
      <c r="Q136" s="19" t="s">
        <v>566</v>
      </c>
      <c r="R136" s="19" t="s">
        <v>832</v>
      </c>
      <c r="S136" s="19" t="s">
        <v>833</v>
      </c>
      <c r="T136" s="19" t="s">
        <v>169</v>
      </c>
      <c r="U136" s="19" t="s">
        <v>170</v>
      </c>
      <c r="V136" s="19" t="s">
        <v>102</v>
      </c>
      <c r="W136" s="19" t="s">
        <v>71</v>
      </c>
      <c r="X136" s="19" t="s">
        <v>347</v>
      </c>
      <c r="Y136" s="19"/>
      <c r="Z136" s="19" t="s">
        <v>834</v>
      </c>
      <c r="AA136" s="19">
        <v>1</v>
      </c>
      <c r="AB136" s="19">
        <v>1</v>
      </c>
      <c r="AC136" s="19" t="s">
        <v>59</v>
      </c>
      <c r="AD136" s="19" t="s">
        <v>113</v>
      </c>
      <c r="AE136" s="19" t="s">
        <v>80</v>
      </c>
      <c r="AF136" s="19" t="s">
        <v>835</v>
      </c>
    </row>
    <row r="137" spans="1:34">
      <c r="A137" s="19">
        <v>130</v>
      </c>
      <c r="B137" s="19" t="s">
        <v>395</v>
      </c>
      <c r="C137" s="19" t="s">
        <v>276</v>
      </c>
      <c r="D137" s="19" t="str">
        <f>HYPERLINK("http://www.henontech.com/fieldsafety/harzard/harzard_show.php?rid=2246&amp;url=harzardrecs.php","一操作工巡查主控楼顶设备设施时，因爬梯未加装护栏，爬至离地面4米处时不慎跌落，送医救治，诊断为左腿骨折。")</f>
        <v>一操作工巡查主控楼顶设备设施时，因爬梯未加装护栏，爬至离地面4米处时不慎跌落，送医救治，诊断为左腿骨折。</v>
      </c>
      <c r="E137" s="19" t="s">
        <v>836</v>
      </c>
      <c r="F137" s="20" t="s">
        <v>42</v>
      </c>
      <c r="G137" s="21" t="s">
        <v>43</v>
      </c>
      <c r="H137" s="19" t="s">
        <v>44</v>
      </c>
      <c r="I137" s="19" t="s">
        <v>109</v>
      </c>
      <c r="J137" s="19" t="s">
        <v>158</v>
      </c>
      <c r="K137" s="19" t="s">
        <v>84</v>
      </c>
      <c r="L137" s="19" t="s">
        <v>48</v>
      </c>
      <c r="M137" s="19" t="s">
        <v>111</v>
      </c>
      <c r="N137" s="19" t="s">
        <v>837</v>
      </c>
      <c r="O137" s="19" t="s">
        <v>111</v>
      </c>
      <c r="P137" s="19" t="s">
        <v>706</v>
      </c>
      <c r="Q137" s="19" t="s">
        <v>566</v>
      </c>
      <c r="R137" s="19" t="s">
        <v>838</v>
      </c>
      <c r="S137" s="19" t="s">
        <v>839</v>
      </c>
      <c r="T137" s="19" t="s">
        <v>54</v>
      </c>
      <c r="U137" s="19" t="s">
        <v>55</v>
      </c>
      <c r="V137" s="19" t="s">
        <v>56</v>
      </c>
      <c r="W137" s="19" t="s">
        <v>57</v>
      </c>
      <c r="X137" s="19" t="s">
        <v>332</v>
      </c>
      <c r="Y137" s="19"/>
      <c r="Z137" s="19" t="s">
        <v>731</v>
      </c>
      <c r="AA137" s="19">
        <v>1</v>
      </c>
      <c r="AB137" s="19">
        <v>1</v>
      </c>
      <c r="AC137" s="19" t="s">
        <v>59</v>
      </c>
      <c r="AD137" s="19" t="s">
        <v>706</v>
      </c>
      <c r="AE137" s="19" t="s">
        <v>118</v>
      </c>
      <c r="AF137" s="19"/>
    </row>
    <row r="138" spans="1:34" customHeight="1" ht="42">
      <c r="A138" s="19">
        <v>131</v>
      </c>
      <c r="B138" s="19" t="s">
        <v>395</v>
      </c>
      <c r="C138" s="19" t="s">
        <v>840</v>
      </c>
      <c r="D138" s="19" t="str">
        <f>HYPERLINK("http://www.henontech.com/fieldsafety/harzard/harzard_show.php?rid=2247&amp;url=harzardrecs.php","5.5米拦焦磨电轨总开关上方挡板太小，无法起防泥水作用，雨雪天气，一旦泥水进入配电箱会造成内部380伏电器短路跳闸，烧坏开关无法出焦")</f>
        <v>5.5米拦焦磨电轨总开关上方挡板太小，无法起防泥水作用，雨雪天气，一旦泥水进入配电箱会造成内部380伏电器短路跳闸，烧坏开关无法出焦</v>
      </c>
      <c r="E138" s="19" t="s">
        <v>841</v>
      </c>
      <c r="F138" s="20" t="s">
        <v>42</v>
      </c>
      <c r="G138" s="22" t="s">
        <v>108</v>
      </c>
      <c r="H138" s="19" t="s">
        <v>44</v>
      </c>
      <c r="I138" s="19"/>
      <c r="J138" s="19" t="s">
        <v>158</v>
      </c>
      <c r="K138" s="19" t="s">
        <v>84</v>
      </c>
      <c r="L138" s="19" t="s">
        <v>48</v>
      </c>
      <c r="M138" s="19" t="s">
        <v>111</v>
      </c>
      <c r="N138" s="19" t="s">
        <v>211</v>
      </c>
      <c r="O138" s="19" t="s">
        <v>111</v>
      </c>
      <c r="P138" s="19" t="s">
        <v>294</v>
      </c>
      <c r="Q138" s="19" t="s">
        <v>745</v>
      </c>
      <c r="R138" s="19" t="s">
        <v>842</v>
      </c>
      <c r="S138" s="19"/>
      <c r="T138" s="19" t="s">
        <v>169</v>
      </c>
      <c r="U138" s="19" t="s">
        <v>69</v>
      </c>
      <c r="V138" s="19" t="s">
        <v>70</v>
      </c>
      <c r="W138" s="19" t="s">
        <v>71</v>
      </c>
      <c r="X138" s="19" t="s">
        <v>332</v>
      </c>
      <c r="Y138" s="19"/>
      <c r="Z138" s="19" t="s">
        <v>843</v>
      </c>
      <c r="AA138" s="19">
        <v>2</v>
      </c>
      <c r="AB138" s="19">
        <v>2</v>
      </c>
      <c r="AC138" s="19" t="s">
        <v>59</v>
      </c>
      <c r="AD138" s="19" t="s">
        <v>294</v>
      </c>
      <c r="AE138" s="19" t="s">
        <v>118</v>
      </c>
      <c r="AF138" s="19"/>
    </row>
    <row r="139" spans="1:34" customHeight="1" ht="42">
      <c r="A139" s="19">
        <v>132</v>
      </c>
      <c r="B139" s="19" t="s">
        <v>387</v>
      </c>
      <c r="C139" s="19" t="s">
        <v>844</v>
      </c>
      <c r="D139" s="19" t="str">
        <f>HYPERLINK("http://www.henontech.com/fieldsafety/harzard/harzard_show.php?rid=2254&amp;url=harzardrecs.php","巡检人员巡检超滤设备时，因超滤排污管道处无盖板，导致巡检过程中一脚踏入排污沟导致小腿骨折")</f>
        <v>巡检人员巡检超滤设备时，因超滤排污管道处无盖板，导致巡检过程中一脚踏入排污沟导致小腿骨折</v>
      </c>
      <c r="E139" s="19" t="s">
        <v>845</v>
      </c>
      <c r="F139" s="24" t="s">
        <v>588</v>
      </c>
      <c r="G139" s="21" t="s">
        <v>43</v>
      </c>
      <c r="H139" s="19" t="s">
        <v>44</v>
      </c>
      <c r="I139" s="19" t="s">
        <v>130</v>
      </c>
      <c r="J139" s="19" t="s">
        <v>158</v>
      </c>
      <c r="K139" s="19"/>
      <c r="L139" s="19"/>
      <c r="M139" s="19" t="s">
        <v>589</v>
      </c>
      <c r="N139" s="19" t="s">
        <v>846</v>
      </c>
      <c r="O139" s="19" t="s">
        <v>589</v>
      </c>
      <c r="P139" s="19" t="s">
        <v>591</v>
      </c>
      <c r="Q139" s="19" t="s">
        <v>531</v>
      </c>
      <c r="R139" s="19" t="s">
        <v>847</v>
      </c>
      <c r="S139" s="19"/>
      <c r="T139" s="19" t="s">
        <v>54</v>
      </c>
      <c r="U139" s="19" t="s">
        <v>55</v>
      </c>
      <c r="V139" s="19" t="s">
        <v>56</v>
      </c>
      <c r="W139" s="19" t="s">
        <v>57</v>
      </c>
      <c r="X139" s="19" t="s">
        <v>116</v>
      </c>
      <c r="Y139" s="19"/>
      <c r="Z139" s="19" t="s">
        <v>848</v>
      </c>
      <c r="AA139" s="19">
        <v>2</v>
      </c>
      <c r="AB139" s="19"/>
      <c r="AC139" s="19" t="s">
        <v>594</v>
      </c>
      <c r="AD139" s="19"/>
      <c r="AE139" s="19"/>
      <c r="AF139" s="19"/>
    </row>
    <row r="140" spans="1:34">
      <c r="A140" s="19">
        <v>133</v>
      </c>
      <c r="B140" s="19" t="s">
        <v>387</v>
      </c>
      <c r="C140" s="19" t="s">
        <v>111</v>
      </c>
      <c r="D140" s="19" t="str">
        <f>HYPERLINK("http://www.henontech.com/fieldsafety/harzard/harzard_show.php?rid=2258&amp;url=harzardrecs.php","一操作工在打扫行车爬梯时，因未安装防滑条，操作工脚底打滑，不慎从四米高爬梯摔落至下方平台，送医救治，诊断为左小腿骨折，住院治疗20天，休养三个月。")</f>
        <v>一操作工在打扫行车爬梯时，因未安装防滑条，操作工脚底打滑，不慎从四米高爬梯摔落至下方平台，送医救治，诊断为左小腿骨折，住院治疗20天，休养三个月。</v>
      </c>
      <c r="E140" s="19" t="s">
        <v>849</v>
      </c>
      <c r="F140" s="20" t="s">
        <v>42</v>
      </c>
      <c r="G140" s="21" t="s">
        <v>43</v>
      </c>
      <c r="H140" s="19" t="s">
        <v>44</v>
      </c>
      <c r="I140" s="19" t="s">
        <v>45</v>
      </c>
      <c r="J140" s="19" t="s">
        <v>158</v>
      </c>
      <c r="K140" s="19" t="s">
        <v>47</v>
      </c>
      <c r="L140" s="19"/>
      <c r="M140" s="19" t="s">
        <v>111</v>
      </c>
      <c r="N140" s="19" t="s">
        <v>850</v>
      </c>
      <c r="O140" s="19" t="s">
        <v>111</v>
      </c>
      <c r="P140" s="19" t="s">
        <v>706</v>
      </c>
      <c r="Q140" s="19" t="s">
        <v>745</v>
      </c>
      <c r="R140" s="19" t="s">
        <v>851</v>
      </c>
      <c r="S140" s="19" t="s">
        <v>852</v>
      </c>
      <c r="T140" s="19" t="s">
        <v>54</v>
      </c>
      <c r="U140" s="19" t="s">
        <v>55</v>
      </c>
      <c r="V140" s="19" t="s">
        <v>56</v>
      </c>
      <c r="W140" s="19" t="s">
        <v>57</v>
      </c>
      <c r="X140" s="19" t="s">
        <v>332</v>
      </c>
      <c r="Y140" s="19"/>
      <c r="Z140" s="19" t="s">
        <v>853</v>
      </c>
      <c r="AA140" s="19">
        <v>1</v>
      </c>
      <c r="AB140" s="19">
        <v>1</v>
      </c>
      <c r="AC140" s="19" t="s">
        <v>59</v>
      </c>
      <c r="AD140" s="19" t="s">
        <v>706</v>
      </c>
      <c r="AE140" s="19" t="s">
        <v>118</v>
      </c>
      <c r="AF140" s="19"/>
    </row>
    <row r="141" spans="1:34">
      <c r="A141" s="19">
        <v>134</v>
      </c>
      <c r="B141" s="19" t="s">
        <v>854</v>
      </c>
      <c r="C141" s="19" t="s">
        <v>855</v>
      </c>
      <c r="D141" s="19" t="str">
        <f>HYPERLINK("http://www.henontech.com/fieldsafety/harzard/harzard_show.php?rid=2260&amp;url=harzardrecs.php","精炼操作工在日常巡检时，踩到盖板处，突然破裂，操作工掉入地沟内，并砸伤腿部")</f>
        <v>精炼操作工在日常巡检时，踩到盖板处，突然破裂，操作工掉入地沟内，并砸伤腿部</v>
      </c>
      <c r="E141" s="19" t="s">
        <v>856</v>
      </c>
      <c r="F141" s="20" t="s">
        <v>42</v>
      </c>
      <c r="G141" s="21" t="s">
        <v>43</v>
      </c>
      <c r="H141" s="19" t="s">
        <v>44</v>
      </c>
      <c r="I141" s="19"/>
      <c r="J141" s="19" t="s">
        <v>46</v>
      </c>
      <c r="K141" s="19" t="s">
        <v>47</v>
      </c>
      <c r="L141" s="19"/>
      <c r="M141" s="19" t="s">
        <v>336</v>
      </c>
      <c r="N141" s="19" t="s">
        <v>857</v>
      </c>
      <c r="O141" s="19" t="s">
        <v>336</v>
      </c>
      <c r="P141" s="19" t="s">
        <v>517</v>
      </c>
      <c r="Q141" s="19" t="s">
        <v>745</v>
      </c>
      <c r="R141" s="19" t="s">
        <v>858</v>
      </c>
      <c r="S141" s="19"/>
      <c r="T141" s="19" t="s">
        <v>54</v>
      </c>
      <c r="U141" s="19" t="s">
        <v>69</v>
      </c>
      <c r="V141" s="19" t="s">
        <v>56</v>
      </c>
      <c r="W141" s="19" t="s">
        <v>179</v>
      </c>
      <c r="X141" s="19" t="s">
        <v>673</v>
      </c>
      <c r="Y141" s="19" t="s">
        <v>673</v>
      </c>
      <c r="Z141" s="19" t="s">
        <v>859</v>
      </c>
      <c r="AA141" s="19">
        <v>1</v>
      </c>
      <c r="AB141" s="19">
        <v>1</v>
      </c>
      <c r="AC141" s="19" t="s">
        <v>59</v>
      </c>
      <c r="AD141" s="19" t="s">
        <v>517</v>
      </c>
      <c r="AE141" s="19" t="s">
        <v>73</v>
      </c>
      <c r="AF141" s="19"/>
    </row>
    <row r="142" spans="1:34">
      <c r="A142" s="19">
        <v>135</v>
      </c>
      <c r="B142" s="19" t="s">
        <v>854</v>
      </c>
      <c r="C142" s="19" t="s">
        <v>379</v>
      </c>
      <c r="D142" s="19" t="str">
        <f>HYPERLINK("http://www.henontech.com/fieldsafety/harzard/harzard_show.php?rid=2270&amp;url=harzardrecs.php","一巡检工巡检至提升机七层西侧平台时，不慎被脚底蛇皮管拌到，由于缺少护栏，从40米高处跌落至地面，当场死亡")</f>
        <v>一巡检工巡检至提升机七层西侧平台时，不慎被脚底蛇皮管拌到，由于缺少护栏，从40米高处跌落至地面，当场死亡</v>
      </c>
      <c r="E142" s="19" t="s">
        <v>860</v>
      </c>
      <c r="F142" s="20" t="s">
        <v>42</v>
      </c>
      <c r="G142" s="21" t="s">
        <v>43</v>
      </c>
      <c r="H142" s="19" t="s">
        <v>44</v>
      </c>
      <c r="I142" s="19"/>
      <c r="J142" s="19" t="s">
        <v>46</v>
      </c>
      <c r="K142" s="19" t="s">
        <v>47</v>
      </c>
      <c r="L142" s="19" t="s">
        <v>48</v>
      </c>
      <c r="M142" s="19" t="s">
        <v>111</v>
      </c>
      <c r="N142" s="19" t="s">
        <v>861</v>
      </c>
      <c r="O142" s="19" t="s">
        <v>111</v>
      </c>
      <c r="P142" s="19" t="s">
        <v>394</v>
      </c>
      <c r="Q142" s="19" t="s">
        <v>862</v>
      </c>
      <c r="R142" s="19" t="s">
        <v>863</v>
      </c>
      <c r="S142" s="19" t="s">
        <v>864</v>
      </c>
      <c r="T142" s="19" t="s">
        <v>54</v>
      </c>
      <c r="U142" s="19" t="s">
        <v>161</v>
      </c>
      <c r="V142" s="19" t="s">
        <v>102</v>
      </c>
      <c r="W142" s="19" t="s">
        <v>103</v>
      </c>
      <c r="X142" s="19" t="s">
        <v>332</v>
      </c>
      <c r="Y142" s="19" t="s">
        <v>332</v>
      </c>
      <c r="Z142" s="19" t="s">
        <v>865</v>
      </c>
      <c r="AA142" s="19">
        <v>1</v>
      </c>
      <c r="AB142" s="19">
        <v>1</v>
      </c>
      <c r="AC142" s="19" t="s">
        <v>59</v>
      </c>
      <c r="AD142" s="19" t="s">
        <v>394</v>
      </c>
      <c r="AE142" s="19" t="s">
        <v>80</v>
      </c>
      <c r="AF142" s="19" t="s">
        <v>866</v>
      </c>
    </row>
    <row r="143" spans="1:34">
      <c r="A143" s="19">
        <v>136</v>
      </c>
      <c r="B143" s="19" t="s">
        <v>437</v>
      </c>
      <c r="C143" s="19" t="s">
        <v>474</v>
      </c>
      <c r="D143" s="19" t="str">
        <f>HYPERLINK("http://www.henontech.com/fieldsafety/harzard/harzard_show.php?rid=2275&amp;url=harzardrecs.php","除盐水站一楼加药间窗户玻璃破裂，大风天气，一名员工巡检至此时，玻璃被风吹落掉到该员工右胳膊处，将该员工右胳膊割伤，送医后缝合十针，损工3天。")</f>
        <v>除盐水站一楼加药间窗户玻璃破裂，大风天气，一名员工巡检至此时，玻璃被风吹落掉到该员工右胳膊处，将该员工右胳膊割伤，送医后缝合十针，损工3天。</v>
      </c>
      <c r="E143" s="19" t="s">
        <v>867</v>
      </c>
      <c r="F143" s="20" t="s">
        <v>42</v>
      </c>
      <c r="G143" s="21" t="s">
        <v>43</v>
      </c>
      <c r="H143" s="19" t="s">
        <v>44</v>
      </c>
      <c r="I143" s="19" t="s">
        <v>130</v>
      </c>
      <c r="J143" s="19" t="s">
        <v>46</v>
      </c>
      <c r="K143" s="19"/>
      <c r="L143" s="19"/>
      <c r="M143" s="19" t="s">
        <v>111</v>
      </c>
      <c r="N143" s="19" t="s">
        <v>476</v>
      </c>
      <c r="O143" s="19" t="s">
        <v>111</v>
      </c>
      <c r="P143" s="19" t="s">
        <v>706</v>
      </c>
      <c r="Q143" s="19" t="s">
        <v>566</v>
      </c>
      <c r="R143" s="19" t="s">
        <v>868</v>
      </c>
      <c r="S143" s="19" t="s">
        <v>869</v>
      </c>
      <c r="T143" s="19" t="s">
        <v>54</v>
      </c>
      <c r="U143" s="19" t="s">
        <v>55</v>
      </c>
      <c r="V143" s="19" t="s">
        <v>70</v>
      </c>
      <c r="W143" s="19" t="s">
        <v>179</v>
      </c>
      <c r="X143" s="19" t="s">
        <v>116</v>
      </c>
      <c r="Y143" s="19"/>
      <c r="Z143" s="19" t="s">
        <v>870</v>
      </c>
      <c r="AA143" s="19">
        <v>1</v>
      </c>
      <c r="AB143" s="19">
        <v>1</v>
      </c>
      <c r="AC143" s="19" t="s">
        <v>59</v>
      </c>
      <c r="AD143" s="19" t="s">
        <v>706</v>
      </c>
      <c r="AE143" s="19" t="s">
        <v>118</v>
      </c>
      <c r="AF143" s="19"/>
    </row>
    <row r="144" spans="1:34">
      <c r="A144" s="19">
        <v>137</v>
      </c>
      <c r="B144" s="19" t="s">
        <v>437</v>
      </c>
      <c r="C144" s="19" t="s">
        <v>535</v>
      </c>
      <c r="D144" s="19" t="str">
        <f>HYPERLINK("http://www.henontech.com/fieldsafety/harzard/harzard_show.php?rid=2280&amp;url=harzardrecs.php","包装间平台清理料仓用的不锈钢管未及时撤除，当夜班操作工巡检时，因视线不清被不锈钢管拌倒右臂磕到旁边铁件上，造成右臂骨折，住院治疗。")</f>
        <v>包装间平台清理料仓用的不锈钢管未及时撤除，当夜班操作工巡检时，因视线不清被不锈钢管拌倒右臂磕到旁边铁件上，造成右臂骨折，住院治疗。</v>
      </c>
      <c r="E144" s="19" t="s">
        <v>871</v>
      </c>
      <c r="F144" s="20" t="s">
        <v>42</v>
      </c>
      <c r="G144" s="21" t="s">
        <v>43</v>
      </c>
      <c r="H144" s="19" t="s">
        <v>44</v>
      </c>
      <c r="I144" s="19" t="s">
        <v>234</v>
      </c>
      <c r="J144" s="19" t="s">
        <v>46</v>
      </c>
      <c r="K144" s="19" t="s">
        <v>99</v>
      </c>
      <c r="L144" s="19" t="s">
        <v>48</v>
      </c>
      <c r="M144" s="19" t="s">
        <v>336</v>
      </c>
      <c r="N144" s="19" t="s">
        <v>872</v>
      </c>
      <c r="O144" s="19" t="s">
        <v>336</v>
      </c>
      <c r="P144" s="19" t="s">
        <v>778</v>
      </c>
      <c r="Q144" s="19" t="s">
        <v>566</v>
      </c>
      <c r="R144" s="19" t="s">
        <v>873</v>
      </c>
      <c r="S144" s="19"/>
      <c r="T144" s="19" t="s">
        <v>54</v>
      </c>
      <c r="U144" s="19" t="s">
        <v>55</v>
      </c>
      <c r="V144" s="19" t="s">
        <v>56</v>
      </c>
      <c r="W144" s="19" t="s">
        <v>57</v>
      </c>
      <c r="X144" s="19" t="s">
        <v>116</v>
      </c>
      <c r="Y144" s="19" t="s">
        <v>116</v>
      </c>
      <c r="Z144" s="19" t="s">
        <v>874</v>
      </c>
      <c r="AA144" s="19">
        <v>1</v>
      </c>
      <c r="AB144" s="19">
        <v>1</v>
      </c>
      <c r="AC144" s="19" t="s">
        <v>59</v>
      </c>
      <c r="AD144" s="19" t="s">
        <v>778</v>
      </c>
      <c r="AE144" s="19" t="s">
        <v>80</v>
      </c>
      <c r="AF144" s="19" t="s">
        <v>875</v>
      </c>
    </row>
    <row r="145" spans="1:34">
      <c r="A145" s="19">
        <v>138</v>
      </c>
      <c r="B145" s="19" t="s">
        <v>437</v>
      </c>
      <c r="C145" s="19" t="s">
        <v>535</v>
      </c>
      <c r="D145" s="19" t="str">
        <f>HYPERLINK("http://www.henontech.com/fieldsafety/harzard/harzard_show.php?rid=2281&amp;url=harzardrecs.php","周转库北门，托盘放置太高不齐，操作工在打扫路面卫生时，因辩识不到位，托盘落下，砸伤右脚，住院治疗")</f>
        <v>周转库北门，托盘放置太高不齐，操作工在打扫路面卫生时，因辩识不到位，托盘落下，砸伤右脚，住院治疗</v>
      </c>
      <c r="E145" s="19" t="s">
        <v>876</v>
      </c>
      <c r="F145" s="20" t="s">
        <v>42</v>
      </c>
      <c r="G145" s="21" t="s">
        <v>43</v>
      </c>
      <c r="H145" s="19" t="s">
        <v>44</v>
      </c>
      <c r="I145" s="19" t="s">
        <v>130</v>
      </c>
      <c r="J145" s="19" t="s">
        <v>46</v>
      </c>
      <c r="K145" s="19" t="s">
        <v>47</v>
      </c>
      <c r="L145" s="19" t="s">
        <v>48</v>
      </c>
      <c r="M145" s="19" t="s">
        <v>336</v>
      </c>
      <c r="N145" s="19" t="s">
        <v>877</v>
      </c>
      <c r="O145" s="19" t="s">
        <v>336</v>
      </c>
      <c r="P145" s="19" t="s">
        <v>878</v>
      </c>
      <c r="Q145" s="19" t="s">
        <v>745</v>
      </c>
      <c r="R145" s="19" t="s">
        <v>879</v>
      </c>
      <c r="S145" s="19"/>
      <c r="T145" s="19" t="s">
        <v>54</v>
      </c>
      <c r="U145" s="19" t="s">
        <v>55</v>
      </c>
      <c r="V145" s="19" t="s">
        <v>56</v>
      </c>
      <c r="W145" s="19" t="s">
        <v>57</v>
      </c>
      <c r="X145" s="19" t="s">
        <v>116</v>
      </c>
      <c r="Y145" s="19" t="s">
        <v>116</v>
      </c>
      <c r="Z145" s="19" t="s">
        <v>880</v>
      </c>
      <c r="AA145" s="19">
        <v>1</v>
      </c>
      <c r="AB145" s="19">
        <v>1</v>
      </c>
      <c r="AC145" s="19" t="s">
        <v>59</v>
      </c>
      <c r="AD145" s="19" t="s">
        <v>878</v>
      </c>
      <c r="AE145" s="19" t="s">
        <v>73</v>
      </c>
      <c r="AF145" s="19" t="s">
        <v>881</v>
      </c>
    </row>
    <row r="146" spans="1:34">
      <c r="A146" s="19">
        <v>139</v>
      </c>
      <c r="B146" s="19" t="s">
        <v>437</v>
      </c>
      <c r="C146" s="19" t="s">
        <v>408</v>
      </c>
      <c r="D146" s="19" t="str">
        <f>HYPERLINK("http://www.henontech.com/fieldsafety/harzard/harzard_show.php?rid=2283&amp;url=harzardrecs.php","3#减温减压电动阀未设防雨罩，雨雪天气造成锈蚀损坏，财产损失5万元")</f>
        <v>3#减温减压电动阀未设防雨罩，雨雪天气造成锈蚀损坏，财产损失5万元</v>
      </c>
      <c r="E146" s="19" t="s">
        <v>882</v>
      </c>
      <c r="F146" s="20" t="s">
        <v>42</v>
      </c>
      <c r="G146" s="21" t="s">
        <v>43</v>
      </c>
      <c r="H146" s="19" t="s">
        <v>44</v>
      </c>
      <c r="I146" s="19"/>
      <c r="J146" s="19" t="s">
        <v>158</v>
      </c>
      <c r="K146" s="19"/>
      <c r="L146" s="19"/>
      <c r="M146" s="19" t="s">
        <v>111</v>
      </c>
      <c r="N146" s="19" t="s">
        <v>436</v>
      </c>
      <c r="O146" s="19" t="s">
        <v>111</v>
      </c>
      <c r="P146" s="19" t="s">
        <v>706</v>
      </c>
      <c r="Q146" s="19" t="s">
        <v>566</v>
      </c>
      <c r="R146" s="19" t="s">
        <v>483</v>
      </c>
      <c r="S146" s="19" t="s">
        <v>883</v>
      </c>
      <c r="T146" s="19" t="s">
        <v>169</v>
      </c>
      <c r="U146" s="19" t="s">
        <v>69</v>
      </c>
      <c r="V146" s="19" t="s">
        <v>56</v>
      </c>
      <c r="W146" s="19" t="s">
        <v>179</v>
      </c>
      <c r="X146" s="19" t="s">
        <v>116</v>
      </c>
      <c r="Y146" s="19"/>
      <c r="Z146" s="19" t="s">
        <v>884</v>
      </c>
      <c r="AA146" s="19">
        <v>1</v>
      </c>
      <c r="AB146" s="19">
        <v>1</v>
      </c>
      <c r="AC146" s="19" t="s">
        <v>59</v>
      </c>
      <c r="AD146" s="19" t="s">
        <v>706</v>
      </c>
      <c r="AE146" s="19" t="s">
        <v>118</v>
      </c>
      <c r="AF146" s="19"/>
    </row>
    <row r="147" spans="1:34">
      <c r="A147" s="19">
        <v>140</v>
      </c>
      <c r="B147" s="19" t="s">
        <v>437</v>
      </c>
      <c r="C147" s="19" t="s">
        <v>222</v>
      </c>
      <c r="D147" s="19" t="str">
        <f>HYPERLINK("http://www.henontech.com/fieldsafety/harzard/harzard_show.php?rid=2284&amp;url=harzardrecs.php","柴油机消防泵电瓶线夹处电缆破损，柴油机本体及地面有油污，在做柴油机启动试验时破损处打火引起火灾烧坏电瓶，造成财产损失5000元")</f>
        <v>柴油机消防泵电瓶线夹处电缆破损，柴油机本体及地面有油污，在做柴油机启动试验时破损处打火引起火灾烧坏电瓶，造成财产损失5000元</v>
      </c>
      <c r="E147" s="19" t="s">
        <v>885</v>
      </c>
      <c r="F147" s="20" t="s">
        <v>42</v>
      </c>
      <c r="G147" s="21" t="s">
        <v>43</v>
      </c>
      <c r="H147" s="19" t="s">
        <v>44</v>
      </c>
      <c r="I147" s="19"/>
      <c r="J147" s="19" t="s">
        <v>46</v>
      </c>
      <c r="K147" s="19"/>
      <c r="L147" s="19"/>
      <c r="M147" s="19" t="s">
        <v>111</v>
      </c>
      <c r="N147" s="19" t="s">
        <v>886</v>
      </c>
      <c r="O147" s="19" t="s">
        <v>111</v>
      </c>
      <c r="P147" s="19" t="s">
        <v>706</v>
      </c>
      <c r="Q147" s="19" t="s">
        <v>566</v>
      </c>
      <c r="R147" s="19" t="s">
        <v>887</v>
      </c>
      <c r="S147" s="19" t="s">
        <v>888</v>
      </c>
      <c r="T147" s="19" t="s">
        <v>169</v>
      </c>
      <c r="U147" s="19" t="s">
        <v>170</v>
      </c>
      <c r="V147" s="19" t="s">
        <v>56</v>
      </c>
      <c r="W147" s="19" t="s">
        <v>71</v>
      </c>
      <c r="X147" s="19" t="s">
        <v>116</v>
      </c>
      <c r="Y147" s="19"/>
      <c r="Z147" s="19" t="s">
        <v>889</v>
      </c>
      <c r="AA147" s="19">
        <v>1</v>
      </c>
      <c r="AB147" s="19">
        <v>1</v>
      </c>
      <c r="AC147" s="19" t="s">
        <v>59</v>
      </c>
      <c r="AD147" s="19" t="s">
        <v>706</v>
      </c>
      <c r="AE147" s="19" t="s">
        <v>118</v>
      </c>
      <c r="AF147" s="19"/>
    </row>
    <row r="148" spans="1:34">
      <c r="A148" s="19">
        <v>141</v>
      </c>
      <c r="B148" s="19" t="s">
        <v>437</v>
      </c>
      <c r="C148" s="19" t="s">
        <v>111</v>
      </c>
      <c r="D148" s="19" t="str">
        <f>HYPERLINK("http://www.henontech.com/fieldsafety/harzard/harzard_show.php?rid=2285&amp;url=harzardrecs.php","循环水消防水池原自动上水管弃用与主管分离后，悬挂在消防水池上部进水口，一巡检人员巡检经过时，水管从进水口向外脱落与巡检人员正面相对，将巡检人员左耳下部擦伤，经简单处理后继续工作。")</f>
        <v>循环水消防水池原自动上水管弃用与主管分离后，悬挂在消防水池上部进水口，一巡检人员巡检经过时，水管从进水口向外脱落与巡检人员正面相对，将巡检人员左耳下部擦伤，经简单处理后继续工作。</v>
      </c>
      <c r="E148" s="19" t="s">
        <v>890</v>
      </c>
      <c r="F148" s="20" t="s">
        <v>42</v>
      </c>
      <c r="G148" s="21" t="s">
        <v>43</v>
      </c>
      <c r="H148" s="19" t="s">
        <v>44</v>
      </c>
      <c r="I148" s="19"/>
      <c r="J148" s="19" t="s">
        <v>46</v>
      </c>
      <c r="K148" s="19"/>
      <c r="L148" s="19"/>
      <c r="M148" s="19" t="s">
        <v>111</v>
      </c>
      <c r="N148" s="19" t="s">
        <v>460</v>
      </c>
      <c r="O148" s="19" t="s">
        <v>111</v>
      </c>
      <c r="P148" s="19" t="s">
        <v>411</v>
      </c>
      <c r="Q148" s="19" t="s">
        <v>566</v>
      </c>
      <c r="R148" s="19" t="s">
        <v>891</v>
      </c>
      <c r="S148" s="19" t="s">
        <v>892</v>
      </c>
      <c r="T148" s="19" t="s">
        <v>54</v>
      </c>
      <c r="U148" s="19" t="s">
        <v>69</v>
      </c>
      <c r="V148" s="19" t="s">
        <v>70</v>
      </c>
      <c r="W148" s="19" t="s">
        <v>71</v>
      </c>
      <c r="X148" s="19" t="s">
        <v>116</v>
      </c>
      <c r="Y148" s="19"/>
      <c r="Z148" s="19" t="s">
        <v>893</v>
      </c>
      <c r="AA148" s="19">
        <v>1</v>
      </c>
      <c r="AB148" s="19">
        <v>1</v>
      </c>
      <c r="AC148" s="19" t="s">
        <v>59</v>
      </c>
      <c r="AD148" s="19" t="s">
        <v>411</v>
      </c>
      <c r="AE148" s="19" t="s">
        <v>80</v>
      </c>
      <c r="AF148" s="19" t="s">
        <v>894</v>
      </c>
    </row>
    <row r="149" spans="1:34">
      <c r="A149" s="19">
        <v>142</v>
      </c>
      <c r="B149" s="19" t="s">
        <v>437</v>
      </c>
      <c r="C149" s="19" t="s">
        <v>291</v>
      </c>
      <c r="D149" s="19" t="str">
        <f>HYPERLINK("http://www.henontech.com/fieldsafety/harzard/harzard_show.php?rid=2287&amp;url=harzardrecs.php","地下室冷焦带减速机联轴器未加防护罩，一名员工给电机时，手臂抬落手套不甚卷入联轴器，造成手指骨折住院治疗十天后回家休养三个月，造成损工事故")</f>
        <v>地下室冷焦带减速机联轴器未加防护罩，一名员工给电机时，手臂抬落手套不甚卷入联轴器，造成手指骨折住院治疗十天后回家休养三个月，造成损工事故</v>
      </c>
      <c r="E149" s="19" t="s">
        <v>895</v>
      </c>
      <c r="F149" s="20" t="s">
        <v>42</v>
      </c>
      <c r="G149" s="21" t="s">
        <v>43</v>
      </c>
      <c r="H149" s="19" t="s">
        <v>44</v>
      </c>
      <c r="I149" s="19" t="s">
        <v>109</v>
      </c>
      <c r="J149" s="19" t="s">
        <v>46</v>
      </c>
      <c r="K149" s="19" t="s">
        <v>47</v>
      </c>
      <c r="L149" s="19"/>
      <c r="M149" s="19" t="s">
        <v>111</v>
      </c>
      <c r="N149" s="19" t="s">
        <v>454</v>
      </c>
      <c r="O149" s="19" t="s">
        <v>111</v>
      </c>
      <c r="P149" s="19" t="s">
        <v>394</v>
      </c>
      <c r="Q149" s="19" t="s">
        <v>745</v>
      </c>
      <c r="R149" s="19" t="s">
        <v>896</v>
      </c>
      <c r="S149" s="19" t="s">
        <v>897</v>
      </c>
      <c r="T149" s="19" t="s">
        <v>54</v>
      </c>
      <c r="U149" s="19" t="s">
        <v>55</v>
      </c>
      <c r="V149" s="19" t="s">
        <v>56</v>
      </c>
      <c r="W149" s="19" t="s">
        <v>57</v>
      </c>
      <c r="X149" s="19" t="s">
        <v>332</v>
      </c>
      <c r="Y149" s="19" t="s">
        <v>332</v>
      </c>
      <c r="Z149" s="19" t="s">
        <v>898</v>
      </c>
      <c r="AA149" s="19">
        <v>1</v>
      </c>
      <c r="AB149" s="19">
        <v>1</v>
      </c>
      <c r="AC149" s="19" t="s">
        <v>59</v>
      </c>
      <c r="AD149" s="19" t="s">
        <v>394</v>
      </c>
      <c r="AE149" s="19" t="s">
        <v>80</v>
      </c>
      <c r="AF149" s="19" t="s">
        <v>899</v>
      </c>
    </row>
    <row r="150" spans="1:34">
      <c r="A150" s="19">
        <v>143</v>
      </c>
      <c r="B150" s="19" t="s">
        <v>437</v>
      </c>
      <c r="C150" s="19" t="s">
        <v>276</v>
      </c>
      <c r="D150" s="19" t="str">
        <f>HYPERLINK("http://www.henontech.com/fieldsafety/harzard/harzard_show.php?rid=2289&amp;url=harzardrecs.php","汽机房西门南排水管管道松动，大风天气一人员巡检此处时排水管掉落砸至巡检人员右肩部，送医治疗诊断为右肩肩胛骨骨折，损工两个月")</f>
        <v>汽机房西门南排水管管道松动，大风天气一人员巡检此处时排水管掉落砸至巡检人员右肩部，送医治疗诊断为右肩肩胛骨骨折，损工两个月</v>
      </c>
      <c r="E150" s="19" t="s">
        <v>900</v>
      </c>
      <c r="F150" s="20" t="s">
        <v>42</v>
      </c>
      <c r="G150" s="21" t="s">
        <v>43</v>
      </c>
      <c r="H150" s="19" t="s">
        <v>44</v>
      </c>
      <c r="I150" s="19" t="s">
        <v>130</v>
      </c>
      <c r="J150" s="19" t="s">
        <v>46</v>
      </c>
      <c r="K150" s="19"/>
      <c r="L150" s="19"/>
      <c r="M150" s="19" t="s">
        <v>111</v>
      </c>
      <c r="N150" s="19" t="s">
        <v>443</v>
      </c>
      <c r="O150" s="19" t="s">
        <v>111</v>
      </c>
      <c r="P150" s="19" t="s">
        <v>294</v>
      </c>
      <c r="Q150" s="19" t="s">
        <v>745</v>
      </c>
      <c r="R150" s="19" t="s">
        <v>901</v>
      </c>
      <c r="S150" s="19" t="s">
        <v>902</v>
      </c>
      <c r="T150" s="19" t="s">
        <v>54</v>
      </c>
      <c r="U150" s="19" t="s">
        <v>55</v>
      </c>
      <c r="V150" s="19" t="s">
        <v>70</v>
      </c>
      <c r="W150" s="19" t="s">
        <v>179</v>
      </c>
      <c r="X150" s="19" t="s">
        <v>116</v>
      </c>
      <c r="Y150" s="19"/>
      <c r="Z150" s="19" t="s">
        <v>903</v>
      </c>
      <c r="AA150" s="19">
        <v>1</v>
      </c>
      <c r="AB150" s="19">
        <v>1</v>
      </c>
      <c r="AC150" s="19" t="s">
        <v>59</v>
      </c>
      <c r="AD150" s="19" t="s">
        <v>294</v>
      </c>
      <c r="AE150" s="19" t="s">
        <v>904</v>
      </c>
      <c r="AF150" s="19"/>
    </row>
    <row r="151" spans="1:34">
      <c r="A151" s="19">
        <v>144</v>
      </c>
      <c r="B151" s="19" t="s">
        <v>437</v>
      </c>
      <c r="C151" s="19" t="s">
        <v>291</v>
      </c>
      <c r="D151" s="19" t="str">
        <f>HYPERLINK("http://www.henontech.com/fieldsafety/harzard/harzard_show.php?rid=2291&amp;url=harzardrecs.php","一维修人员在进行气割作业时，因未佩戴防护眼镜或面罩，导致飞起的铁渣不慎溅落在其右眼里，造成眼睛灼伤，住院治疗三个月。")</f>
        <v>一维修人员在进行气割作业时，因未佩戴防护眼镜或面罩，导致飞起的铁渣不慎溅落在其右眼里，造成眼睛灼伤，住院治疗三个月。</v>
      </c>
      <c r="E151" s="19" t="s">
        <v>905</v>
      </c>
      <c r="F151" s="20" t="s">
        <v>42</v>
      </c>
      <c r="G151" s="21" t="s">
        <v>43</v>
      </c>
      <c r="H151" s="19" t="s">
        <v>44</v>
      </c>
      <c r="I151" s="19" t="s">
        <v>109</v>
      </c>
      <c r="J151" s="19" t="s">
        <v>46</v>
      </c>
      <c r="K151" s="19"/>
      <c r="L151" s="19"/>
      <c r="M151" s="19" t="s">
        <v>111</v>
      </c>
      <c r="N151" s="19" t="s">
        <v>293</v>
      </c>
      <c r="O151" s="19" t="s">
        <v>111</v>
      </c>
      <c r="P151" s="19" t="s">
        <v>411</v>
      </c>
      <c r="Q151" s="19" t="s">
        <v>745</v>
      </c>
      <c r="R151" s="19" t="s">
        <v>906</v>
      </c>
      <c r="S151" s="19" t="s">
        <v>907</v>
      </c>
      <c r="T151" s="19" t="s">
        <v>54</v>
      </c>
      <c r="U151" s="19" t="s">
        <v>55</v>
      </c>
      <c r="V151" s="19" t="s">
        <v>102</v>
      </c>
      <c r="W151" s="19" t="s">
        <v>103</v>
      </c>
      <c r="X151" s="19" t="s">
        <v>347</v>
      </c>
      <c r="Y151" s="19"/>
      <c r="Z151" s="19" t="s">
        <v>908</v>
      </c>
      <c r="AA151" s="19">
        <v>1</v>
      </c>
      <c r="AB151" s="19">
        <v>1</v>
      </c>
      <c r="AC151" s="19" t="s">
        <v>59</v>
      </c>
      <c r="AD151" s="19" t="s">
        <v>411</v>
      </c>
      <c r="AE151" s="19" t="s">
        <v>415</v>
      </c>
      <c r="AF151" s="19" t="s">
        <v>909</v>
      </c>
    </row>
    <row r="152" spans="1:34">
      <c r="A152" s="19">
        <v>145</v>
      </c>
      <c r="B152" s="19" t="s">
        <v>421</v>
      </c>
      <c r="C152" s="19" t="s">
        <v>910</v>
      </c>
      <c r="D152" s="19" t="str">
        <f>HYPERLINK("http://www.henontech.com/fieldsafety/harzard/harzard_show.php?rid=2293&amp;url=harzardrecs.php","地沟盖板破碎，路过时不小心踩到，盖板塌陷，会掉入其中！一名操作工在巡检过程中，踩到破裂地沟盖板，盖板塌陷，把脚歪伤，在家休息一周后复工！")</f>
        <v>地沟盖板破碎，路过时不小心踩到，盖板塌陷，会掉入其中！一名操作工在巡检过程中，踩到破裂地沟盖板，盖板塌陷，把脚歪伤，在家休息一周后复工！</v>
      </c>
      <c r="E152" s="19" t="s">
        <v>911</v>
      </c>
      <c r="F152" s="20" t="s">
        <v>42</v>
      </c>
      <c r="G152" s="21" t="s">
        <v>43</v>
      </c>
      <c r="H152" s="19" t="s">
        <v>44</v>
      </c>
      <c r="I152" s="19" t="s">
        <v>130</v>
      </c>
      <c r="J152" s="19" t="s">
        <v>46</v>
      </c>
      <c r="K152" s="19" t="s">
        <v>912</v>
      </c>
      <c r="L152" s="19" t="s">
        <v>48</v>
      </c>
      <c r="M152" s="19" t="s">
        <v>336</v>
      </c>
      <c r="N152" s="19" t="s">
        <v>913</v>
      </c>
      <c r="O152" s="19" t="s">
        <v>336</v>
      </c>
      <c r="P152" s="19" t="s">
        <v>430</v>
      </c>
      <c r="Q152" s="19" t="s">
        <v>914</v>
      </c>
      <c r="R152" s="19" t="s">
        <v>915</v>
      </c>
      <c r="S152" s="19"/>
      <c r="T152" s="19" t="s">
        <v>54</v>
      </c>
      <c r="U152" s="19" t="s">
        <v>69</v>
      </c>
      <c r="V152" s="19" t="s">
        <v>70</v>
      </c>
      <c r="W152" s="19" t="s">
        <v>71</v>
      </c>
      <c r="X152" s="19" t="s">
        <v>673</v>
      </c>
      <c r="Y152" s="19" t="s">
        <v>673</v>
      </c>
      <c r="Z152" s="19" t="s">
        <v>916</v>
      </c>
      <c r="AA152" s="19">
        <v>1</v>
      </c>
      <c r="AB152" s="19">
        <v>1</v>
      </c>
      <c r="AC152" s="19" t="s">
        <v>59</v>
      </c>
      <c r="AD152" s="19" t="s">
        <v>430</v>
      </c>
      <c r="AE152" s="19" t="s">
        <v>73</v>
      </c>
      <c r="AF152" s="19"/>
    </row>
    <row r="153" spans="1:34">
      <c r="A153" s="19">
        <v>146</v>
      </c>
      <c r="B153" s="19" t="s">
        <v>917</v>
      </c>
      <c r="C153" s="19" t="s">
        <v>526</v>
      </c>
      <c r="D153" s="19" t="str">
        <f>HYPERLINK("http://www.henontech.com/fieldsafety/harzard/harzard_show.php?rid=2314&amp;url=harzardrecs.php","由于水沟盖板缺失，操作人员经过时，不慎掉入水沟内，造成左腿受伤。送往医院检查经确诊为左腿肌肉擦伤，住院两天，在家休养五天后复工")</f>
        <v>由于水沟盖板缺失，操作人员经过时，不慎掉入水沟内，造成左腿受伤。送往医院检查经确诊为左腿肌肉擦伤，住院两天，在家休养五天后复工</v>
      </c>
      <c r="E153" s="19" t="s">
        <v>918</v>
      </c>
      <c r="F153" s="20" t="s">
        <v>42</v>
      </c>
      <c r="G153" s="22" t="s">
        <v>108</v>
      </c>
      <c r="H153" s="19" t="s">
        <v>44</v>
      </c>
      <c r="I153" s="19" t="s">
        <v>130</v>
      </c>
      <c r="J153" s="19" t="s">
        <v>46</v>
      </c>
      <c r="K153" s="19" t="s">
        <v>47</v>
      </c>
      <c r="L153" s="19" t="s">
        <v>48</v>
      </c>
      <c r="M153" s="19" t="s">
        <v>529</v>
      </c>
      <c r="N153" s="19" t="s">
        <v>919</v>
      </c>
      <c r="O153" s="19" t="s">
        <v>529</v>
      </c>
      <c r="P153" s="19" t="s">
        <v>920</v>
      </c>
      <c r="Q153" s="19" t="s">
        <v>921</v>
      </c>
      <c r="R153" s="19" t="s">
        <v>922</v>
      </c>
      <c r="S153" s="19"/>
      <c r="T153" s="19" t="s">
        <v>54</v>
      </c>
      <c r="U153" s="19" t="s">
        <v>69</v>
      </c>
      <c r="V153" s="19" t="s">
        <v>56</v>
      </c>
      <c r="W153" s="19" t="s">
        <v>179</v>
      </c>
      <c r="X153" s="19"/>
      <c r="Y153" s="19"/>
      <c r="Z153" s="19" t="s">
        <v>923</v>
      </c>
      <c r="AA153" s="19">
        <v>1</v>
      </c>
      <c r="AB153" s="19">
        <v>1</v>
      </c>
      <c r="AC153" s="19" t="s">
        <v>59</v>
      </c>
      <c r="AD153" s="19" t="s">
        <v>920</v>
      </c>
      <c r="AE153" s="19" t="s">
        <v>921</v>
      </c>
      <c r="AF153" s="19"/>
    </row>
    <row r="154" spans="1:34">
      <c r="A154" s="19">
        <v>147</v>
      </c>
      <c r="B154" s="19" t="s">
        <v>467</v>
      </c>
      <c r="C154" s="19" t="s">
        <v>514</v>
      </c>
      <c r="D154" s="19" t="str">
        <f>HYPERLINK("http://www.henontech.com/fieldsafety/harzard/harzard_show.php?rid=2330&amp;url=harzardrecs.php","蒸汽过热器法兰螺丝松动蒸汽泄露，一名巡检工到附近巡检被蒸汽烫伤手部")</f>
        <v>蒸汽过热器法兰螺丝松动蒸汽泄露，一名巡检工到附近巡检被蒸汽烫伤手部</v>
      </c>
      <c r="E154" s="19" t="s">
        <v>924</v>
      </c>
      <c r="F154" s="20" t="s">
        <v>42</v>
      </c>
      <c r="G154" s="21" t="s">
        <v>43</v>
      </c>
      <c r="H154" s="19" t="s">
        <v>44</v>
      </c>
      <c r="I154" s="19" t="s">
        <v>45</v>
      </c>
      <c r="J154" s="19" t="s">
        <v>46</v>
      </c>
      <c r="K154" s="19" t="s">
        <v>84</v>
      </c>
      <c r="L154" s="19"/>
      <c r="M154" s="19" t="s">
        <v>336</v>
      </c>
      <c r="N154" s="19" t="s">
        <v>925</v>
      </c>
      <c r="O154" s="19" t="s">
        <v>336</v>
      </c>
      <c r="P154" s="19" t="s">
        <v>778</v>
      </c>
      <c r="Q154" s="19" t="s">
        <v>926</v>
      </c>
      <c r="R154" s="19" t="s">
        <v>927</v>
      </c>
      <c r="S154" s="19"/>
      <c r="T154" s="19" t="s">
        <v>54</v>
      </c>
      <c r="U154" s="19" t="s">
        <v>69</v>
      </c>
      <c r="V154" s="19" t="s">
        <v>56</v>
      </c>
      <c r="W154" s="19" t="s">
        <v>179</v>
      </c>
      <c r="X154" s="19" t="s">
        <v>445</v>
      </c>
      <c r="Y154" s="19" t="s">
        <v>341</v>
      </c>
      <c r="Z154" s="19" t="s">
        <v>928</v>
      </c>
      <c r="AA154" s="19">
        <v>1</v>
      </c>
      <c r="AB154" s="19">
        <v>1</v>
      </c>
      <c r="AC154" s="19" t="s">
        <v>59</v>
      </c>
      <c r="AD154" s="19" t="s">
        <v>778</v>
      </c>
      <c r="AE154" s="19" t="s">
        <v>80</v>
      </c>
      <c r="AF154" s="19" t="s">
        <v>929</v>
      </c>
    </row>
    <row r="155" spans="1:34">
      <c r="A155" s="19">
        <v>148</v>
      </c>
      <c r="B155" s="19" t="s">
        <v>511</v>
      </c>
      <c r="C155" s="19" t="s">
        <v>514</v>
      </c>
      <c r="D155" s="19" t="str">
        <f>HYPERLINK("http://www.henontech.com/fieldsafety/harzard/harzard_show.php?rid=2331&amp;url=harzardrecs.php","转化现场登高用铁凳支撑腿变形不牢固，无护栏，操作工登高时脚底踩空，摔落地面造成左脚踝扭伤，损工三天。")</f>
        <v>转化现场登高用铁凳支撑腿变形不牢固，无护栏，操作工登高时脚底踩空，摔落地面造成左脚踝扭伤，损工三天。</v>
      </c>
      <c r="E155" s="19" t="s">
        <v>930</v>
      </c>
      <c r="F155" s="25" t="s">
        <v>931</v>
      </c>
      <c r="G155" s="21" t="s">
        <v>43</v>
      </c>
      <c r="H155" s="19" t="s">
        <v>44</v>
      </c>
      <c r="I155" s="19"/>
      <c r="J155" s="19" t="s">
        <v>46</v>
      </c>
      <c r="K155" s="19" t="s">
        <v>184</v>
      </c>
      <c r="L155" s="19"/>
      <c r="M155" s="19" t="s">
        <v>336</v>
      </c>
      <c r="N155" s="19" t="s">
        <v>932</v>
      </c>
      <c r="O155" s="19"/>
      <c r="P155" s="19"/>
      <c r="Q155" s="19"/>
      <c r="R155" s="19" t="s">
        <v>933</v>
      </c>
      <c r="S155" s="19" t="s">
        <v>934</v>
      </c>
      <c r="T155" s="19" t="s">
        <v>54</v>
      </c>
      <c r="U155" s="19" t="s">
        <v>55</v>
      </c>
      <c r="V155" s="19" t="s">
        <v>56</v>
      </c>
      <c r="W155" s="19" t="s">
        <v>57</v>
      </c>
      <c r="X155" s="19"/>
      <c r="Y155" s="19"/>
      <c r="Z155" s="19"/>
      <c r="AA155" s="19">
        <v>0</v>
      </c>
      <c r="AB155" s="19"/>
      <c r="AC155" s="19" t="s">
        <v>594</v>
      </c>
      <c r="AD155" s="19"/>
      <c r="AE155" s="19"/>
      <c r="AF155" s="19"/>
    </row>
    <row r="156" spans="1:34">
      <c r="A156" s="19">
        <v>149</v>
      </c>
      <c r="B156" s="19" t="s">
        <v>540</v>
      </c>
      <c r="C156" s="19" t="s">
        <v>935</v>
      </c>
      <c r="D156" s="19" t="str">
        <f>HYPERLINK("http://www.henontech.com/fieldsafety/harzard/harzard_show.php?rid=2351&amp;url=harzardrecs.php","两名保运人员在检修低位槽液下泵时，一人未戴防护手套，操作时锤子砸偏，导致左手轻微擦伤，简单处理后正常上班！")</f>
        <v>两名保运人员在检修低位槽液下泵时，一人未戴防护手套，操作时锤子砸偏，导致左手轻微擦伤，简单处理后正常上班！</v>
      </c>
      <c r="E156" s="19" t="s">
        <v>936</v>
      </c>
      <c r="F156" s="20" t="s">
        <v>42</v>
      </c>
      <c r="G156" s="21" t="s">
        <v>43</v>
      </c>
      <c r="H156" s="19" t="s">
        <v>44</v>
      </c>
      <c r="I156" s="19" t="s">
        <v>45</v>
      </c>
      <c r="J156" s="19" t="s">
        <v>158</v>
      </c>
      <c r="K156" s="19" t="s">
        <v>84</v>
      </c>
      <c r="L156" s="19" t="s">
        <v>48</v>
      </c>
      <c r="M156" s="19" t="s">
        <v>49</v>
      </c>
      <c r="N156" s="19" t="s">
        <v>937</v>
      </c>
      <c r="O156" s="19" t="s">
        <v>49</v>
      </c>
      <c r="P156" s="19" t="s">
        <v>66</v>
      </c>
      <c r="Q156" s="19" t="s">
        <v>938</v>
      </c>
      <c r="R156" s="19" t="s">
        <v>939</v>
      </c>
      <c r="S156" s="19"/>
      <c r="T156" s="19" t="s">
        <v>54</v>
      </c>
      <c r="U156" s="19" t="s">
        <v>170</v>
      </c>
      <c r="V156" s="19" t="s">
        <v>56</v>
      </c>
      <c r="W156" s="19" t="s">
        <v>71</v>
      </c>
      <c r="X156" s="19"/>
      <c r="Y156" s="19"/>
      <c r="Z156" s="19" t="s">
        <v>940</v>
      </c>
      <c r="AA156" s="19">
        <v>1</v>
      </c>
      <c r="AB156" s="19">
        <v>1</v>
      </c>
      <c r="AC156" s="19" t="s">
        <v>59</v>
      </c>
      <c r="AD156" s="19" t="s">
        <v>66</v>
      </c>
      <c r="AE156" s="19" t="s">
        <v>540</v>
      </c>
      <c r="AF156" s="19"/>
    </row>
    <row r="157" spans="1:34" customHeight="1" ht="42">
      <c r="A157" s="19">
        <v>150</v>
      </c>
      <c r="B157" s="19" t="s">
        <v>941</v>
      </c>
      <c r="C157" s="19" t="s">
        <v>568</v>
      </c>
      <c r="D157" s="19" t="str">
        <f>HYPERLINK("http://www.henontech.com/fieldsafety/harzard/harzard_show.php?rid=2367&amp;url=harzardrecs.php","蒸氨氨水储槽顶部腐蚀严重，假如氨水槽液位计不准确时，氨水会外溢地面被氨水污染，造成环境污染。")</f>
        <v>蒸氨氨水储槽顶部腐蚀严重，假如氨水槽液位计不准确时，氨水会外溢地面被氨水污染，造成环境污染。</v>
      </c>
      <c r="E157" s="19" t="s">
        <v>942</v>
      </c>
      <c r="F157" s="20" t="s">
        <v>42</v>
      </c>
      <c r="G157" s="21" t="s">
        <v>43</v>
      </c>
      <c r="H157" s="19" t="s">
        <v>44</v>
      </c>
      <c r="I157" s="19" t="s">
        <v>130</v>
      </c>
      <c r="J157" s="19" t="s">
        <v>46</v>
      </c>
      <c r="K157" s="19" t="s">
        <v>47</v>
      </c>
      <c r="L157" s="19"/>
      <c r="M157" s="19" t="s">
        <v>49</v>
      </c>
      <c r="N157" s="19" t="s">
        <v>132</v>
      </c>
      <c r="O157" s="19" t="s">
        <v>49</v>
      </c>
      <c r="P157" s="19" t="s">
        <v>66</v>
      </c>
      <c r="Q157" s="19" t="s">
        <v>943</v>
      </c>
      <c r="R157" s="19" t="s">
        <v>944</v>
      </c>
      <c r="S157" s="19"/>
      <c r="T157" s="19" t="s">
        <v>94</v>
      </c>
      <c r="U157" s="19" t="s">
        <v>170</v>
      </c>
      <c r="V157" s="19" t="s">
        <v>56</v>
      </c>
      <c r="W157" s="19" t="s">
        <v>71</v>
      </c>
      <c r="X157" s="19"/>
      <c r="Y157" s="19"/>
      <c r="Z157" s="19" t="s">
        <v>945</v>
      </c>
      <c r="AA157" s="19">
        <v>2</v>
      </c>
      <c r="AB157" s="19">
        <v>0</v>
      </c>
      <c r="AC157" s="19" t="s">
        <v>59</v>
      </c>
      <c r="AD157" s="19" t="s">
        <v>66</v>
      </c>
      <c r="AE157" s="19" t="s">
        <v>73</v>
      </c>
      <c r="AF157" s="19" t="s">
        <v>946</v>
      </c>
    </row>
    <row r="158" spans="1:34">
      <c r="A158" s="19">
        <v>151</v>
      </c>
      <c r="B158" s="19" t="s">
        <v>648</v>
      </c>
      <c r="C158" s="19" t="s">
        <v>947</v>
      </c>
      <c r="D158" s="19" t="str">
        <f>HYPERLINK("http://www.henontech.com/fieldsafety/harzard/harzard_show.php?rid=2403&amp;url=harzardrecs.php","振动流化床踩的板凳固定不牢。假如停车的时候一名操作工踩在板凳上清理振动流化床内部，不小心板凳倒丁，造成右胳膊扭伤，去医院简单治疗后回家休养三天，损工三天。")</f>
        <v>振动流化床踩的板凳固定不牢。假如停车的时候一名操作工踩在板凳上清理振动流化床内部，不小心板凳倒丁，造成右胳膊扭伤，去医院简单治疗后回家休养三天，损工三天。</v>
      </c>
      <c r="E158" s="19" t="s">
        <v>948</v>
      </c>
      <c r="F158" s="20" t="s">
        <v>42</v>
      </c>
      <c r="G158" s="21" t="s">
        <v>43</v>
      </c>
      <c r="H158" s="19" t="s">
        <v>44</v>
      </c>
      <c r="I158" s="19" t="s">
        <v>130</v>
      </c>
      <c r="J158" s="19" t="s">
        <v>46</v>
      </c>
      <c r="K158" s="19" t="s">
        <v>184</v>
      </c>
      <c r="L158" s="19" t="s">
        <v>48</v>
      </c>
      <c r="M158" s="19" t="s">
        <v>49</v>
      </c>
      <c r="N158" s="19" t="s">
        <v>949</v>
      </c>
      <c r="O158" s="19" t="s">
        <v>49</v>
      </c>
      <c r="P158" s="19" t="s">
        <v>66</v>
      </c>
      <c r="Q158" s="19" t="s">
        <v>950</v>
      </c>
      <c r="R158" s="19" t="s">
        <v>951</v>
      </c>
      <c r="S158" s="19"/>
      <c r="T158" s="19" t="s">
        <v>54</v>
      </c>
      <c r="U158" s="19" t="s">
        <v>55</v>
      </c>
      <c r="V158" s="19" t="s">
        <v>70</v>
      </c>
      <c r="W158" s="19" t="s">
        <v>179</v>
      </c>
      <c r="X158" s="19"/>
      <c r="Y158" s="19"/>
      <c r="Z158" s="19" t="s">
        <v>952</v>
      </c>
      <c r="AA158" s="19">
        <v>1</v>
      </c>
      <c r="AB158" s="19">
        <v>1</v>
      </c>
      <c r="AC158" s="19" t="s">
        <v>59</v>
      </c>
      <c r="AD158" s="19" t="s">
        <v>66</v>
      </c>
      <c r="AE158" s="19" t="s">
        <v>953</v>
      </c>
      <c r="AF158" s="19"/>
    </row>
    <row r="159" spans="1:34" customHeight="1" ht="42">
      <c r="A159" s="19">
        <v>152</v>
      </c>
      <c r="B159" s="19" t="s">
        <v>702</v>
      </c>
      <c r="C159" s="19" t="s">
        <v>142</v>
      </c>
      <c r="D159" s="19" t="str">
        <f>HYPERLINK("http://www.henontech.com/fieldsafety/harzard/harzard_show.php?rid=2408&amp;url=harzardrecs.php","由于总烟道测压孔处砖墙损坏，水熄时水熄车经过漏下残余的熄焦水灌入测压孔处，造成总烟道温度与吸力表损坏，维修正常需要费用1000元。")</f>
        <v>由于总烟道测压孔处砖墙损坏，水熄时水熄车经过漏下残余的熄焦水灌入测压孔处，造成总烟道温度与吸力表损坏，维修正常需要费用1000元。</v>
      </c>
      <c r="E159" s="19" t="s">
        <v>954</v>
      </c>
      <c r="F159" s="20" t="s">
        <v>42</v>
      </c>
      <c r="G159" s="21" t="s">
        <v>43</v>
      </c>
      <c r="H159" s="19" t="s">
        <v>44</v>
      </c>
      <c r="I159" s="19" t="s">
        <v>45</v>
      </c>
      <c r="J159" s="19" t="s">
        <v>46</v>
      </c>
      <c r="K159" s="19" t="s">
        <v>131</v>
      </c>
      <c r="L159" s="19" t="s">
        <v>48</v>
      </c>
      <c r="M159" s="19" t="s">
        <v>111</v>
      </c>
      <c r="N159" s="19" t="s">
        <v>269</v>
      </c>
      <c r="O159" s="19" t="s">
        <v>111</v>
      </c>
      <c r="P159" s="19" t="s">
        <v>270</v>
      </c>
      <c r="Q159" s="19" t="s">
        <v>955</v>
      </c>
      <c r="R159" s="19" t="s">
        <v>956</v>
      </c>
      <c r="S159" s="19"/>
      <c r="T159" s="19" t="s">
        <v>169</v>
      </c>
      <c r="U159" s="19" t="s">
        <v>170</v>
      </c>
      <c r="V159" s="19" t="s">
        <v>56</v>
      </c>
      <c r="W159" s="19" t="s">
        <v>71</v>
      </c>
      <c r="X159" s="19" t="s">
        <v>116</v>
      </c>
      <c r="Y159" s="19"/>
      <c r="Z159" s="19" t="s">
        <v>957</v>
      </c>
      <c r="AA159" s="19">
        <v>2</v>
      </c>
      <c r="AB159" s="19">
        <v>1</v>
      </c>
      <c r="AC159" s="19" t="s">
        <v>59</v>
      </c>
      <c r="AD159" s="19" t="s">
        <v>270</v>
      </c>
      <c r="AE159" s="19" t="s">
        <v>958</v>
      </c>
      <c r="AF159" s="19" t="s">
        <v>959</v>
      </c>
    </row>
    <row r="160" spans="1:34" customHeight="1" ht="42">
      <c r="A160" s="19">
        <v>153</v>
      </c>
      <c r="B160" s="19" t="s">
        <v>702</v>
      </c>
      <c r="C160" s="19" t="s">
        <v>111</v>
      </c>
      <c r="D160" s="19" t="str">
        <f>HYPERLINK("http://www.henontech.com/fieldsafety/harzard/harzard_show.php?rid=2409&amp;url=harzardrecs.php","5.5米焦炉推焦道轨路基开裂，万一推焦车在推焦时脱轨。将导致一天内无法正常生产，直接经济损失50万元。")</f>
        <v>5.5米焦炉推焦道轨路基开裂，万一推焦车在推焦时脱轨。将导致一天内无法正常生产，直接经济损失50万元。</v>
      </c>
      <c r="E160" s="19" t="s">
        <v>960</v>
      </c>
      <c r="F160" s="20" t="s">
        <v>42</v>
      </c>
      <c r="G160" s="21" t="s">
        <v>43</v>
      </c>
      <c r="H160" s="19" t="s">
        <v>44</v>
      </c>
      <c r="I160" s="19" t="s">
        <v>45</v>
      </c>
      <c r="J160" s="19" t="s">
        <v>46</v>
      </c>
      <c r="K160" s="19" t="s">
        <v>131</v>
      </c>
      <c r="L160" s="19" t="s">
        <v>48</v>
      </c>
      <c r="M160" s="19" t="s">
        <v>111</v>
      </c>
      <c r="N160" s="19" t="s">
        <v>749</v>
      </c>
      <c r="O160" s="19" t="s">
        <v>111</v>
      </c>
      <c r="P160" s="19" t="s">
        <v>270</v>
      </c>
      <c r="Q160" s="19" t="s">
        <v>955</v>
      </c>
      <c r="R160" s="19" t="s">
        <v>961</v>
      </c>
      <c r="S160" s="19"/>
      <c r="T160" s="19" t="s">
        <v>169</v>
      </c>
      <c r="U160" s="19" t="s">
        <v>55</v>
      </c>
      <c r="V160" s="19" t="s">
        <v>56</v>
      </c>
      <c r="W160" s="19" t="s">
        <v>57</v>
      </c>
      <c r="X160" s="19" t="s">
        <v>332</v>
      </c>
      <c r="Y160" s="19"/>
      <c r="Z160" s="19" t="s">
        <v>962</v>
      </c>
      <c r="AA160" s="19">
        <v>2</v>
      </c>
      <c r="AB160" s="19">
        <v>2</v>
      </c>
      <c r="AC160" s="19" t="s">
        <v>59</v>
      </c>
      <c r="AD160" s="19" t="s">
        <v>270</v>
      </c>
      <c r="AE160" s="19" t="s">
        <v>938</v>
      </c>
      <c r="AF160" s="19"/>
    </row>
    <row r="161" spans="1:34" customHeight="1" ht="42">
      <c r="A161" s="19">
        <v>154</v>
      </c>
      <c r="B161" s="19" t="s">
        <v>702</v>
      </c>
      <c r="C161" s="19" t="s">
        <v>266</v>
      </c>
      <c r="D161" s="19" t="str">
        <f>HYPERLINK("http://www.henontech.com/fieldsafety/harzard/harzard_show.php?rid=2412&amp;url=harzardrecs.php","烟道通廊南侧无照明设施且通廊狭窄，多柱子底座裸露，倘若有人行走时未看清底座被绊倒，造成脚踝扭伤休养15天的损工事件。")</f>
        <v>烟道通廊南侧无照明设施且通廊狭窄，多柱子底座裸露，倘若有人行走时未看清底座被绊倒，造成脚踝扭伤休养15天的损工事件。</v>
      </c>
      <c r="E161" s="19" t="s">
        <v>963</v>
      </c>
      <c r="F161" s="20" t="s">
        <v>42</v>
      </c>
      <c r="G161" s="21" t="s">
        <v>43</v>
      </c>
      <c r="H161" s="19" t="s">
        <v>44</v>
      </c>
      <c r="I161" s="19" t="s">
        <v>45</v>
      </c>
      <c r="J161" s="19" t="s">
        <v>46</v>
      </c>
      <c r="K161" s="19" t="s">
        <v>99</v>
      </c>
      <c r="L161" s="19" t="s">
        <v>48</v>
      </c>
      <c r="M161" s="19" t="s">
        <v>111</v>
      </c>
      <c r="N161" s="19" t="s">
        <v>964</v>
      </c>
      <c r="O161" s="19" t="s">
        <v>111</v>
      </c>
      <c r="P161" s="19" t="s">
        <v>294</v>
      </c>
      <c r="Q161" s="19" t="s">
        <v>955</v>
      </c>
      <c r="R161" s="19" t="s">
        <v>965</v>
      </c>
      <c r="S161" s="19"/>
      <c r="T161" s="19" t="s">
        <v>54</v>
      </c>
      <c r="U161" s="19" t="s">
        <v>55</v>
      </c>
      <c r="V161" s="19" t="s">
        <v>70</v>
      </c>
      <c r="W161" s="19" t="s">
        <v>179</v>
      </c>
      <c r="X161" s="19" t="s">
        <v>332</v>
      </c>
      <c r="Y161" s="19"/>
      <c r="Z161" s="19" t="s">
        <v>966</v>
      </c>
      <c r="AA161" s="19">
        <v>2</v>
      </c>
      <c r="AB161" s="19">
        <v>2</v>
      </c>
      <c r="AC161" s="19" t="s">
        <v>59</v>
      </c>
      <c r="AD161" s="19" t="s">
        <v>294</v>
      </c>
      <c r="AE161" s="19" t="s">
        <v>118</v>
      </c>
      <c r="AF161" s="19"/>
    </row>
    <row r="162" spans="1:34" customHeight="1" ht="42">
      <c r="A162" s="19">
        <v>155</v>
      </c>
      <c r="B162" s="19" t="s">
        <v>702</v>
      </c>
      <c r="C162" s="19" t="s">
        <v>266</v>
      </c>
      <c r="D162" s="19" t="str">
        <f>HYPERLINK("http://www.henontech.com/fieldsafety/harzard/harzard_show.php?rid=2414&amp;url=harzardrecs.php","5.5米焦炉水熄车平台护栏腐蚀严重，已接近断裂，操作工在此处工作时不慎跌落，头部先着地，且磕在了道轨上，随即紧急送医抢救无效死亡。")</f>
        <v>5.5米焦炉水熄车平台护栏腐蚀严重，已接近断裂，操作工在此处工作时不慎跌落，头部先着地，且磕在了道轨上，随即紧急送医抢救无效死亡。</v>
      </c>
      <c r="E162" s="19" t="s">
        <v>967</v>
      </c>
      <c r="F162" s="20" t="s">
        <v>42</v>
      </c>
      <c r="G162" s="23" t="s">
        <v>497</v>
      </c>
      <c r="H162" s="19" t="s">
        <v>44</v>
      </c>
      <c r="I162" s="19" t="s">
        <v>45</v>
      </c>
      <c r="J162" s="19" t="s">
        <v>46</v>
      </c>
      <c r="K162" s="19" t="s">
        <v>47</v>
      </c>
      <c r="L162" s="19" t="s">
        <v>48</v>
      </c>
      <c r="M162" s="19" t="s">
        <v>111</v>
      </c>
      <c r="N162" s="19" t="s">
        <v>354</v>
      </c>
      <c r="O162" s="19" t="s">
        <v>111</v>
      </c>
      <c r="P162" s="19" t="s">
        <v>294</v>
      </c>
      <c r="Q162" s="19" t="s">
        <v>955</v>
      </c>
      <c r="R162" s="19" t="s">
        <v>968</v>
      </c>
      <c r="S162" s="19"/>
      <c r="T162" s="19" t="s">
        <v>54</v>
      </c>
      <c r="U162" s="19" t="s">
        <v>161</v>
      </c>
      <c r="V162" s="19" t="s">
        <v>56</v>
      </c>
      <c r="W162" s="19" t="s">
        <v>103</v>
      </c>
      <c r="X162" s="19" t="s">
        <v>116</v>
      </c>
      <c r="Y162" s="19"/>
      <c r="Z162" s="19" t="s">
        <v>969</v>
      </c>
      <c r="AA162" s="19">
        <v>2</v>
      </c>
      <c r="AB162" s="19">
        <v>2</v>
      </c>
      <c r="AC162" s="19" t="s">
        <v>59</v>
      </c>
      <c r="AD162" s="19" t="s">
        <v>294</v>
      </c>
      <c r="AE162" s="19" t="s">
        <v>118</v>
      </c>
      <c r="AF162" s="19"/>
    </row>
    <row r="163" spans="1:34" customHeight="1" ht="42">
      <c r="A163" s="19">
        <v>156</v>
      </c>
      <c r="B163" s="19" t="s">
        <v>702</v>
      </c>
      <c r="C163" s="19" t="s">
        <v>266</v>
      </c>
      <c r="D163" s="19" t="str">
        <f>HYPERLINK("http://www.henontech.com/fieldsafety/harzard/harzard_show.php?rid=2415&amp;url=harzardrecs.php","5.5米焦炉，推焦车出炉工操作平台铺板腐蚀严重，已腐烂的很薄，且出现孔洞，一操作工在干活时，铺板不负重力，人员掉落一条腿。")</f>
        <v>5.5米焦炉，推焦车出炉工操作平台铺板腐蚀严重，已腐烂的很薄，且出现孔洞，一操作工在干活时，铺板不负重力，人员掉落一条腿。</v>
      </c>
      <c r="E163" s="19" t="s">
        <v>970</v>
      </c>
      <c r="F163" s="20" t="s">
        <v>42</v>
      </c>
      <c r="G163" s="21" t="s">
        <v>43</v>
      </c>
      <c r="H163" s="19" t="s">
        <v>44</v>
      </c>
      <c r="I163" s="19" t="s">
        <v>45</v>
      </c>
      <c r="J163" s="19" t="s">
        <v>46</v>
      </c>
      <c r="K163" s="19" t="s">
        <v>47</v>
      </c>
      <c r="L163" s="19" t="s">
        <v>48</v>
      </c>
      <c r="M163" s="19" t="s">
        <v>111</v>
      </c>
      <c r="N163" s="19" t="s">
        <v>613</v>
      </c>
      <c r="O163" s="19" t="s">
        <v>111</v>
      </c>
      <c r="P163" s="19" t="s">
        <v>294</v>
      </c>
      <c r="Q163" s="19" t="s">
        <v>955</v>
      </c>
      <c r="R163" s="19" t="s">
        <v>971</v>
      </c>
      <c r="S163" s="19"/>
      <c r="T163" s="19" t="s">
        <v>54</v>
      </c>
      <c r="U163" s="19" t="s">
        <v>55</v>
      </c>
      <c r="V163" s="19" t="s">
        <v>56</v>
      </c>
      <c r="W163" s="19" t="s">
        <v>57</v>
      </c>
      <c r="X163" s="19" t="s">
        <v>116</v>
      </c>
      <c r="Y163" s="19"/>
      <c r="Z163" s="19" t="s">
        <v>972</v>
      </c>
      <c r="AA163" s="19">
        <v>2</v>
      </c>
      <c r="AB163" s="19">
        <v>2</v>
      </c>
      <c r="AC163" s="19" t="s">
        <v>59</v>
      </c>
      <c r="AD163" s="19" t="s">
        <v>294</v>
      </c>
      <c r="AE163" s="19" t="s">
        <v>118</v>
      </c>
      <c r="AF163" s="19"/>
    </row>
    <row r="164" spans="1:34">
      <c r="A164" s="19">
        <v>157</v>
      </c>
      <c r="B164" s="19" t="s">
        <v>738</v>
      </c>
      <c r="C164" s="19" t="s">
        <v>704</v>
      </c>
      <c r="D164" s="19" t="str">
        <f>HYPERLINK("http://www.henontech.com/fieldsafety/harzard/harzard_show.php?rid=2419&amp;url=harzardrecs.php","夜班人员到环境除尘顶部更换布袋，站在除尘仓内部更换布，身体上部正好与护栏开焊处持平，因夜间视线不好，人员在更换布袋时脚被灰仓内喷出管拌了一下，身体正好仰到在护栏开焊处，人员从开焊处跌落头部着地当场死亡")</f>
        <v>夜班人员到环境除尘顶部更换布袋，站在除尘仓内部更换布，身体上部正好与护栏开焊处持平，因夜间视线不好，人员在更换布袋时脚被灰仓内喷出管拌了一下，身体正好仰到在护栏开焊处，人员从开焊处跌落头部着地当场死亡</v>
      </c>
      <c r="E164" s="19" t="s">
        <v>392</v>
      </c>
      <c r="F164" s="20" t="s">
        <v>42</v>
      </c>
      <c r="G164" s="21" t="s">
        <v>43</v>
      </c>
      <c r="H164" s="19" t="s">
        <v>44</v>
      </c>
      <c r="I164" s="19"/>
      <c r="J164" s="19"/>
      <c r="K164" s="19" t="s">
        <v>47</v>
      </c>
      <c r="L164" s="19"/>
      <c r="M164" s="19" t="s">
        <v>111</v>
      </c>
      <c r="N164" s="19" t="s">
        <v>728</v>
      </c>
      <c r="O164" s="19" t="s">
        <v>111</v>
      </c>
      <c r="P164" s="19" t="s">
        <v>294</v>
      </c>
      <c r="Q164" s="19" t="s">
        <v>973</v>
      </c>
      <c r="R164" s="19" t="s">
        <v>974</v>
      </c>
      <c r="S164" s="19" t="s">
        <v>975</v>
      </c>
      <c r="T164" s="19" t="s">
        <v>54</v>
      </c>
      <c r="U164" s="19" t="s">
        <v>161</v>
      </c>
      <c r="V164" s="19" t="s">
        <v>56</v>
      </c>
      <c r="W164" s="19" t="s">
        <v>103</v>
      </c>
      <c r="X164" s="19" t="s">
        <v>116</v>
      </c>
      <c r="Y164" s="19"/>
      <c r="Z164" s="19" t="s">
        <v>976</v>
      </c>
      <c r="AA164" s="19">
        <v>1</v>
      </c>
      <c r="AB164" s="19">
        <v>1</v>
      </c>
      <c r="AC164" s="19" t="s">
        <v>59</v>
      </c>
      <c r="AD164" s="19" t="s">
        <v>294</v>
      </c>
      <c r="AE164" s="19" t="s">
        <v>118</v>
      </c>
      <c r="AF164" s="19"/>
    </row>
    <row r="165" spans="1:34">
      <c r="A165" s="19">
        <v>158</v>
      </c>
      <c r="B165" s="19" t="s">
        <v>738</v>
      </c>
      <c r="C165" s="19" t="s">
        <v>291</v>
      </c>
      <c r="D165" s="19" t="str">
        <f>HYPERLINK("http://www.henontech.com/fieldsafety/harzard/harzard_show.php?rid=2420&amp;url=harzardrecs.php","干熄焦锅炉五层边缘处斜放一F扳手，遇大风雨雪天气滑落，砸伤过路行人右肩部，送医治疗，损工十天。")</f>
        <v>干熄焦锅炉五层边缘处斜放一F扳手，遇大风雨雪天气滑落，砸伤过路行人右肩部，送医治疗，损工十天。</v>
      </c>
      <c r="E165" s="19" t="s">
        <v>977</v>
      </c>
      <c r="F165" s="20" t="s">
        <v>42</v>
      </c>
      <c r="G165" s="21" t="s">
        <v>43</v>
      </c>
      <c r="H165" s="19" t="s">
        <v>44</v>
      </c>
      <c r="I165" s="19"/>
      <c r="J165" s="19" t="s">
        <v>381</v>
      </c>
      <c r="K165" s="19"/>
      <c r="L165" s="19" t="s">
        <v>48</v>
      </c>
      <c r="M165" s="19" t="s">
        <v>111</v>
      </c>
      <c r="N165" s="19" t="s">
        <v>382</v>
      </c>
      <c r="O165" s="19" t="s">
        <v>111</v>
      </c>
      <c r="P165" s="19" t="s">
        <v>394</v>
      </c>
      <c r="Q165" s="19" t="s">
        <v>973</v>
      </c>
      <c r="R165" s="19" t="s">
        <v>978</v>
      </c>
      <c r="S165" s="19" t="s">
        <v>979</v>
      </c>
      <c r="T165" s="19" t="s">
        <v>54</v>
      </c>
      <c r="U165" s="19" t="s">
        <v>55</v>
      </c>
      <c r="V165" s="19" t="s">
        <v>56</v>
      </c>
      <c r="W165" s="19" t="s">
        <v>57</v>
      </c>
      <c r="X165" s="19" t="s">
        <v>272</v>
      </c>
      <c r="Y165" s="19"/>
      <c r="Z165" s="19" t="s">
        <v>980</v>
      </c>
      <c r="AA165" s="19">
        <v>1</v>
      </c>
      <c r="AB165" s="19">
        <v>1</v>
      </c>
      <c r="AC165" s="19" t="s">
        <v>59</v>
      </c>
      <c r="AD165" s="19" t="s">
        <v>394</v>
      </c>
      <c r="AE165" s="19" t="s">
        <v>118</v>
      </c>
      <c r="AF165" s="19" t="s">
        <v>981</v>
      </c>
    </row>
    <row r="166" spans="1:34" customHeight="1" ht="42">
      <c r="A166" s="19">
        <v>159</v>
      </c>
      <c r="B166" s="19" t="s">
        <v>738</v>
      </c>
      <c r="C166" s="19" t="s">
        <v>266</v>
      </c>
      <c r="D166" s="19" t="str">
        <f>HYPERLINK("http://www.henontech.com/fieldsafety/harzard/harzard_show.php?rid=2421&amp;url=harzardrecs.php","一名工人在路过楼道门口时，被上部破损的玻璃掉落划伤颈部")</f>
        <v>一名工人在路过楼道门口时，被上部破损的玻璃掉落划伤颈部</v>
      </c>
      <c r="E166" s="19" t="s">
        <v>982</v>
      </c>
      <c r="F166" s="20" t="s">
        <v>42</v>
      </c>
      <c r="G166" s="21" t="s">
        <v>43</v>
      </c>
      <c r="H166" s="19" t="s">
        <v>44</v>
      </c>
      <c r="I166" s="19" t="s">
        <v>45</v>
      </c>
      <c r="J166" s="19" t="s">
        <v>381</v>
      </c>
      <c r="K166" s="19" t="s">
        <v>84</v>
      </c>
      <c r="L166" s="19" t="s">
        <v>48</v>
      </c>
      <c r="M166" s="19" t="s">
        <v>111</v>
      </c>
      <c r="N166" s="19" t="s">
        <v>321</v>
      </c>
      <c r="O166" s="19" t="s">
        <v>111</v>
      </c>
      <c r="P166" s="19" t="s">
        <v>294</v>
      </c>
      <c r="Q166" s="19" t="s">
        <v>955</v>
      </c>
      <c r="R166" s="19" t="s">
        <v>983</v>
      </c>
      <c r="S166" s="19"/>
      <c r="T166" s="19" t="s">
        <v>54</v>
      </c>
      <c r="U166" s="19" t="s">
        <v>55</v>
      </c>
      <c r="V166" s="19" t="s">
        <v>56</v>
      </c>
      <c r="W166" s="19" t="s">
        <v>57</v>
      </c>
      <c r="X166" s="19" t="s">
        <v>332</v>
      </c>
      <c r="Y166" s="19"/>
      <c r="Z166" s="19" t="s">
        <v>984</v>
      </c>
      <c r="AA166" s="19">
        <v>2</v>
      </c>
      <c r="AB166" s="19">
        <v>2</v>
      </c>
      <c r="AC166" s="19" t="s">
        <v>59</v>
      </c>
      <c r="AD166" s="19" t="s">
        <v>294</v>
      </c>
      <c r="AE166" s="19" t="s">
        <v>299</v>
      </c>
      <c r="AF166" s="19"/>
    </row>
    <row r="167" spans="1:34" customHeight="1" ht="42">
      <c r="A167" s="19">
        <v>160</v>
      </c>
      <c r="B167" s="19" t="s">
        <v>738</v>
      </c>
      <c r="C167" s="19" t="s">
        <v>266</v>
      </c>
      <c r="D167" s="19" t="str">
        <f>HYPERLINK("http://www.henontech.com/fieldsafety/harzard/harzard_show.php?rid=2422&amp;url=harzardrecs.php","一名工人下爬梯的过程中滑倒，从爬梯上跌落脚部受伤送医治疗")</f>
        <v>一名工人下爬梯的过程中滑倒，从爬梯上跌落脚部受伤送医治疗</v>
      </c>
      <c r="E167" s="19" t="s">
        <v>985</v>
      </c>
      <c r="F167" s="20" t="s">
        <v>42</v>
      </c>
      <c r="G167" s="21" t="s">
        <v>43</v>
      </c>
      <c r="H167" s="19" t="s">
        <v>44</v>
      </c>
      <c r="I167" s="19" t="s">
        <v>45</v>
      </c>
      <c r="J167" s="19" t="s">
        <v>46</v>
      </c>
      <c r="K167" s="19" t="s">
        <v>84</v>
      </c>
      <c r="L167" s="19" t="s">
        <v>48</v>
      </c>
      <c r="M167" s="19" t="s">
        <v>111</v>
      </c>
      <c r="N167" s="19" t="s">
        <v>986</v>
      </c>
      <c r="O167" s="19" t="s">
        <v>111</v>
      </c>
      <c r="P167" s="19" t="s">
        <v>987</v>
      </c>
      <c r="Q167" s="19" t="s">
        <v>955</v>
      </c>
      <c r="R167" s="19" t="s">
        <v>988</v>
      </c>
      <c r="S167" s="19"/>
      <c r="T167" s="19" t="s">
        <v>54</v>
      </c>
      <c r="U167" s="19" t="s">
        <v>55</v>
      </c>
      <c r="V167" s="19" t="s">
        <v>56</v>
      </c>
      <c r="W167" s="19" t="s">
        <v>57</v>
      </c>
      <c r="X167" s="19" t="s">
        <v>332</v>
      </c>
      <c r="Y167" s="19"/>
      <c r="Z167" s="19" t="s">
        <v>989</v>
      </c>
      <c r="AA167" s="19">
        <v>2</v>
      </c>
      <c r="AB167" s="19">
        <v>1</v>
      </c>
      <c r="AC167" s="19" t="s">
        <v>59</v>
      </c>
      <c r="AD167" s="19" t="s">
        <v>987</v>
      </c>
      <c r="AE167" s="19" t="s">
        <v>73</v>
      </c>
      <c r="AF167" s="19" t="s">
        <v>990</v>
      </c>
    </row>
    <row r="168" spans="1:34" customHeight="1" ht="42">
      <c r="A168" s="19">
        <v>161</v>
      </c>
      <c r="B168" s="19" t="s">
        <v>738</v>
      </c>
      <c r="C168" s="19" t="s">
        <v>111</v>
      </c>
      <c r="D168" s="19" t="str">
        <f>HYPERLINK("http://www.henontech.com/fieldsafety/harzard/harzard_show.php?rid=2423&amp;url=harzardrecs.php","焦三皮带彩钢瓦破裂万一人员经过掉落砸伤肩部造成肩部骨裂住院治疗30天休养60天的损工事件")</f>
        <v>焦三皮带彩钢瓦破裂万一人员经过掉落砸伤肩部造成肩部骨裂住院治疗30天休养60天的损工事件</v>
      </c>
      <c r="E168" s="19" t="s">
        <v>991</v>
      </c>
      <c r="F168" s="20" t="s">
        <v>42</v>
      </c>
      <c r="G168" s="21" t="s">
        <v>43</v>
      </c>
      <c r="H168" s="19" t="s">
        <v>44</v>
      </c>
      <c r="I168" s="19" t="s">
        <v>45</v>
      </c>
      <c r="J168" s="19" t="s">
        <v>46</v>
      </c>
      <c r="K168" s="19" t="s">
        <v>84</v>
      </c>
      <c r="L168" s="19" t="s">
        <v>48</v>
      </c>
      <c r="M168" s="19" t="s">
        <v>111</v>
      </c>
      <c r="N168" s="19" t="s">
        <v>992</v>
      </c>
      <c r="O168" s="19" t="s">
        <v>111</v>
      </c>
      <c r="P168" s="19" t="s">
        <v>987</v>
      </c>
      <c r="Q168" s="19" t="s">
        <v>955</v>
      </c>
      <c r="R168" s="19" t="s">
        <v>993</v>
      </c>
      <c r="S168" s="19"/>
      <c r="T168" s="19" t="s">
        <v>54</v>
      </c>
      <c r="U168" s="19" t="s">
        <v>55</v>
      </c>
      <c r="V168" s="19" t="s">
        <v>70</v>
      </c>
      <c r="W168" s="19" t="s">
        <v>179</v>
      </c>
      <c r="X168" s="19" t="s">
        <v>332</v>
      </c>
      <c r="Y168" s="19"/>
      <c r="Z168" s="19" t="s">
        <v>994</v>
      </c>
      <c r="AA168" s="19">
        <v>2</v>
      </c>
      <c r="AB168" s="19">
        <v>2</v>
      </c>
      <c r="AC168" s="19" t="s">
        <v>59</v>
      </c>
      <c r="AD168" s="19" t="s">
        <v>987</v>
      </c>
      <c r="AE168" s="19" t="s">
        <v>80</v>
      </c>
      <c r="AF168" s="19" t="s">
        <v>995</v>
      </c>
    </row>
    <row r="169" spans="1:34" customHeight="1" ht="42">
      <c r="A169" s="19">
        <v>162</v>
      </c>
      <c r="B169" s="19" t="s">
        <v>738</v>
      </c>
      <c r="C169" s="19" t="s">
        <v>142</v>
      </c>
      <c r="D169" s="19" t="str">
        <f>HYPERLINK("http://www.henontech.com/fieldsafety/harzard/harzard_show.php?rid=2424&amp;url=harzardrecs.php","焦炉地下室南头一爬梯无扶手，如果一名员工爬梯时脚底打滑，膝盖磕碰到楼梯脚踏板上，造成膝盖骨骨裂，住院治疗一个月的损工事件")</f>
        <v>焦炉地下室南头一爬梯无扶手，如果一名员工爬梯时脚底打滑，膝盖磕碰到楼梯脚踏板上，造成膝盖骨骨裂，住院治疗一个月的损工事件</v>
      </c>
      <c r="E169" s="19" t="s">
        <v>996</v>
      </c>
      <c r="F169" s="20" t="s">
        <v>42</v>
      </c>
      <c r="G169" s="21" t="s">
        <v>43</v>
      </c>
      <c r="H169" s="19" t="s">
        <v>44</v>
      </c>
      <c r="I169" s="19" t="s">
        <v>45</v>
      </c>
      <c r="J169" s="19" t="s">
        <v>46</v>
      </c>
      <c r="K169" s="19" t="s">
        <v>184</v>
      </c>
      <c r="L169" s="19"/>
      <c r="M169" s="19" t="s">
        <v>111</v>
      </c>
      <c r="N169" s="19" t="s">
        <v>997</v>
      </c>
      <c r="O169" s="19" t="s">
        <v>111</v>
      </c>
      <c r="P169" s="19" t="s">
        <v>294</v>
      </c>
      <c r="Q169" s="19" t="s">
        <v>955</v>
      </c>
      <c r="R169" s="19" t="s">
        <v>998</v>
      </c>
      <c r="S169" s="19"/>
      <c r="T169" s="19" t="s">
        <v>54</v>
      </c>
      <c r="U169" s="19" t="s">
        <v>55</v>
      </c>
      <c r="V169" s="19" t="s">
        <v>70</v>
      </c>
      <c r="W169" s="19" t="s">
        <v>179</v>
      </c>
      <c r="X169" s="19" t="s">
        <v>332</v>
      </c>
      <c r="Y169" s="19"/>
      <c r="Z169" s="19" t="s">
        <v>999</v>
      </c>
      <c r="AA169" s="19">
        <v>2</v>
      </c>
      <c r="AB169" s="19">
        <v>2</v>
      </c>
      <c r="AC169" s="19" t="s">
        <v>59</v>
      </c>
      <c r="AD169" s="19" t="s">
        <v>294</v>
      </c>
      <c r="AE169" s="19" t="s">
        <v>118</v>
      </c>
      <c r="AF169" s="19"/>
    </row>
    <row r="170" spans="1:34" customHeight="1" ht="42">
      <c r="A170" s="19">
        <v>163</v>
      </c>
      <c r="B170" s="19" t="s">
        <v>738</v>
      </c>
      <c r="C170" s="19" t="s">
        <v>111</v>
      </c>
      <c r="D170" s="19" t="str">
        <f>HYPERLINK("http://www.henontech.com/fieldsafety/harzard/harzard_show.php?rid=2425&amp;url=harzardrecs.php","5.5米焦炉捣固煤仓南面二层窗户玻璃破损，假如破损玻璃掉落时有人经过此处，扎伤肩部，到医院进行处理伤口， 回家修养三天，损工事件。")</f>
        <v>5.5米焦炉捣固煤仓南面二层窗户玻璃破损，假如破损玻璃掉落时有人经过此处，扎伤肩部，到医院进行处理伤口， 回家修养三天，损工事件。</v>
      </c>
      <c r="E170" s="19" t="s">
        <v>1000</v>
      </c>
      <c r="F170" s="20" t="s">
        <v>42</v>
      </c>
      <c r="G170" s="22" t="s">
        <v>108</v>
      </c>
      <c r="H170" s="19" t="s">
        <v>44</v>
      </c>
      <c r="I170" s="19" t="s">
        <v>45</v>
      </c>
      <c r="J170" s="19" t="s">
        <v>381</v>
      </c>
      <c r="K170" s="19" t="s">
        <v>84</v>
      </c>
      <c r="L170" s="19" t="s">
        <v>48</v>
      </c>
      <c r="M170" s="19" t="s">
        <v>111</v>
      </c>
      <c r="N170" s="19" t="s">
        <v>1001</v>
      </c>
      <c r="O170" s="19" t="s">
        <v>111</v>
      </c>
      <c r="P170" s="19" t="s">
        <v>987</v>
      </c>
      <c r="Q170" s="19" t="s">
        <v>955</v>
      </c>
      <c r="R170" s="19" t="s">
        <v>1002</v>
      </c>
      <c r="S170" s="19"/>
      <c r="T170" s="19" t="s">
        <v>54</v>
      </c>
      <c r="U170" s="19" t="s">
        <v>69</v>
      </c>
      <c r="V170" s="19" t="s">
        <v>56</v>
      </c>
      <c r="W170" s="19" t="s">
        <v>179</v>
      </c>
      <c r="X170" s="19" t="s">
        <v>116</v>
      </c>
      <c r="Y170" s="19"/>
      <c r="Z170" s="19" t="s">
        <v>1003</v>
      </c>
      <c r="AA170" s="19">
        <v>2</v>
      </c>
      <c r="AB170" s="19">
        <v>2</v>
      </c>
      <c r="AC170" s="19" t="s">
        <v>59</v>
      </c>
      <c r="AD170" s="19" t="s">
        <v>987</v>
      </c>
      <c r="AE170" s="19" t="s">
        <v>80</v>
      </c>
      <c r="AF170" s="19" t="s">
        <v>1004</v>
      </c>
    </row>
    <row r="171" spans="1:34" customHeight="1" ht="42">
      <c r="A171" s="19">
        <v>164</v>
      </c>
      <c r="B171" s="19" t="s">
        <v>738</v>
      </c>
      <c r="C171" s="19" t="s">
        <v>106</v>
      </c>
      <c r="D171" s="19" t="str">
        <f>HYPERLINK("http://www.henontech.com/fieldsafety/harzard/harzard_show.php?rid=2426&amp;url=harzardrecs.php","5.5在线检测小屋空调外机通风不畅，导致空调停机")</f>
        <v>5.5在线检测小屋空调外机通风不畅，导致空调停机</v>
      </c>
      <c r="E171" s="19" t="s">
        <v>1005</v>
      </c>
      <c r="F171" s="20" t="s">
        <v>42</v>
      </c>
      <c r="G171" s="21" t="s">
        <v>43</v>
      </c>
      <c r="H171" s="19" t="s">
        <v>44</v>
      </c>
      <c r="I171" s="19" t="s">
        <v>45</v>
      </c>
      <c r="J171" s="19" t="s">
        <v>419</v>
      </c>
      <c r="K171" s="19" t="s">
        <v>84</v>
      </c>
      <c r="L171" s="19" t="s">
        <v>48</v>
      </c>
      <c r="M171" s="19" t="s">
        <v>111</v>
      </c>
      <c r="N171" s="19" t="s">
        <v>1006</v>
      </c>
      <c r="O171" s="19" t="s">
        <v>111</v>
      </c>
      <c r="P171" s="19" t="s">
        <v>642</v>
      </c>
      <c r="Q171" s="19" t="s">
        <v>955</v>
      </c>
      <c r="R171" s="19" t="s">
        <v>1007</v>
      </c>
      <c r="S171" s="19"/>
      <c r="T171" s="19" t="s">
        <v>286</v>
      </c>
      <c r="U171" s="19" t="s">
        <v>55</v>
      </c>
      <c r="V171" s="19" t="s">
        <v>56</v>
      </c>
      <c r="W171" s="19" t="s">
        <v>57</v>
      </c>
      <c r="X171" s="19" t="s">
        <v>332</v>
      </c>
      <c r="Y171" s="19"/>
      <c r="Z171" s="19" t="s">
        <v>1008</v>
      </c>
      <c r="AA171" s="19">
        <v>2</v>
      </c>
      <c r="AB171" s="19">
        <v>2</v>
      </c>
      <c r="AC171" s="19" t="s">
        <v>59</v>
      </c>
      <c r="AD171" s="19" t="s">
        <v>642</v>
      </c>
      <c r="AE171" s="19" t="s">
        <v>118</v>
      </c>
      <c r="AF171" s="19" t="s">
        <v>1009</v>
      </c>
    </row>
    <row r="172" spans="1:34" customHeight="1" ht="42">
      <c r="A172" s="19">
        <v>165</v>
      </c>
      <c r="B172" s="19" t="s">
        <v>738</v>
      </c>
      <c r="C172" s="19" t="s">
        <v>111</v>
      </c>
      <c r="D172" s="19" t="str">
        <f>HYPERLINK("http://www.henontech.com/fieldsafety/harzard/harzard_show.php?rid=2427&amp;url=harzardrecs.php","炉顶集气管压缩空气软管摆放杂乱，如果一名员工从此经过时被绊倒，膝盖磕碰到地面铁板上造成膝盖骨骨裂，住院治疗一个月的损工事件")</f>
        <v>炉顶集气管压缩空气软管摆放杂乱，如果一名员工从此经过时被绊倒，膝盖磕碰到地面铁板上造成膝盖骨骨裂，住院治疗一个月的损工事件</v>
      </c>
      <c r="E172" s="19" t="s">
        <v>996</v>
      </c>
      <c r="F172" s="20" t="s">
        <v>42</v>
      </c>
      <c r="G172" s="22" t="s">
        <v>108</v>
      </c>
      <c r="H172" s="19" t="s">
        <v>44</v>
      </c>
      <c r="I172" s="19" t="s">
        <v>45</v>
      </c>
      <c r="J172" s="19" t="s">
        <v>381</v>
      </c>
      <c r="K172" s="19" t="s">
        <v>84</v>
      </c>
      <c r="L172" s="19" t="s">
        <v>48</v>
      </c>
      <c r="M172" s="19" t="s">
        <v>111</v>
      </c>
      <c r="N172" s="19" t="s">
        <v>1010</v>
      </c>
      <c r="O172" s="19" t="s">
        <v>111</v>
      </c>
      <c r="P172" s="19" t="s">
        <v>987</v>
      </c>
      <c r="Q172" s="19" t="s">
        <v>955</v>
      </c>
      <c r="R172" s="19" t="s">
        <v>1011</v>
      </c>
      <c r="S172" s="19"/>
      <c r="T172" s="19" t="s">
        <v>54</v>
      </c>
      <c r="U172" s="19" t="s">
        <v>55</v>
      </c>
      <c r="V172" s="19" t="s">
        <v>56</v>
      </c>
      <c r="W172" s="19" t="s">
        <v>57</v>
      </c>
      <c r="X172" s="19" t="s">
        <v>332</v>
      </c>
      <c r="Y172" s="19"/>
      <c r="Z172" s="19" t="s">
        <v>1012</v>
      </c>
      <c r="AA172" s="19">
        <v>2</v>
      </c>
      <c r="AB172" s="19">
        <v>2</v>
      </c>
      <c r="AC172" s="19" t="s">
        <v>59</v>
      </c>
      <c r="AD172" s="19" t="s">
        <v>987</v>
      </c>
      <c r="AE172" s="19" t="s">
        <v>80</v>
      </c>
      <c r="AF172" s="19" t="s">
        <v>1013</v>
      </c>
    </row>
    <row r="173" spans="1:34">
      <c r="A173" s="19">
        <v>166</v>
      </c>
      <c r="B173" s="19" t="s">
        <v>713</v>
      </c>
      <c r="C173" s="19" t="s">
        <v>474</v>
      </c>
      <c r="D173" s="19" t="str">
        <f>HYPERLINK("http://www.henontech.com/fieldsafety/harzard/harzard_show.php?rid=2432&amp;url=harzardrecs.php","除盐水池东侧地沟盖板破损，一员工清理地面卫生，由于天黑视线模糊，清理至水箱东侧时不慎掉入地沟盖板破损，导致脚踝骨折，容易治疗15天，休养3个月")</f>
        <v>除盐水池东侧地沟盖板破损，一员工清理地面卫生，由于天黑视线模糊，清理至水箱东侧时不慎掉入地沟盖板破损，导致脚踝骨折，容易治疗15天，休养3个月</v>
      </c>
      <c r="E173" s="19" t="s">
        <v>1014</v>
      </c>
      <c r="F173" s="20" t="s">
        <v>42</v>
      </c>
      <c r="G173" s="21" t="s">
        <v>43</v>
      </c>
      <c r="H173" s="19" t="s">
        <v>44</v>
      </c>
      <c r="I173" s="19"/>
      <c r="J173" s="19"/>
      <c r="K173" s="19" t="s">
        <v>84</v>
      </c>
      <c r="L173" s="19" t="s">
        <v>48</v>
      </c>
      <c r="M173" s="19" t="s">
        <v>111</v>
      </c>
      <c r="N173" s="19" t="s">
        <v>821</v>
      </c>
      <c r="O173" s="19" t="s">
        <v>111</v>
      </c>
      <c r="P173" s="19" t="s">
        <v>411</v>
      </c>
      <c r="Q173" s="19" t="s">
        <v>973</v>
      </c>
      <c r="R173" s="19" t="s">
        <v>1015</v>
      </c>
      <c r="S173" s="19" t="s">
        <v>1016</v>
      </c>
      <c r="T173" s="19" t="s">
        <v>54</v>
      </c>
      <c r="U173" s="19" t="s">
        <v>55</v>
      </c>
      <c r="V173" s="19" t="s">
        <v>56</v>
      </c>
      <c r="W173" s="19" t="s">
        <v>57</v>
      </c>
      <c r="X173" s="19" t="s">
        <v>116</v>
      </c>
      <c r="Y173" s="19"/>
      <c r="Z173" s="19" t="s">
        <v>1017</v>
      </c>
      <c r="AA173" s="19">
        <v>1</v>
      </c>
      <c r="AB173" s="19">
        <v>1</v>
      </c>
      <c r="AC173" s="19" t="s">
        <v>59</v>
      </c>
      <c r="AD173" s="19" t="s">
        <v>411</v>
      </c>
      <c r="AE173" s="19" t="s">
        <v>415</v>
      </c>
      <c r="AF173" s="19" t="s">
        <v>1018</v>
      </c>
    </row>
    <row r="174" spans="1:34">
      <c r="A174" s="19">
        <v>167</v>
      </c>
      <c r="B174" s="19" t="s">
        <v>713</v>
      </c>
      <c r="C174" s="19" t="s">
        <v>276</v>
      </c>
      <c r="D174" s="19" t="str">
        <f>HYPERLINK("http://www.henontech.com/fieldsafety/harzard/harzard_show.php?rid=2434&amp;url=harzardrecs.php","操作人员操作三号减温减压供汽时，由于未发现阀门螺栓松动，打开阀门后高压蒸汽泄露导致人员烫伤，送医治疗，手臂严重烫伤，损工一月。")</f>
        <v>操作人员操作三号减温减压供汽时，由于未发现阀门螺栓松动，打开阀门后高压蒸汽泄露导致人员烫伤，送医治疗，手臂严重烫伤，损工一月。</v>
      </c>
      <c r="E174" s="19" t="s">
        <v>1019</v>
      </c>
      <c r="F174" s="20" t="s">
        <v>42</v>
      </c>
      <c r="G174" s="21" t="s">
        <v>43</v>
      </c>
      <c r="H174" s="19" t="s">
        <v>44</v>
      </c>
      <c r="I174" s="19" t="s">
        <v>268</v>
      </c>
      <c r="J174" s="19" t="s">
        <v>46</v>
      </c>
      <c r="K174" s="19" t="s">
        <v>47</v>
      </c>
      <c r="L174" s="19" t="s">
        <v>48</v>
      </c>
      <c r="M174" s="19" t="s">
        <v>111</v>
      </c>
      <c r="N174" s="19" t="s">
        <v>394</v>
      </c>
      <c r="O174" s="19" t="s">
        <v>111</v>
      </c>
      <c r="P174" s="19" t="s">
        <v>294</v>
      </c>
      <c r="Q174" s="19" t="s">
        <v>973</v>
      </c>
      <c r="R174" s="19" t="s">
        <v>483</v>
      </c>
      <c r="S174" s="19" t="s">
        <v>1020</v>
      </c>
      <c r="T174" s="19" t="s">
        <v>54</v>
      </c>
      <c r="U174" s="19" t="s">
        <v>55</v>
      </c>
      <c r="V174" s="19" t="s">
        <v>56</v>
      </c>
      <c r="W174" s="19" t="s">
        <v>57</v>
      </c>
      <c r="X174" s="19" t="s">
        <v>116</v>
      </c>
      <c r="Y174" s="19"/>
      <c r="Z174" s="19" t="s">
        <v>1021</v>
      </c>
      <c r="AA174" s="19">
        <v>1</v>
      </c>
      <c r="AB174" s="19">
        <v>1</v>
      </c>
      <c r="AC174" s="19" t="s">
        <v>59</v>
      </c>
      <c r="AD174" s="19" t="s">
        <v>294</v>
      </c>
      <c r="AE174" s="19" t="s">
        <v>399</v>
      </c>
      <c r="AF174" s="19"/>
    </row>
    <row r="175" spans="1:34">
      <c r="A175" s="19">
        <v>168</v>
      </c>
      <c r="B175" s="19" t="s">
        <v>784</v>
      </c>
      <c r="C175" s="19" t="s">
        <v>276</v>
      </c>
      <c r="D175" s="19" t="str">
        <f>HYPERLINK("http://www.henontech.com/fieldsafety/harzard/harzard_show.php?rid=2435&amp;url=harzardrecs.php","汽轮机零米北门地沟盖板未盖，一巡检工在打扫卫生时不慎掉入此处，造成脚踝扭伤，住院治疗，损工5天。")</f>
        <v>汽轮机零米北门地沟盖板未盖，一巡检工在打扫卫生时不慎掉入此处，造成脚踝扭伤，住院治疗，损工5天。</v>
      </c>
      <c r="E175" s="19" t="s">
        <v>1022</v>
      </c>
      <c r="F175" s="20" t="s">
        <v>42</v>
      </c>
      <c r="G175" s="21" t="s">
        <v>43</v>
      </c>
      <c r="H175" s="19" t="s">
        <v>44</v>
      </c>
      <c r="I175" s="19"/>
      <c r="J175" s="19" t="s">
        <v>46</v>
      </c>
      <c r="K175" s="19" t="s">
        <v>131</v>
      </c>
      <c r="L175" s="19"/>
      <c r="M175" s="19" t="s">
        <v>111</v>
      </c>
      <c r="N175" s="19" t="s">
        <v>723</v>
      </c>
      <c r="O175" s="19" t="s">
        <v>111</v>
      </c>
      <c r="P175" s="19" t="s">
        <v>394</v>
      </c>
      <c r="Q175" s="19" t="s">
        <v>973</v>
      </c>
      <c r="R175" s="19" t="s">
        <v>404</v>
      </c>
      <c r="S175" s="19" t="s">
        <v>1023</v>
      </c>
      <c r="T175" s="19" t="s">
        <v>54</v>
      </c>
      <c r="U175" s="19" t="s">
        <v>55</v>
      </c>
      <c r="V175" s="19" t="s">
        <v>70</v>
      </c>
      <c r="W175" s="19" t="s">
        <v>179</v>
      </c>
      <c r="X175" s="19" t="s">
        <v>116</v>
      </c>
      <c r="Y175" s="19"/>
      <c r="Z175" s="19" t="s">
        <v>1024</v>
      </c>
      <c r="AA175" s="19">
        <v>1</v>
      </c>
      <c r="AB175" s="19">
        <v>1</v>
      </c>
      <c r="AC175" s="19" t="s">
        <v>59</v>
      </c>
      <c r="AD175" s="19" t="s">
        <v>394</v>
      </c>
      <c r="AE175" s="19" t="s">
        <v>118</v>
      </c>
      <c r="AF175" s="19" t="s">
        <v>1025</v>
      </c>
    </row>
    <row r="176" spans="1:34">
      <c r="A176" s="19">
        <v>169</v>
      </c>
      <c r="B176" s="19" t="s">
        <v>713</v>
      </c>
      <c r="C176" s="19" t="s">
        <v>276</v>
      </c>
      <c r="D176" s="19" t="str">
        <f>HYPERLINK("http://www.henontech.com/fieldsafety/harzard/harzard_show.php?rid=2436&amp;url=harzardrecs.php","干熄焦主控室天窗380v电源线，电源线外皮未做保护装置，一检修人员未穿戴绝缘鞋绝缘手套，在下爬梯过程中，右脚踩在电源线与爬梯捆绑处时造成外皮破损漏电，导致检修人员触电从4米高处跌落至地面，送医")</f>
        <v>干熄焦主控室天窗380v电源线，电源线外皮未做保护装置，一检修人员未穿戴绝缘鞋绝缘手套，在下爬梯过程中，右脚踩在电源线与爬梯捆绑处时造成外皮破损漏电，导致检修人员触电从4米高处跌落至地面，送医</v>
      </c>
      <c r="E176" s="19" t="s">
        <v>800</v>
      </c>
      <c r="F176" s="20" t="s">
        <v>42</v>
      </c>
      <c r="G176" s="21" t="s">
        <v>43</v>
      </c>
      <c r="H176" s="19" t="s">
        <v>44</v>
      </c>
      <c r="I176" s="19"/>
      <c r="J176" s="19" t="s">
        <v>329</v>
      </c>
      <c r="K176" s="19"/>
      <c r="L176" s="19"/>
      <c r="M176" s="19" t="s">
        <v>111</v>
      </c>
      <c r="N176" s="19" t="s">
        <v>393</v>
      </c>
      <c r="O176" s="19" t="s">
        <v>111</v>
      </c>
      <c r="P176" s="19" t="s">
        <v>294</v>
      </c>
      <c r="Q176" s="19" t="s">
        <v>973</v>
      </c>
      <c r="R176" s="19" t="s">
        <v>851</v>
      </c>
      <c r="S176" s="19" t="s">
        <v>1026</v>
      </c>
      <c r="T176" s="19" t="s">
        <v>54</v>
      </c>
      <c r="U176" s="19" t="s">
        <v>161</v>
      </c>
      <c r="V176" s="19" t="s">
        <v>56</v>
      </c>
      <c r="W176" s="19" t="s">
        <v>103</v>
      </c>
      <c r="X176" s="19" t="s">
        <v>116</v>
      </c>
      <c r="Y176" s="19"/>
      <c r="Z176" s="19" t="s">
        <v>1027</v>
      </c>
      <c r="AA176" s="19">
        <v>1</v>
      </c>
      <c r="AB176" s="19">
        <v>1</v>
      </c>
      <c r="AC176" s="19" t="s">
        <v>59</v>
      </c>
      <c r="AD176" s="19" t="s">
        <v>294</v>
      </c>
      <c r="AE176" s="19" t="s">
        <v>118</v>
      </c>
      <c r="AF176" s="19"/>
    </row>
    <row r="177" spans="1:34" customHeight="1" ht="42">
      <c r="A177" s="19">
        <v>170</v>
      </c>
      <c r="B177" s="19" t="s">
        <v>713</v>
      </c>
      <c r="C177" s="19" t="s">
        <v>111</v>
      </c>
      <c r="D177" s="19" t="str">
        <f>HYPERLINK("http://www.henontech.com/fieldsafety/harzard/harzard_show.php?rid=2440&amp;url=harzardrecs.php","焦一皮带因防护栏缺失，一名操作人员在清理皮带底部卫生时，不慎将手臂卷入托辊，造成小臂骨折，就医修养治疗。")</f>
        <v>焦一皮带因防护栏缺失，一名操作人员在清理皮带底部卫生时，不慎将手臂卷入托辊，造成小臂骨折，就医修养治疗。</v>
      </c>
      <c r="E177" s="19" t="s">
        <v>1028</v>
      </c>
      <c r="F177" s="20" t="s">
        <v>42</v>
      </c>
      <c r="G177" s="22" t="s">
        <v>108</v>
      </c>
      <c r="H177" s="19" t="s">
        <v>44</v>
      </c>
      <c r="I177" s="19" t="s">
        <v>109</v>
      </c>
      <c r="J177" s="19" t="s">
        <v>158</v>
      </c>
      <c r="K177" s="19" t="s">
        <v>99</v>
      </c>
      <c r="L177" s="19" t="s">
        <v>110</v>
      </c>
      <c r="M177" s="19" t="s">
        <v>111</v>
      </c>
      <c r="N177" s="19" t="s">
        <v>639</v>
      </c>
      <c r="O177" s="19" t="s">
        <v>111</v>
      </c>
      <c r="P177" s="19" t="s">
        <v>642</v>
      </c>
      <c r="Q177" s="19" t="s">
        <v>955</v>
      </c>
      <c r="R177" s="19" t="s">
        <v>1029</v>
      </c>
      <c r="S177" s="19"/>
      <c r="T177" s="19" t="s">
        <v>54</v>
      </c>
      <c r="U177" s="19" t="s">
        <v>55</v>
      </c>
      <c r="V177" s="19" t="s">
        <v>56</v>
      </c>
      <c r="W177" s="19" t="s">
        <v>57</v>
      </c>
      <c r="X177" s="19" t="s">
        <v>116</v>
      </c>
      <c r="Y177" s="19"/>
      <c r="Z177" s="19" t="s">
        <v>1030</v>
      </c>
      <c r="AA177" s="19">
        <v>2</v>
      </c>
      <c r="AB177" s="19">
        <v>2</v>
      </c>
      <c r="AC177" s="19" t="s">
        <v>59</v>
      </c>
      <c r="AD177" s="19" t="s">
        <v>642</v>
      </c>
      <c r="AE177" s="19" t="s">
        <v>118</v>
      </c>
      <c r="AF177" s="19" t="s">
        <v>1031</v>
      </c>
    </row>
    <row r="178" spans="1:34">
      <c r="A178" s="19">
        <v>171</v>
      </c>
      <c r="B178" s="19" t="s">
        <v>1032</v>
      </c>
      <c r="C178" s="19" t="s">
        <v>111</v>
      </c>
      <c r="D178" s="19" t="str">
        <f>HYPERLINK("http://www.henontech.com/fieldsafety/harzard/harzard_show.php?rid=2447&amp;url=harzardrecs.php","干熄焦汽机房凝结水泵护栏开焊，一人员夜间巡检此处时跌落至凝结水泵坑内，造成左小腿骨折，送医救治，损工三个月。")</f>
        <v>干熄焦汽机房凝结水泵护栏开焊，一人员夜间巡检此处时跌落至凝结水泵坑内，造成左小腿骨折，送医救治，损工三个月。</v>
      </c>
      <c r="E178" s="19" t="s">
        <v>1033</v>
      </c>
      <c r="F178" s="20" t="s">
        <v>42</v>
      </c>
      <c r="G178" s="21" t="s">
        <v>43</v>
      </c>
      <c r="H178" s="19" t="s">
        <v>44</v>
      </c>
      <c r="I178" s="19" t="s">
        <v>130</v>
      </c>
      <c r="J178" s="19" t="s">
        <v>158</v>
      </c>
      <c r="K178" s="19"/>
      <c r="L178" s="19" t="s">
        <v>48</v>
      </c>
      <c r="M178" s="19" t="s">
        <v>111</v>
      </c>
      <c r="N178" s="19" t="s">
        <v>443</v>
      </c>
      <c r="O178" s="19" t="s">
        <v>111</v>
      </c>
      <c r="P178" s="19" t="s">
        <v>294</v>
      </c>
      <c r="Q178" s="19" t="s">
        <v>973</v>
      </c>
      <c r="R178" s="19" t="s">
        <v>1034</v>
      </c>
      <c r="S178" s="19" t="s">
        <v>1035</v>
      </c>
      <c r="T178" s="19" t="s">
        <v>54</v>
      </c>
      <c r="U178" s="19" t="s">
        <v>55</v>
      </c>
      <c r="V178" s="19" t="s">
        <v>70</v>
      </c>
      <c r="W178" s="19" t="s">
        <v>179</v>
      </c>
      <c r="X178" s="19" t="s">
        <v>116</v>
      </c>
      <c r="Y178" s="19"/>
      <c r="Z178" s="19" t="s">
        <v>1036</v>
      </c>
      <c r="AA178" s="19">
        <v>1</v>
      </c>
      <c r="AB178" s="19">
        <v>1</v>
      </c>
      <c r="AC178" s="19" t="s">
        <v>59</v>
      </c>
      <c r="AD178" s="19" t="s">
        <v>294</v>
      </c>
      <c r="AE178" s="19" t="s">
        <v>904</v>
      </c>
      <c r="AF178" s="19"/>
    </row>
    <row r="179" spans="1:34">
      <c r="A179" s="19">
        <v>172</v>
      </c>
      <c r="B179" s="19" t="s">
        <v>1037</v>
      </c>
      <c r="C179" s="19" t="s">
        <v>408</v>
      </c>
      <c r="D179" s="19" t="str">
        <f>HYPERLINK("http://www.henontech.com/fieldsafety/harzard/harzard_show.php?rid=2454&amp;url=harzardrecs.php","汽轮机开停机时，主控楼北门疏水井井口蒸汽大，无安全警示牌和警戒线，一名员工从此处通过，右小腿烫伤，去医务室简单处理后，正常工作。")</f>
        <v>汽轮机开停机时，主控楼北门疏水井井口蒸汽大，无安全警示牌和警戒线，一名员工从此处通过，右小腿烫伤，去医务室简单处理后，正常工作。</v>
      </c>
      <c r="E179" s="19" t="s">
        <v>1038</v>
      </c>
      <c r="F179" s="20" t="s">
        <v>42</v>
      </c>
      <c r="G179" s="21" t="s">
        <v>43</v>
      </c>
      <c r="H179" s="19" t="s">
        <v>44</v>
      </c>
      <c r="I179" s="19" t="s">
        <v>130</v>
      </c>
      <c r="J179" s="19" t="s">
        <v>158</v>
      </c>
      <c r="K179" s="19"/>
      <c r="L179" s="19"/>
      <c r="M179" s="19" t="s">
        <v>111</v>
      </c>
      <c r="N179" s="19" t="s">
        <v>436</v>
      </c>
      <c r="O179" s="19" t="s">
        <v>111</v>
      </c>
      <c r="P179" s="19" t="s">
        <v>394</v>
      </c>
      <c r="Q179" s="19" t="s">
        <v>973</v>
      </c>
      <c r="R179" s="19" t="s">
        <v>1039</v>
      </c>
      <c r="S179" s="19" t="s">
        <v>1040</v>
      </c>
      <c r="T179" s="19" t="s">
        <v>54</v>
      </c>
      <c r="U179" s="19" t="s">
        <v>69</v>
      </c>
      <c r="V179" s="19" t="s">
        <v>70</v>
      </c>
      <c r="W179" s="19" t="s">
        <v>71</v>
      </c>
      <c r="X179" s="19" t="s">
        <v>272</v>
      </c>
      <c r="Y179" s="19"/>
      <c r="Z179" s="19" t="s">
        <v>1041</v>
      </c>
      <c r="AA179" s="19">
        <v>1</v>
      </c>
      <c r="AB179" s="19">
        <v>1</v>
      </c>
      <c r="AC179" s="19" t="s">
        <v>59</v>
      </c>
      <c r="AD179" s="19" t="s">
        <v>394</v>
      </c>
      <c r="AE179" s="19" t="s">
        <v>80</v>
      </c>
      <c r="AF179" s="19" t="s">
        <v>1042</v>
      </c>
    </row>
    <row r="180" spans="1:34">
      <c r="A180" s="19">
        <v>173</v>
      </c>
      <c r="B180" s="19" t="s">
        <v>1037</v>
      </c>
      <c r="C180" s="19" t="s">
        <v>408</v>
      </c>
      <c r="D180" s="19" t="str">
        <f>HYPERLINK("http://www.henontech.com/fieldsafety/harzard/harzard_show.php?rid=2455&amp;url=harzardrecs.php","一名外来施工人员对消防水管道进行电焊作业，未对柴油箱采取防护措施，电焊火花引燃柴油箱，引起火灾，造成柴油箱损坏，柴油机消防泵油管道烧毁，财产损失5000元。")</f>
        <v>一名外来施工人员对消防水管道进行电焊作业，未对柴油箱采取防护措施，电焊火花引燃柴油箱，引起火灾，造成柴油箱损坏，柴油机消防泵油管道烧毁，财产损失5000元。</v>
      </c>
      <c r="E180" s="19" t="s">
        <v>1043</v>
      </c>
      <c r="F180" s="20" t="s">
        <v>42</v>
      </c>
      <c r="G180" s="22" t="s">
        <v>108</v>
      </c>
      <c r="H180" s="19" t="s">
        <v>44</v>
      </c>
      <c r="I180" s="19" t="s">
        <v>130</v>
      </c>
      <c r="J180" s="19" t="s">
        <v>158</v>
      </c>
      <c r="K180" s="19"/>
      <c r="L180" s="19"/>
      <c r="M180" s="19" t="s">
        <v>111</v>
      </c>
      <c r="N180" s="19" t="s">
        <v>886</v>
      </c>
      <c r="O180" s="19" t="s">
        <v>111</v>
      </c>
      <c r="P180" s="19" t="s">
        <v>394</v>
      </c>
      <c r="Q180" s="19" t="s">
        <v>973</v>
      </c>
      <c r="R180" s="19" t="s">
        <v>1044</v>
      </c>
      <c r="S180" s="19" t="s">
        <v>1045</v>
      </c>
      <c r="T180" s="19" t="s">
        <v>169</v>
      </c>
      <c r="U180" s="19" t="s">
        <v>170</v>
      </c>
      <c r="V180" s="19" t="s">
        <v>70</v>
      </c>
      <c r="W180" s="19" t="s">
        <v>71</v>
      </c>
      <c r="X180" s="19" t="s">
        <v>272</v>
      </c>
      <c r="Y180" s="19"/>
      <c r="Z180" s="19" t="s">
        <v>1046</v>
      </c>
      <c r="AA180" s="19">
        <v>1</v>
      </c>
      <c r="AB180" s="19">
        <v>1</v>
      </c>
      <c r="AC180" s="19" t="s">
        <v>59</v>
      </c>
      <c r="AD180" s="19" t="s">
        <v>394</v>
      </c>
      <c r="AE180" s="19" t="s">
        <v>80</v>
      </c>
      <c r="AF180" s="19" t="s">
        <v>1047</v>
      </c>
    </row>
    <row r="181" spans="1:34">
      <c r="A181" s="19">
        <v>174</v>
      </c>
      <c r="B181" s="19" t="s">
        <v>1037</v>
      </c>
      <c r="C181" s="19" t="s">
        <v>474</v>
      </c>
      <c r="D181" s="19" t="str">
        <f>HYPERLINK("http://www.henontech.com/fieldsafety/harzard/harzard_show.php?rid=2457&amp;url=harzardrecs.php","除盐水站二楼通往综合水池处的铁板通道雨雪天气湿滑，一员工在雨天去往综合水池关一次水阀门路过此处时打滑摔倒，造成胳膊骨折，损工三个月。")</f>
        <v>除盐水站二楼通往综合水池处的铁板通道雨雪天气湿滑，一员工在雨天去往综合水池关一次水阀门路过此处时打滑摔倒，造成胳膊骨折，损工三个月。</v>
      </c>
      <c r="E181" s="19" t="s">
        <v>1048</v>
      </c>
      <c r="F181" s="20" t="s">
        <v>42</v>
      </c>
      <c r="G181" s="21" t="s">
        <v>43</v>
      </c>
      <c r="H181" s="19" t="s">
        <v>44</v>
      </c>
      <c r="I181" s="19" t="s">
        <v>130</v>
      </c>
      <c r="J181" s="19" t="s">
        <v>158</v>
      </c>
      <c r="K181" s="19" t="s">
        <v>47</v>
      </c>
      <c r="L181" s="19"/>
      <c r="M181" s="19" t="s">
        <v>111</v>
      </c>
      <c r="N181" s="19" t="s">
        <v>476</v>
      </c>
      <c r="O181" s="19" t="s">
        <v>111</v>
      </c>
      <c r="P181" s="19" t="s">
        <v>394</v>
      </c>
      <c r="Q181" s="19" t="s">
        <v>973</v>
      </c>
      <c r="R181" s="19" t="s">
        <v>1049</v>
      </c>
      <c r="S181" s="19" t="s">
        <v>1050</v>
      </c>
      <c r="T181" s="19" t="s">
        <v>54</v>
      </c>
      <c r="U181" s="19" t="s">
        <v>55</v>
      </c>
      <c r="V181" s="19" t="s">
        <v>70</v>
      </c>
      <c r="W181" s="19" t="s">
        <v>179</v>
      </c>
      <c r="X181" s="19" t="s">
        <v>272</v>
      </c>
      <c r="Y181" s="19"/>
      <c r="Z181" s="19" t="s">
        <v>1051</v>
      </c>
      <c r="AA181" s="19">
        <v>1</v>
      </c>
      <c r="AB181" s="19">
        <v>1</v>
      </c>
      <c r="AC181" s="19" t="s">
        <v>59</v>
      </c>
      <c r="AD181" s="19" t="s">
        <v>394</v>
      </c>
      <c r="AE181" s="19" t="s">
        <v>80</v>
      </c>
      <c r="AF181" s="19" t="s">
        <v>1052</v>
      </c>
    </row>
    <row r="182" spans="1:34" customHeight="1" ht="42">
      <c r="A182" s="19">
        <v>175</v>
      </c>
      <c r="B182" s="19" t="s">
        <v>1037</v>
      </c>
      <c r="C182" s="19" t="s">
        <v>291</v>
      </c>
      <c r="D182" s="19" t="str">
        <f>HYPERLINK("http://www.henontech.com/fieldsafety/harzard/harzard_show.php?rid=2458&amp;url=harzardrecs.php","干熄焦锅炉除尘焊接衬板，下部气瓶离落火点仅3米，氧气泄漏电焊火花飞溅引起气路着火，着火高温引起氧气瓶压力升高瓶阀飞出打伤地面操作人员")</f>
        <v>干熄焦锅炉除尘焊接衬板，下部气瓶离落火点仅3米，氧气泄漏电焊火花飞溅引起气路着火，着火高温引起氧气瓶压力升高瓶阀飞出打伤地面操作人员</v>
      </c>
      <c r="E182" s="19" t="s">
        <v>1053</v>
      </c>
      <c r="F182" s="20" t="s">
        <v>42</v>
      </c>
      <c r="G182" s="22" t="s">
        <v>108</v>
      </c>
      <c r="H182" s="19" t="s">
        <v>44</v>
      </c>
      <c r="I182" s="19" t="s">
        <v>109</v>
      </c>
      <c r="J182" s="19" t="s">
        <v>158</v>
      </c>
      <c r="K182" s="19" t="s">
        <v>47</v>
      </c>
      <c r="L182" s="19" t="s">
        <v>48</v>
      </c>
      <c r="M182" s="19" t="s">
        <v>111</v>
      </c>
      <c r="N182" s="19" t="s">
        <v>211</v>
      </c>
      <c r="O182" s="19" t="s">
        <v>111</v>
      </c>
      <c r="P182" s="19" t="s">
        <v>394</v>
      </c>
      <c r="Q182" s="19" t="s">
        <v>1054</v>
      </c>
      <c r="R182" s="19" t="s">
        <v>1055</v>
      </c>
      <c r="S182" s="19"/>
      <c r="T182" s="19" t="s">
        <v>54</v>
      </c>
      <c r="U182" s="19" t="s">
        <v>55</v>
      </c>
      <c r="V182" s="19" t="s">
        <v>56</v>
      </c>
      <c r="W182" s="19" t="s">
        <v>57</v>
      </c>
      <c r="X182" s="19" t="s">
        <v>332</v>
      </c>
      <c r="Y182" s="19"/>
      <c r="Z182" s="19" t="s">
        <v>1056</v>
      </c>
      <c r="AA182" s="19">
        <v>2</v>
      </c>
      <c r="AB182" s="19">
        <v>2</v>
      </c>
      <c r="AC182" s="19" t="s">
        <v>59</v>
      </c>
      <c r="AD182" s="19" t="s">
        <v>394</v>
      </c>
      <c r="AE182" s="19" t="s">
        <v>80</v>
      </c>
      <c r="AF182" s="19" t="s">
        <v>1057</v>
      </c>
    </row>
    <row r="183" spans="1:34">
      <c r="A183" s="19">
        <v>176</v>
      </c>
      <c r="B183" s="19" t="s">
        <v>1037</v>
      </c>
      <c r="C183" s="19" t="s">
        <v>408</v>
      </c>
      <c r="D183" s="19" t="str">
        <f>HYPERLINK("http://www.henontech.com/fieldsafety/harzard/harzard_show.php?rid=2459&amp;url=harzardrecs.php","三号减温减压后电动阀温度传感器伴热带电线裸露，一名人员巡检至此时，不慎碰触，触电死亡。")</f>
        <v>三号减温减压后电动阀温度传感器伴热带电线裸露，一名人员巡检至此时，不慎碰触，触电死亡。</v>
      </c>
      <c r="E183" s="19" t="s">
        <v>1058</v>
      </c>
      <c r="F183" s="20" t="s">
        <v>42</v>
      </c>
      <c r="G183" s="21" t="s">
        <v>43</v>
      </c>
      <c r="H183" s="19" t="s">
        <v>44</v>
      </c>
      <c r="I183" s="19" t="s">
        <v>130</v>
      </c>
      <c r="J183" s="19" t="s">
        <v>329</v>
      </c>
      <c r="K183" s="19"/>
      <c r="L183" s="19"/>
      <c r="M183" s="19" t="s">
        <v>111</v>
      </c>
      <c r="N183" s="19" t="s">
        <v>482</v>
      </c>
      <c r="O183" s="19" t="s">
        <v>111</v>
      </c>
      <c r="P183" s="19" t="s">
        <v>294</v>
      </c>
      <c r="Q183" s="19" t="s">
        <v>1059</v>
      </c>
      <c r="R183" s="19" t="s">
        <v>483</v>
      </c>
      <c r="S183" s="19" t="s">
        <v>1060</v>
      </c>
      <c r="T183" s="19" t="s">
        <v>54</v>
      </c>
      <c r="U183" s="19" t="s">
        <v>161</v>
      </c>
      <c r="V183" s="19" t="s">
        <v>206</v>
      </c>
      <c r="W183" s="19" t="s">
        <v>179</v>
      </c>
      <c r="X183" s="19" t="s">
        <v>116</v>
      </c>
      <c r="Y183" s="19"/>
      <c r="Z183" s="19" t="s">
        <v>1061</v>
      </c>
      <c r="AA183" s="19">
        <v>1</v>
      </c>
      <c r="AB183" s="19">
        <v>1</v>
      </c>
      <c r="AC183" s="19" t="s">
        <v>59</v>
      </c>
      <c r="AD183" s="19" t="s">
        <v>294</v>
      </c>
      <c r="AE183" s="19" t="s">
        <v>399</v>
      </c>
      <c r="AF183" s="19"/>
    </row>
    <row r="184" spans="1:34">
      <c r="A184" s="19">
        <v>177</v>
      </c>
      <c r="B184" s="19" t="s">
        <v>1037</v>
      </c>
      <c r="C184" s="19" t="s">
        <v>291</v>
      </c>
      <c r="D184" s="19" t="str">
        <f>HYPERLINK("http://www.henontech.com/fieldsafety/harzard/harzard_show.php?rid=2460&amp;url=harzardrecs.php","铁板摆放不齐高低不平，夜间视线不良，一名人员从此处通过，被铁板绊倒，摔倒在地把腿部磕破一块皮，去医务室包扎后继续工作。")</f>
        <v>铁板摆放不齐高低不平，夜间视线不良，一名人员从此处通过，被铁板绊倒，摔倒在地把腿部磕破一块皮，去医务室包扎后继续工作。</v>
      </c>
      <c r="E184" s="19" t="s">
        <v>1062</v>
      </c>
      <c r="F184" s="20" t="s">
        <v>42</v>
      </c>
      <c r="G184" s="21" t="s">
        <v>43</v>
      </c>
      <c r="H184" s="19" t="s">
        <v>44</v>
      </c>
      <c r="I184" s="19" t="s">
        <v>45</v>
      </c>
      <c r="J184" s="19" t="s">
        <v>46</v>
      </c>
      <c r="K184" s="19" t="s">
        <v>47</v>
      </c>
      <c r="L184" s="19"/>
      <c r="M184" s="19" t="s">
        <v>111</v>
      </c>
      <c r="N184" s="19" t="s">
        <v>1063</v>
      </c>
      <c r="O184" s="19" t="s">
        <v>111</v>
      </c>
      <c r="P184" s="19" t="s">
        <v>394</v>
      </c>
      <c r="Q184" s="19" t="s">
        <v>1059</v>
      </c>
      <c r="R184" s="19" t="s">
        <v>1064</v>
      </c>
      <c r="S184" s="19" t="s">
        <v>1065</v>
      </c>
      <c r="T184" s="19" t="s">
        <v>54</v>
      </c>
      <c r="U184" s="19" t="s">
        <v>69</v>
      </c>
      <c r="V184" s="19" t="s">
        <v>70</v>
      </c>
      <c r="W184" s="19" t="s">
        <v>71</v>
      </c>
      <c r="X184" s="19" t="s">
        <v>272</v>
      </c>
      <c r="Y184" s="19"/>
      <c r="Z184" s="19" t="s">
        <v>1066</v>
      </c>
      <c r="AA184" s="19">
        <v>1</v>
      </c>
      <c r="AB184" s="19">
        <v>1</v>
      </c>
      <c r="AC184" s="19" t="s">
        <v>59</v>
      </c>
      <c r="AD184" s="19" t="s">
        <v>394</v>
      </c>
      <c r="AE184" s="19" t="s">
        <v>118</v>
      </c>
      <c r="AF184" s="19" t="s">
        <v>1067</v>
      </c>
    </row>
    <row r="185" spans="1:34">
      <c r="A185" s="19">
        <v>178</v>
      </c>
      <c r="B185" s="19" t="s">
        <v>1037</v>
      </c>
      <c r="C185" s="19" t="s">
        <v>291</v>
      </c>
      <c r="D185" s="19" t="str">
        <f>HYPERLINK("http://www.henontech.com/fieldsafety/harzard/harzard_show.php?rid=2468&amp;url=harzardrecs.php","管道上铁皮松动已快掉落，夜间视线不良，一人员巡检到此处，铁皮突然掉落划伤人员脸部，去医务室包扎后继续工作。")</f>
        <v>管道上铁皮松动已快掉落，夜间视线不良，一人员巡检到此处，铁皮突然掉落划伤人员脸部，去医务室包扎后继续工作。</v>
      </c>
      <c r="E185" s="19" t="s">
        <v>1068</v>
      </c>
      <c r="F185" s="20" t="s">
        <v>42</v>
      </c>
      <c r="G185" s="21" t="s">
        <v>43</v>
      </c>
      <c r="H185" s="19" t="s">
        <v>44</v>
      </c>
      <c r="I185" s="19" t="s">
        <v>109</v>
      </c>
      <c r="J185" s="19" t="s">
        <v>46</v>
      </c>
      <c r="K185" s="19" t="s">
        <v>47</v>
      </c>
      <c r="L185" s="19" t="s">
        <v>48</v>
      </c>
      <c r="M185" s="19" t="s">
        <v>111</v>
      </c>
      <c r="N185" s="19" t="s">
        <v>293</v>
      </c>
      <c r="O185" s="19" t="s">
        <v>111</v>
      </c>
      <c r="P185" s="19" t="s">
        <v>394</v>
      </c>
      <c r="Q185" s="19" t="s">
        <v>1059</v>
      </c>
      <c r="R185" s="19" t="s">
        <v>1069</v>
      </c>
      <c r="S185" s="19" t="s">
        <v>1070</v>
      </c>
      <c r="T185" s="19" t="s">
        <v>54</v>
      </c>
      <c r="U185" s="19" t="s">
        <v>69</v>
      </c>
      <c r="V185" s="19" t="s">
        <v>70</v>
      </c>
      <c r="W185" s="19" t="s">
        <v>71</v>
      </c>
      <c r="X185" s="19" t="s">
        <v>116</v>
      </c>
      <c r="Y185" s="19"/>
      <c r="Z185" s="19" t="s">
        <v>1071</v>
      </c>
      <c r="AA185" s="19">
        <v>1</v>
      </c>
      <c r="AB185" s="19">
        <v>1</v>
      </c>
      <c r="AC185" s="19" t="s">
        <v>59</v>
      </c>
      <c r="AD185" s="19" t="s">
        <v>394</v>
      </c>
      <c r="AE185" s="19" t="s">
        <v>80</v>
      </c>
      <c r="AF185" s="19" t="s">
        <v>1072</v>
      </c>
    </row>
    <row r="186" spans="1:34">
      <c r="A186" s="19">
        <v>179</v>
      </c>
      <c r="B186" s="19" t="s">
        <v>926</v>
      </c>
      <c r="C186" s="19" t="s">
        <v>1073</v>
      </c>
      <c r="D186" s="19" t="str">
        <f>HYPERLINK("http://www.henontech.com/fieldsafety/harzard/harzard_show.php?rid=2495&amp;url=harzardrecs.php","西五机头照明灯损坏 中夜班人员巡检清理卫生 光线不好不慎绊倒 扭伤脚踝 经简单处理后不影响工作")</f>
        <v>西五机头照明灯损坏 中夜班人员巡检清理卫生 光线不好不慎绊倒 扭伤脚踝 经简单处理后不影响工作</v>
      </c>
      <c r="E186" s="19" t="s">
        <v>1074</v>
      </c>
      <c r="F186" s="20" t="s">
        <v>42</v>
      </c>
      <c r="G186" s="21" t="s">
        <v>43</v>
      </c>
      <c r="H186" s="19" t="s">
        <v>44</v>
      </c>
      <c r="I186" s="19" t="s">
        <v>45</v>
      </c>
      <c r="J186" s="19" t="s">
        <v>46</v>
      </c>
      <c r="K186" s="19" t="s">
        <v>99</v>
      </c>
      <c r="L186" s="19" t="s">
        <v>48</v>
      </c>
      <c r="M186" s="19" t="s">
        <v>529</v>
      </c>
      <c r="N186" s="19" t="s">
        <v>1075</v>
      </c>
      <c r="O186" s="19" t="s">
        <v>529</v>
      </c>
      <c r="P186" s="19" t="s">
        <v>1076</v>
      </c>
      <c r="Q186" s="19" t="s">
        <v>938</v>
      </c>
      <c r="R186" s="19" t="s">
        <v>1077</v>
      </c>
      <c r="S186" s="19"/>
      <c r="T186" s="19" t="s">
        <v>54</v>
      </c>
      <c r="U186" s="19" t="s">
        <v>69</v>
      </c>
      <c r="V186" s="19" t="s">
        <v>70</v>
      </c>
      <c r="W186" s="19" t="s">
        <v>71</v>
      </c>
      <c r="X186" s="19"/>
      <c r="Y186" s="19"/>
      <c r="Z186" s="19" t="s">
        <v>1078</v>
      </c>
      <c r="AA186" s="19">
        <v>1</v>
      </c>
      <c r="AB186" s="19">
        <v>1</v>
      </c>
      <c r="AC186" s="19" t="s">
        <v>59</v>
      </c>
      <c r="AD186" s="19" t="s">
        <v>1076</v>
      </c>
      <c r="AE186" s="19" t="s">
        <v>904</v>
      </c>
      <c r="AF186" s="19"/>
    </row>
    <row r="187" spans="1:34" customHeight="1" ht="42">
      <c r="A187" s="19">
        <v>180</v>
      </c>
      <c r="B187" s="19" t="s">
        <v>299</v>
      </c>
      <c r="C187" s="19" t="s">
        <v>142</v>
      </c>
      <c r="D187" s="19" t="str">
        <f>HYPERLINK("http://www.henontech.com/fieldsafety/harzard/harzard_show.php?rid=2501&amp;url=harzardrecs.php","一名维修工在焊地面除尘水槽时，焊渣掉在安全带上将其熔化，维修工不慎掉在3米高的地面当场昏迷，及时送医治疗。")</f>
        <v>一名维修工在焊地面除尘水槽时，焊渣掉在安全带上将其熔化，维修工不慎掉在3米高的地面当场昏迷，及时送医治疗。</v>
      </c>
      <c r="E187" s="19" t="s">
        <v>1079</v>
      </c>
      <c r="F187" s="20" t="s">
        <v>42</v>
      </c>
      <c r="G187" s="22" t="s">
        <v>108</v>
      </c>
      <c r="H187" s="19" t="s">
        <v>44</v>
      </c>
      <c r="I187" s="19" t="s">
        <v>109</v>
      </c>
      <c r="J187" s="19" t="s">
        <v>46</v>
      </c>
      <c r="K187" s="19" t="s">
        <v>184</v>
      </c>
      <c r="L187" s="19" t="s">
        <v>48</v>
      </c>
      <c r="M187" s="19" t="s">
        <v>111</v>
      </c>
      <c r="N187" s="19" t="s">
        <v>345</v>
      </c>
      <c r="O187" s="19" t="s">
        <v>111</v>
      </c>
      <c r="P187" s="19" t="s">
        <v>294</v>
      </c>
      <c r="Q187" s="19" t="s">
        <v>1080</v>
      </c>
      <c r="R187" s="19" t="s">
        <v>1081</v>
      </c>
      <c r="S187" s="19"/>
      <c r="T187" s="19" t="s">
        <v>54</v>
      </c>
      <c r="U187" s="19" t="s">
        <v>161</v>
      </c>
      <c r="V187" s="19" t="s">
        <v>102</v>
      </c>
      <c r="W187" s="19" t="s">
        <v>103</v>
      </c>
      <c r="X187" s="19" t="s">
        <v>332</v>
      </c>
      <c r="Y187" s="19"/>
      <c r="Z187" s="19" t="s">
        <v>1082</v>
      </c>
      <c r="AA187" s="19">
        <v>2</v>
      </c>
      <c r="AB187" s="19">
        <v>2</v>
      </c>
      <c r="AC187" s="19" t="s">
        <v>59</v>
      </c>
      <c r="AD187" s="19" t="s">
        <v>294</v>
      </c>
      <c r="AE187" s="19" t="s">
        <v>118</v>
      </c>
      <c r="AF187" s="19" t="s">
        <v>1083</v>
      </c>
    </row>
    <row r="188" spans="1:34" customHeight="1" ht="42">
      <c r="A188" s="19">
        <v>181</v>
      </c>
      <c r="B188" s="19" t="s">
        <v>1084</v>
      </c>
      <c r="C188" s="19" t="s">
        <v>111</v>
      </c>
      <c r="D188" s="19" t="str">
        <f>HYPERLINK("http://www.henontech.com/fieldsafety/harzard/harzard_show.php?rid=2503&amp;url=harzardrecs.php","一维修工按装爬梯时，没有正确按大钩挂物小钩挂绳规定违规操作，造成维修工不慎掉落4米高的地面昏迷，及时送医治疗")</f>
        <v>一维修工按装爬梯时，没有正确按大钩挂物小钩挂绳规定违规操作，造成维修工不慎掉落4米高的地面昏迷，及时送医治疗</v>
      </c>
      <c r="E188" s="19" t="s">
        <v>1085</v>
      </c>
      <c r="F188" s="20" t="s">
        <v>42</v>
      </c>
      <c r="G188" s="23" t="s">
        <v>497</v>
      </c>
      <c r="H188" s="19" t="s">
        <v>44</v>
      </c>
      <c r="I188" s="19" t="s">
        <v>109</v>
      </c>
      <c r="J188" s="19" t="s">
        <v>46</v>
      </c>
      <c r="K188" s="19" t="s">
        <v>184</v>
      </c>
      <c r="L188" s="19" t="s">
        <v>48</v>
      </c>
      <c r="M188" s="19" t="s">
        <v>111</v>
      </c>
      <c r="N188" s="19" t="s">
        <v>1086</v>
      </c>
      <c r="O188" s="19" t="s">
        <v>111</v>
      </c>
      <c r="P188" s="19" t="s">
        <v>642</v>
      </c>
      <c r="Q188" s="19" t="s">
        <v>1080</v>
      </c>
      <c r="R188" s="19" t="s">
        <v>1087</v>
      </c>
      <c r="S188" s="19"/>
      <c r="T188" s="19" t="s">
        <v>54</v>
      </c>
      <c r="U188" s="19" t="s">
        <v>161</v>
      </c>
      <c r="V188" s="19" t="s">
        <v>102</v>
      </c>
      <c r="W188" s="19" t="s">
        <v>103</v>
      </c>
      <c r="X188" s="19" t="s">
        <v>332</v>
      </c>
      <c r="Y188" s="19"/>
      <c r="Z188" s="19" t="s">
        <v>1088</v>
      </c>
      <c r="AA188" s="19">
        <v>2</v>
      </c>
      <c r="AB188" s="19">
        <v>2</v>
      </c>
      <c r="AC188" s="19" t="s">
        <v>59</v>
      </c>
      <c r="AD188" s="19" t="s">
        <v>642</v>
      </c>
      <c r="AE188" s="19" t="s">
        <v>118</v>
      </c>
      <c r="AF188" s="19" t="s">
        <v>1089</v>
      </c>
    </row>
    <row r="189" spans="1:34" customHeight="1" ht="42">
      <c r="A189" s="19">
        <v>182</v>
      </c>
      <c r="B189" s="19" t="s">
        <v>1090</v>
      </c>
      <c r="C189" s="19" t="s">
        <v>266</v>
      </c>
      <c r="D189" s="19" t="str">
        <f>HYPERLINK("http://www.henontech.com/fieldsafety/harzard/harzard_show.php?rid=2510&amp;url=harzardrecs.php","焦侧46#炉门衡栓，左右两侧都不到位，造成炉门掉落")</f>
        <v>焦侧46#炉门衡栓，左右两侧都不到位，造成炉门掉落</v>
      </c>
      <c r="E189" s="19" t="s">
        <v>1091</v>
      </c>
      <c r="F189" s="20" t="s">
        <v>42</v>
      </c>
      <c r="G189" s="22" t="s">
        <v>108</v>
      </c>
      <c r="H189" s="19" t="s">
        <v>44</v>
      </c>
      <c r="I189" s="19" t="s">
        <v>45</v>
      </c>
      <c r="J189" s="19" t="s">
        <v>280</v>
      </c>
      <c r="K189" s="19" t="s">
        <v>84</v>
      </c>
      <c r="L189" s="19" t="s">
        <v>48</v>
      </c>
      <c r="M189" s="19" t="s">
        <v>111</v>
      </c>
      <c r="N189" s="19" t="s">
        <v>354</v>
      </c>
      <c r="O189" s="19" t="s">
        <v>111</v>
      </c>
      <c r="P189" s="19" t="s">
        <v>642</v>
      </c>
      <c r="Q189" s="19" t="s">
        <v>1080</v>
      </c>
      <c r="R189" s="19" t="s">
        <v>1092</v>
      </c>
      <c r="S189" s="19"/>
      <c r="T189" s="19" t="s">
        <v>54</v>
      </c>
      <c r="U189" s="19" t="s">
        <v>161</v>
      </c>
      <c r="V189" s="19" t="s">
        <v>56</v>
      </c>
      <c r="W189" s="19" t="s">
        <v>103</v>
      </c>
      <c r="X189" s="19"/>
      <c r="Y189" s="19"/>
      <c r="Z189" s="19" t="s">
        <v>1093</v>
      </c>
      <c r="AA189" s="19">
        <v>2</v>
      </c>
      <c r="AB189" s="19">
        <v>2</v>
      </c>
      <c r="AC189" s="19" t="s">
        <v>59</v>
      </c>
      <c r="AD189" s="19" t="s">
        <v>642</v>
      </c>
      <c r="AE189" s="19" t="s">
        <v>118</v>
      </c>
      <c r="AF189" s="19" t="s">
        <v>1094</v>
      </c>
    </row>
    <row r="190" spans="1:34" customHeight="1" ht="42">
      <c r="A190" s="19">
        <v>183</v>
      </c>
      <c r="B190" s="19" t="s">
        <v>1095</v>
      </c>
      <c r="C190" s="19" t="s">
        <v>142</v>
      </c>
      <c r="D190" s="19" t="str">
        <f>HYPERLINK("http://www.henontech.com/fieldsafety/harzard/harzard_show.php?rid=2512&amp;url=harzardrecs.php","炉顶焦侧44#上升管处，操作平台一盖板缺失，一人员经过时不慎跌入摔倒磕伤")</f>
        <v>炉顶焦侧44#上升管处，操作平台一盖板缺失，一人员经过时不慎跌入摔倒磕伤</v>
      </c>
      <c r="E190" s="19" t="s">
        <v>1096</v>
      </c>
      <c r="F190" s="20" t="s">
        <v>42</v>
      </c>
      <c r="G190" s="21" t="s">
        <v>43</v>
      </c>
      <c r="H190" s="19" t="s">
        <v>44</v>
      </c>
      <c r="I190" s="19" t="s">
        <v>45</v>
      </c>
      <c r="J190" s="19" t="s">
        <v>46</v>
      </c>
      <c r="K190" s="19" t="s">
        <v>84</v>
      </c>
      <c r="L190" s="19" t="s">
        <v>48</v>
      </c>
      <c r="M190" s="19" t="s">
        <v>111</v>
      </c>
      <c r="N190" s="19" t="s">
        <v>613</v>
      </c>
      <c r="O190" s="19" t="s">
        <v>111</v>
      </c>
      <c r="P190" s="19" t="s">
        <v>642</v>
      </c>
      <c r="Q190" s="19" t="s">
        <v>1080</v>
      </c>
      <c r="R190" s="19" t="s">
        <v>352</v>
      </c>
      <c r="S190" s="19"/>
      <c r="T190" s="19" t="s">
        <v>54</v>
      </c>
      <c r="U190" s="19" t="s">
        <v>55</v>
      </c>
      <c r="V190" s="19" t="s">
        <v>56</v>
      </c>
      <c r="W190" s="19" t="s">
        <v>57</v>
      </c>
      <c r="X190" s="19"/>
      <c r="Y190" s="19"/>
      <c r="Z190" s="19" t="s">
        <v>1097</v>
      </c>
      <c r="AA190" s="19">
        <v>2</v>
      </c>
      <c r="AB190" s="19">
        <v>2</v>
      </c>
      <c r="AC190" s="19" t="s">
        <v>59</v>
      </c>
      <c r="AD190" s="19" t="s">
        <v>642</v>
      </c>
      <c r="AE190" s="19" t="s">
        <v>118</v>
      </c>
      <c r="AF190" s="19" t="s">
        <v>1098</v>
      </c>
    </row>
    <row r="191" spans="1:34" customHeight="1" ht="42">
      <c r="A191" s="19">
        <v>184</v>
      </c>
      <c r="B191" s="19" t="s">
        <v>399</v>
      </c>
      <c r="C191" s="19" t="s">
        <v>111</v>
      </c>
      <c r="D191" s="19" t="str">
        <f>HYPERLINK("http://www.henontech.com/fieldsafety/harzard/harzard_show.php?rid=2522&amp;url=harzardrecs.php","一名操作人员，在焦四机尾操作时，顶部一四公分厚的彩钢瓦坠落，将其小臂砸伤造成粉碎性骨折，就医治疗。")</f>
        <v>一名操作人员，在焦四机尾操作时，顶部一四公分厚的彩钢瓦坠落，将其小臂砸伤造成粉碎性骨折，就医治疗。</v>
      </c>
      <c r="E191" s="19" t="s">
        <v>652</v>
      </c>
      <c r="F191" s="20" t="s">
        <v>42</v>
      </c>
      <c r="G191" s="21" t="s">
        <v>43</v>
      </c>
      <c r="H191" s="19" t="s">
        <v>44</v>
      </c>
      <c r="I191" s="19" t="s">
        <v>109</v>
      </c>
      <c r="J191" s="19" t="s">
        <v>46</v>
      </c>
      <c r="K191" s="19" t="s">
        <v>131</v>
      </c>
      <c r="L191" s="19" t="s">
        <v>110</v>
      </c>
      <c r="M191" s="19" t="s">
        <v>111</v>
      </c>
      <c r="N191" s="19" t="s">
        <v>639</v>
      </c>
      <c r="O191" s="19" t="s">
        <v>111</v>
      </c>
      <c r="P191" s="19" t="s">
        <v>987</v>
      </c>
      <c r="Q191" s="19" t="s">
        <v>1080</v>
      </c>
      <c r="R191" s="19" t="s">
        <v>1099</v>
      </c>
      <c r="S191" s="19"/>
      <c r="T191" s="19" t="s">
        <v>54</v>
      </c>
      <c r="U191" s="19" t="s">
        <v>55</v>
      </c>
      <c r="V191" s="19" t="s">
        <v>70</v>
      </c>
      <c r="W191" s="19" t="s">
        <v>179</v>
      </c>
      <c r="X191" s="19" t="s">
        <v>116</v>
      </c>
      <c r="Y191" s="19"/>
      <c r="Z191" s="19" t="s">
        <v>1100</v>
      </c>
      <c r="AA191" s="19">
        <v>2</v>
      </c>
      <c r="AB191" s="19">
        <v>1</v>
      </c>
      <c r="AC191" s="19" t="s">
        <v>59</v>
      </c>
      <c r="AD191" s="19" t="s">
        <v>987</v>
      </c>
      <c r="AE191" s="19" t="s">
        <v>73</v>
      </c>
      <c r="AF191" s="19" t="s">
        <v>1101</v>
      </c>
    </row>
    <row r="192" spans="1:34">
      <c r="A192" s="19">
        <v>185</v>
      </c>
      <c r="B192" s="19" t="s">
        <v>415</v>
      </c>
      <c r="C192" s="19" t="s">
        <v>1102</v>
      </c>
      <c r="D192" s="19" t="str">
        <f>HYPERLINK("http://www.henontech.com/fieldsafety/harzard/harzard_show.php?rid=2535&amp;url=harzardrecs.php","四名外来施工人员，在按装封头过程中，由于木板没有固定，用力不均匀到至右侧人员，坠落幸好系安全带，造成腿部擦伤")</f>
        <v>四名外来施工人员，在按装封头过程中，由于木板没有固定，用力不均匀到至右侧人员，坠落幸好系安全带，造成腿部擦伤</v>
      </c>
      <c r="E192" s="19" t="s">
        <v>1103</v>
      </c>
      <c r="F192" s="20" t="s">
        <v>42</v>
      </c>
      <c r="G192" s="23" t="s">
        <v>497</v>
      </c>
      <c r="H192" s="19" t="s">
        <v>122</v>
      </c>
      <c r="I192" s="19" t="s">
        <v>1104</v>
      </c>
      <c r="J192" s="19" t="s">
        <v>46</v>
      </c>
      <c r="K192" s="19" t="s">
        <v>47</v>
      </c>
      <c r="L192" s="19" t="s">
        <v>48</v>
      </c>
      <c r="M192" s="19" t="s">
        <v>49</v>
      </c>
      <c r="N192" s="19" t="s">
        <v>217</v>
      </c>
      <c r="O192" s="19" t="s">
        <v>49</v>
      </c>
      <c r="P192" s="19" t="s">
        <v>66</v>
      </c>
      <c r="Q192" s="19" t="s">
        <v>1105</v>
      </c>
      <c r="R192" s="19" t="s">
        <v>1106</v>
      </c>
      <c r="S192" s="19"/>
      <c r="T192" s="19" t="s">
        <v>54</v>
      </c>
      <c r="U192" s="19" t="s">
        <v>170</v>
      </c>
      <c r="V192" s="19" t="s">
        <v>70</v>
      </c>
      <c r="W192" s="19" t="s">
        <v>71</v>
      </c>
      <c r="X192" s="19"/>
      <c r="Y192" s="19"/>
      <c r="Z192" s="19" t="s">
        <v>1107</v>
      </c>
      <c r="AA192" s="19">
        <v>1</v>
      </c>
      <c r="AB192" s="19">
        <v>1</v>
      </c>
      <c r="AC192" s="19" t="s">
        <v>59</v>
      </c>
      <c r="AD192" s="19" t="s">
        <v>66</v>
      </c>
      <c r="AE192" s="19" t="s">
        <v>73</v>
      </c>
      <c r="AF192" s="19"/>
    </row>
    <row r="193" spans="1:34" customHeight="1" ht="42">
      <c r="A193" s="19">
        <v>186</v>
      </c>
      <c r="B193" s="19" t="s">
        <v>415</v>
      </c>
      <c r="C193" s="19" t="s">
        <v>111</v>
      </c>
      <c r="D193" s="19" t="str">
        <f>HYPERLINK("http://www.henontech.com/fieldsafety/harzard/harzard_show.php?rid=2536&amp;url=harzardrecs.php","送煤掉前头，拦焦一名操作人员在扒煤过程中，被高处再次跌落的煤饼砸中头部，送医抢救无效死亡。")</f>
        <v>送煤掉前头，拦焦一名操作人员在扒煤过程中，被高处再次跌落的煤饼砸中头部，送医抢救无效死亡。</v>
      </c>
      <c r="E193" s="19" t="s">
        <v>1108</v>
      </c>
      <c r="F193" s="24" t="s">
        <v>588</v>
      </c>
      <c r="G193" s="21" t="s">
        <v>43</v>
      </c>
      <c r="H193" s="19" t="s">
        <v>44</v>
      </c>
      <c r="I193" s="19" t="s">
        <v>109</v>
      </c>
      <c r="J193" s="19" t="s">
        <v>381</v>
      </c>
      <c r="K193" s="19" t="s">
        <v>47</v>
      </c>
      <c r="L193" s="19" t="s">
        <v>110</v>
      </c>
      <c r="M193" s="19" t="s">
        <v>111</v>
      </c>
      <c r="N193" s="19" t="s">
        <v>647</v>
      </c>
      <c r="O193" s="19" t="s">
        <v>111</v>
      </c>
      <c r="P193" s="19" t="s">
        <v>642</v>
      </c>
      <c r="Q193" s="19" t="s">
        <v>1109</v>
      </c>
      <c r="R193" s="19" t="s">
        <v>649</v>
      </c>
      <c r="S193" s="19"/>
      <c r="T193" s="19" t="s">
        <v>54</v>
      </c>
      <c r="U193" s="19" t="s">
        <v>161</v>
      </c>
      <c r="V193" s="19" t="s">
        <v>70</v>
      </c>
      <c r="W193" s="19" t="s">
        <v>57</v>
      </c>
      <c r="X193" s="19" t="s">
        <v>332</v>
      </c>
      <c r="Y193" s="19"/>
      <c r="Z193" s="19" t="s">
        <v>1110</v>
      </c>
      <c r="AA193" s="19">
        <v>2</v>
      </c>
      <c r="AB193" s="19"/>
      <c r="AC193" s="19" t="s">
        <v>594</v>
      </c>
      <c r="AD193" s="19"/>
      <c r="AE193" s="19"/>
      <c r="AF193" s="19"/>
    </row>
    <row r="194" spans="1:34" customHeight="1" ht="42">
      <c r="A194" s="19">
        <v>187</v>
      </c>
      <c r="B194" s="19" t="s">
        <v>118</v>
      </c>
      <c r="C194" s="19" t="s">
        <v>111</v>
      </c>
      <c r="D194" s="19" t="str">
        <f>HYPERLINK("http://www.henontech.com/fieldsafety/harzard/harzard_show.php?rid=2537&amp;url=harzardrecs.php","一操作工在经过熄焦泵房安全门处，安全门脱落砸中操作工头部，当场昏迷，送医抢救。")</f>
        <v>一操作工在经过熄焦泵房安全门处，安全门脱落砸中操作工头部，当场昏迷，送医抢救。</v>
      </c>
      <c r="E194" s="19" t="s">
        <v>1111</v>
      </c>
      <c r="F194" s="24" t="s">
        <v>588</v>
      </c>
      <c r="G194" s="22" t="s">
        <v>108</v>
      </c>
      <c r="H194" s="19" t="s">
        <v>44</v>
      </c>
      <c r="I194" s="19" t="s">
        <v>109</v>
      </c>
      <c r="J194" s="19" t="s">
        <v>381</v>
      </c>
      <c r="K194" s="19" t="s">
        <v>47</v>
      </c>
      <c r="L194" s="19" t="s">
        <v>110</v>
      </c>
      <c r="M194" s="19" t="s">
        <v>111</v>
      </c>
      <c r="N194" s="19" t="s">
        <v>642</v>
      </c>
      <c r="O194" s="19" t="s">
        <v>111</v>
      </c>
      <c r="P194" s="19" t="s">
        <v>294</v>
      </c>
      <c r="Q194" s="19" t="s">
        <v>1109</v>
      </c>
      <c r="R194" s="19" t="s">
        <v>1112</v>
      </c>
      <c r="S194" s="19"/>
      <c r="T194" s="19" t="s">
        <v>54</v>
      </c>
      <c r="U194" s="19" t="s">
        <v>161</v>
      </c>
      <c r="V194" s="19" t="s">
        <v>70</v>
      </c>
      <c r="W194" s="19" t="s">
        <v>57</v>
      </c>
      <c r="X194" s="19" t="s">
        <v>116</v>
      </c>
      <c r="Y194" s="19"/>
      <c r="Z194" s="19" t="s">
        <v>1113</v>
      </c>
      <c r="AA194" s="19">
        <v>2</v>
      </c>
      <c r="AB194" s="19"/>
      <c r="AC194" s="19" t="s">
        <v>594</v>
      </c>
      <c r="AD194" s="19"/>
      <c r="AE194" s="19"/>
      <c r="AF194" s="19"/>
    </row>
    <row r="195" spans="1:34">
      <c r="A195" s="19">
        <v>188</v>
      </c>
      <c r="B195" s="19" t="s">
        <v>80</v>
      </c>
      <c r="C195" s="19" t="s">
        <v>526</v>
      </c>
      <c r="D195" s="19" t="str">
        <f>HYPERLINK("http://www.henontech.com/fieldsafety/harzard/harzard_show.php?rid=2541&amp;url=harzardrecs.php","1618破碎机接地线螺丝丢失未接好 操作工清理卫生时 不慎触电摔倒 造成右臂骨折 送医住院治疗")</f>
        <v>1618破碎机接地线螺丝丢失未接好 操作工清理卫生时 不慎触电摔倒 造成右臂骨折 送医住院治疗</v>
      </c>
      <c r="E195" s="19" t="s">
        <v>1114</v>
      </c>
      <c r="F195" s="20" t="s">
        <v>42</v>
      </c>
      <c r="G195" s="21" t="s">
        <v>43</v>
      </c>
      <c r="H195" s="19" t="s">
        <v>44</v>
      </c>
      <c r="I195" s="19" t="s">
        <v>45</v>
      </c>
      <c r="J195" s="19" t="s">
        <v>329</v>
      </c>
      <c r="K195" s="19" t="s">
        <v>84</v>
      </c>
      <c r="L195" s="19" t="s">
        <v>48</v>
      </c>
      <c r="M195" s="19" t="s">
        <v>529</v>
      </c>
      <c r="N195" s="19" t="s">
        <v>1075</v>
      </c>
      <c r="O195" s="19" t="s">
        <v>529</v>
      </c>
      <c r="P195" s="19" t="s">
        <v>1076</v>
      </c>
      <c r="Q195" s="19" t="s">
        <v>1115</v>
      </c>
      <c r="R195" s="19" t="s">
        <v>1116</v>
      </c>
      <c r="S195" s="19"/>
      <c r="T195" s="19" t="s">
        <v>54</v>
      </c>
      <c r="U195" s="19" t="s">
        <v>55</v>
      </c>
      <c r="V195" s="19" t="s">
        <v>56</v>
      </c>
      <c r="W195" s="19" t="s">
        <v>57</v>
      </c>
      <c r="X195" s="19" t="s">
        <v>272</v>
      </c>
      <c r="Y195" s="19"/>
      <c r="Z195" s="19" t="s">
        <v>1117</v>
      </c>
      <c r="AA195" s="19">
        <v>1</v>
      </c>
      <c r="AB195" s="19">
        <v>1</v>
      </c>
      <c r="AC195" s="19" t="s">
        <v>59</v>
      </c>
      <c r="AD195" s="19" t="s">
        <v>1076</v>
      </c>
      <c r="AE195" s="19" t="s">
        <v>953</v>
      </c>
      <c r="AF195" s="19"/>
    </row>
    <row r="196" spans="1:34">
      <c r="A196" s="19">
        <v>189</v>
      </c>
      <c r="B196" s="19" t="s">
        <v>80</v>
      </c>
      <c r="C196" s="19" t="s">
        <v>526</v>
      </c>
      <c r="D196" s="19" t="str">
        <f>HYPERLINK("http://www.henontech.com/fieldsafety/harzard/harzard_show.php?rid=2542&amp;url=harzardrecs.php","电机护罩螺丝振动丢失 护罩脱落 操作工 巡检清理卫生经过 不慎被风扇叶片 擦伤胳膊 送医务室包扎后不影响工作")</f>
        <v>电机护罩螺丝振动丢失 护罩脱落 操作工 巡检清理卫生经过 不慎被风扇叶片 擦伤胳膊 送医务室包扎后不影响工作</v>
      </c>
      <c r="E196" s="19" t="s">
        <v>1118</v>
      </c>
      <c r="F196" s="20" t="s">
        <v>42</v>
      </c>
      <c r="G196" s="21" t="s">
        <v>43</v>
      </c>
      <c r="H196" s="19" t="s">
        <v>44</v>
      </c>
      <c r="I196" s="19" t="s">
        <v>130</v>
      </c>
      <c r="J196" s="19" t="s">
        <v>46</v>
      </c>
      <c r="K196" s="19"/>
      <c r="L196" s="19" t="s">
        <v>48</v>
      </c>
      <c r="M196" s="19" t="s">
        <v>529</v>
      </c>
      <c r="N196" s="19" t="s">
        <v>1075</v>
      </c>
      <c r="O196" s="19" t="s">
        <v>529</v>
      </c>
      <c r="P196" s="19" t="s">
        <v>1076</v>
      </c>
      <c r="Q196" s="19" t="s">
        <v>1115</v>
      </c>
      <c r="R196" s="19" t="s">
        <v>1119</v>
      </c>
      <c r="S196" s="19"/>
      <c r="T196" s="19" t="s">
        <v>54</v>
      </c>
      <c r="U196" s="19" t="s">
        <v>69</v>
      </c>
      <c r="V196" s="19" t="s">
        <v>70</v>
      </c>
      <c r="W196" s="19" t="s">
        <v>71</v>
      </c>
      <c r="X196" s="19" t="s">
        <v>272</v>
      </c>
      <c r="Y196" s="19"/>
      <c r="Z196" s="19" t="s">
        <v>1120</v>
      </c>
      <c r="AA196" s="19">
        <v>1</v>
      </c>
      <c r="AB196" s="19">
        <v>1</v>
      </c>
      <c r="AC196" s="19" t="s">
        <v>59</v>
      </c>
      <c r="AD196" s="19" t="s">
        <v>1076</v>
      </c>
      <c r="AE196" s="19" t="s">
        <v>953</v>
      </c>
      <c r="AF196" s="19"/>
    </row>
    <row r="197" spans="1:34">
      <c r="A197" s="19">
        <v>190</v>
      </c>
      <c r="B197" s="19" t="s">
        <v>80</v>
      </c>
      <c r="C197" s="19" t="s">
        <v>142</v>
      </c>
      <c r="D197" s="19" t="str">
        <f>HYPERLINK("http://www.henontech.com/fieldsafety/harzard/harzard_show.php?rid=2545&amp;url=harzardrecs.php","操作工巡检时右脚不慎落入空荡处，使右脚骨折，送医院救治")</f>
        <v>操作工巡检时右脚不慎落入空荡处，使右脚骨折，送医院救治</v>
      </c>
      <c r="E197" s="19" t="s">
        <v>1121</v>
      </c>
      <c r="F197" s="25" t="s">
        <v>931</v>
      </c>
      <c r="G197" s="21" t="s">
        <v>43</v>
      </c>
      <c r="H197" s="19" t="s">
        <v>44</v>
      </c>
      <c r="I197" s="19" t="s">
        <v>45</v>
      </c>
      <c r="J197" s="19" t="s">
        <v>381</v>
      </c>
      <c r="K197" s="19"/>
      <c r="L197" s="19"/>
      <c r="M197" s="19" t="s">
        <v>111</v>
      </c>
      <c r="N197" s="19" t="s">
        <v>1122</v>
      </c>
      <c r="O197" s="19"/>
      <c r="P197" s="19"/>
      <c r="Q197" s="19"/>
      <c r="R197" s="19" t="s">
        <v>1123</v>
      </c>
      <c r="S197" s="19" t="s">
        <v>1124</v>
      </c>
      <c r="T197" s="19" t="s">
        <v>54</v>
      </c>
      <c r="U197" s="19" t="s">
        <v>55</v>
      </c>
      <c r="V197" s="19" t="s">
        <v>102</v>
      </c>
      <c r="W197" s="19" t="s">
        <v>103</v>
      </c>
      <c r="X197" s="19"/>
      <c r="Y197" s="19"/>
      <c r="Z197" s="19"/>
      <c r="AA197" s="19">
        <v>0</v>
      </c>
      <c r="AB197" s="19"/>
      <c r="AC197" s="19" t="s">
        <v>594</v>
      </c>
      <c r="AD197" s="19"/>
      <c r="AE197" s="19"/>
      <c r="AF197" s="19"/>
    </row>
    <row r="198" spans="1:34" customHeight="1" ht="42">
      <c r="A198" s="19">
        <v>191</v>
      </c>
      <c r="B198" s="19" t="s">
        <v>953</v>
      </c>
      <c r="C198" s="19" t="s">
        <v>1073</v>
      </c>
      <c r="D198" s="19" t="str">
        <f>HYPERLINK("http://www.henontech.com/fieldsafety/harzard/harzard_show.php?rid=2550&amp;url=harzardrecs.php","煤棚西侧，盖板破损！煤场操作工夜间巡查时，左脚踩至盖板破损处，导致左腿划伤送医院清理，包扎在家休养七天")</f>
        <v>煤棚西侧，盖板破损！煤场操作工夜间巡查时，左脚踩至盖板破损处，导致左腿划伤送医院清理，包扎在家休养七天</v>
      </c>
      <c r="E198" s="19" t="s">
        <v>1125</v>
      </c>
      <c r="F198" s="20" t="s">
        <v>42</v>
      </c>
      <c r="G198" s="22" t="s">
        <v>108</v>
      </c>
      <c r="H198" s="19" t="s">
        <v>44</v>
      </c>
      <c r="I198" s="19" t="s">
        <v>45</v>
      </c>
      <c r="J198" s="19"/>
      <c r="K198" s="19" t="s">
        <v>84</v>
      </c>
      <c r="L198" s="19" t="s">
        <v>48</v>
      </c>
      <c r="M198" s="19" t="s">
        <v>529</v>
      </c>
      <c r="N198" s="19" t="s">
        <v>1126</v>
      </c>
      <c r="O198" s="19" t="s">
        <v>529</v>
      </c>
      <c r="P198" s="19" t="s">
        <v>1127</v>
      </c>
      <c r="Q198" s="19" t="s">
        <v>1128</v>
      </c>
      <c r="R198" s="19" t="s">
        <v>1129</v>
      </c>
      <c r="S198" s="19" t="s">
        <v>1130</v>
      </c>
      <c r="T198" s="19" t="s">
        <v>54</v>
      </c>
      <c r="U198" s="19" t="s">
        <v>69</v>
      </c>
      <c r="V198" s="19" t="s">
        <v>102</v>
      </c>
      <c r="W198" s="19" t="s">
        <v>57</v>
      </c>
      <c r="X198" s="19" t="s">
        <v>272</v>
      </c>
      <c r="Y198" s="19" t="s">
        <v>272</v>
      </c>
      <c r="Z198" s="19" t="s">
        <v>1131</v>
      </c>
      <c r="AA198" s="19">
        <v>2</v>
      </c>
      <c r="AB198" s="19">
        <v>2</v>
      </c>
      <c r="AC198" s="19" t="s">
        <v>59</v>
      </c>
      <c r="AD198" s="19" t="s">
        <v>1127</v>
      </c>
      <c r="AE198" s="19" t="s">
        <v>953</v>
      </c>
      <c r="AF198" s="19" t="s">
        <v>1132</v>
      </c>
    </row>
    <row r="199" spans="1:34" customHeight="1" ht="42">
      <c r="A199" s="19">
        <v>192</v>
      </c>
      <c r="B199" s="19" t="s">
        <v>953</v>
      </c>
      <c r="C199" s="19" t="s">
        <v>1133</v>
      </c>
      <c r="D199" s="19" t="str">
        <f>HYPERLINK("http://www.henontech.com/fieldsafety/harzard/harzard_show.php?rid=2556&amp;url=harzardrecs.php","蒸汽板式换热器因堵塞杂物，维修在清理过程中一名操作工在未关闭蒸汽阀门的情况下误操作启动设备，导致维修工手臂及手部烫伤，送医检查损工半月。")</f>
        <v>蒸汽板式换热器因堵塞杂物，维修在清理过程中一名操作工在未关闭蒸汽阀门的情况下误操作启动设备，导致维修工手臂及手部烫伤，送医检查损工半月。</v>
      </c>
      <c r="E199" s="19" t="s">
        <v>1134</v>
      </c>
      <c r="F199" s="20" t="s">
        <v>42</v>
      </c>
      <c r="G199" s="22" t="s">
        <v>108</v>
      </c>
      <c r="H199" s="19" t="s">
        <v>44</v>
      </c>
      <c r="I199" s="19" t="s">
        <v>234</v>
      </c>
      <c r="J199" s="19" t="s">
        <v>410</v>
      </c>
      <c r="K199" s="19"/>
      <c r="L199" s="19"/>
      <c r="M199" s="19" t="s">
        <v>1135</v>
      </c>
      <c r="N199" s="19" t="s">
        <v>1136</v>
      </c>
      <c r="O199" s="19" t="s">
        <v>1135</v>
      </c>
      <c r="P199" s="19" t="s">
        <v>1137</v>
      </c>
      <c r="Q199" s="19" t="s">
        <v>1138</v>
      </c>
      <c r="R199" s="19" t="s">
        <v>1139</v>
      </c>
      <c r="S199" s="19" t="s">
        <v>1140</v>
      </c>
      <c r="T199" s="19" t="s">
        <v>54</v>
      </c>
      <c r="U199" s="19" t="s">
        <v>55</v>
      </c>
      <c r="V199" s="19" t="s">
        <v>56</v>
      </c>
      <c r="W199" s="19" t="s">
        <v>57</v>
      </c>
      <c r="X199" s="19" t="s">
        <v>1141</v>
      </c>
      <c r="Y199" s="19" t="s">
        <v>1141</v>
      </c>
      <c r="Z199" s="19" t="s">
        <v>1142</v>
      </c>
      <c r="AA199" s="19">
        <v>2</v>
      </c>
      <c r="AB199" s="19">
        <v>2</v>
      </c>
      <c r="AC199" s="19" t="s">
        <v>59</v>
      </c>
      <c r="AD199" s="19" t="s">
        <v>1137</v>
      </c>
      <c r="AE199" s="19" t="s">
        <v>817</v>
      </c>
      <c r="AF199" s="19" t="s">
        <v>1140</v>
      </c>
    </row>
    <row r="200" spans="1:34" customHeight="1" ht="42">
      <c r="A200" s="19">
        <v>193</v>
      </c>
      <c r="B200" s="19" t="s">
        <v>953</v>
      </c>
      <c r="C200" s="19" t="s">
        <v>526</v>
      </c>
      <c r="D200" s="19" t="str">
        <f>HYPERLINK("http://www.henontech.com/fieldsafety/harzard/harzard_show.php?rid=2557&amp;url=harzardrecs.php","煤八台阶连接处地面损坏，岗位操作工走至地面损坏处，导致左脚崴伤送医院包扎，在家休养七天！")</f>
        <v>煤八台阶连接处地面损坏，岗位操作工走至地面损坏处，导致左脚崴伤送医院包扎，在家休养七天！</v>
      </c>
      <c r="E200" s="19" t="s">
        <v>1143</v>
      </c>
      <c r="F200" s="20" t="s">
        <v>42</v>
      </c>
      <c r="G200" s="22" t="s">
        <v>108</v>
      </c>
      <c r="H200" s="19" t="s">
        <v>44</v>
      </c>
      <c r="I200" s="19" t="s">
        <v>45</v>
      </c>
      <c r="J200" s="19" t="s">
        <v>419</v>
      </c>
      <c r="K200" s="19" t="s">
        <v>84</v>
      </c>
      <c r="L200" s="19" t="s">
        <v>48</v>
      </c>
      <c r="M200" s="19" t="s">
        <v>529</v>
      </c>
      <c r="N200" s="19" t="s">
        <v>1126</v>
      </c>
      <c r="O200" s="19" t="s">
        <v>529</v>
      </c>
      <c r="P200" s="19" t="s">
        <v>1127</v>
      </c>
      <c r="Q200" s="19" t="s">
        <v>1128</v>
      </c>
      <c r="R200" s="19" t="s">
        <v>1144</v>
      </c>
      <c r="S200" s="19" t="s">
        <v>1145</v>
      </c>
      <c r="T200" s="19" t="s">
        <v>54</v>
      </c>
      <c r="U200" s="19" t="s">
        <v>69</v>
      </c>
      <c r="V200" s="19" t="s">
        <v>102</v>
      </c>
      <c r="W200" s="19" t="s">
        <v>57</v>
      </c>
      <c r="X200" s="19" t="s">
        <v>272</v>
      </c>
      <c r="Y200" s="19" t="s">
        <v>272</v>
      </c>
      <c r="Z200" s="19" t="s">
        <v>1146</v>
      </c>
      <c r="AA200" s="19">
        <v>2</v>
      </c>
      <c r="AB200" s="19">
        <v>2</v>
      </c>
      <c r="AC200" s="19" t="s">
        <v>59</v>
      </c>
      <c r="AD200" s="19" t="s">
        <v>1127</v>
      </c>
      <c r="AE200" s="19" t="s">
        <v>950</v>
      </c>
      <c r="AF200" s="19" t="s">
        <v>1147</v>
      </c>
    </row>
    <row r="201" spans="1:34">
      <c r="A201" s="19">
        <v>194</v>
      </c>
      <c r="B201" s="19" t="s">
        <v>1128</v>
      </c>
      <c r="C201" s="19" t="s">
        <v>291</v>
      </c>
      <c r="D201" s="19" t="str">
        <f>HYPERLINK("http://www.henontech.com/fieldsafety/harzard/harzard_show.php?rid=2564&amp;url=harzardrecs.php","干熄焦环境除尘二层一阶梯踏板过细.未装护栏，一人员在下行过程中，踏板开焊，人员从阶梯空隙跌落至平台，导致左腿部擦伤.左脚腕骨折，送医治疗，损工三个月。")</f>
        <v>干熄焦环境除尘二层一阶梯踏板过细.未装护栏，一人员在下行过程中，踏板开焊，人员从阶梯空隙跌落至平台，导致左腿部擦伤.左脚腕骨折，送医治疗，损工三个月。</v>
      </c>
      <c r="E201" s="19" t="s">
        <v>1033</v>
      </c>
      <c r="F201" s="20" t="s">
        <v>42</v>
      </c>
      <c r="G201" s="21" t="s">
        <v>43</v>
      </c>
      <c r="H201" s="19" t="s">
        <v>44</v>
      </c>
      <c r="I201" s="19" t="s">
        <v>45</v>
      </c>
      <c r="J201" s="19" t="s">
        <v>158</v>
      </c>
      <c r="K201" s="19" t="s">
        <v>131</v>
      </c>
      <c r="L201" s="19"/>
      <c r="M201" s="19" t="s">
        <v>111</v>
      </c>
      <c r="N201" s="19" t="s">
        <v>382</v>
      </c>
      <c r="O201" s="19" t="s">
        <v>111</v>
      </c>
      <c r="P201" s="19" t="s">
        <v>294</v>
      </c>
      <c r="Q201" s="19" t="s">
        <v>1148</v>
      </c>
      <c r="R201" s="19" t="s">
        <v>1149</v>
      </c>
      <c r="S201" s="19" t="s">
        <v>1150</v>
      </c>
      <c r="T201" s="19" t="s">
        <v>54</v>
      </c>
      <c r="U201" s="19" t="s">
        <v>55</v>
      </c>
      <c r="V201" s="19" t="s">
        <v>56</v>
      </c>
      <c r="W201" s="19" t="s">
        <v>57</v>
      </c>
      <c r="X201" s="19" t="s">
        <v>116</v>
      </c>
      <c r="Y201" s="19"/>
      <c r="Z201" s="19" t="s">
        <v>1151</v>
      </c>
      <c r="AA201" s="19">
        <v>1</v>
      </c>
      <c r="AB201" s="19">
        <v>1</v>
      </c>
      <c r="AC201" s="19" t="s">
        <v>59</v>
      </c>
      <c r="AD201" s="19" t="s">
        <v>294</v>
      </c>
      <c r="AE201" s="19" t="s">
        <v>1080</v>
      </c>
      <c r="AF201" s="19"/>
    </row>
    <row r="202" spans="1:34">
      <c r="A202" s="19">
        <v>195</v>
      </c>
      <c r="B202" s="19" t="s">
        <v>1128</v>
      </c>
      <c r="C202" s="19" t="s">
        <v>291</v>
      </c>
      <c r="D202" s="19" t="str">
        <f>HYPERLINK("http://www.henontech.com/fieldsafety/harzard/harzard_show.php?rid=2566&amp;url=harzardrecs.php","汽轮机零米1106113配电箱接地线断开，由于柜内开关漏电导致柜体外壳带电，员工在擦拭配电箱时，发生触电！经医院抢救无效死亡！")</f>
        <v>汽轮机零米1106113配电箱接地线断开，由于柜内开关漏电导致柜体外壳带电，员工在擦拭配电箱时，发生触电！经医院抢救无效死亡！</v>
      </c>
      <c r="E202" s="19" t="s">
        <v>1152</v>
      </c>
      <c r="F202" s="24" t="s">
        <v>588</v>
      </c>
      <c r="G202" s="21" t="s">
        <v>43</v>
      </c>
      <c r="H202" s="19" t="s">
        <v>44</v>
      </c>
      <c r="I202" s="19"/>
      <c r="J202" s="19" t="s">
        <v>46</v>
      </c>
      <c r="K202" s="19"/>
      <c r="L202" s="19"/>
      <c r="M202" s="19" t="s">
        <v>111</v>
      </c>
      <c r="N202" s="19" t="s">
        <v>403</v>
      </c>
      <c r="O202" s="19" t="s">
        <v>111</v>
      </c>
      <c r="P202" s="19" t="s">
        <v>294</v>
      </c>
      <c r="Q202" s="19" t="s">
        <v>1138</v>
      </c>
      <c r="R202" s="19" t="s">
        <v>404</v>
      </c>
      <c r="S202" s="19" t="s">
        <v>1153</v>
      </c>
      <c r="T202" s="19" t="s">
        <v>54</v>
      </c>
      <c r="U202" s="19" t="s">
        <v>161</v>
      </c>
      <c r="V202" s="19" t="s">
        <v>56</v>
      </c>
      <c r="W202" s="19" t="s">
        <v>103</v>
      </c>
      <c r="X202" s="19" t="s">
        <v>116</v>
      </c>
      <c r="Y202" s="19"/>
      <c r="Z202" s="19" t="s">
        <v>1154</v>
      </c>
      <c r="AA202" s="19">
        <v>1</v>
      </c>
      <c r="AB202" s="19"/>
      <c r="AC202" s="19" t="s">
        <v>594</v>
      </c>
      <c r="AD202" s="19"/>
      <c r="AE202" s="19"/>
      <c r="AF202" s="19"/>
    </row>
    <row r="203" spans="1:34">
      <c r="A203" s="19">
        <v>196</v>
      </c>
      <c r="B203" s="19" t="s">
        <v>1128</v>
      </c>
      <c r="C203" s="19" t="s">
        <v>704</v>
      </c>
      <c r="D203" s="19" t="str">
        <f>HYPERLINK("http://www.henontech.com/fieldsafety/harzard/harzard_show.php?rid=2567&amp;url=harzardrecs.php","环境除尘三层爬梯护栏处照明电缆未加防护套管，人员到环境除尘上放灰，来回踩踏电缆，造成电缆外皮破损，人员踩上后造成触电，经抢救无效死亡。")</f>
        <v>环境除尘三层爬梯护栏处照明电缆未加防护套管，人员到环境除尘上放灰，来回踩踏电缆，造成电缆外皮破损，人员踩上后造成触电，经抢救无效死亡。</v>
      </c>
      <c r="E203" s="19" t="s">
        <v>392</v>
      </c>
      <c r="F203" s="20" t="s">
        <v>42</v>
      </c>
      <c r="G203" s="21" t="s">
        <v>43</v>
      </c>
      <c r="H203" s="19" t="s">
        <v>44</v>
      </c>
      <c r="I203" s="19"/>
      <c r="J203" s="19" t="s">
        <v>46</v>
      </c>
      <c r="K203" s="19"/>
      <c r="L203" s="19"/>
      <c r="M203" s="19" t="s">
        <v>111</v>
      </c>
      <c r="N203" s="19" t="s">
        <v>728</v>
      </c>
      <c r="O203" s="19" t="s">
        <v>111</v>
      </c>
      <c r="P203" s="19" t="s">
        <v>294</v>
      </c>
      <c r="Q203" s="19" t="s">
        <v>1138</v>
      </c>
      <c r="R203" s="19" t="s">
        <v>1155</v>
      </c>
      <c r="S203" s="19" t="s">
        <v>1156</v>
      </c>
      <c r="T203" s="19" t="s">
        <v>54</v>
      </c>
      <c r="U203" s="19" t="s">
        <v>161</v>
      </c>
      <c r="V203" s="19" t="s">
        <v>56</v>
      </c>
      <c r="W203" s="19" t="s">
        <v>103</v>
      </c>
      <c r="X203" s="19" t="s">
        <v>116</v>
      </c>
      <c r="Y203" s="19"/>
      <c r="Z203" s="19" t="s">
        <v>1157</v>
      </c>
      <c r="AA203" s="19">
        <v>1</v>
      </c>
      <c r="AB203" s="19">
        <v>0</v>
      </c>
      <c r="AC203" s="19" t="s">
        <v>59</v>
      </c>
      <c r="AD203" s="19" t="s">
        <v>294</v>
      </c>
      <c r="AE203" s="19" t="s">
        <v>817</v>
      </c>
      <c r="AF203" s="19" t="s">
        <v>1158</v>
      </c>
    </row>
    <row r="204" spans="1:34">
      <c r="A204" s="19">
        <v>197</v>
      </c>
      <c r="B204" s="19" t="s">
        <v>1128</v>
      </c>
      <c r="C204" s="19" t="s">
        <v>276</v>
      </c>
      <c r="D204" s="19" t="str">
        <f>HYPERLINK("http://www.henontech.com/fieldsafety/harzard/harzard_show.php?rid=2568&amp;url=harzardrecs.php","导管疏水外排管道焊接位置不当，汽轮机开机过程中暖导管之前必须先把电动主蒸汽阀门前疏水关闭，才能开导管疏水，存在疏水积存可能，易造成管道水冲击，建议接至西侧疏水外排管道或新加装疏水管道一根。。")</f>
        <v>导管疏水外排管道焊接位置不当，汽轮机开机过程中暖导管之前必须先把电动主蒸汽阀门前疏水关闭，才能开导管疏水，存在疏水积存可能，易造成管道水冲击，建议接至西侧疏水外排管道或新加装疏水管道一根。。</v>
      </c>
      <c r="E204" s="19" t="s">
        <v>1159</v>
      </c>
      <c r="F204" s="24" t="s">
        <v>588</v>
      </c>
      <c r="G204" s="21" t="s">
        <v>43</v>
      </c>
      <c r="H204" s="19" t="s">
        <v>44</v>
      </c>
      <c r="I204" s="19" t="s">
        <v>234</v>
      </c>
      <c r="J204" s="19" t="s">
        <v>46</v>
      </c>
      <c r="K204" s="19" t="s">
        <v>131</v>
      </c>
      <c r="L204" s="19" t="s">
        <v>48</v>
      </c>
      <c r="M204" s="19" t="s">
        <v>111</v>
      </c>
      <c r="N204" s="19" t="s">
        <v>394</v>
      </c>
      <c r="O204" s="19" t="s">
        <v>111</v>
      </c>
      <c r="P204" s="19" t="s">
        <v>294</v>
      </c>
      <c r="Q204" s="19" t="s">
        <v>1148</v>
      </c>
      <c r="R204" s="19" t="s">
        <v>1160</v>
      </c>
      <c r="S204" s="19" t="s">
        <v>1161</v>
      </c>
      <c r="T204" s="19" t="s">
        <v>169</v>
      </c>
      <c r="U204" s="19" t="s">
        <v>170</v>
      </c>
      <c r="V204" s="19" t="s">
        <v>102</v>
      </c>
      <c r="W204" s="19" t="s">
        <v>71</v>
      </c>
      <c r="X204" s="19" t="s">
        <v>116</v>
      </c>
      <c r="Y204" s="19"/>
      <c r="Z204" s="19" t="s">
        <v>1162</v>
      </c>
      <c r="AA204" s="19">
        <v>1</v>
      </c>
      <c r="AB204" s="19"/>
      <c r="AC204" s="19" t="s">
        <v>594</v>
      </c>
      <c r="AD204" s="19"/>
      <c r="AE204" s="19"/>
      <c r="AF204" s="19"/>
    </row>
    <row r="205" spans="1:34">
      <c r="A205" s="19">
        <v>198</v>
      </c>
      <c r="B205" s="19" t="s">
        <v>1163</v>
      </c>
      <c r="C205" s="19" t="s">
        <v>568</v>
      </c>
      <c r="D205" s="19" t="str">
        <f>HYPERLINK("http://www.henontech.com/fieldsafety/harzard/harzard_show.php?rid=2569&amp;url=harzardrecs.php","气浮机南侧操作平台腐蚀严重，如果一名操作人员在调节开关阀门时，不慎掉入此处，造成脚踝扭伤，住院治疗损工五天。")</f>
        <v>气浮机南侧操作平台腐蚀严重，如果一名操作人员在调节开关阀门时，不慎掉入此处，造成脚踝扭伤，住院治疗损工五天。</v>
      </c>
      <c r="E205" s="19" t="s">
        <v>1164</v>
      </c>
      <c r="F205" s="20" t="s">
        <v>42</v>
      </c>
      <c r="G205" s="21" t="s">
        <v>43</v>
      </c>
      <c r="H205" s="19" t="s">
        <v>44</v>
      </c>
      <c r="I205" s="19"/>
      <c r="J205" s="19" t="s">
        <v>46</v>
      </c>
      <c r="K205" s="19" t="s">
        <v>47</v>
      </c>
      <c r="L205" s="19"/>
      <c r="M205" s="19" t="s">
        <v>49</v>
      </c>
      <c r="N205" s="19" t="s">
        <v>132</v>
      </c>
      <c r="O205" s="19" t="s">
        <v>49</v>
      </c>
      <c r="P205" s="19" t="s">
        <v>66</v>
      </c>
      <c r="Q205" s="19" t="s">
        <v>1138</v>
      </c>
      <c r="R205" s="19" t="s">
        <v>1165</v>
      </c>
      <c r="S205" s="19"/>
      <c r="T205" s="19" t="s">
        <v>54</v>
      </c>
      <c r="U205" s="19" t="s">
        <v>55</v>
      </c>
      <c r="V205" s="19" t="s">
        <v>70</v>
      </c>
      <c r="W205" s="19" t="s">
        <v>179</v>
      </c>
      <c r="X205" s="19"/>
      <c r="Y205" s="19"/>
      <c r="Z205" s="19" t="s">
        <v>1166</v>
      </c>
      <c r="AA205" s="19">
        <v>1</v>
      </c>
      <c r="AB205" s="19">
        <v>1</v>
      </c>
      <c r="AC205" s="19" t="s">
        <v>59</v>
      </c>
      <c r="AD205" s="19" t="s">
        <v>66</v>
      </c>
      <c r="AE205" s="19" t="s">
        <v>817</v>
      </c>
      <c r="AF205" s="19"/>
    </row>
    <row r="206" spans="1:34">
      <c r="A206" s="19">
        <v>199</v>
      </c>
      <c r="B206" s="19" t="s">
        <v>1163</v>
      </c>
      <c r="C206" s="19" t="s">
        <v>97</v>
      </c>
      <c r="D206" s="19" t="str">
        <f>HYPERLINK("http://www.henontech.com/fieldsafety/harzard/harzard_show.php?rid=2570&amp;url=harzardrecs.php","南风机3#初冷器二层平台处有杂物，如果一名夜班操作人员在冲洗初冷器经过此处时，因夜间视线不良被平台上杂物绊倒，造成一人右手手臂多处轻微擦伤，经简单处理后不影响正常工作。")</f>
        <v>南风机3#初冷器二层平台处有杂物，如果一名夜班操作人员在冲洗初冷器经过此处时，因夜间视线不良被平台上杂物绊倒，造成一人右手手臂多处轻微擦伤，经简单处理后不影响正常工作。</v>
      </c>
      <c r="E206" s="19" t="s">
        <v>1167</v>
      </c>
      <c r="F206" s="20" t="s">
        <v>42</v>
      </c>
      <c r="G206" s="21" t="s">
        <v>43</v>
      </c>
      <c r="H206" s="19" t="s">
        <v>44</v>
      </c>
      <c r="I206" s="19" t="s">
        <v>130</v>
      </c>
      <c r="J206" s="19" t="s">
        <v>46</v>
      </c>
      <c r="K206" s="19" t="s">
        <v>47</v>
      </c>
      <c r="L206" s="19" t="s">
        <v>48</v>
      </c>
      <c r="M206" s="19" t="s">
        <v>49</v>
      </c>
      <c r="N206" s="19" t="s">
        <v>50</v>
      </c>
      <c r="O206" s="19" t="s">
        <v>49</v>
      </c>
      <c r="P206" s="19" t="s">
        <v>66</v>
      </c>
      <c r="Q206" s="19" t="s">
        <v>1138</v>
      </c>
      <c r="R206" s="19" t="s">
        <v>1106</v>
      </c>
      <c r="S206" s="19"/>
      <c r="T206" s="19" t="s">
        <v>54</v>
      </c>
      <c r="U206" s="19" t="s">
        <v>69</v>
      </c>
      <c r="V206" s="19" t="s">
        <v>56</v>
      </c>
      <c r="W206" s="19" t="s">
        <v>179</v>
      </c>
      <c r="X206" s="19"/>
      <c r="Y206" s="19"/>
      <c r="Z206" s="19" t="s">
        <v>1168</v>
      </c>
      <c r="AA206" s="19">
        <v>1</v>
      </c>
      <c r="AB206" s="19">
        <v>1</v>
      </c>
      <c r="AC206" s="19" t="s">
        <v>59</v>
      </c>
      <c r="AD206" s="19" t="s">
        <v>66</v>
      </c>
      <c r="AE206" s="19" t="s">
        <v>1169</v>
      </c>
      <c r="AF206" s="19"/>
    </row>
    <row r="207" spans="1:34">
      <c r="A207" s="19">
        <v>200</v>
      </c>
      <c r="B207" s="19" t="s">
        <v>1163</v>
      </c>
      <c r="C207" s="19" t="s">
        <v>97</v>
      </c>
      <c r="D207" s="19" t="str">
        <f>HYPERLINK("http://www.henontech.com/fieldsafety/harzard/harzard_show.php?rid=2571&amp;url=harzardrecs.php","南风机风机房内倒链用后未复位，离地面约三米高，假设一名操作工巡检经过此处时倒链突然脱落，砸中操作工右肩部使其右肩部脱臼，送医治疗后休息三天复工。")</f>
        <v>南风机风机房内倒链用后未复位，离地面约三米高，假设一名操作工巡检经过此处时倒链突然脱落，砸中操作工右肩部使其右肩部脱臼，送医治疗后休息三天复工。</v>
      </c>
      <c r="E207" s="19" t="s">
        <v>1170</v>
      </c>
      <c r="F207" s="20" t="s">
        <v>42</v>
      </c>
      <c r="G207" s="21" t="s">
        <v>43</v>
      </c>
      <c r="H207" s="19" t="s">
        <v>44</v>
      </c>
      <c r="I207" s="19" t="s">
        <v>109</v>
      </c>
      <c r="J207" s="19" t="s">
        <v>46</v>
      </c>
      <c r="K207" s="19" t="s">
        <v>99</v>
      </c>
      <c r="L207" s="19" t="s">
        <v>48</v>
      </c>
      <c r="M207" s="19" t="s">
        <v>49</v>
      </c>
      <c r="N207" s="19" t="s">
        <v>749</v>
      </c>
      <c r="O207" s="19" t="s">
        <v>49</v>
      </c>
      <c r="P207" s="19" t="s">
        <v>66</v>
      </c>
      <c r="Q207" s="19" t="s">
        <v>1138</v>
      </c>
      <c r="R207" s="19" t="s">
        <v>1171</v>
      </c>
      <c r="S207" s="19"/>
      <c r="T207" s="19" t="s">
        <v>54</v>
      </c>
      <c r="U207" s="19" t="s">
        <v>55</v>
      </c>
      <c r="V207" s="19" t="s">
        <v>70</v>
      </c>
      <c r="W207" s="19" t="s">
        <v>179</v>
      </c>
      <c r="X207" s="19"/>
      <c r="Y207" s="19"/>
      <c r="Z207" s="19" t="s">
        <v>1172</v>
      </c>
      <c r="AA207" s="19">
        <v>1</v>
      </c>
      <c r="AB207" s="19">
        <v>1</v>
      </c>
      <c r="AC207" s="19" t="s">
        <v>59</v>
      </c>
      <c r="AD207" s="19" t="s">
        <v>66</v>
      </c>
      <c r="AE207" s="19" t="s">
        <v>1169</v>
      </c>
      <c r="AF207" s="19"/>
    </row>
    <row r="208" spans="1:34">
      <c r="A208" s="19">
        <v>201</v>
      </c>
      <c r="B208" s="19" t="s">
        <v>1163</v>
      </c>
      <c r="C208" s="19" t="s">
        <v>49</v>
      </c>
      <c r="D208" s="19" t="str">
        <f>HYPERLINK("http://www.henontech.com/fieldsafety/harzard/harzard_show.php?rid=2572&amp;url=harzardrecs.php","北班长室东侧框架上方有一未固定铝皮，如果有一操作人员巡检时，经过此处铝皮跌落划伤手部，经包扎后正常工作。")</f>
        <v>北班长室东侧框架上方有一未固定铝皮，如果有一操作人员巡检时，经过此处铝皮跌落划伤手部，经包扎后正常工作。</v>
      </c>
      <c r="E208" s="19" t="s">
        <v>1173</v>
      </c>
      <c r="F208" s="20" t="s">
        <v>42</v>
      </c>
      <c r="G208" s="21" t="s">
        <v>43</v>
      </c>
      <c r="H208" s="19" t="s">
        <v>44</v>
      </c>
      <c r="I208" s="19" t="s">
        <v>130</v>
      </c>
      <c r="J208" s="19" t="s">
        <v>46</v>
      </c>
      <c r="K208" s="19" t="s">
        <v>47</v>
      </c>
      <c r="L208" s="19" t="s">
        <v>48</v>
      </c>
      <c r="M208" s="19" t="s">
        <v>49</v>
      </c>
      <c r="N208" s="19" t="s">
        <v>1174</v>
      </c>
      <c r="O208" s="19" t="s">
        <v>49</v>
      </c>
      <c r="P208" s="19" t="s">
        <v>66</v>
      </c>
      <c r="Q208" s="19" t="s">
        <v>1138</v>
      </c>
      <c r="R208" s="19" t="s">
        <v>1175</v>
      </c>
      <c r="S208" s="19"/>
      <c r="T208" s="19" t="s">
        <v>54</v>
      </c>
      <c r="U208" s="19" t="s">
        <v>69</v>
      </c>
      <c r="V208" s="19" t="s">
        <v>56</v>
      </c>
      <c r="W208" s="19" t="s">
        <v>179</v>
      </c>
      <c r="X208" s="19"/>
      <c r="Y208" s="19"/>
      <c r="Z208" s="19" t="s">
        <v>1176</v>
      </c>
      <c r="AA208" s="19">
        <v>1</v>
      </c>
      <c r="AB208" s="19">
        <v>1</v>
      </c>
      <c r="AC208" s="19" t="s">
        <v>59</v>
      </c>
      <c r="AD208" s="19" t="s">
        <v>66</v>
      </c>
      <c r="AE208" s="19" t="s">
        <v>817</v>
      </c>
      <c r="AF208" s="19"/>
    </row>
    <row r="209" spans="1:34">
      <c r="A209" s="19">
        <v>202</v>
      </c>
      <c r="B209" s="19" t="s">
        <v>817</v>
      </c>
      <c r="C209" s="19" t="s">
        <v>1177</v>
      </c>
      <c r="D209" s="19" t="str">
        <f>HYPERLINK("http://www.henontech.com/fieldsafety/harzard/harzard_show.php?rid=2573&amp;url=harzardrecs.php","一名操作工打扫现场卫生时，地方狭窄，身体突然倾倒，护栏开裂起不到保护作用，左胳膊扭伤，住院治疗，休息三日。")</f>
        <v>一名操作工打扫现场卫生时，地方狭窄，身体突然倾倒，护栏开裂起不到保护作用，左胳膊扭伤，住院治疗，休息三日。</v>
      </c>
      <c r="E209" s="19" t="s">
        <v>1178</v>
      </c>
      <c r="F209" s="20" t="s">
        <v>42</v>
      </c>
      <c r="G209" s="21" t="s">
        <v>43</v>
      </c>
      <c r="H209" s="19" t="s">
        <v>44</v>
      </c>
      <c r="I209" s="19" t="s">
        <v>45</v>
      </c>
      <c r="J209" s="19" t="s">
        <v>46</v>
      </c>
      <c r="K209" s="19" t="s">
        <v>84</v>
      </c>
      <c r="L209" s="19" t="s">
        <v>48</v>
      </c>
      <c r="M209" s="19" t="s">
        <v>49</v>
      </c>
      <c r="N209" s="19" t="s">
        <v>1179</v>
      </c>
      <c r="O209" s="19" t="s">
        <v>49</v>
      </c>
      <c r="P209" s="19" t="s">
        <v>66</v>
      </c>
      <c r="Q209" s="19" t="s">
        <v>1138</v>
      </c>
      <c r="R209" s="19" t="s">
        <v>1180</v>
      </c>
      <c r="S209" s="19"/>
      <c r="T209" s="19" t="s">
        <v>54</v>
      </c>
      <c r="U209" s="19" t="s">
        <v>55</v>
      </c>
      <c r="V209" s="19" t="s">
        <v>70</v>
      </c>
      <c r="W209" s="19" t="s">
        <v>179</v>
      </c>
      <c r="X209" s="19"/>
      <c r="Y209" s="19"/>
      <c r="Z209" s="19" t="s">
        <v>1181</v>
      </c>
      <c r="AA209" s="19">
        <v>1</v>
      </c>
      <c r="AB209" s="19">
        <v>1</v>
      </c>
      <c r="AC209" s="19" t="s">
        <v>59</v>
      </c>
      <c r="AD209" s="19" t="s">
        <v>66</v>
      </c>
      <c r="AE209" s="19" t="s">
        <v>1169</v>
      </c>
      <c r="AF209" s="19"/>
    </row>
    <row r="210" spans="1:34">
      <c r="A210" s="19">
        <v>203</v>
      </c>
      <c r="B210" s="19" t="s">
        <v>1163</v>
      </c>
      <c r="C210" s="19" t="s">
        <v>49</v>
      </c>
      <c r="D210" s="19" t="str">
        <f>HYPERLINK("http://www.henontech.com/fieldsafety/harzard/harzard_show.php?rid=2574&amp;url=harzardrecs.php","南点名室东侧台阶处，外来施工队伍把气瓶气路随意搭放，如果一名外来施工人员去调节气瓶开关时，被气路绊倒，造成一名外来施工人员的右腿膝盖着地，送医院检查，右腿膝盖骨裂，住院治疗1个月，在家休养3个月")</f>
        <v>南点名室东侧台阶处，外来施工队伍把气瓶气路随意搭放，如果一名外来施工人员去调节气瓶开关时，被气路绊倒，造成一名外来施工人员的右腿膝盖着地，送医院检查，右腿膝盖骨裂，住院治疗1个月，在家休养3个月</v>
      </c>
      <c r="E210" s="19" t="s">
        <v>1182</v>
      </c>
      <c r="F210" s="20" t="s">
        <v>42</v>
      </c>
      <c r="G210" s="21" t="s">
        <v>43</v>
      </c>
      <c r="H210" s="19" t="s">
        <v>44</v>
      </c>
      <c r="I210" s="19"/>
      <c r="J210" s="19"/>
      <c r="K210" s="19" t="s">
        <v>47</v>
      </c>
      <c r="L210" s="19" t="s">
        <v>48</v>
      </c>
      <c r="M210" s="19" t="s">
        <v>49</v>
      </c>
      <c r="N210" s="19" t="s">
        <v>159</v>
      </c>
      <c r="O210" s="19" t="s">
        <v>49</v>
      </c>
      <c r="P210" s="19" t="s">
        <v>66</v>
      </c>
      <c r="Q210" s="19" t="s">
        <v>1138</v>
      </c>
      <c r="R210" s="19" t="s">
        <v>1183</v>
      </c>
      <c r="S210" s="19"/>
      <c r="T210" s="19" t="s">
        <v>54</v>
      </c>
      <c r="U210" s="19" t="s">
        <v>55</v>
      </c>
      <c r="V210" s="19" t="s">
        <v>70</v>
      </c>
      <c r="W210" s="19" t="s">
        <v>179</v>
      </c>
      <c r="X210" s="19"/>
      <c r="Y210" s="19"/>
      <c r="Z210" s="19" t="s">
        <v>1184</v>
      </c>
      <c r="AA210" s="19">
        <v>1</v>
      </c>
      <c r="AB210" s="19">
        <v>1</v>
      </c>
      <c r="AC210" s="19" t="s">
        <v>59</v>
      </c>
      <c r="AD210" s="19" t="s">
        <v>66</v>
      </c>
      <c r="AE210" s="19" t="s">
        <v>817</v>
      </c>
      <c r="AF210" s="19"/>
    </row>
    <row r="211" spans="1:34">
      <c r="A211" s="19">
        <v>204</v>
      </c>
      <c r="B211" s="19" t="s">
        <v>1163</v>
      </c>
      <c r="C211" s="19" t="s">
        <v>947</v>
      </c>
      <c r="D211" s="19" t="str">
        <f>HYPERLINK("http://www.henontech.com/fieldsafety/harzard/harzard_show.php?rid=2575&amp;url=harzardrecs.php","西硫铵岗位日常巡检时发现西备用饱和器大母液泵出口反冲管泄露母液，如果发现不及时，东饱和器无法使用需切换西备用饱和器时，可能会造成大母液泵出口反冲管泄露大量母液腐蚀地面，造成环保事故")</f>
        <v>西硫铵岗位日常巡检时发现西备用饱和器大母液泵出口反冲管泄露母液，如果发现不及时，东饱和器无法使用需切换西备用饱和器时，可能会造成大母液泵出口反冲管泄露大量母液腐蚀地面，造成环保事故</v>
      </c>
      <c r="E211" s="19" t="s">
        <v>1185</v>
      </c>
      <c r="F211" s="20" t="s">
        <v>42</v>
      </c>
      <c r="G211" s="21" t="s">
        <v>43</v>
      </c>
      <c r="H211" s="19" t="s">
        <v>44</v>
      </c>
      <c r="I211" s="19" t="s">
        <v>130</v>
      </c>
      <c r="J211" s="19" t="s">
        <v>46</v>
      </c>
      <c r="K211" s="19" t="s">
        <v>84</v>
      </c>
      <c r="L211" s="19" t="s">
        <v>48</v>
      </c>
      <c r="M211" s="19" t="s">
        <v>49</v>
      </c>
      <c r="N211" s="19" t="s">
        <v>1186</v>
      </c>
      <c r="O211" s="19" t="s">
        <v>49</v>
      </c>
      <c r="P211" s="19" t="s">
        <v>66</v>
      </c>
      <c r="Q211" s="19" t="s">
        <v>1138</v>
      </c>
      <c r="R211" s="19" t="s">
        <v>259</v>
      </c>
      <c r="S211" s="19"/>
      <c r="T211" s="19" t="s">
        <v>94</v>
      </c>
      <c r="U211" s="19" t="s">
        <v>170</v>
      </c>
      <c r="V211" s="19" t="s">
        <v>56</v>
      </c>
      <c r="W211" s="19" t="s">
        <v>71</v>
      </c>
      <c r="X211" s="19"/>
      <c r="Y211" s="19"/>
      <c r="Z211" s="19" t="s">
        <v>1187</v>
      </c>
      <c r="AA211" s="19">
        <v>1</v>
      </c>
      <c r="AB211" s="19">
        <v>1</v>
      </c>
      <c r="AC211" s="19" t="s">
        <v>59</v>
      </c>
      <c r="AD211" s="19" t="s">
        <v>66</v>
      </c>
      <c r="AE211" s="19" t="s">
        <v>1188</v>
      </c>
      <c r="AF211" s="19"/>
    </row>
    <row r="212" spans="1:34">
      <c r="A212" s="19">
        <v>205</v>
      </c>
      <c r="B212" s="19" t="s">
        <v>817</v>
      </c>
      <c r="C212" s="19" t="s">
        <v>1189</v>
      </c>
      <c r="D212" s="19" t="str">
        <f>HYPERLINK("http://www.henontech.com/fieldsafety/harzard/harzard_show.php?rid=2576&amp;url=harzardrecs.php","一员工在下爬梯时，未扶两侧扶手，滑落后造成身体多处受伤，送医确诊均为皮下软组织受伤。在家休养一天后复工。")</f>
        <v>一员工在下爬梯时，未扶两侧扶手，滑落后造成身体多处受伤，送医确诊均为皮下软组织受伤。在家休养一天后复工。</v>
      </c>
      <c r="E212" s="19" t="s">
        <v>1190</v>
      </c>
      <c r="F212" s="20" t="s">
        <v>42</v>
      </c>
      <c r="G212" s="22" t="s">
        <v>108</v>
      </c>
      <c r="H212" s="19" t="s">
        <v>278</v>
      </c>
      <c r="I212" s="19" t="s">
        <v>109</v>
      </c>
      <c r="J212" s="19" t="s">
        <v>381</v>
      </c>
      <c r="K212" s="19" t="s">
        <v>47</v>
      </c>
      <c r="L212" s="19" t="s">
        <v>48</v>
      </c>
      <c r="M212" s="19" t="s">
        <v>529</v>
      </c>
      <c r="N212" s="19" t="s">
        <v>920</v>
      </c>
      <c r="O212" s="19" t="s">
        <v>529</v>
      </c>
      <c r="P212" s="19" t="s">
        <v>920</v>
      </c>
      <c r="Q212" s="19" t="s">
        <v>1169</v>
      </c>
      <c r="R212" s="19" t="s">
        <v>1191</v>
      </c>
      <c r="S212" s="19"/>
      <c r="T212" s="19" t="s">
        <v>54</v>
      </c>
      <c r="U212" s="19" t="s">
        <v>69</v>
      </c>
      <c r="V212" s="19" t="s">
        <v>102</v>
      </c>
      <c r="W212" s="19" t="s">
        <v>57</v>
      </c>
      <c r="X212" s="19"/>
      <c r="Y212" s="19"/>
      <c r="Z212" s="19" t="s">
        <v>1192</v>
      </c>
      <c r="AA212" s="19">
        <v>1</v>
      </c>
      <c r="AB212" s="19">
        <v>1</v>
      </c>
      <c r="AC212" s="19" t="s">
        <v>59</v>
      </c>
      <c r="AD212" s="19" t="s">
        <v>920</v>
      </c>
      <c r="AE212" s="19" t="s">
        <v>1169</v>
      </c>
      <c r="AF212" s="19"/>
    </row>
    <row r="213" spans="1:34">
      <c r="A213" s="19">
        <v>206</v>
      </c>
      <c r="B213" s="19" t="s">
        <v>817</v>
      </c>
      <c r="C213" s="19" t="s">
        <v>165</v>
      </c>
      <c r="D213" s="19" t="str">
        <f>HYPERLINK("http://www.henontech.com/fieldsafety/harzard/harzard_show.php?rid=2577&amp;url=harzardrecs.php","MVR冷凝液泵联轴器处无防护罩，如果一操作工在擦拭设备时，下慎造成左手擦伤，去医务室色扎后下影响正常工作。")</f>
        <v>MVR冷凝液泵联轴器处无防护罩，如果一操作工在擦拭设备时，下慎造成左手擦伤，去医务室色扎后下影响正常工作。</v>
      </c>
      <c r="E213" s="19" t="s">
        <v>1193</v>
      </c>
      <c r="F213" s="20" t="s">
        <v>42</v>
      </c>
      <c r="G213" s="21" t="s">
        <v>43</v>
      </c>
      <c r="H213" s="19" t="s">
        <v>44</v>
      </c>
      <c r="I213" s="19"/>
      <c r="J213" s="19" t="s">
        <v>46</v>
      </c>
      <c r="K213" s="19"/>
      <c r="L213" s="19"/>
      <c r="M213" s="19" t="s">
        <v>49</v>
      </c>
      <c r="N213" s="19" t="s">
        <v>1194</v>
      </c>
      <c r="O213" s="19" t="s">
        <v>49</v>
      </c>
      <c r="P213" s="19" t="s">
        <v>66</v>
      </c>
      <c r="Q213" s="19" t="s">
        <v>1138</v>
      </c>
      <c r="R213" s="19" t="s">
        <v>49</v>
      </c>
      <c r="S213" s="19"/>
      <c r="T213" s="19" t="s">
        <v>54</v>
      </c>
      <c r="U213" s="19" t="s">
        <v>69</v>
      </c>
      <c r="V213" s="19" t="s">
        <v>56</v>
      </c>
      <c r="W213" s="19" t="s">
        <v>179</v>
      </c>
      <c r="X213" s="19"/>
      <c r="Y213" s="19"/>
      <c r="Z213" s="19" t="s">
        <v>1195</v>
      </c>
      <c r="AA213" s="19">
        <v>1</v>
      </c>
      <c r="AB213" s="19">
        <v>1</v>
      </c>
      <c r="AC213" s="19" t="s">
        <v>59</v>
      </c>
      <c r="AD213" s="19" t="s">
        <v>66</v>
      </c>
      <c r="AE213" s="19" t="s">
        <v>1169</v>
      </c>
      <c r="AF213" s="19"/>
    </row>
    <row r="214" spans="1:34">
      <c r="A214" s="19">
        <v>207</v>
      </c>
      <c r="B214" s="19" t="s">
        <v>817</v>
      </c>
      <c r="C214" s="19" t="s">
        <v>276</v>
      </c>
      <c r="D214" s="19" t="str">
        <f>HYPERLINK("http://www.henontech.com/fieldsafety/harzard/harzard_show.php?rid=2578&amp;url=harzardrecs.php","汽轮机零米射水箱与溢流箱联通管道未设置照明，视线不良，中夜班巡检人员到此巡检热水井液位时，不慎被联通管道绊倒，膝盖手腕擦伤，损工一天")</f>
        <v>汽轮机零米射水箱与溢流箱联通管道未设置照明，视线不良，中夜班巡检人员到此巡检热水井液位时，不慎被联通管道绊倒，膝盖手腕擦伤，损工一天</v>
      </c>
      <c r="E214" s="19" t="s">
        <v>1196</v>
      </c>
      <c r="F214" s="24" t="s">
        <v>588</v>
      </c>
      <c r="G214" s="21" t="s">
        <v>43</v>
      </c>
      <c r="H214" s="19" t="s">
        <v>44</v>
      </c>
      <c r="I214" s="19" t="s">
        <v>130</v>
      </c>
      <c r="J214" s="19"/>
      <c r="K214" s="19" t="s">
        <v>99</v>
      </c>
      <c r="L214" s="19"/>
      <c r="M214" s="19" t="s">
        <v>111</v>
      </c>
      <c r="N214" s="19" t="s">
        <v>723</v>
      </c>
      <c r="O214" s="19" t="s">
        <v>111</v>
      </c>
      <c r="P214" s="19" t="s">
        <v>294</v>
      </c>
      <c r="Q214" s="19" t="s">
        <v>1138</v>
      </c>
      <c r="R214" s="19" t="s">
        <v>404</v>
      </c>
      <c r="S214" s="19" t="s">
        <v>1197</v>
      </c>
      <c r="T214" s="19" t="s">
        <v>54</v>
      </c>
      <c r="U214" s="19" t="s">
        <v>55</v>
      </c>
      <c r="V214" s="19" t="s">
        <v>56</v>
      </c>
      <c r="W214" s="19" t="s">
        <v>57</v>
      </c>
      <c r="X214" s="19" t="s">
        <v>1198</v>
      </c>
      <c r="Y214" s="19"/>
      <c r="Z214" s="19" t="s">
        <v>1199</v>
      </c>
      <c r="AA214" s="19">
        <v>1</v>
      </c>
      <c r="AB214" s="19"/>
      <c r="AC214" s="19" t="s">
        <v>594</v>
      </c>
      <c r="AD214" s="19"/>
      <c r="AE214" s="19"/>
      <c r="AF214" s="19"/>
    </row>
    <row r="215" spans="1:34">
      <c r="A215" s="19">
        <v>208</v>
      </c>
      <c r="B215" s="19" t="s">
        <v>817</v>
      </c>
      <c r="C215" s="19" t="s">
        <v>276</v>
      </c>
      <c r="D215" s="19" t="str">
        <f>HYPERLINK("http://www.henontech.com/fieldsafety/harzard/harzard_show.php?rid=2579&amp;url=harzardrecs.php","汽轮机七米照明不良，一巡检工在巡检时，视线不好，不慎被铁板绊倒，膝盖擦伤，送医务室治疗")</f>
        <v>汽轮机七米照明不良，一巡检工在巡检时，视线不好，不慎被铁板绊倒，膝盖擦伤，送医务室治疗</v>
      </c>
      <c r="E215" s="19" t="s">
        <v>1200</v>
      </c>
      <c r="F215" s="24" t="s">
        <v>588</v>
      </c>
      <c r="G215" s="21" t="s">
        <v>43</v>
      </c>
      <c r="H215" s="19" t="s">
        <v>44</v>
      </c>
      <c r="I215" s="19" t="s">
        <v>130</v>
      </c>
      <c r="J215" s="19" t="s">
        <v>46</v>
      </c>
      <c r="K215" s="19" t="s">
        <v>99</v>
      </c>
      <c r="L215" s="19"/>
      <c r="M215" s="19" t="s">
        <v>111</v>
      </c>
      <c r="N215" s="19" t="s">
        <v>443</v>
      </c>
      <c r="O215" s="19" t="s">
        <v>111</v>
      </c>
      <c r="P215" s="19" t="s">
        <v>294</v>
      </c>
      <c r="Q215" s="19" t="s">
        <v>1148</v>
      </c>
      <c r="R215" s="19" t="s">
        <v>1201</v>
      </c>
      <c r="S215" s="19" t="s">
        <v>1202</v>
      </c>
      <c r="T215" s="19" t="s">
        <v>54</v>
      </c>
      <c r="U215" s="19" t="s">
        <v>69</v>
      </c>
      <c r="V215" s="19" t="s">
        <v>56</v>
      </c>
      <c r="W215" s="19" t="s">
        <v>179</v>
      </c>
      <c r="X215" s="19" t="s">
        <v>116</v>
      </c>
      <c r="Y215" s="19"/>
      <c r="Z215" s="19" t="s">
        <v>1199</v>
      </c>
      <c r="AA215" s="19">
        <v>1</v>
      </c>
      <c r="AB215" s="19"/>
      <c r="AC215" s="19" t="s">
        <v>594</v>
      </c>
      <c r="AD215" s="19"/>
      <c r="AE215" s="19"/>
      <c r="AF215" s="19"/>
    </row>
    <row r="216" spans="1:34">
      <c r="A216" s="19">
        <v>209</v>
      </c>
      <c r="B216" s="19" t="s">
        <v>817</v>
      </c>
      <c r="C216" s="19" t="s">
        <v>1102</v>
      </c>
      <c r="D216" s="19" t="str">
        <f>HYPERLINK("http://www.henontech.com/fieldsafety/harzard/harzard_show.php?rid=2580&amp;url=harzardrecs.php","三号初冷器下液管蒸汽吹扫阀门盘根泄露，一名操作工在进行下液管吹扫过程中，由于个人防护不到位有可能会造成手部烫伤，去医务室处理后，不影响工作")</f>
        <v>三号初冷器下液管蒸汽吹扫阀门盘根泄露，一名操作工在进行下液管吹扫过程中，由于个人防护不到位有可能会造成手部烫伤，去医务室处理后，不影响工作</v>
      </c>
      <c r="E216" s="19" t="s">
        <v>1203</v>
      </c>
      <c r="F216" s="20" t="s">
        <v>42</v>
      </c>
      <c r="G216" s="21" t="s">
        <v>43</v>
      </c>
      <c r="H216" s="19" t="s">
        <v>44</v>
      </c>
      <c r="I216" s="19" t="s">
        <v>45</v>
      </c>
      <c r="J216" s="19" t="s">
        <v>46</v>
      </c>
      <c r="K216" s="19" t="s">
        <v>47</v>
      </c>
      <c r="L216" s="19"/>
      <c r="M216" s="19" t="s">
        <v>49</v>
      </c>
      <c r="N216" s="19" t="s">
        <v>1204</v>
      </c>
      <c r="O216" s="19" t="s">
        <v>49</v>
      </c>
      <c r="P216" s="19" t="s">
        <v>66</v>
      </c>
      <c r="Q216" s="19" t="s">
        <v>1138</v>
      </c>
      <c r="R216" s="19" t="s">
        <v>1205</v>
      </c>
      <c r="S216" s="19"/>
      <c r="T216" s="19" t="s">
        <v>54</v>
      </c>
      <c r="U216" s="19" t="s">
        <v>69</v>
      </c>
      <c r="V216" s="19" t="s">
        <v>70</v>
      </c>
      <c r="W216" s="19" t="s">
        <v>71</v>
      </c>
      <c r="X216" s="19"/>
      <c r="Y216" s="19"/>
      <c r="Z216" s="19" t="s">
        <v>1206</v>
      </c>
      <c r="AA216" s="19">
        <v>1</v>
      </c>
      <c r="AB216" s="19">
        <v>1</v>
      </c>
      <c r="AC216" s="19" t="s">
        <v>59</v>
      </c>
      <c r="AD216" s="19" t="s">
        <v>66</v>
      </c>
      <c r="AE216" s="19" t="s">
        <v>1207</v>
      </c>
      <c r="AF216" s="19"/>
    </row>
    <row r="217" spans="1:34">
      <c r="A217" s="19">
        <v>210</v>
      </c>
      <c r="B217" s="19" t="s">
        <v>817</v>
      </c>
      <c r="C217" s="19" t="s">
        <v>474</v>
      </c>
      <c r="D217" s="19" t="str">
        <f>HYPERLINK("http://www.henontech.com/fieldsafety/harzard/harzard_show.php?rid=2581&amp;url=harzardrecs.php","除盐水站中控室南侧电缆套管脱落，一员工巡检中经过此处，铁皮套管锈蚀脱落砸中员工右侧肩膀及胳膊，送医检查多处均为皮外伤，未影响工作")</f>
        <v>除盐水站中控室南侧电缆套管脱落，一员工巡检中经过此处，铁皮套管锈蚀脱落砸中员工右侧肩膀及胳膊，送医检查多处均为皮外伤，未影响工作</v>
      </c>
      <c r="E217" s="19" t="s">
        <v>1208</v>
      </c>
      <c r="F217" s="24" t="s">
        <v>588</v>
      </c>
      <c r="G217" s="21" t="s">
        <v>43</v>
      </c>
      <c r="H217" s="19" t="s">
        <v>44</v>
      </c>
      <c r="I217" s="19"/>
      <c r="J217" s="19" t="s">
        <v>381</v>
      </c>
      <c r="K217" s="19" t="s">
        <v>99</v>
      </c>
      <c r="L217" s="19" t="s">
        <v>48</v>
      </c>
      <c r="M217" s="19" t="s">
        <v>111</v>
      </c>
      <c r="N217" s="19" t="s">
        <v>821</v>
      </c>
      <c r="O217" s="19" t="s">
        <v>111</v>
      </c>
      <c r="P217" s="19" t="s">
        <v>294</v>
      </c>
      <c r="Q217" s="19" t="s">
        <v>1138</v>
      </c>
      <c r="R217" s="19" t="s">
        <v>1209</v>
      </c>
      <c r="S217" s="19" t="s">
        <v>1210</v>
      </c>
      <c r="T217" s="19" t="s">
        <v>54</v>
      </c>
      <c r="U217" s="19" t="s">
        <v>69</v>
      </c>
      <c r="V217" s="19" t="s">
        <v>56</v>
      </c>
      <c r="W217" s="19" t="s">
        <v>179</v>
      </c>
      <c r="X217" s="19" t="s">
        <v>116</v>
      </c>
      <c r="Y217" s="19"/>
      <c r="Z217" s="19" t="s">
        <v>1211</v>
      </c>
      <c r="AA217" s="19">
        <v>1</v>
      </c>
      <c r="AB217" s="19"/>
      <c r="AC217" s="19" t="s">
        <v>594</v>
      </c>
      <c r="AD217" s="19"/>
      <c r="AE217" s="19"/>
      <c r="AF217" s="19"/>
    </row>
    <row r="218" spans="1:34">
      <c r="A218" s="19">
        <v>211</v>
      </c>
      <c r="B218" s="19" t="s">
        <v>817</v>
      </c>
      <c r="C218" s="19" t="s">
        <v>935</v>
      </c>
      <c r="D218" s="19" t="str">
        <f>HYPERLINK("http://www.henontech.com/fieldsafety/harzard/harzard_show.php?rid=2583&amp;url=harzardrecs.php","东硫铵楼顶护栏腐蚀严重，部分断裂，遇大风天气，可能会坠落，如若有人员恰巧经过，被高空坠物砸中头部，造成一人死亡！")</f>
        <v>东硫铵楼顶护栏腐蚀严重，部分断裂，遇大风天气，可能会坠落，如若有人员恰巧经过，被高空坠物砸中头部，造成一人死亡！</v>
      </c>
      <c r="E218" s="19" t="s">
        <v>1212</v>
      </c>
      <c r="F218" s="20" t="s">
        <v>42</v>
      </c>
      <c r="G218" s="21" t="s">
        <v>43</v>
      </c>
      <c r="H218" s="19" t="s">
        <v>44</v>
      </c>
      <c r="I218" s="19" t="s">
        <v>45</v>
      </c>
      <c r="J218" s="19" t="s">
        <v>158</v>
      </c>
      <c r="K218" s="19" t="s">
        <v>84</v>
      </c>
      <c r="L218" s="19" t="s">
        <v>48</v>
      </c>
      <c r="M218" s="19" t="s">
        <v>49</v>
      </c>
      <c r="N218" s="19" t="s">
        <v>1213</v>
      </c>
      <c r="O218" s="19" t="s">
        <v>49</v>
      </c>
      <c r="P218" s="19" t="s">
        <v>66</v>
      </c>
      <c r="Q218" s="19" t="s">
        <v>1138</v>
      </c>
      <c r="R218" s="19" t="s">
        <v>1214</v>
      </c>
      <c r="S218" s="19"/>
      <c r="T218" s="19" t="s">
        <v>54</v>
      </c>
      <c r="U218" s="19" t="s">
        <v>161</v>
      </c>
      <c r="V218" s="19" t="s">
        <v>70</v>
      </c>
      <c r="W218" s="19" t="s">
        <v>57</v>
      </c>
      <c r="X218" s="19"/>
      <c r="Y218" s="19"/>
      <c r="Z218" s="19" t="s">
        <v>1215</v>
      </c>
      <c r="AA218" s="19">
        <v>1</v>
      </c>
      <c r="AB218" s="19">
        <v>1</v>
      </c>
      <c r="AC218" s="19" t="s">
        <v>59</v>
      </c>
      <c r="AD218" s="19" t="s">
        <v>66</v>
      </c>
      <c r="AE218" s="19" t="s">
        <v>817</v>
      </c>
      <c r="AF218" s="19"/>
    </row>
    <row r="219" spans="1:34">
      <c r="A219" s="19">
        <v>212</v>
      </c>
      <c r="B219" s="19" t="s">
        <v>817</v>
      </c>
      <c r="C219" s="19" t="s">
        <v>259</v>
      </c>
      <c r="D219" s="19" t="str">
        <f>HYPERLINK("http://www.henontech.com/fieldsafety/harzard/harzard_show.php?rid=2584&amp;url=harzardrecs.php","四楼结晶槽进口管道腐蚀漏液，假如一操作人员在三楼出料时母液滴入眼睛里，造成灼伤眼球，住院治疗三天出院，造成一人损工事故。")</f>
        <v>四楼结晶槽进口管道腐蚀漏液，假如一操作人员在三楼出料时母液滴入眼睛里，造成灼伤眼球，住院治疗三天出院，造成一人损工事故。</v>
      </c>
      <c r="E219" s="19" t="s">
        <v>1216</v>
      </c>
      <c r="F219" s="20" t="s">
        <v>42</v>
      </c>
      <c r="G219" s="21" t="s">
        <v>43</v>
      </c>
      <c r="H219" s="19" t="s">
        <v>44</v>
      </c>
      <c r="I219" s="19" t="s">
        <v>45</v>
      </c>
      <c r="J219" s="19" t="s">
        <v>1217</v>
      </c>
      <c r="K219" s="19" t="s">
        <v>99</v>
      </c>
      <c r="L219" s="19" t="s">
        <v>48</v>
      </c>
      <c r="M219" s="19" t="s">
        <v>49</v>
      </c>
      <c r="N219" s="19" t="s">
        <v>1218</v>
      </c>
      <c r="O219" s="19" t="s">
        <v>49</v>
      </c>
      <c r="P219" s="19" t="s">
        <v>66</v>
      </c>
      <c r="Q219" s="19" t="s">
        <v>1138</v>
      </c>
      <c r="R219" s="19" t="s">
        <v>1219</v>
      </c>
      <c r="S219" s="19"/>
      <c r="T219" s="19" t="s">
        <v>54</v>
      </c>
      <c r="U219" s="19" t="s">
        <v>55</v>
      </c>
      <c r="V219" s="19" t="s">
        <v>56</v>
      </c>
      <c r="W219" s="19" t="s">
        <v>57</v>
      </c>
      <c r="X219" s="19"/>
      <c r="Y219" s="19"/>
      <c r="Z219" s="19" t="s">
        <v>1220</v>
      </c>
      <c r="AA219" s="19">
        <v>1</v>
      </c>
      <c r="AB219" s="19">
        <v>1</v>
      </c>
      <c r="AC219" s="19" t="s">
        <v>59</v>
      </c>
      <c r="AD219" s="19" t="s">
        <v>66</v>
      </c>
      <c r="AE219" s="19" t="s">
        <v>817</v>
      </c>
      <c r="AF219" s="19"/>
    </row>
    <row r="220" spans="1:34">
      <c r="A220" s="19">
        <v>213</v>
      </c>
      <c r="B220" s="19" t="s">
        <v>817</v>
      </c>
      <c r="C220" s="19" t="s">
        <v>97</v>
      </c>
      <c r="D220" s="19" t="str">
        <f>HYPERLINK("http://www.henontech.com/fieldsafety/harzard/harzard_show.php?rid=2585&amp;url=harzardrecs.php","南风机电捕水封槽棚顶有杂物，如果一名操作工在巡检时，从棚底经过，棚顶杂物坠落，造成操作人员面部划伤，去医务室简单包扎，包扎后正常上班。")</f>
        <v>南风机电捕水封槽棚顶有杂物，如果一名操作工在巡检时，从棚底经过，棚顶杂物坠落，造成操作人员面部划伤，去医务室简单包扎，包扎后正常上班。</v>
      </c>
      <c r="E220" s="19" t="s">
        <v>1221</v>
      </c>
      <c r="F220" s="20" t="s">
        <v>42</v>
      </c>
      <c r="G220" s="21" t="s">
        <v>43</v>
      </c>
      <c r="H220" s="19" t="s">
        <v>44</v>
      </c>
      <c r="I220" s="19" t="s">
        <v>109</v>
      </c>
      <c r="J220" s="19" t="s">
        <v>419</v>
      </c>
      <c r="K220" s="19" t="s">
        <v>84</v>
      </c>
      <c r="L220" s="19" t="s">
        <v>48</v>
      </c>
      <c r="M220" s="19" t="s">
        <v>49</v>
      </c>
      <c r="N220" s="19" t="s">
        <v>1222</v>
      </c>
      <c r="O220" s="19" t="s">
        <v>49</v>
      </c>
      <c r="P220" s="19" t="s">
        <v>66</v>
      </c>
      <c r="Q220" s="19" t="s">
        <v>1138</v>
      </c>
      <c r="R220" s="19" t="s">
        <v>1223</v>
      </c>
      <c r="S220" s="19"/>
      <c r="T220" s="19" t="s">
        <v>54</v>
      </c>
      <c r="U220" s="19" t="s">
        <v>69</v>
      </c>
      <c r="V220" s="19" t="s">
        <v>56</v>
      </c>
      <c r="W220" s="19" t="s">
        <v>179</v>
      </c>
      <c r="X220" s="19"/>
      <c r="Y220" s="19"/>
      <c r="Z220" s="19" t="s">
        <v>1168</v>
      </c>
      <c r="AA220" s="19">
        <v>1</v>
      </c>
      <c r="AB220" s="19">
        <v>1</v>
      </c>
      <c r="AC220" s="19" t="s">
        <v>59</v>
      </c>
      <c r="AD220" s="19" t="s">
        <v>66</v>
      </c>
      <c r="AE220" s="19" t="s">
        <v>1169</v>
      </c>
      <c r="AF220" s="19"/>
    </row>
    <row r="221" spans="1:34">
      <c r="A221" s="19">
        <v>214</v>
      </c>
      <c r="B221" s="19" t="s">
        <v>817</v>
      </c>
      <c r="C221" s="19" t="s">
        <v>128</v>
      </c>
      <c r="D221" s="19" t="str">
        <f>HYPERLINK("http://www.henontech.com/fieldsafety/harzard/harzard_show.php?rid=2586&amp;url=harzardrecs.php","北脱硫冷凝液低位槽平台腐蚀，如果操作人员巡检时经过此处会造成平台小面积塌陷，可能会造成小腿擦伤，去医务室包扎后复工。")</f>
        <v>北脱硫冷凝液低位槽平台腐蚀，如果操作人员巡检时经过此处会造成平台小面积塌陷，可能会造成小腿擦伤，去医务室包扎后复工。</v>
      </c>
      <c r="E221" s="19" t="s">
        <v>1224</v>
      </c>
      <c r="F221" s="20" t="s">
        <v>42</v>
      </c>
      <c r="G221" s="21" t="s">
        <v>43</v>
      </c>
      <c r="H221" s="19" t="s">
        <v>44</v>
      </c>
      <c r="I221" s="19" t="s">
        <v>130</v>
      </c>
      <c r="J221" s="19" t="s">
        <v>46</v>
      </c>
      <c r="K221" s="19" t="s">
        <v>47</v>
      </c>
      <c r="L221" s="19"/>
      <c r="M221" s="19" t="s">
        <v>49</v>
      </c>
      <c r="N221" s="19" t="s">
        <v>1225</v>
      </c>
      <c r="O221" s="19" t="s">
        <v>49</v>
      </c>
      <c r="P221" s="19" t="s">
        <v>66</v>
      </c>
      <c r="Q221" s="19" t="s">
        <v>1138</v>
      </c>
      <c r="R221" s="19" t="s">
        <v>1226</v>
      </c>
      <c r="S221" s="19"/>
      <c r="T221" s="19" t="s">
        <v>54</v>
      </c>
      <c r="U221" s="19" t="s">
        <v>69</v>
      </c>
      <c r="V221" s="19" t="s">
        <v>56</v>
      </c>
      <c r="W221" s="19" t="s">
        <v>179</v>
      </c>
      <c r="X221" s="19"/>
      <c r="Y221" s="19"/>
      <c r="Z221" s="19" t="s">
        <v>1227</v>
      </c>
      <c r="AA221" s="19">
        <v>1</v>
      </c>
      <c r="AB221" s="19">
        <v>1</v>
      </c>
      <c r="AC221" s="19" t="s">
        <v>59</v>
      </c>
      <c r="AD221" s="19" t="s">
        <v>66</v>
      </c>
      <c r="AE221" s="19" t="s">
        <v>1169</v>
      </c>
      <c r="AF221" s="19"/>
    </row>
    <row r="222" spans="1:34">
      <c r="A222" s="19">
        <v>215</v>
      </c>
      <c r="B222" s="19" t="s">
        <v>817</v>
      </c>
      <c r="C222" s="19" t="s">
        <v>1228</v>
      </c>
      <c r="D222" s="19" t="str">
        <f>HYPERLINK("http://www.henontech.com/fieldsafety/harzard/harzard_show.php?rid=2588&amp;url=harzardrecs.php","操作工在巡检时发现纳滤间盐碱泵机封泄漏，因操作工在巡检过程中没有仔细勘察清楚，造成盐碱泄漏大约一桶，之后用大量流动清水冲刷、晾干，地面轻微腐蚀。")</f>
        <v>操作工在巡检时发现纳滤间盐碱泵机封泄漏，因操作工在巡检过程中没有仔细勘察清楚，造成盐碱泄漏大约一桶，之后用大量流动清水冲刷、晾干，地面轻微腐蚀。</v>
      </c>
      <c r="E222" s="19" t="s">
        <v>1229</v>
      </c>
      <c r="F222" s="20" t="s">
        <v>42</v>
      </c>
      <c r="G222" s="21" t="s">
        <v>43</v>
      </c>
      <c r="H222" s="19" t="s">
        <v>44</v>
      </c>
      <c r="I222" s="19" t="s">
        <v>45</v>
      </c>
      <c r="J222" s="19" t="s">
        <v>46</v>
      </c>
      <c r="K222" s="19" t="s">
        <v>99</v>
      </c>
      <c r="L222" s="19" t="s">
        <v>48</v>
      </c>
      <c r="M222" s="19" t="s">
        <v>1135</v>
      </c>
      <c r="N222" s="19" t="s">
        <v>1230</v>
      </c>
      <c r="O222" s="19" t="s">
        <v>1135</v>
      </c>
      <c r="P222" s="19" t="s">
        <v>1137</v>
      </c>
      <c r="Q222" s="19" t="s">
        <v>1138</v>
      </c>
      <c r="R222" s="19" t="s">
        <v>1231</v>
      </c>
      <c r="S222" s="19"/>
      <c r="T222" s="19" t="s">
        <v>94</v>
      </c>
      <c r="U222" s="19" t="s">
        <v>170</v>
      </c>
      <c r="V222" s="19" t="s">
        <v>56</v>
      </c>
      <c r="W222" s="19" t="s">
        <v>71</v>
      </c>
      <c r="X222" s="19" t="s">
        <v>116</v>
      </c>
      <c r="Y222" s="19" t="s">
        <v>116</v>
      </c>
      <c r="Z222" s="19" t="s">
        <v>1232</v>
      </c>
      <c r="AA222" s="19">
        <v>1</v>
      </c>
      <c r="AB222" s="19">
        <v>1</v>
      </c>
      <c r="AC222" s="19" t="s">
        <v>59</v>
      </c>
      <c r="AD222" s="19" t="s">
        <v>1137</v>
      </c>
      <c r="AE222" s="19" t="s">
        <v>817</v>
      </c>
      <c r="AF222" s="19" t="s">
        <v>1233</v>
      </c>
    </row>
    <row r="223" spans="1:34">
      <c r="A223" s="19">
        <v>216</v>
      </c>
      <c r="B223" s="19" t="s">
        <v>817</v>
      </c>
      <c r="C223" s="19" t="s">
        <v>1228</v>
      </c>
      <c r="D223" s="19" t="str">
        <f>HYPERLINK("http://www.henontech.com/fieldsafety/harzard/harzard_show.php?rid=2591&amp;url=harzardrecs.php","当下雨天气时，因浓水外送泵无防雨罩，雨水渗入电机内部，因断路保护器失效，电机烧毁，造成经济损失2万元。")</f>
        <v>当下雨天气时，因浓水外送泵无防雨罩，雨水渗入电机内部，因断路保护器失效，电机烧毁，造成经济损失2万元。</v>
      </c>
      <c r="E223" s="19" t="s">
        <v>1234</v>
      </c>
      <c r="F223" s="20" t="s">
        <v>42</v>
      </c>
      <c r="G223" s="21" t="s">
        <v>43</v>
      </c>
      <c r="H223" s="19" t="s">
        <v>44</v>
      </c>
      <c r="I223" s="19"/>
      <c r="J223" s="19" t="s">
        <v>158</v>
      </c>
      <c r="K223" s="19" t="s">
        <v>99</v>
      </c>
      <c r="L223" s="19"/>
      <c r="M223" s="19" t="s">
        <v>1135</v>
      </c>
      <c r="N223" s="19" t="s">
        <v>1235</v>
      </c>
      <c r="O223" s="19" t="s">
        <v>1135</v>
      </c>
      <c r="P223" s="19" t="s">
        <v>1137</v>
      </c>
      <c r="Q223" s="19" t="s">
        <v>1138</v>
      </c>
      <c r="R223" s="19" t="s">
        <v>1236</v>
      </c>
      <c r="S223" s="19"/>
      <c r="T223" s="19" t="s">
        <v>169</v>
      </c>
      <c r="U223" s="19" t="s">
        <v>170</v>
      </c>
      <c r="V223" s="19" t="s">
        <v>56</v>
      </c>
      <c r="W223" s="19" t="s">
        <v>71</v>
      </c>
      <c r="X223" s="19" t="s">
        <v>116</v>
      </c>
      <c r="Y223" s="19" t="s">
        <v>116</v>
      </c>
      <c r="Z223" s="19" t="s">
        <v>1237</v>
      </c>
      <c r="AA223" s="19">
        <v>1</v>
      </c>
      <c r="AB223" s="19">
        <v>1</v>
      </c>
      <c r="AC223" s="19" t="s">
        <v>59</v>
      </c>
      <c r="AD223" s="19" t="s">
        <v>1137</v>
      </c>
      <c r="AE223" s="19" t="s">
        <v>1238</v>
      </c>
      <c r="AF223" s="19" t="s">
        <v>1233</v>
      </c>
    </row>
    <row r="224" spans="1:34">
      <c r="A224" s="19">
        <v>217</v>
      </c>
      <c r="B224" s="19" t="s">
        <v>817</v>
      </c>
      <c r="C224" s="19" t="s">
        <v>196</v>
      </c>
      <c r="D224" s="19" t="str">
        <f>HYPERLINK("http://www.henontech.com/fieldsafety/harzard/harzard_show.php?rid=2593&amp;url=harzardrecs.php","老凉水架北侧有一块冰凌悬挂在顶部，如果一名操作人员巡检经过此处，没有发现凉水架顶部的冰凌，有可能会被掉落的冰凌砸中头部所幸戴着安全帽，只是造成巡检人员头 晕，休息半小时后复工不影响生产。")</f>
        <v>老凉水架北侧有一块冰凌悬挂在顶部，如果一名操作人员巡检经过此处，没有发现凉水架顶部的冰凌，有可能会被掉落的冰凌砸中头部所幸戴着安全帽，只是造成巡检人员头 晕，休息半小时后复工不影响生产。</v>
      </c>
      <c r="E224" s="19" t="s">
        <v>1239</v>
      </c>
      <c r="F224" s="20" t="s">
        <v>42</v>
      </c>
      <c r="G224" s="21" t="s">
        <v>43</v>
      </c>
      <c r="H224" s="19" t="s">
        <v>44</v>
      </c>
      <c r="I224" s="19" t="s">
        <v>130</v>
      </c>
      <c r="J224" s="19" t="s">
        <v>158</v>
      </c>
      <c r="K224" s="19" t="s">
        <v>84</v>
      </c>
      <c r="L224" s="19" t="s">
        <v>48</v>
      </c>
      <c r="M224" s="19" t="s">
        <v>49</v>
      </c>
      <c r="N224" s="19" t="s">
        <v>1240</v>
      </c>
      <c r="O224" s="19" t="s">
        <v>49</v>
      </c>
      <c r="P224" s="19" t="s">
        <v>66</v>
      </c>
      <c r="Q224" s="19" t="s">
        <v>1241</v>
      </c>
      <c r="R224" s="19" t="s">
        <v>1242</v>
      </c>
      <c r="S224" s="19"/>
      <c r="T224" s="19" t="s">
        <v>54</v>
      </c>
      <c r="U224" s="19" t="s">
        <v>170</v>
      </c>
      <c r="V224" s="19" t="s">
        <v>70</v>
      </c>
      <c r="W224" s="19" t="s">
        <v>71</v>
      </c>
      <c r="X224" s="19"/>
      <c r="Y224" s="19"/>
      <c r="Z224" s="19" t="s">
        <v>1243</v>
      </c>
      <c r="AA224" s="19">
        <v>1</v>
      </c>
      <c r="AB224" s="19">
        <v>1</v>
      </c>
      <c r="AC224" s="19" t="s">
        <v>59</v>
      </c>
      <c r="AD224" s="19" t="s">
        <v>66</v>
      </c>
      <c r="AE224" s="19" t="s">
        <v>1169</v>
      </c>
      <c r="AF224" s="19"/>
    </row>
    <row r="225" spans="1:34">
      <c r="A225" s="19">
        <v>218</v>
      </c>
      <c r="B225" s="19" t="s">
        <v>1169</v>
      </c>
      <c r="C225" s="19" t="s">
        <v>1244</v>
      </c>
      <c r="D225" s="19" t="str">
        <f>HYPERLINK("http://www.henontech.com/fieldsafety/harzard/harzard_show.php?rid=2597&amp;url=harzardrecs.php","深度脱硫1#熔硫釜蒸汽出口管道上漏点蒸汽泄漏，如果一名操作人员在开关阀门时手腕被泄漏出的蒸汽烫伤，到医务室治疗后在家休养15天，后正常上班。")</f>
        <v>深度脱硫1#熔硫釜蒸汽出口管道上漏点蒸汽泄漏，如果一名操作人员在开关阀门时手腕被泄漏出的蒸汽烫伤，到医务室治疗后在家休养15天，后正常上班。</v>
      </c>
      <c r="E225" s="19" t="s">
        <v>1245</v>
      </c>
      <c r="F225" s="20" t="s">
        <v>42</v>
      </c>
      <c r="G225" s="21" t="s">
        <v>43</v>
      </c>
      <c r="H225" s="19" t="s">
        <v>44</v>
      </c>
      <c r="I225" s="19" t="s">
        <v>45</v>
      </c>
      <c r="J225" s="19" t="s">
        <v>419</v>
      </c>
      <c r="K225" s="19" t="s">
        <v>47</v>
      </c>
      <c r="L225" s="19" t="s">
        <v>48</v>
      </c>
      <c r="M225" s="19" t="s">
        <v>49</v>
      </c>
      <c r="N225" s="19" t="s">
        <v>1246</v>
      </c>
      <c r="O225" s="19" t="s">
        <v>49</v>
      </c>
      <c r="P225" s="19" t="s">
        <v>66</v>
      </c>
      <c r="Q225" s="19" t="s">
        <v>1241</v>
      </c>
      <c r="R225" s="19" t="s">
        <v>1247</v>
      </c>
      <c r="S225" s="19"/>
      <c r="T225" s="19" t="s">
        <v>54</v>
      </c>
      <c r="U225" s="19" t="s">
        <v>55</v>
      </c>
      <c r="V225" s="19" t="s">
        <v>70</v>
      </c>
      <c r="W225" s="19" t="s">
        <v>179</v>
      </c>
      <c r="X225" s="19"/>
      <c r="Y225" s="19"/>
      <c r="Z225" s="19" t="s">
        <v>1248</v>
      </c>
      <c r="AA225" s="19">
        <v>1</v>
      </c>
      <c r="AB225" s="19">
        <v>1</v>
      </c>
      <c r="AC225" s="19" t="s">
        <v>59</v>
      </c>
      <c r="AD225" s="19" t="s">
        <v>66</v>
      </c>
      <c r="AE225" s="19" t="s">
        <v>1188</v>
      </c>
      <c r="AF225" s="19"/>
    </row>
    <row r="226" spans="1:34">
      <c r="A226" s="19">
        <v>219</v>
      </c>
      <c r="B226" s="19" t="s">
        <v>1169</v>
      </c>
      <c r="C226" s="19" t="s">
        <v>1249</v>
      </c>
      <c r="D226" s="19" t="str">
        <f>HYPERLINK("http://www.henontech.com/fieldsafety/harzard/harzard_show.php?rid=2598&amp;url=harzardrecs.php","该管道支架过于单薄，遇大风天气，有可能吹到，造成管道内的积液流到地面，造成环保事故。")</f>
        <v>该管道支架过于单薄，遇大风天气，有可能吹到，造成管道内的积液流到地面，造成环保事故。</v>
      </c>
      <c r="E226" s="19" t="s">
        <v>1250</v>
      </c>
      <c r="F226" s="20" t="s">
        <v>42</v>
      </c>
      <c r="G226" s="21" t="s">
        <v>43</v>
      </c>
      <c r="H226" s="19" t="s">
        <v>44</v>
      </c>
      <c r="I226" s="19" t="s">
        <v>45</v>
      </c>
      <c r="J226" s="19" t="s">
        <v>46</v>
      </c>
      <c r="K226" s="19" t="s">
        <v>47</v>
      </c>
      <c r="L226" s="19" t="s">
        <v>48</v>
      </c>
      <c r="M226" s="19" t="s">
        <v>49</v>
      </c>
      <c r="N226" s="19" t="s">
        <v>1251</v>
      </c>
      <c r="O226" s="19" t="s">
        <v>49</v>
      </c>
      <c r="P226" s="19" t="s">
        <v>66</v>
      </c>
      <c r="Q226" s="19" t="s">
        <v>1241</v>
      </c>
      <c r="R226" s="19" t="s">
        <v>1252</v>
      </c>
      <c r="S226" s="19" t="s">
        <v>1253</v>
      </c>
      <c r="T226" s="19" t="s">
        <v>94</v>
      </c>
      <c r="U226" s="19" t="s">
        <v>170</v>
      </c>
      <c r="V226" s="19" t="s">
        <v>206</v>
      </c>
      <c r="W226" s="19" t="s">
        <v>71</v>
      </c>
      <c r="X226" s="19"/>
      <c r="Y226" s="19"/>
      <c r="Z226" s="19" t="s">
        <v>1254</v>
      </c>
      <c r="AA226" s="19">
        <v>1</v>
      </c>
      <c r="AB226" s="19">
        <v>1</v>
      </c>
      <c r="AC226" s="19" t="s">
        <v>59</v>
      </c>
      <c r="AD226" s="19" t="s">
        <v>66</v>
      </c>
      <c r="AE226" s="19" t="s">
        <v>1169</v>
      </c>
      <c r="AF226" s="19"/>
    </row>
    <row r="227" spans="1:34" customHeight="1" ht="42">
      <c r="A227" s="19">
        <v>220</v>
      </c>
      <c r="B227" s="19" t="s">
        <v>1169</v>
      </c>
      <c r="C227" s="19" t="s">
        <v>947</v>
      </c>
      <c r="D227" s="19" t="str">
        <f>HYPERLINK("http://www.henontech.com/fieldsafety/harzard/harzard_show.php?rid=2599&amp;url=harzardrecs.php","西硫铵工段南框架蒸汽保温铝皮脱落，如果在大风天气一名操作工巡检时经过此处，可能被掉落的铝皮划伤手臂，就医简单包扎后正常工作。")</f>
        <v>西硫铵工段南框架蒸汽保温铝皮脱落，如果在大风天气一名操作工巡检时经过此处，可能被掉落的铝皮划伤手臂，就医简单包扎后正常工作。</v>
      </c>
      <c r="E227" s="19" t="s">
        <v>1255</v>
      </c>
      <c r="F227" s="20" t="s">
        <v>42</v>
      </c>
      <c r="G227" s="21" t="s">
        <v>43</v>
      </c>
      <c r="H227" s="19" t="s">
        <v>44</v>
      </c>
      <c r="I227" s="19" t="s">
        <v>130</v>
      </c>
      <c r="J227" s="19" t="s">
        <v>46</v>
      </c>
      <c r="K227" s="19" t="s">
        <v>99</v>
      </c>
      <c r="L227" s="19" t="s">
        <v>48</v>
      </c>
      <c r="M227" s="19" t="s">
        <v>49</v>
      </c>
      <c r="N227" s="19" t="s">
        <v>1256</v>
      </c>
      <c r="O227" s="19" t="s">
        <v>49</v>
      </c>
      <c r="P227" s="19" t="s">
        <v>66</v>
      </c>
      <c r="Q227" s="19" t="s">
        <v>1241</v>
      </c>
      <c r="R227" s="19" t="s">
        <v>1257</v>
      </c>
      <c r="S227" s="19"/>
      <c r="T227" s="19" t="s">
        <v>54</v>
      </c>
      <c r="U227" s="19" t="s">
        <v>69</v>
      </c>
      <c r="V227" s="19" t="s">
        <v>70</v>
      </c>
      <c r="W227" s="19" t="s">
        <v>71</v>
      </c>
      <c r="X227" s="19"/>
      <c r="Y227" s="19"/>
      <c r="Z227" s="19" t="s">
        <v>1258</v>
      </c>
      <c r="AA227" s="19">
        <v>2</v>
      </c>
      <c r="AB227" s="19">
        <v>2</v>
      </c>
      <c r="AC227" s="19" t="s">
        <v>59</v>
      </c>
      <c r="AD227" s="19" t="s">
        <v>66</v>
      </c>
      <c r="AE227" s="19" t="s">
        <v>1169</v>
      </c>
      <c r="AF227" s="19"/>
    </row>
    <row r="228" spans="1:34">
      <c r="A228" s="19">
        <v>221</v>
      </c>
      <c r="B228" s="19" t="s">
        <v>1169</v>
      </c>
      <c r="C228" s="19" t="s">
        <v>947</v>
      </c>
      <c r="D228" s="19" t="str">
        <f>HYPERLINK("http://www.henontech.com/fieldsafety/harzard/harzard_show.php?rid=2610&amp;url=harzardrecs.php","蒸汽管道无支撑，假如一名操作工在开关阀门时，管道晃动焊口开裂，蒸气泄漏将操作工右脚踝烫伤，去医院治疗七天，回家休养三天，损工十天。")</f>
        <v>蒸汽管道无支撑，假如一名操作工在开关阀门时，管道晃动焊口开裂，蒸气泄漏将操作工右脚踝烫伤，去医院治疗七天，回家休养三天，损工十天。</v>
      </c>
      <c r="E228" s="19" t="s">
        <v>1259</v>
      </c>
      <c r="F228" s="20" t="s">
        <v>42</v>
      </c>
      <c r="G228" s="21" t="s">
        <v>43</v>
      </c>
      <c r="H228" s="19" t="s">
        <v>44</v>
      </c>
      <c r="I228" s="19" t="s">
        <v>130</v>
      </c>
      <c r="J228" s="19" t="s">
        <v>46</v>
      </c>
      <c r="K228" s="19" t="s">
        <v>47</v>
      </c>
      <c r="L228" s="19"/>
      <c r="M228" s="19" t="s">
        <v>49</v>
      </c>
      <c r="N228" s="19" t="s">
        <v>1260</v>
      </c>
      <c r="O228" s="19" t="s">
        <v>49</v>
      </c>
      <c r="P228" s="19" t="s">
        <v>66</v>
      </c>
      <c r="Q228" s="19" t="s">
        <v>1241</v>
      </c>
      <c r="R228" s="19" t="s">
        <v>1261</v>
      </c>
      <c r="S228" s="19"/>
      <c r="T228" s="19" t="s">
        <v>54</v>
      </c>
      <c r="U228" s="19" t="s">
        <v>55</v>
      </c>
      <c r="V228" s="19" t="s">
        <v>56</v>
      </c>
      <c r="W228" s="19" t="s">
        <v>57</v>
      </c>
      <c r="X228" s="19"/>
      <c r="Y228" s="19"/>
      <c r="Z228" s="19" t="s">
        <v>1262</v>
      </c>
      <c r="AA228" s="19">
        <v>1</v>
      </c>
      <c r="AB228" s="19">
        <v>1</v>
      </c>
      <c r="AC228" s="19" t="s">
        <v>59</v>
      </c>
      <c r="AD228" s="19" t="s">
        <v>66</v>
      </c>
      <c r="AE228" s="19" t="s">
        <v>1169</v>
      </c>
      <c r="AF228" s="19"/>
    </row>
    <row r="229" spans="1:34">
      <c r="A229" s="19">
        <v>222</v>
      </c>
      <c r="B229" s="19" t="s">
        <v>1169</v>
      </c>
      <c r="C229" s="19" t="s">
        <v>1189</v>
      </c>
      <c r="D229" s="19" t="str">
        <f>HYPERLINK("http://www.henontech.com/fieldsafety/harzard/harzard_show.php?rid=2611&amp;url=harzardrecs.php","一操作工在乘坐三轮车前往仓库领料途中，由于三轮车转弯时的惯性被甩出车外，头部着地当场昏迷，紧急送医院救治后清醒，经医生诊断为轻微脑振荡，住院治疗二十天后复工")</f>
        <v>一操作工在乘坐三轮车前往仓库领料途中，由于三轮车转弯时的惯性被甩出车外，头部着地当场昏迷，紧急送医院救治后清醒，经医生诊断为轻微脑振荡，住院治疗二十天后复工</v>
      </c>
      <c r="E229" s="19" t="s">
        <v>1263</v>
      </c>
      <c r="F229" s="20" t="s">
        <v>42</v>
      </c>
      <c r="G229" s="22" t="s">
        <v>108</v>
      </c>
      <c r="H229" s="19" t="s">
        <v>44</v>
      </c>
      <c r="I229" s="19" t="s">
        <v>130</v>
      </c>
      <c r="J229" s="19" t="s">
        <v>158</v>
      </c>
      <c r="K229" s="19" t="s">
        <v>84</v>
      </c>
      <c r="L229" s="19"/>
      <c r="M229" s="19" t="s">
        <v>529</v>
      </c>
      <c r="N229" s="19" t="s">
        <v>1264</v>
      </c>
      <c r="O229" s="19" t="s">
        <v>529</v>
      </c>
      <c r="P229" s="19" t="s">
        <v>920</v>
      </c>
      <c r="Q229" s="19" t="s">
        <v>955</v>
      </c>
      <c r="R229" s="19" t="s">
        <v>1265</v>
      </c>
      <c r="S229" s="19"/>
      <c r="T229" s="19" t="s">
        <v>54</v>
      </c>
      <c r="U229" s="19" t="s">
        <v>69</v>
      </c>
      <c r="V229" s="19" t="s">
        <v>102</v>
      </c>
      <c r="W229" s="19" t="s">
        <v>57</v>
      </c>
      <c r="X229" s="19"/>
      <c r="Y229" s="19"/>
      <c r="Z229" s="19" t="s">
        <v>1266</v>
      </c>
      <c r="AA229" s="19">
        <v>1</v>
      </c>
      <c r="AB229" s="19">
        <v>1</v>
      </c>
      <c r="AC229" s="19" t="s">
        <v>59</v>
      </c>
      <c r="AD229" s="19" t="s">
        <v>920</v>
      </c>
      <c r="AE229" s="19" t="s">
        <v>1267</v>
      </c>
      <c r="AF229" s="19"/>
    </row>
    <row r="230" spans="1:34">
      <c r="A230" s="19">
        <v>223</v>
      </c>
      <c r="B230" s="19" t="s">
        <v>1169</v>
      </c>
      <c r="C230" s="19" t="s">
        <v>947</v>
      </c>
      <c r="D230" s="19" t="str">
        <f>HYPERLINK("http://www.henontech.com/fieldsafety/harzard/harzard_show.php?rid=2612&amp;url=harzardrecs.php","母液管道焊缝腐蚀泄漏，母液漏出，将会造成环保事故和健康影响")</f>
        <v>母液管道焊缝腐蚀泄漏，母液漏出，将会造成环保事故和健康影响</v>
      </c>
      <c r="E230" s="19" t="s">
        <v>1268</v>
      </c>
      <c r="F230" s="20" t="s">
        <v>42</v>
      </c>
      <c r="G230" s="21" t="s">
        <v>43</v>
      </c>
      <c r="H230" s="19" t="s">
        <v>44</v>
      </c>
      <c r="I230" s="19" t="s">
        <v>45</v>
      </c>
      <c r="J230" s="19" t="s">
        <v>46</v>
      </c>
      <c r="K230" s="19" t="s">
        <v>47</v>
      </c>
      <c r="L230" s="19" t="s">
        <v>48</v>
      </c>
      <c r="M230" s="19" t="s">
        <v>49</v>
      </c>
      <c r="N230" s="19" t="s">
        <v>1269</v>
      </c>
      <c r="O230" s="19" t="s">
        <v>49</v>
      </c>
      <c r="P230" s="19" t="s">
        <v>66</v>
      </c>
      <c r="Q230" s="19" t="s">
        <v>1241</v>
      </c>
      <c r="R230" s="19" t="s">
        <v>1270</v>
      </c>
      <c r="S230" s="19" t="s">
        <v>1271</v>
      </c>
      <c r="T230" s="19" t="s">
        <v>94</v>
      </c>
      <c r="U230" s="19" t="s">
        <v>69</v>
      </c>
      <c r="V230" s="19" t="s">
        <v>102</v>
      </c>
      <c r="W230" s="19" t="s">
        <v>57</v>
      </c>
      <c r="X230" s="19"/>
      <c r="Y230" s="19"/>
      <c r="Z230" s="19" t="s">
        <v>1272</v>
      </c>
      <c r="AA230" s="19">
        <v>1</v>
      </c>
      <c r="AB230" s="19">
        <v>1</v>
      </c>
      <c r="AC230" s="19" t="s">
        <v>59</v>
      </c>
      <c r="AD230" s="19" t="s">
        <v>66</v>
      </c>
      <c r="AE230" s="19" t="s">
        <v>1169</v>
      </c>
      <c r="AF230" s="19"/>
    </row>
    <row r="231" spans="1:34">
      <c r="A231" s="19">
        <v>224</v>
      </c>
      <c r="B231" s="19" t="s">
        <v>1169</v>
      </c>
      <c r="C231" s="19" t="s">
        <v>947</v>
      </c>
      <c r="D231" s="19" t="str">
        <f>HYPERLINK("http://www.henontech.com/fieldsafety/harzard/harzard_show.php?rid=2613&amp;url=harzardrecs.php","日常巡检时发现西硫铵南两盐大屋北侧原料储罐往外渗液，经检查是蒸汽放空阀门坏造成大量蒸汽冷凝水进入原料罐，如果发现不及时，可能会造成大量脱硫液泄漏腐蚀地面，造成环境污染。")</f>
        <v>日常巡检时发现西硫铵南两盐大屋北侧原料储罐往外渗液，经检查是蒸汽放空阀门坏造成大量蒸汽冷凝水进入原料罐，如果发现不及时，可能会造成大量脱硫液泄漏腐蚀地面，造成环境污染。</v>
      </c>
      <c r="E231" s="19" t="s">
        <v>1185</v>
      </c>
      <c r="F231" s="20" t="s">
        <v>42</v>
      </c>
      <c r="G231" s="21" t="s">
        <v>43</v>
      </c>
      <c r="H231" s="19" t="s">
        <v>44</v>
      </c>
      <c r="I231" s="19" t="s">
        <v>45</v>
      </c>
      <c r="J231" s="19"/>
      <c r="K231" s="19"/>
      <c r="L231" s="19"/>
      <c r="M231" s="19" t="s">
        <v>49</v>
      </c>
      <c r="N231" s="19" t="s">
        <v>1273</v>
      </c>
      <c r="O231" s="19" t="s">
        <v>49</v>
      </c>
      <c r="P231" s="19" t="s">
        <v>66</v>
      </c>
      <c r="Q231" s="19" t="s">
        <v>1148</v>
      </c>
      <c r="R231" s="19" t="s">
        <v>1274</v>
      </c>
      <c r="S231" s="19"/>
      <c r="T231" s="19" t="s">
        <v>94</v>
      </c>
      <c r="U231" s="19" t="s">
        <v>170</v>
      </c>
      <c r="V231" s="19" t="s">
        <v>56</v>
      </c>
      <c r="W231" s="19" t="s">
        <v>71</v>
      </c>
      <c r="X231" s="19"/>
      <c r="Y231" s="19"/>
      <c r="Z231" s="19" t="s">
        <v>1275</v>
      </c>
      <c r="AA231" s="19">
        <v>1</v>
      </c>
      <c r="AB231" s="19">
        <v>1</v>
      </c>
      <c r="AC231" s="19" t="s">
        <v>59</v>
      </c>
      <c r="AD231" s="19" t="s">
        <v>66</v>
      </c>
      <c r="AE231" s="19" t="s">
        <v>1188</v>
      </c>
      <c r="AF231" s="19"/>
    </row>
    <row r="232" spans="1:34">
      <c r="A232" s="19">
        <v>225</v>
      </c>
      <c r="B232" s="19" t="s">
        <v>1267</v>
      </c>
      <c r="C232" s="19" t="s">
        <v>1102</v>
      </c>
      <c r="D232" s="19" t="str">
        <f>HYPERLINK("http://www.henontech.com/fieldsafety/harzard/harzard_show.php?rid=2614&amp;url=harzardrecs.php","操作工在初冷器巡检时发展初冷器喷洒管有泄露点，如果操作人员发展不及时可能有大量氨水与焦油泄漏，造成环境污染。")</f>
        <v>操作工在初冷器巡检时发展初冷器喷洒管有泄露点，如果操作人员发展不及时可能有大量氨水与焦油泄漏，造成环境污染。</v>
      </c>
      <c r="E232" s="19" t="s">
        <v>1185</v>
      </c>
      <c r="F232" s="20" t="s">
        <v>42</v>
      </c>
      <c r="G232" s="21" t="s">
        <v>43</v>
      </c>
      <c r="H232" s="19" t="s">
        <v>44</v>
      </c>
      <c r="I232" s="19"/>
      <c r="J232" s="19"/>
      <c r="K232" s="19" t="s">
        <v>84</v>
      </c>
      <c r="L232" s="19" t="s">
        <v>48</v>
      </c>
      <c r="M232" s="19" t="s">
        <v>49</v>
      </c>
      <c r="N232" s="19" t="s">
        <v>1276</v>
      </c>
      <c r="O232" s="19" t="s">
        <v>49</v>
      </c>
      <c r="P232" s="19" t="s">
        <v>66</v>
      </c>
      <c r="Q232" s="19" t="s">
        <v>1148</v>
      </c>
      <c r="R232" s="19" t="s">
        <v>1277</v>
      </c>
      <c r="S232" s="19"/>
      <c r="T232" s="19" t="s">
        <v>94</v>
      </c>
      <c r="U232" s="19" t="s">
        <v>69</v>
      </c>
      <c r="V232" s="19" t="s">
        <v>56</v>
      </c>
      <c r="W232" s="19" t="s">
        <v>179</v>
      </c>
      <c r="X232" s="19"/>
      <c r="Y232" s="19"/>
      <c r="Z232" s="19" t="s">
        <v>1278</v>
      </c>
      <c r="AA232" s="19">
        <v>1</v>
      </c>
      <c r="AB232" s="19">
        <v>1</v>
      </c>
      <c r="AC232" s="19" t="s">
        <v>59</v>
      </c>
      <c r="AD232" s="19" t="s">
        <v>66</v>
      </c>
      <c r="AE232" s="19" t="s">
        <v>1207</v>
      </c>
      <c r="AF232" s="19"/>
    </row>
    <row r="233" spans="1:34">
      <c r="A233" s="19">
        <v>226</v>
      </c>
      <c r="B233" s="19" t="s">
        <v>1267</v>
      </c>
      <c r="C233" s="19" t="s">
        <v>1279</v>
      </c>
      <c r="D233" s="19" t="str">
        <f>HYPERLINK("http://www.henontech.com/fieldsafety/harzard/harzard_show.php?rid=2616&amp;url=harzardrecs.php","粗苯北系统西框架蒸汽阀门上部法兰泄露，假如两名维修工在更换蒸汽阀门上部法兰垫子时，一名维修工脸部被蒸汽烫伤到医院治疗15天在家休养一个月后正常上班。")</f>
        <v>粗苯北系统西框架蒸汽阀门上部法兰泄露，假如两名维修工在更换蒸汽阀门上部法兰垫子时，一名维修工脸部被蒸汽烫伤到医院治疗15天在家休养一个月后正常上班。</v>
      </c>
      <c r="E233" s="19" t="s">
        <v>1280</v>
      </c>
      <c r="F233" s="20" t="s">
        <v>42</v>
      </c>
      <c r="G233" s="21" t="s">
        <v>43</v>
      </c>
      <c r="H233" s="19" t="s">
        <v>44</v>
      </c>
      <c r="I233" s="19" t="s">
        <v>45</v>
      </c>
      <c r="J233" s="19" t="s">
        <v>419</v>
      </c>
      <c r="K233" s="19" t="s">
        <v>47</v>
      </c>
      <c r="L233" s="19" t="s">
        <v>48</v>
      </c>
      <c r="M233" s="19" t="s">
        <v>49</v>
      </c>
      <c r="N233" s="19" t="s">
        <v>1281</v>
      </c>
      <c r="O233" s="19" t="s">
        <v>49</v>
      </c>
      <c r="P233" s="19" t="s">
        <v>66</v>
      </c>
      <c r="Q233" s="19" t="s">
        <v>1148</v>
      </c>
      <c r="R233" s="19" t="s">
        <v>1282</v>
      </c>
      <c r="S233" s="19"/>
      <c r="T233" s="19" t="s">
        <v>54</v>
      </c>
      <c r="U233" s="19" t="s">
        <v>55</v>
      </c>
      <c r="V233" s="19" t="s">
        <v>70</v>
      </c>
      <c r="W233" s="19" t="s">
        <v>179</v>
      </c>
      <c r="X233" s="19"/>
      <c r="Y233" s="19"/>
      <c r="Z233" s="19" t="s">
        <v>1283</v>
      </c>
      <c r="AA233" s="19">
        <v>1</v>
      </c>
      <c r="AB233" s="19">
        <v>1</v>
      </c>
      <c r="AC233" s="19" t="s">
        <v>59</v>
      </c>
      <c r="AD233" s="19" t="s">
        <v>66</v>
      </c>
      <c r="AE233" s="19" t="s">
        <v>1188</v>
      </c>
      <c r="AF233" s="19"/>
    </row>
    <row r="234" spans="1:34">
      <c r="A234" s="19">
        <v>227</v>
      </c>
      <c r="B234" s="19" t="s">
        <v>1267</v>
      </c>
      <c r="C234" s="19" t="s">
        <v>568</v>
      </c>
      <c r="D234" s="19" t="str">
        <f>HYPERLINK("http://www.henontech.com/fieldsafety/harzard/harzard_show.php?rid=2618&amp;url=harzardrecs.php","硫磺室南墙上部管架一蒸汽管线外包铝皮腐蚀坏，假如大风天气一名操作工在巡检经过此处时，可能被掉落的铝皮划伤颈部，去医务室简单包扎后复工")</f>
        <v>硫磺室南墙上部管架一蒸汽管线外包铝皮腐蚀坏，假如大风天气一名操作工在巡检经过此处时，可能被掉落的铝皮划伤颈部，去医务室简单包扎后复工</v>
      </c>
      <c r="E234" s="19" t="s">
        <v>1284</v>
      </c>
      <c r="F234" s="20" t="s">
        <v>42</v>
      </c>
      <c r="G234" s="21" t="s">
        <v>43</v>
      </c>
      <c r="H234" s="19" t="s">
        <v>44</v>
      </c>
      <c r="I234" s="19" t="s">
        <v>130</v>
      </c>
      <c r="J234" s="19" t="s">
        <v>46</v>
      </c>
      <c r="K234" s="19" t="s">
        <v>47</v>
      </c>
      <c r="L234" s="19"/>
      <c r="M234" s="19" t="s">
        <v>49</v>
      </c>
      <c r="N234" s="19" t="s">
        <v>1285</v>
      </c>
      <c r="O234" s="19" t="s">
        <v>49</v>
      </c>
      <c r="P234" s="19" t="s">
        <v>66</v>
      </c>
      <c r="Q234" s="19" t="s">
        <v>1148</v>
      </c>
      <c r="R234" s="19" t="s">
        <v>1286</v>
      </c>
      <c r="S234" s="19"/>
      <c r="T234" s="19" t="s">
        <v>54</v>
      </c>
      <c r="U234" s="19" t="s">
        <v>69</v>
      </c>
      <c r="V234" s="19" t="s">
        <v>70</v>
      </c>
      <c r="W234" s="19" t="s">
        <v>71</v>
      </c>
      <c r="X234" s="19"/>
      <c r="Y234" s="19"/>
      <c r="Z234" s="19" t="s">
        <v>1287</v>
      </c>
      <c r="AA234" s="19">
        <v>1</v>
      </c>
      <c r="AB234" s="19">
        <v>1</v>
      </c>
      <c r="AC234" s="19" t="s">
        <v>59</v>
      </c>
      <c r="AD234" s="19" t="s">
        <v>66</v>
      </c>
      <c r="AE234" s="19" t="s">
        <v>1188</v>
      </c>
      <c r="AF234" s="19"/>
    </row>
    <row r="235" spans="1:34">
      <c r="A235" s="19">
        <v>228</v>
      </c>
      <c r="B235" s="19" t="s">
        <v>1267</v>
      </c>
      <c r="C235" s="19" t="s">
        <v>165</v>
      </c>
      <c r="D235" s="19" t="str">
        <f>HYPERLINK("http://www.henontech.com/fieldsafety/harzard/harzard_show.php?rid=2621&amp;url=harzardrecs.php","一名操作工在巡检操作的过程中，被未保温的蒸汽阀门及管道烫伤，简单处理后继续工作。")</f>
        <v>一名操作工在巡检操作的过程中，被未保温的蒸汽阀门及管道烫伤，简单处理后继续工作。</v>
      </c>
      <c r="E235" s="19" t="s">
        <v>1288</v>
      </c>
      <c r="F235" s="20" t="s">
        <v>42</v>
      </c>
      <c r="G235" s="21" t="s">
        <v>43</v>
      </c>
      <c r="H235" s="19" t="s">
        <v>44</v>
      </c>
      <c r="I235" s="19" t="s">
        <v>45</v>
      </c>
      <c r="J235" s="19" t="s">
        <v>46</v>
      </c>
      <c r="K235" s="19" t="s">
        <v>84</v>
      </c>
      <c r="L235" s="19" t="s">
        <v>48</v>
      </c>
      <c r="M235" s="19" t="s">
        <v>49</v>
      </c>
      <c r="N235" s="19" t="s">
        <v>1289</v>
      </c>
      <c r="O235" s="19" t="s">
        <v>49</v>
      </c>
      <c r="P235" s="19" t="s">
        <v>66</v>
      </c>
      <c r="Q235" s="19" t="s">
        <v>1148</v>
      </c>
      <c r="R235" s="19" t="s">
        <v>1290</v>
      </c>
      <c r="S235" s="19"/>
      <c r="T235" s="19" t="s">
        <v>54</v>
      </c>
      <c r="U235" s="19" t="s">
        <v>170</v>
      </c>
      <c r="V235" s="19" t="s">
        <v>102</v>
      </c>
      <c r="W235" s="19" t="s">
        <v>71</v>
      </c>
      <c r="X235" s="19"/>
      <c r="Y235" s="19"/>
      <c r="Z235" s="19" t="s">
        <v>1291</v>
      </c>
      <c r="AA235" s="19">
        <v>1</v>
      </c>
      <c r="AB235" s="19">
        <v>1</v>
      </c>
      <c r="AC235" s="19" t="s">
        <v>59</v>
      </c>
      <c r="AD235" s="19" t="s">
        <v>66</v>
      </c>
      <c r="AE235" s="19" t="s">
        <v>1188</v>
      </c>
      <c r="AF235" s="19"/>
    </row>
    <row r="236" spans="1:34">
      <c r="A236" s="19">
        <v>229</v>
      </c>
      <c r="B236" s="19" t="s">
        <v>955</v>
      </c>
      <c r="C236" s="19" t="s">
        <v>165</v>
      </c>
      <c r="D236" s="19" t="str">
        <f>HYPERLINK("http://www.henontech.com/fieldsafety/harzard/harzard_show.php?rid=2623&amp;url=harzardrecs.php","旋液分离器上部有漏点，操作工在巡检、取样化验的过程中，被溅出的80℃的母液烫伤，用水清洗后继续工作。")</f>
        <v>旋液分离器上部有漏点，操作工在巡检、取样化验的过程中，被溅出的80℃的母液烫伤，用水清洗后继续工作。</v>
      </c>
      <c r="E236" s="19" t="s">
        <v>1292</v>
      </c>
      <c r="F236" s="20" t="s">
        <v>42</v>
      </c>
      <c r="G236" s="21" t="s">
        <v>43</v>
      </c>
      <c r="H236" s="19" t="s">
        <v>44</v>
      </c>
      <c r="I236" s="19" t="s">
        <v>45</v>
      </c>
      <c r="J236" s="19" t="s">
        <v>46</v>
      </c>
      <c r="K236" s="19" t="s">
        <v>84</v>
      </c>
      <c r="L236" s="19" t="s">
        <v>48</v>
      </c>
      <c r="M236" s="19" t="s">
        <v>49</v>
      </c>
      <c r="N236" s="19" t="s">
        <v>1293</v>
      </c>
      <c r="O236" s="19" t="s">
        <v>49</v>
      </c>
      <c r="P236" s="19" t="s">
        <v>66</v>
      </c>
      <c r="Q236" s="19" t="s">
        <v>1148</v>
      </c>
      <c r="R236" s="19" t="s">
        <v>1294</v>
      </c>
      <c r="S236" s="19"/>
      <c r="T236" s="19" t="s">
        <v>54</v>
      </c>
      <c r="U236" s="19" t="s">
        <v>170</v>
      </c>
      <c r="V236" s="19" t="s">
        <v>102</v>
      </c>
      <c r="W236" s="19" t="s">
        <v>71</v>
      </c>
      <c r="X236" s="19"/>
      <c r="Y236" s="19"/>
      <c r="Z236" s="19" t="s">
        <v>1295</v>
      </c>
      <c r="AA236" s="19">
        <v>1</v>
      </c>
      <c r="AB236" s="19">
        <v>1</v>
      </c>
      <c r="AC236" s="19" t="s">
        <v>59</v>
      </c>
      <c r="AD236" s="19" t="s">
        <v>66</v>
      </c>
      <c r="AE236" s="19" t="s">
        <v>1188</v>
      </c>
      <c r="AF236" s="19"/>
    </row>
    <row r="237" spans="1:34">
      <c r="A237" s="19">
        <v>230</v>
      </c>
      <c r="B237" s="19" t="s">
        <v>955</v>
      </c>
      <c r="C237" s="19" t="s">
        <v>1249</v>
      </c>
      <c r="D237" s="19" t="str">
        <f>HYPERLINK("http://www.henontech.com/fieldsafety/harzard/harzard_show.php?rid=2628&amp;url=harzardrecs.php","下雪后爬梯上积雪未及时清理，一名职工上爬梯时未抓牢扶手，摔倒造成腿部扭伤")</f>
        <v>下雪后爬梯上积雪未及时清理，一名职工上爬梯时未抓牢扶手，摔倒造成腿部扭伤</v>
      </c>
      <c r="E237" s="19" t="s">
        <v>1296</v>
      </c>
      <c r="F237" s="25" t="s">
        <v>931</v>
      </c>
      <c r="G237" s="21" t="s">
        <v>43</v>
      </c>
      <c r="H237" s="19" t="s">
        <v>44</v>
      </c>
      <c r="I237" s="19" t="s">
        <v>130</v>
      </c>
      <c r="J237" s="19"/>
      <c r="K237" s="19"/>
      <c r="L237" s="19"/>
      <c r="M237" s="19" t="s">
        <v>49</v>
      </c>
      <c r="N237" s="19" t="s">
        <v>1297</v>
      </c>
      <c r="O237" s="19"/>
      <c r="P237" s="19"/>
      <c r="Q237" s="19"/>
      <c r="R237" s="19" t="s">
        <v>1298</v>
      </c>
      <c r="S237" s="19" t="s">
        <v>1299</v>
      </c>
      <c r="T237" s="19" t="s">
        <v>54</v>
      </c>
      <c r="U237" s="19" t="s">
        <v>69</v>
      </c>
      <c r="V237" s="19" t="s">
        <v>56</v>
      </c>
      <c r="W237" s="19" t="s">
        <v>179</v>
      </c>
      <c r="X237" s="19"/>
      <c r="Y237" s="19"/>
      <c r="Z237" s="19"/>
      <c r="AA237" s="19">
        <v>0</v>
      </c>
      <c r="AB237" s="19"/>
      <c r="AC237" s="19" t="s">
        <v>594</v>
      </c>
      <c r="AD237" s="19"/>
      <c r="AE237" s="19"/>
      <c r="AF237" s="19"/>
    </row>
    <row r="238" spans="1:34">
      <c r="A238" s="19">
        <v>231</v>
      </c>
      <c r="B238" s="19" t="s">
        <v>955</v>
      </c>
      <c r="C238" s="19" t="s">
        <v>307</v>
      </c>
      <c r="D238" s="19" t="str">
        <f>HYPERLINK("http://www.henontech.com/fieldsafety/harzard/harzard_show.php?rid=2629&amp;url=harzardrecs.php","脱硫箱南侧废水井井盖缺失，如果一操作人员巡检到此，未看到井盖缺失，失足坠入井中造成腿部擦伤，请假一周，损工一周。")</f>
        <v>脱硫箱南侧废水井井盖缺失，如果一操作人员巡检到此，未看到井盖缺失，失足坠入井中造成腿部擦伤，请假一周，损工一周。</v>
      </c>
      <c r="E238" s="19" t="s">
        <v>1300</v>
      </c>
      <c r="F238" s="25" t="s">
        <v>931</v>
      </c>
      <c r="G238" s="21" t="s">
        <v>43</v>
      </c>
      <c r="H238" s="19" t="s">
        <v>44</v>
      </c>
      <c r="I238" s="19" t="s">
        <v>45</v>
      </c>
      <c r="J238" s="19" t="s">
        <v>46</v>
      </c>
      <c r="K238" s="19" t="s">
        <v>84</v>
      </c>
      <c r="L238" s="19" t="s">
        <v>48</v>
      </c>
      <c r="M238" s="19" t="s">
        <v>49</v>
      </c>
      <c r="N238" s="19" t="s">
        <v>1301</v>
      </c>
      <c r="O238" s="19"/>
      <c r="P238" s="19"/>
      <c r="Q238" s="19"/>
      <c r="R238" s="19" t="s">
        <v>1302</v>
      </c>
      <c r="S238" s="19" t="s">
        <v>1303</v>
      </c>
      <c r="T238" s="19" t="s">
        <v>54</v>
      </c>
      <c r="U238" s="19" t="s">
        <v>69</v>
      </c>
      <c r="V238" s="19" t="s">
        <v>56</v>
      </c>
      <c r="W238" s="19" t="s">
        <v>179</v>
      </c>
      <c r="X238" s="19"/>
      <c r="Y238" s="19"/>
      <c r="Z238" s="19"/>
      <c r="AA238" s="19">
        <v>0</v>
      </c>
      <c r="AB238" s="19"/>
      <c r="AC238" s="19" t="s">
        <v>594</v>
      </c>
      <c r="AD238" s="19"/>
      <c r="AE238" s="19"/>
      <c r="AF238" s="19"/>
    </row>
    <row r="239" spans="1:34">
      <c r="A239" s="19">
        <v>232</v>
      </c>
      <c r="B239" s="19" t="s">
        <v>955</v>
      </c>
      <c r="C239" s="19" t="s">
        <v>568</v>
      </c>
      <c r="D239" s="19" t="str">
        <f>HYPERLINK("http://www.henontech.com/fieldsafety/harzard/harzard_show.php?rid=2631&amp;url=harzardrecs.php","北脱硫屋前框架保温铝皮脱落在大风天气一名操作工巡检时经过此处，脱落铝皮滑伤颈部，送医务室。")</f>
        <v>北脱硫屋前框架保温铝皮脱落在大风天气一名操作工巡检时经过此处，脱落铝皮滑伤颈部，送医务室。</v>
      </c>
      <c r="E239" s="19" t="s">
        <v>1304</v>
      </c>
      <c r="F239" s="20" t="s">
        <v>42</v>
      </c>
      <c r="G239" s="21" t="s">
        <v>43</v>
      </c>
      <c r="H239" s="19" t="s">
        <v>44</v>
      </c>
      <c r="I239" s="19" t="s">
        <v>130</v>
      </c>
      <c r="J239" s="19" t="s">
        <v>46</v>
      </c>
      <c r="K239" s="19" t="s">
        <v>99</v>
      </c>
      <c r="L239" s="19" t="s">
        <v>48</v>
      </c>
      <c r="M239" s="19" t="s">
        <v>49</v>
      </c>
      <c r="N239" s="19" t="s">
        <v>1305</v>
      </c>
      <c r="O239" s="19" t="s">
        <v>49</v>
      </c>
      <c r="P239" s="19" t="s">
        <v>66</v>
      </c>
      <c r="Q239" s="19" t="s">
        <v>1148</v>
      </c>
      <c r="R239" s="19" t="s">
        <v>1306</v>
      </c>
      <c r="S239" s="19"/>
      <c r="T239" s="19" t="s">
        <v>54</v>
      </c>
      <c r="U239" s="19" t="s">
        <v>69</v>
      </c>
      <c r="V239" s="19" t="s">
        <v>70</v>
      </c>
      <c r="W239" s="19" t="s">
        <v>71</v>
      </c>
      <c r="X239" s="19"/>
      <c r="Y239" s="19"/>
      <c r="Z239" s="19" t="s">
        <v>1307</v>
      </c>
      <c r="AA239" s="19">
        <v>1</v>
      </c>
      <c r="AB239" s="19">
        <v>1</v>
      </c>
      <c r="AC239" s="19" t="s">
        <v>59</v>
      </c>
      <c r="AD239" s="19" t="s">
        <v>66</v>
      </c>
      <c r="AE239" s="19" t="s">
        <v>1188</v>
      </c>
      <c r="AF239" s="19"/>
    </row>
    <row r="240" spans="1:34">
      <c r="A240" s="19">
        <v>233</v>
      </c>
      <c r="B240" s="19" t="s">
        <v>955</v>
      </c>
      <c r="C240" s="19" t="s">
        <v>1308</v>
      </c>
      <c r="D240" s="19" t="str">
        <f>HYPERLINK("http://www.henontech.com/fieldsafety/harzard/harzard_show.php?rid=2634&amp;url=harzardrecs.php","两盐东侧框架顶部有一根废弃的管道未及时撤除，假如大风天气一名操作工巡检时经过此处，有可能会被掉落的管道砸伤肩部，造成肩部骨折，送医院就医后在家疗养三个月复工。")</f>
        <v>两盐东侧框架顶部有一根废弃的管道未及时撤除，假如大风天气一名操作工巡检时经过此处，有可能会被掉落的管道砸伤肩部，造成肩部骨折，送医院就医后在家疗养三个月复工。</v>
      </c>
      <c r="E240" s="19" t="s">
        <v>1309</v>
      </c>
      <c r="F240" s="20" t="s">
        <v>42</v>
      </c>
      <c r="G240" s="21" t="s">
        <v>43</v>
      </c>
      <c r="H240" s="19" t="s">
        <v>44</v>
      </c>
      <c r="I240" s="19" t="s">
        <v>130</v>
      </c>
      <c r="J240" s="19" t="s">
        <v>158</v>
      </c>
      <c r="K240" s="19" t="s">
        <v>84</v>
      </c>
      <c r="L240" s="19" t="s">
        <v>48</v>
      </c>
      <c r="M240" s="19" t="s">
        <v>49</v>
      </c>
      <c r="N240" s="19" t="s">
        <v>1310</v>
      </c>
      <c r="O240" s="19" t="s">
        <v>49</v>
      </c>
      <c r="P240" s="19" t="s">
        <v>66</v>
      </c>
      <c r="Q240" s="19" t="s">
        <v>1148</v>
      </c>
      <c r="R240" s="19" t="s">
        <v>1311</v>
      </c>
      <c r="S240" s="19"/>
      <c r="T240" s="19" t="s">
        <v>54</v>
      </c>
      <c r="U240" s="19" t="s">
        <v>55</v>
      </c>
      <c r="V240" s="19" t="s">
        <v>70</v>
      </c>
      <c r="W240" s="19" t="s">
        <v>179</v>
      </c>
      <c r="X240" s="19"/>
      <c r="Y240" s="19"/>
      <c r="Z240" s="19" t="s">
        <v>1312</v>
      </c>
      <c r="AA240" s="19">
        <v>1</v>
      </c>
      <c r="AB240" s="19">
        <v>1</v>
      </c>
      <c r="AC240" s="19" t="s">
        <v>59</v>
      </c>
      <c r="AD240" s="19" t="s">
        <v>66</v>
      </c>
      <c r="AE240" s="19" t="s">
        <v>1188</v>
      </c>
      <c r="AF240" s="19"/>
    </row>
    <row r="241" spans="1:34">
      <c r="A241" s="19">
        <v>234</v>
      </c>
      <c r="B241" s="19" t="s">
        <v>955</v>
      </c>
      <c r="C241" s="19" t="s">
        <v>947</v>
      </c>
      <c r="D241" s="19" t="str">
        <f>HYPERLINK("http://www.henontech.com/fieldsafety/harzard/harzard_show.php?rid=2635&amp;url=harzardrecs.php","西硫铵热水槽南侧框架管道上面有一块铝皮损坏，一名操作工如果在大风天气巡检时经过此处，有可能会被掉落的铝皮划伤手臂，造成轻微伤害，简单处理后复工。")</f>
        <v>西硫铵热水槽南侧框架管道上面有一块铝皮损坏，一名操作工如果在大风天气巡检时经过此处，有可能会被掉落的铝皮划伤手臂，造成轻微伤害，简单处理后复工。</v>
      </c>
      <c r="E241" s="19" t="s">
        <v>1313</v>
      </c>
      <c r="F241" s="20" t="s">
        <v>42</v>
      </c>
      <c r="G241" s="21" t="s">
        <v>43</v>
      </c>
      <c r="H241" s="19" t="s">
        <v>44</v>
      </c>
      <c r="I241" s="19" t="s">
        <v>130</v>
      </c>
      <c r="J241" s="19" t="s">
        <v>158</v>
      </c>
      <c r="K241" s="19" t="s">
        <v>84</v>
      </c>
      <c r="L241" s="19" t="s">
        <v>48</v>
      </c>
      <c r="M241" s="19" t="s">
        <v>49</v>
      </c>
      <c r="N241" s="19" t="s">
        <v>1314</v>
      </c>
      <c r="O241" s="19" t="s">
        <v>49</v>
      </c>
      <c r="P241" s="19" t="s">
        <v>66</v>
      </c>
      <c r="Q241" s="19" t="s">
        <v>1148</v>
      </c>
      <c r="R241" s="19" t="s">
        <v>1315</v>
      </c>
      <c r="S241" s="19"/>
      <c r="T241" s="19" t="s">
        <v>54</v>
      </c>
      <c r="U241" s="19" t="s">
        <v>69</v>
      </c>
      <c r="V241" s="19" t="s">
        <v>70</v>
      </c>
      <c r="W241" s="19" t="s">
        <v>71</v>
      </c>
      <c r="X241" s="19"/>
      <c r="Y241" s="19"/>
      <c r="Z241" s="19" t="s">
        <v>1307</v>
      </c>
      <c r="AA241" s="19">
        <v>1</v>
      </c>
      <c r="AB241" s="19">
        <v>1</v>
      </c>
      <c r="AC241" s="19" t="s">
        <v>59</v>
      </c>
      <c r="AD241" s="19" t="s">
        <v>66</v>
      </c>
      <c r="AE241" s="19" t="s">
        <v>1188</v>
      </c>
      <c r="AF241" s="19"/>
    </row>
    <row r="242" spans="1:34">
      <c r="A242" s="19">
        <v>235</v>
      </c>
      <c r="B242" s="19" t="s">
        <v>955</v>
      </c>
      <c r="C242" s="19" t="s">
        <v>1316</v>
      </c>
      <c r="D242" s="19" t="str">
        <f>HYPERLINK("http://www.henontech.com/fieldsafety/harzard/harzard_show.php?rid=2636&amp;url=harzardrecs.php","一名操作工在巡检制氮机组时，如果上爬梯不慎踩空，从爬梯上跌落，脚部受伤，经医护人员诊断，脚部轻微扭伤。")</f>
        <v>一名操作工在巡检制氮机组时，如果上爬梯不慎踩空，从爬梯上跌落，脚部受伤，经医护人员诊断，脚部轻微扭伤。</v>
      </c>
      <c r="E242" s="19" t="s">
        <v>1317</v>
      </c>
      <c r="F242" s="20" t="s">
        <v>42</v>
      </c>
      <c r="G242" s="21" t="s">
        <v>43</v>
      </c>
      <c r="H242" s="19" t="s">
        <v>44</v>
      </c>
      <c r="I242" s="19" t="s">
        <v>109</v>
      </c>
      <c r="J242" s="19" t="s">
        <v>1318</v>
      </c>
      <c r="K242" s="19" t="s">
        <v>47</v>
      </c>
      <c r="L242" s="19" t="s">
        <v>48</v>
      </c>
      <c r="M242" s="19" t="s">
        <v>49</v>
      </c>
      <c r="N242" s="19" t="s">
        <v>1319</v>
      </c>
      <c r="O242" s="19" t="s">
        <v>49</v>
      </c>
      <c r="P242" s="19" t="s">
        <v>66</v>
      </c>
      <c r="Q242" s="19" t="s">
        <v>1148</v>
      </c>
      <c r="R242" s="19" t="s">
        <v>1320</v>
      </c>
      <c r="S242" s="19"/>
      <c r="T242" s="19" t="s">
        <v>54</v>
      </c>
      <c r="U242" s="19" t="s">
        <v>55</v>
      </c>
      <c r="V242" s="19" t="s">
        <v>70</v>
      </c>
      <c r="W242" s="19" t="s">
        <v>179</v>
      </c>
      <c r="X242" s="19"/>
      <c r="Y242" s="19"/>
      <c r="Z242" s="19" t="s">
        <v>1321</v>
      </c>
      <c r="AA242" s="19">
        <v>1</v>
      </c>
      <c r="AB242" s="19">
        <v>1</v>
      </c>
      <c r="AC242" s="19" t="s">
        <v>59</v>
      </c>
      <c r="AD242" s="19" t="s">
        <v>66</v>
      </c>
      <c r="AE242" s="19" t="s">
        <v>1188</v>
      </c>
      <c r="AF242" s="19"/>
    </row>
    <row r="243" spans="1:34">
      <c r="A243" s="19">
        <v>236</v>
      </c>
      <c r="B243" s="19" t="s">
        <v>973</v>
      </c>
      <c r="C243" s="19" t="s">
        <v>408</v>
      </c>
      <c r="D243" s="19" t="str">
        <f>HYPERLINK("http://www.henontech.com/fieldsafety/harzard/harzard_show.php?rid=2641&amp;url=harzardrecs.php","分汽缸上方去除氧器供气阀门漏气，一员工从此处楼梯经过被泄露的蒸汽烫伤面部，送医院救治诊断为浅二度烫伤住院治疗一周回家修养十五天")</f>
        <v>分汽缸上方去除氧器供气阀门漏气，一员工从此处楼梯经过被泄露的蒸汽烫伤面部，送医院救治诊断为浅二度烫伤住院治疗一周回家修养十五天</v>
      </c>
      <c r="E243" s="19" t="s">
        <v>1322</v>
      </c>
      <c r="F243" s="24" t="s">
        <v>588</v>
      </c>
      <c r="G243" s="21" t="s">
        <v>43</v>
      </c>
      <c r="H243" s="19" t="s">
        <v>44</v>
      </c>
      <c r="I243" s="19" t="s">
        <v>45</v>
      </c>
      <c r="J243" s="19" t="s">
        <v>419</v>
      </c>
      <c r="K243" s="19" t="s">
        <v>47</v>
      </c>
      <c r="L243" s="19" t="s">
        <v>48</v>
      </c>
      <c r="M243" s="19" t="s">
        <v>111</v>
      </c>
      <c r="N243" s="19" t="s">
        <v>420</v>
      </c>
      <c r="O243" s="19" t="s">
        <v>111</v>
      </c>
      <c r="P243" s="19" t="s">
        <v>394</v>
      </c>
      <c r="Q243" s="19" t="s">
        <v>1148</v>
      </c>
      <c r="R243" s="19" t="s">
        <v>1323</v>
      </c>
      <c r="S243" s="19" t="s">
        <v>1324</v>
      </c>
      <c r="T243" s="19" t="s">
        <v>54</v>
      </c>
      <c r="U243" s="19" t="s">
        <v>55</v>
      </c>
      <c r="V243" s="19" t="s">
        <v>102</v>
      </c>
      <c r="W243" s="19" t="s">
        <v>103</v>
      </c>
      <c r="X243" s="19" t="s">
        <v>116</v>
      </c>
      <c r="Y243" s="19"/>
      <c r="Z243" s="19" t="s">
        <v>1325</v>
      </c>
      <c r="AA243" s="19">
        <v>1</v>
      </c>
      <c r="AB243" s="19"/>
      <c r="AC243" s="19" t="s">
        <v>594</v>
      </c>
      <c r="AD243" s="19"/>
      <c r="AE243" s="19"/>
      <c r="AF243" s="19"/>
    </row>
    <row r="244" spans="1:34" customHeight="1" ht="42">
      <c r="A244" s="19">
        <v>237</v>
      </c>
      <c r="B244" s="19" t="s">
        <v>1326</v>
      </c>
      <c r="C244" s="19" t="s">
        <v>1073</v>
      </c>
      <c r="D244" s="19" t="str">
        <f>HYPERLINK("http://www.henontech.com/fieldsafety/harzard/harzard_show.php?rid=2647&amp;url=harzardrecs.php","西四潜水泵电源线经过窗户未套管 被窗户挤压线皮破损 有员工经过不慎碰触 触电受伤 住院治疗一个月")</f>
        <v>西四潜水泵电源线经过窗户未套管 被窗户挤压线皮破损 有员工经过不慎碰触 触电受伤 住院治疗一个月</v>
      </c>
      <c r="E244" s="19" t="s">
        <v>1327</v>
      </c>
      <c r="F244" s="20" t="s">
        <v>42</v>
      </c>
      <c r="G244" s="21" t="s">
        <v>43</v>
      </c>
      <c r="H244" s="19" t="s">
        <v>44</v>
      </c>
      <c r="I244" s="19" t="s">
        <v>130</v>
      </c>
      <c r="J244" s="19" t="s">
        <v>158</v>
      </c>
      <c r="K244" s="19" t="s">
        <v>84</v>
      </c>
      <c r="L244" s="19" t="s">
        <v>48</v>
      </c>
      <c r="M244" s="19" t="s">
        <v>529</v>
      </c>
      <c r="N244" s="19" t="s">
        <v>1075</v>
      </c>
      <c r="O244" s="19" t="s">
        <v>529</v>
      </c>
      <c r="P244" s="19" t="s">
        <v>1076</v>
      </c>
      <c r="Q244" s="19" t="s">
        <v>1328</v>
      </c>
      <c r="R244" s="19" t="s">
        <v>1329</v>
      </c>
      <c r="S244" s="19"/>
      <c r="T244" s="19" t="s">
        <v>54</v>
      </c>
      <c r="U244" s="19" t="s">
        <v>55</v>
      </c>
      <c r="V244" s="19" t="s">
        <v>70</v>
      </c>
      <c r="W244" s="19" t="s">
        <v>179</v>
      </c>
      <c r="X244" s="19"/>
      <c r="Y244" s="19"/>
      <c r="Z244" s="19" t="s">
        <v>1330</v>
      </c>
      <c r="AA244" s="19">
        <v>2</v>
      </c>
      <c r="AB244" s="19">
        <v>2</v>
      </c>
      <c r="AC244" s="19" t="s">
        <v>59</v>
      </c>
      <c r="AD244" s="19" t="s">
        <v>1076</v>
      </c>
      <c r="AE244" s="19" t="s">
        <v>1331</v>
      </c>
      <c r="AF244" s="19"/>
    </row>
    <row r="245" spans="1:34" customHeight="1" ht="42">
      <c r="A245" s="19">
        <v>238</v>
      </c>
      <c r="B245" s="19" t="s">
        <v>1326</v>
      </c>
      <c r="C245" s="19" t="s">
        <v>1189</v>
      </c>
      <c r="D245" s="19" t="str">
        <f>HYPERLINK("http://www.henontech.com/fieldsafety/harzard/harzard_show.php?rid=2648&amp;url=harzardrecs.php","东五台阶处照明灯损坏 夜班操作工巡检  不慎摔倒 扭伤脚踝 经简单处理不影响工作")</f>
        <v>东五台阶处照明灯损坏 夜班操作工巡检  不慎摔倒 扭伤脚踝 经简单处理不影响工作</v>
      </c>
      <c r="E245" s="19" t="s">
        <v>1074</v>
      </c>
      <c r="F245" s="20" t="s">
        <v>42</v>
      </c>
      <c r="G245" s="21" t="s">
        <v>43</v>
      </c>
      <c r="H245" s="19" t="s">
        <v>44</v>
      </c>
      <c r="I245" s="19" t="s">
        <v>45</v>
      </c>
      <c r="J245" s="19"/>
      <c r="K245" s="19" t="s">
        <v>99</v>
      </c>
      <c r="L245" s="19" t="s">
        <v>48</v>
      </c>
      <c r="M245" s="19" t="s">
        <v>529</v>
      </c>
      <c r="N245" s="19" t="s">
        <v>1075</v>
      </c>
      <c r="O245" s="19" t="s">
        <v>529</v>
      </c>
      <c r="P245" s="19" t="s">
        <v>1076</v>
      </c>
      <c r="Q245" s="19" t="s">
        <v>1328</v>
      </c>
      <c r="R245" s="19" t="s">
        <v>1332</v>
      </c>
      <c r="S245" s="19"/>
      <c r="T245" s="19" t="s">
        <v>54</v>
      </c>
      <c r="U245" s="19" t="s">
        <v>69</v>
      </c>
      <c r="V245" s="19" t="s">
        <v>70</v>
      </c>
      <c r="W245" s="19" t="s">
        <v>71</v>
      </c>
      <c r="X245" s="19"/>
      <c r="Y245" s="19"/>
      <c r="Z245" s="19" t="s">
        <v>1333</v>
      </c>
      <c r="AA245" s="19">
        <v>2</v>
      </c>
      <c r="AB245" s="19">
        <v>2</v>
      </c>
      <c r="AC245" s="19" t="s">
        <v>59</v>
      </c>
      <c r="AD245" s="19" t="s">
        <v>1076</v>
      </c>
      <c r="AE245" s="19" t="s">
        <v>1331</v>
      </c>
      <c r="AF245" s="19"/>
    </row>
    <row r="246" spans="1:34">
      <c r="A246" s="19">
        <v>239</v>
      </c>
      <c r="B246" s="19" t="s">
        <v>1334</v>
      </c>
      <c r="C246" s="19" t="s">
        <v>1189</v>
      </c>
      <c r="D246" s="19" t="str">
        <f>HYPERLINK("http://www.henontech.com/fieldsafety/harzard/harzard_show.php?rid=2649&amp;url=harzardrecs.php","一名员工在蹬梯作业时，因梯子不稳，滑落摔伤，造成左脚踝关节扭伤，送医院治疗3天，回家休养7天后复工。")</f>
        <v>一名员工在蹬梯作业时，因梯子不稳，滑落摔伤，造成左脚踝关节扭伤，送医院治疗3天，回家休养7天后复工。</v>
      </c>
      <c r="E246" s="19" t="s">
        <v>1335</v>
      </c>
      <c r="F246" s="20" t="s">
        <v>42</v>
      </c>
      <c r="G246" s="22" t="s">
        <v>108</v>
      </c>
      <c r="H246" s="19" t="s">
        <v>44</v>
      </c>
      <c r="I246" s="19" t="s">
        <v>130</v>
      </c>
      <c r="J246" s="19" t="s">
        <v>158</v>
      </c>
      <c r="K246" s="19" t="s">
        <v>184</v>
      </c>
      <c r="L246" s="19" t="s">
        <v>48</v>
      </c>
      <c r="M246" s="19" t="s">
        <v>529</v>
      </c>
      <c r="N246" s="19" t="s">
        <v>1336</v>
      </c>
      <c r="O246" s="19" t="s">
        <v>529</v>
      </c>
      <c r="P246" s="19" t="s">
        <v>920</v>
      </c>
      <c r="Q246" s="19" t="s">
        <v>1337</v>
      </c>
      <c r="R246" s="19" t="s">
        <v>1338</v>
      </c>
      <c r="S246" s="19"/>
      <c r="T246" s="19" t="s">
        <v>54</v>
      </c>
      <c r="U246" s="19" t="s">
        <v>69</v>
      </c>
      <c r="V246" s="19" t="s">
        <v>70</v>
      </c>
      <c r="W246" s="19" t="s">
        <v>71</v>
      </c>
      <c r="X246" s="19"/>
      <c r="Y246" s="19"/>
      <c r="Z246" s="19" t="s">
        <v>1339</v>
      </c>
      <c r="AA246" s="19">
        <v>1</v>
      </c>
      <c r="AB246" s="19">
        <v>1</v>
      </c>
      <c r="AC246" s="19" t="s">
        <v>59</v>
      </c>
      <c r="AD246" s="19" t="s">
        <v>920</v>
      </c>
      <c r="AE246" s="19" t="s">
        <v>1337</v>
      </c>
      <c r="AF246" s="19"/>
    </row>
    <row r="247" spans="1:34">
      <c r="A247" s="19">
        <v>240</v>
      </c>
      <c r="B247" s="19" t="s">
        <v>1334</v>
      </c>
      <c r="C247" s="19" t="s">
        <v>526</v>
      </c>
      <c r="D247" s="19" t="str">
        <f>HYPERLINK("http://www.henontech.com/fieldsafety/harzard/harzard_show.php?rid=2650&amp;url=harzardrecs.php","东五操作室外部电缆桥架与地面距离太近，且无明显警示标志，一名员工路径此处时，不慎头部碰到电缆桥架上，造成颈部受伤，就医检查，造成颈椎轻微损伤，回家修养3天后复工。")</f>
        <v>东五操作室外部电缆桥架与地面距离太近，且无明显警示标志，一名员工路径此处时，不慎头部碰到电缆桥架上，造成颈部受伤，就医检查，造成颈椎轻微损伤，回家修养3天后复工。</v>
      </c>
      <c r="E247" s="19" t="s">
        <v>1340</v>
      </c>
      <c r="F247" s="20" t="s">
        <v>42</v>
      </c>
      <c r="G247" s="22" t="s">
        <v>108</v>
      </c>
      <c r="H247" s="19" t="s">
        <v>44</v>
      </c>
      <c r="I247" s="19" t="s">
        <v>130</v>
      </c>
      <c r="J247" s="19" t="s">
        <v>46</v>
      </c>
      <c r="K247" s="19" t="s">
        <v>99</v>
      </c>
      <c r="L247" s="19" t="s">
        <v>48</v>
      </c>
      <c r="M247" s="19" t="s">
        <v>529</v>
      </c>
      <c r="N247" s="19" t="s">
        <v>1341</v>
      </c>
      <c r="O247" s="19" t="s">
        <v>529</v>
      </c>
      <c r="P247" s="19" t="s">
        <v>920</v>
      </c>
      <c r="Q247" s="19" t="s">
        <v>1337</v>
      </c>
      <c r="R247" s="19" t="s">
        <v>1332</v>
      </c>
      <c r="S247" s="19"/>
      <c r="T247" s="19" t="s">
        <v>54</v>
      </c>
      <c r="U247" s="19" t="s">
        <v>69</v>
      </c>
      <c r="V247" s="19" t="s">
        <v>70</v>
      </c>
      <c r="W247" s="19" t="s">
        <v>71</v>
      </c>
      <c r="X247" s="19"/>
      <c r="Y247" s="19"/>
      <c r="Z247" s="19" t="s">
        <v>1342</v>
      </c>
      <c r="AA247" s="19">
        <v>1</v>
      </c>
      <c r="AB247" s="19">
        <v>1</v>
      </c>
      <c r="AC247" s="19" t="s">
        <v>59</v>
      </c>
      <c r="AD247" s="19" t="s">
        <v>920</v>
      </c>
      <c r="AE247" s="19" t="s">
        <v>1337</v>
      </c>
      <c r="AF247" s="19"/>
    </row>
    <row r="248" spans="1:34">
      <c r="A248" s="19">
        <v>241</v>
      </c>
      <c r="B248" s="19" t="s">
        <v>1334</v>
      </c>
      <c r="C248" s="19" t="s">
        <v>1343</v>
      </c>
      <c r="D248" s="19" t="str">
        <f>HYPERLINK("http://www.henontech.com/fieldsafety/harzard/harzard_show.php?rid=2651&amp;url=harzardrecs.php","一名操作工在打扫班长值班室西侧卫生时，右腿不慎掉入水沟内，造成右腿划伤，送医院检查右腿胫骨骨折，住院20天，休养2个月复工。")</f>
        <v>一名操作工在打扫班长值班室西侧卫生时，右腿不慎掉入水沟内，造成右腿划伤，送医院检查右腿胫骨骨折，住院20天，休养2个月复工。</v>
      </c>
      <c r="E248" s="19" t="s">
        <v>1344</v>
      </c>
      <c r="F248" s="20" t="s">
        <v>42</v>
      </c>
      <c r="G248" s="22" t="s">
        <v>108</v>
      </c>
      <c r="H248" s="19" t="s">
        <v>44</v>
      </c>
      <c r="I248" s="19" t="s">
        <v>130</v>
      </c>
      <c r="J248" s="19" t="s">
        <v>158</v>
      </c>
      <c r="K248" s="19" t="s">
        <v>47</v>
      </c>
      <c r="L248" s="19" t="s">
        <v>48</v>
      </c>
      <c r="M248" s="19" t="s">
        <v>529</v>
      </c>
      <c r="N248" s="19" t="s">
        <v>1345</v>
      </c>
      <c r="O248" s="19" t="s">
        <v>529</v>
      </c>
      <c r="P248" s="19" t="s">
        <v>920</v>
      </c>
      <c r="Q248" s="19" t="s">
        <v>1337</v>
      </c>
      <c r="R248" s="19" t="s">
        <v>1338</v>
      </c>
      <c r="S248" s="19"/>
      <c r="T248" s="19" t="s">
        <v>54</v>
      </c>
      <c r="U248" s="19" t="s">
        <v>69</v>
      </c>
      <c r="V248" s="19" t="s">
        <v>70</v>
      </c>
      <c r="W248" s="19" t="s">
        <v>71</v>
      </c>
      <c r="X248" s="19"/>
      <c r="Y248" s="19"/>
      <c r="Z248" s="19" t="s">
        <v>1346</v>
      </c>
      <c r="AA248" s="19">
        <v>1</v>
      </c>
      <c r="AB248" s="19">
        <v>1</v>
      </c>
      <c r="AC248" s="19" t="s">
        <v>59</v>
      </c>
      <c r="AD248" s="19" t="s">
        <v>920</v>
      </c>
      <c r="AE248" s="19" t="s">
        <v>1337</v>
      </c>
      <c r="AF248" s="19"/>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E1:M1"/>
    <mergeCell ref="E2:M2"/>
    <mergeCell ref="E3:M3"/>
    <mergeCell ref="A4:F4"/>
    <mergeCell ref="G4:S4"/>
    <mergeCell ref="T4:W4"/>
    <mergeCell ref="X4:Y4"/>
    <mergeCell ref="Z4:AF4"/>
    <mergeCell ref="A6:A6"/>
    <mergeCell ref="B6:B6"/>
    <mergeCell ref="C6:C6"/>
    <mergeCell ref="F6:F6"/>
    <mergeCell ref="G6:G6"/>
    <mergeCell ref="H6:H6"/>
    <mergeCell ref="M6:M6"/>
    <mergeCell ref="N6:N6"/>
    <mergeCell ref="O6:O6"/>
    <mergeCell ref="P6:P6"/>
    <mergeCell ref="Q6:Q6"/>
    <mergeCell ref="R6:R6"/>
    <mergeCell ref="S6:S6"/>
    <mergeCell ref="X6:X6"/>
    <mergeCell ref="Y6:Y6"/>
    <mergeCell ref="Z6:Z6"/>
    <mergeCell ref="AA6:AA6"/>
    <mergeCell ref="AB6:AB6"/>
    <mergeCell ref="AC6:AC6"/>
    <mergeCell ref="AD6:AD6"/>
    <mergeCell ref="AE6:AE6"/>
    <mergeCell ref="AF6:AF6"/>
    <mergeCell ref="A7:A7"/>
    <mergeCell ref="B7:B7"/>
    <mergeCell ref="C7:C7"/>
    <mergeCell ref="F7:F7"/>
    <mergeCell ref="G7:G7"/>
    <mergeCell ref="H7:H7"/>
    <mergeCell ref="M7:M7"/>
    <mergeCell ref="N7:N7"/>
    <mergeCell ref="O7:O7"/>
    <mergeCell ref="P7:P7"/>
    <mergeCell ref="Q7:Q7"/>
    <mergeCell ref="R7:R7"/>
    <mergeCell ref="S7:S7"/>
    <mergeCell ref="X7:X7"/>
    <mergeCell ref="Y7:Y7"/>
    <mergeCell ref="Z7:Z7"/>
    <mergeCell ref="AA7:AA7"/>
    <mergeCell ref="AB7:AB7"/>
    <mergeCell ref="AC7:AC7"/>
    <mergeCell ref="AD7:AD7"/>
    <mergeCell ref="AE7:AE7"/>
    <mergeCell ref="AF7:AF7"/>
    <mergeCell ref="A8:A8"/>
    <mergeCell ref="B8:B8"/>
    <mergeCell ref="C8:C8"/>
    <mergeCell ref="F8:F8"/>
    <mergeCell ref="G8:G8"/>
    <mergeCell ref="H8:H8"/>
    <mergeCell ref="M8:M8"/>
    <mergeCell ref="N8:N8"/>
    <mergeCell ref="O8:O8"/>
    <mergeCell ref="P8:P8"/>
    <mergeCell ref="Q8:Q8"/>
    <mergeCell ref="R8:R8"/>
    <mergeCell ref="S8:S8"/>
    <mergeCell ref="X8:X8"/>
    <mergeCell ref="Y8:Y8"/>
    <mergeCell ref="Z8:Z8"/>
    <mergeCell ref="AA8:AA8"/>
    <mergeCell ref="AB8:AB8"/>
    <mergeCell ref="AC8:AC8"/>
    <mergeCell ref="AD8:AD8"/>
    <mergeCell ref="AE8:AE8"/>
    <mergeCell ref="AF8:AF8"/>
    <mergeCell ref="A9:A9"/>
    <mergeCell ref="B9:B9"/>
    <mergeCell ref="C9:C9"/>
    <mergeCell ref="F9:F9"/>
    <mergeCell ref="G9:G9"/>
    <mergeCell ref="H9:H9"/>
    <mergeCell ref="M9:M9"/>
    <mergeCell ref="N9:N9"/>
    <mergeCell ref="O9:O9"/>
    <mergeCell ref="P9:P9"/>
    <mergeCell ref="Q9:Q9"/>
    <mergeCell ref="R9:R9"/>
    <mergeCell ref="S9:S9"/>
    <mergeCell ref="X9:X9"/>
    <mergeCell ref="Y9:Y9"/>
    <mergeCell ref="Z9:Z9"/>
    <mergeCell ref="AA9:AA9"/>
    <mergeCell ref="AB9:AB9"/>
    <mergeCell ref="AC9:AC9"/>
    <mergeCell ref="AD9:AD9"/>
    <mergeCell ref="AE9:AE9"/>
    <mergeCell ref="AF9:AF9"/>
    <mergeCell ref="A10:A10"/>
    <mergeCell ref="B10:B10"/>
    <mergeCell ref="C10:C10"/>
    <mergeCell ref="F10:F10"/>
    <mergeCell ref="G10:G10"/>
    <mergeCell ref="H10:H10"/>
    <mergeCell ref="M10:M10"/>
    <mergeCell ref="N10:N10"/>
    <mergeCell ref="O10:O10"/>
    <mergeCell ref="P10:P10"/>
    <mergeCell ref="Q10:Q10"/>
    <mergeCell ref="R10:R10"/>
    <mergeCell ref="S10:S10"/>
    <mergeCell ref="X10:X10"/>
    <mergeCell ref="Y10:Y10"/>
    <mergeCell ref="Z10:Z10"/>
    <mergeCell ref="AA10:AA10"/>
    <mergeCell ref="AB10:AB10"/>
    <mergeCell ref="AC10:AC10"/>
    <mergeCell ref="AD10:AD10"/>
    <mergeCell ref="AE10:AE10"/>
    <mergeCell ref="AF10:AF10"/>
    <mergeCell ref="A11:A11"/>
    <mergeCell ref="B11:B11"/>
    <mergeCell ref="C11:C11"/>
    <mergeCell ref="F11:F11"/>
    <mergeCell ref="G11:G11"/>
    <mergeCell ref="H11:H11"/>
    <mergeCell ref="M11:M11"/>
    <mergeCell ref="N11:N11"/>
    <mergeCell ref="O11:O11"/>
    <mergeCell ref="P11:P11"/>
    <mergeCell ref="Q11:Q11"/>
    <mergeCell ref="R11:R11"/>
    <mergeCell ref="S11:S11"/>
    <mergeCell ref="X11:X11"/>
    <mergeCell ref="Y11:Y11"/>
    <mergeCell ref="Z11:Z11"/>
    <mergeCell ref="AA11:AA11"/>
    <mergeCell ref="AB11:AB11"/>
    <mergeCell ref="AC11:AC11"/>
    <mergeCell ref="AD11:AD11"/>
    <mergeCell ref="AE11:AE11"/>
    <mergeCell ref="AF11:AF11"/>
    <mergeCell ref="A12:A12"/>
    <mergeCell ref="B12:B12"/>
    <mergeCell ref="C12:C12"/>
    <mergeCell ref="F12:F12"/>
    <mergeCell ref="G12:G12"/>
    <mergeCell ref="H12:H12"/>
    <mergeCell ref="M12:M12"/>
    <mergeCell ref="N12:N12"/>
    <mergeCell ref="O12:O12"/>
    <mergeCell ref="P12:P12"/>
    <mergeCell ref="Q12:Q12"/>
    <mergeCell ref="R12:R12"/>
    <mergeCell ref="S12:S12"/>
    <mergeCell ref="X12:X12"/>
    <mergeCell ref="Y12:Y12"/>
    <mergeCell ref="Z12:Z12"/>
    <mergeCell ref="AA12:AA12"/>
    <mergeCell ref="AB12:AB12"/>
    <mergeCell ref="AC12:AC12"/>
    <mergeCell ref="AD12:AD12"/>
    <mergeCell ref="AE12:AE12"/>
    <mergeCell ref="AF12:AF12"/>
    <mergeCell ref="A13:A13"/>
    <mergeCell ref="B13:B13"/>
    <mergeCell ref="C13:C13"/>
    <mergeCell ref="F13:F13"/>
    <mergeCell ref="G13:G13"/>
    <mergeCell ref="H13:H13"/>
    <mergeCell ref="M13:M13"/>
    <mergeCell ref="N13:N13"/>
    <mergeCell ref="O13:O13"/>
    <mergeCell ref="P13:P13"/>
    <mergeCell ref="Q13:Q13"/>
    <mergeCell ref="R13:R13"/>
    <mergeCell ref="S13:S13"/>
    <mergeCell ref="X13:X13"/>
    <mergeCell ref="Y13:Y13"/>
    <mergeCell ref="Z13:Z13"/>
    <mergeCell ref="AA13:AA13"/>
    <mergeCell ref="AB13:AB13"/>
    <mergeCell ref="AC13:AC13"/>
    <mergeCell ref="AD13:AD13"/>
    <mergeCell ref="AE13:AE13"/>
    <mergeCell ref="AF13:AF13"/>
    <mergeCell ref="A14:A14"/>
    <mergeCell ref="B14:B14"/>
    <mergeCell ref="C14:C14"/>
    <mergeCell ref="F14:F14"/>
    <mergeCell ref="G14:G14"/>
    <mergeCell ref="H14:H14"/>
    <mergeCell ref="M14:M14"/>
    <mergeCell ref="N14:N14"/>
    <mergeCell ref="O14:O14"/>
    <mergeCell ref="P14:P14"/>
    <mergeCell ref="Q14:Q14"/>
    <mergeCell ref="R14:R14"/>
    <mergeCell ref="S14:S14"/>
    <mergeCell ref="X14:X14"/>
    <mergeCell ref="Y14:Y14"/>
    <mergeCell ref="Z14:Z14"/>
    <mergeCell ref="AA14:AA14"/>
    <mergeCell ref="AB14:AB14"/>
    <mergeCell ref="AC14:AC14"/>
    <mergeCell ref="AD14:AD14"/>
    <mergeCell ref="AE14:AE14"/>
    <mergeCell ref="AF14:AF14"/>
    <mergeCell ref="A15:A15"/>
    <mergeCell ref="B15:B15"/>
    <mergeCell ref="C15:C15"/>
    <mergeCell ref="F15:F15"/>
    <mergeCell ref="G15:G15"/>
    <mergeCell ref="H15:H15"/>
    <mergeCell ref="M15:M15"/>
    <mergeCell ref="N15:N15"/>
    <mergeCell ref="O15:O15"/>
    <mergeCell ref="P15:P15"/>
    <mergeCell ref="Q15:Q15"/>
    <mergeCell ref="R15:R15"/>
    <mergeCell ref="S15:S15"/>
    <mergeCell ref="X15:X15"/>
    <mergeCell ref="Y15:Y15"/>
    <mergeCell ref="Z15:Z15"/>
    <mergeCell ref="AA15:AA15"/>
    <mergeCell ref="AB15:AB15"/>
    <mergeCell ref="AC15:AC15"/>
    <mergeCell ref="AD15:AD15"/>
    <mergeCell ref="AE15:AE15"/>
    <mergeCell ref="AF15:AF15"/>
    <mergeCell ref="A16:A16"/>
    <mergeCell ref="B16:B16"/>
    <mergeCell ref="C16:C16"/>
    <mergeCell ref="F16:F16"/>
    <mergeCell ref="G16:G16"/>
    <mergeCell ref="H16:H16"/>
    <mergeCell ref="M16:M16"/>
    <mergeCell ref="N16:N16"/>
    <mergeCell ref="O16:O16"/>
    <mergeCell ref="P16:P16"/>
    <mergeCell ref="Q16:Q16"/>
    <mergeCell ref="R16:R16"/>
    <mergeCell ref="S16:S16"/>
    <mergeCell ref="X16:X16"/>
    <mergeCell ref="Y16:Y16"/>
    <mergeCell ref="Z16:Z16"/>
    <mergeCell ref="AA16:AA16"/>
    <mergeCell ref="AB16:AB16"/>
    <mergeCell ref="AC16:AC16"/>
    <mergeCell ref="AD16:AD16"/>
    <mergeCell ref="AE16:AE16"/>
    <mergeCell ref="AF16:AF16"/>
    <mergeCell ref="A17:A17"/>
    <mergeCell ref="B17:B17"/>
    <mergeCell ref="C17:C17"/>
    <mergeCell ref="F17:F17"/>
    <mergeCell ref="G17:G17"/>
    <mergeCell ref="H17:H17"/>
    <mergeCell ref="M17:M17"/>
    <mergeCell ref="N17:N17"/>
    <mergeCell ref="O17:O17"/>
    <mergeCell ref="P17:P17"/>
    <mergeCell ref="Q17:Q17"/>
    <mergeCell ref="R17:R17"/>
    <mergeCell ref="S17:S17"/>
    <mergeCell ref="X17:X17"/>
    <mergeCell ref="Y17:Y17"/>
    <mergeCell ref="Z17:Z17"/>
    <mergeCell ref="AA17:AA17"/>
    <mergeCell ref="AB17:AB17"/>
    <mergeCell ref="AC17:AC17"/>
    <mergeCell ref="AD17:AD17"/>
    <mergeCell ref="AE17:AE17"/>
    <mergeCell ref="AF17:AF17"/>
    <mergeCell ref="A18:A18"/>
    <mergeCell ref="B18:B18"/>
    <mergeCell ref="C18:C18"/>
    <mergeCell ref="F18:F18"/>
    <mergeCell ref="G18:G18"/>
    <mergeCell ref="H18:H18"/>
    <mergeCell ref="M18:M18"/>
    <mergeCell ref="N18:N18"/>
    <mergeCell ref="O18:O18"/>
    <mergeCell ref="P18:P18"/>
    <mergeCell ref="Q18:Q18"/>
    <mergeCell ref="R18:R18"/>
    <mergeCell ref="S18:S18"/>
    <mergeCell ref="X18:X18"/>
    <mergeCell ref="Y18:Y18"/>
    <mergeCell ref="Z18:Z18"/>
    <mergeCell ref="AA18:AA18"/>
    <mergeCell ref="AB18:AB18"/>
    <mergeCell ref="AC18:AC18"/>
    <mergeCell ref="AD18:AD18"/>
    <mergeCell ref="AE18:AE18"/>
    <mergeCell ref="AF18:AF18"/>
    <mergeCell ref="A19:A19"/>
    <mergeCell ref="B19:B19"/>
    <mergeCell ref="C19:C19"/>
    <mergeCell ref="F19:F19"/>
    <mergeCell ref="G19:G19"/>
    <mergeCell ref="H19:H19"/>
    <mergeCell ref="M19:M19"/>
    <mergeCell ref="N19:N19"/>
    <mergeCell ref="O19:O19"/>
    <mergeCell ref="P19:P19"/>
    <mergeCell ref="Q19:Q19"/>
    <mergeCell ref="R19:R19"/>
    <mergeCell ref="S19:S19"/>
    <mergeCell ref="X19:X19"/>
    <mergeCell ref="Y19:Y19"/>
    <mergeCell ref="Z19:Z19"/>
    <mergeCell ref="AA19:AA19"/>
    <mergeCell ref="AB19:AB19"/>
    <mergeCell ref="AC19:AC19"/>
    <mergeCell ref="AD19:AD19"/>
    <mergeCell ref="AE19:AE19"/>
    <mergeCell ref="AF19:AF19"/>
    <mergeCell ref="A20:A20"/>
    <mergeCell ref="B20:B20"/>
    <mergeCell ref="C20:C20"/>
    <mergeCell ref="F20:F20"/>
    <mergeCell ref="G20:G20"/>
    <mergeCell ref="H20:H20"/>
    <mergeCell ref="M20:M20"/>
    <mergeCell ref="N20:N20"/>
    <mergeCell ref="O20:O20"/>
    <mergeCell ref="P20:P20"/>
    <mergeCell ref="Q20:Q20"/>
    <mergeCell ref="R20:R20"/>
    <mergeCell ref="S20:S20"/>
    <mergeCell ref="X20:X20"/>
    <mergeCell ref="Y20:Y20"/>
    <mergeCell ref="Z20:Z20"/>
    <mergeCell ref="AA20:AA20"/>
    <mergeCell ref="AB20:AB20"/>
    <mergeCell ref="AC20:AC20"/>
    <mergeCell ref="AD20:AD20"/>
    <mergeCell ref="AE20:AE20"/>
    <mergeCell ref="AF20:AF20"/>
    <mergeCell ref="A21:A21"/>
    <mergeCell ref="B21:B21"/>
    <mergeCell ref="C21:C21"/>
    <mergeCell ref="F21:F21"/>
    <mergeCell ref="G21:G21"/>
    <mergeCell ref="H21:H21"/>
    <mergeCell ref="M21:M21"/>
    <mergeCell ref="N21:N21"/>
    <mergeCell ref="O21:O21"/>
    <mergeCell ref="P21:P21"/>
    <mergeCell ref="Q21:Q21"/>
    <mergeCell ref="R21:R21"/>
    <mergeCell ref="S21:S21"/>
    <mergeCell ref="X21:X21"/>
    <mergeCell ref="Y21:Y21"/>
    <mergeCell ref="Z21:Z21"/>
    <mergeCell ref="AA21:AA21"/>
    <mergeCell ref="AB21:AB21"/>
    <mergeCell ref="AC21:AC21"/>
    <mergeCell ref="AD21:AD21"/>
    <mergeCell ref="AE21:AE21"/>
    <mergeCell ref="AF21:AF21"/>
    <mergeCell ref="A22:A22"/>
    <mergeCell ref="B22:B22"/>
    <mergeCell ref="C22:C22"/>
    <mergeCell ref="F22:F22"/>
    <mergeCell ref="G22:G22"/>
    <mergeCell ref="H22:H22"/>
    <mergeCell ref="M22:M22"/>
    <mergeCell ref="N22:N22"/>
    <mergeCell ref="O22:O22"/>
    <mergeCell ref="P22:P22"/>
    <mergeCell ref="Q22:Q22"/>
    <mergeCell ref="R22:R22"/>
    <mergeCell ref="S22:S22"/>
    <mergeCell ref="X22:X22"/>
    <mergeCell ref="Y22:Y22"/>
    <mergeCell ref="Z22:Z22"/>
    <mergeCell ref="AA22:AA22"/>
    <mergeCell ref="AB22:AB22"/>
    <mergeCell ref="AC22:AC22"/>
    <mergeCell ref="AD22:AD22"/>
    <mergeCell ref="AE22:AE22"/>
    <mergeCell ref="AF22:AF22"/>
    <mergeCell ref="A23:A23"/>
    <mergeCell ref="B23:B23"/>
    <mergeCell ref="C23:C23"/>
    <mergeCell ref="F23:F23"/>
    <mergeCell ref="G23:G23"/>
    <mergeCell ref="H23:H23"/>
    <mergeCell ref="M23:M23"/>
    <mergeCell ref="N23:N23"/>
    <mergeCell ref="O23:O23"/>
    <mergeCell ref="P23:P23"/>
    <mergeCell ref="Q23:Q23"/>
    <mergeCell ref="R23:R23"/>
    <mergeCell ref="S23:S23"/>
    <mergeCell ref="X23:X23"/>
    <mergeCell ref="Y23:Y23"/>
    <mergeCell ref="Z23:Z23"/>
    <mergeCell ref="AA23:AA23"/>
    <mergeCell ref="AB23:AB23"/>
    <mergeCell ref="AC23:AC23"/>
    <mergeCell ref="AD23:AD23"/>
    <mergeCell ref="AE23:AE23"/>
    <mergeCell ref="AF23:AF23"/>
    <mergeCell ref="A24:A24"/>
    <mergeCell ref="B24:B24"/>
    <mergeCell ref="C24:C24"/>
    <mergeCell ref="F24:F24"/>
    <mergeCell ref="G24:G24"/>
    <mergeCell ref="H24:H24"/>
    <mergeCell ref="M24:M24"/>
    <mergeCell ref="N24:N24"/>
    <mergeCell ref="O24:O24"/>
    <mergeCell ref="P24:P24"/>
    <mergeCell ref="Q24:Q24"/>
    <mergeCell ref="R24:R24"/>
    <mergeCell ref="S24:S24"/>
    <mergeCell ref="X24:X24"/>
    <mergeCell ref="Y24:Y24"/>
    <mergeCell ref="Z24:Z24"/>
    <mergeCell ref="AA24:AA24"/>
    <mergeCell ref="AB24:AB24"/>
    <mergeCell ref="AC24:AC24"/>
    <mergeCell ref="AD24:AD24"/>
    <mergeCell ref="AE24:AE24"/>
    <mergeCell ref="AF24:AF24"/>
    <mergeCell ref="A25:A25"/>
    <mergeCell ref="B25:B25"/>
    <mergeCell ref="C25:C25"/>
    <mergeCell ref="F25:F25"/>
    <mergeCell ref="G25:G25"/>
    <mergeCell ref="H25:H25"/>
    <mergeCell ref="M25:M25"/>
    <mergeCell ref="N25:N25"/>
    <mergeCell ref="O25:O25"/>
    <mergeCell ref="P25:P25"/>
    <mergeCell ref="Q25:Q25"/>
    <mergeCell ref="R25:R25"/>
    <mergeCell ref="S25:S25"/>
    <mergeCell ref="X25:X25"/>
    <mergeCell ref="Y25:Y25"/>
    <mergeCell ref="Z25:Z25"/>
    <mergeCell ref="AA25:AA25"/>
    <mergeCell ref="AB25:AB25"/>
    <mergeCell ref="AC25:AC25"/>
    <mergeCell ref="AD25:AD25"/>
    <mergeCell ref="AE25:AE25"/>
    <mergeCell ref="AF25:AF25"/>
    <mergeCell ref="A26:A26"/>
    <mergeCell ref="B26:B26"/>
    <mergeCell ref="C26:C26"/>
    <mergeCell ref="F26:F26"/>
    <mergeCell ref="G26:G26"/>
    <mergeCell ref="H26:H26"/>
    <mergeCell ref="M26:M26"/>
    <mergeCell ref="N26:N26"/>
    <mergeCell ref="O26:O26"/>
    <mergeCell ref="P26:P26"/>
    <mergeCell ref="Q26:Q26"/>
    <mergeCell ref="R26:R26"/>
    <mergeCell ref="S26:S26"/>
    <mergeCell ref="X26:X26"/>
    <mergeCell ref="Y26:Y26"/>
    <mergeCell ref="Z26:Z26"/>
    <mergeCell ref="AA26:AA26"/>
    <mergeCell ref="AB26:AB26"/>
    <mergeCell ref="AC26:AC26"/>
    <mergeCell ref="AD26:AD26"/>
    <mergeCell ref="AE26:AE26"/>
    <mergeCell ref="AF26:AF26"/>
    <mergeCell ref="A27:A27"/>
    <mergeCell ref="B27:B27"/>
    <mergeCell ref="C27:C27"/>
    <mergeCell ref="F27:F27"/>
    <mergeCell ref="G27:G27"/>
    <mergeCell ref="H27:H27"/>
    <mergeCell ref="M27:M27"/>
    <mergeCell ref="N27:N27"/>
    <mergeCell ref="O27:O27"/>
    <mergeCell ref="P27:P27"/>
    <mergeCell ref="Q27:Q27"/>
    <mergeCell ref="R27:R27"/>
    <mergeCell ref="S27:S27"/>
    <mergeCell ref="X27:X27"/>
    <mergeCell ref="Y27:Y27"/>
    <mergeCell ref="Z27:Z27"/>
    <mergeCell ref="AA27:AA27"/>
    <mergeCell ref="AB27:AB27"/>
    <mergeCell ref="AC27:AC27"/>
    <mergeCell ref="AD27:AD27"/>
    <mergeCell ref="AE27:AE27"/>
    <mergeCell ref="AF27:AF27"/>
    <mergeCell ref="A28:A28"/>
    <mergeCell ref="B28:B28"/>
    <mergeCell ref="C28:C28"/>
    <mergeCell ref="F28:F28"/>
    <mergeCell ref="G28:G28"/>
    <mergeCell ref="H28:H28"/>
    <mergeCell ref="M28:M28"/>
    <mergeCell ref="N28:N28"/>
    <mergeCell ref="O28:O28"/>
    <mergeCell ref="P28:P28"/>
    <mergeCell ref="Q28:Q28"/>
    <mergeCell ref="R28:R28"/>
    <mergeCell ref="S28:S28"/>
    <mergeCell ref="X28:X28"/>
    <mergeCell ref="Y28:Y28"/>
    <mergeCell ref="Z28:Z28"/>
    <mergeCell ref="AA28:AA28"/>
    <mergeCell ref="AB28:AB28"/>
    <mergeCell ref="AC28:AC28"/>
    <mergeCell ref="AD28:AD28"/>
    <mergeCell ref="AE28:AE28"/>
    <mergeCell ref="AF28:AF28"/>
    <mergeCell ref="A29:A29"/>
    <mergeCell ref="B29:B29"/>
    <mergeCell ref="C29:C29"/>
    <mergeCell ref="F29:F29"/>
    <mergeCell ref="G29:G29"/>
    <mergeCell ref="H29:H29"/>
    <mergeCell ref="M29:M29"/>
    <mergeCell ref="N29:N29"/>
    <mergeCell ref="O29:O29"/>
    <mergeCell ref="P29:P29"/>
    <mergeCell ref="Q29:Q29"/>
    <mergeCell ref="R29:R29"/>
    <mergeCell ref="S29:S29"/>
    <mergeCell ref="X29:X29"/>
    <mergeCell ref="Y29:Y29"/>
    <mergeCell ref="Z29:Z29"/>
    <mergeCell ref="AA29:AA29"/>
    <mergeCell ref="AB29:AB29"/>
    <mergeCell ref="AC29:AC29"/>
    <mergeCell ref="AD29:AD29"/>
    <mergeCell ref="AE29:AE29"/>
    <mergeCell ref="AF29:AF29"/>
    <mergeCell ref="A30:A30"/>
    <mergeCell ref="B30:B30"/>
    <mergeCell ref="C30:C30"/>
    <mergeCell ref="F30:F30"/>
    <mergeCell ref="G30:G30"/>
    <mergeCell ref="H30:H30"/>
    <mergeCell ref="M30:M30"/>
    <mergeCell ref="N30:N30"/>
    <mergeCell ref="O30:O30"/>
    <mergeCell ref="P30:P30"/>
    <mergeCell ref="Q30:Q30"/>
    <mergeCell ref="R30:R30"/>
    <mergeCell ref="S30:S30"/>
    <mergeCell ref="X30:X30"/>
    <mergeCell ref="Y30:Y30"/>
    <mergeCell ref="Z30:Z30"/>
    <mergeCell ref="AA30:AA30"/>
    <mergeCell ref="AB30:AB30"/>
    <mergeCell ref="AC30:AC30"/>
    <mergeCell ref="AD30:AD30"/>
    <mergeCell ref="AE30:AE30"/>
    <mergeCell ref="AF30:AF30"/>
    <mergeCell ref="A31:A31"/>
    <mergeCell ref="B31:B31"/>
    <mergeCell ref="C31:C31"/>
    <mergeCell ref="F31:F31"/>
    <mergeCell ref="G31:G31"/>
    <mergeCell ref="H31:H31"/>
    <mergeCell ref="M31:M31"/>
    <mergeCell ref="N31:N31"/>
    <mergeCell ref="O31:O31"/>
    <mergeCell ref="P31:P31"/>
    <mergeCell ref="Q31:Q31"/>
    <mergeCell ref="R31:R31"/>
    <mergeCell ref="S31:S31"/>
    <mergeCell ref="X31:X31"/>
    <mergeCell ref="Y31:Y31"/>
    <mergeCell ref="Z31:Z31"/>
    <mergeCell ref="AA31:AA31"/>
    <mergeCell ref="AB31:AB31"/>
    <mergeCell ref="AC31:AC31"/>
    <mergeCell ref="AD31:AD31"/>
    <mergeCell ref="AE31:AE31"/>
    <mergeCell ref="AF31:AF31"/>
    <mergeCell ref="A32:A32"/>
    <mergeCell ref="B32:B32"/>
    <mergeCell ref="C32:C32"/>
    <mergeCell ref="F32:F32"/>
    <mergeCell ref="G32:G32"/>
    <mergeCell ref="H32:H32"/>
    <mergeCell ref="M32:M32"/>
    <mergeCell ref="N32:N32"/>
    <mergeCell ref="O32:O32"/>
    <mergeCell ref="P32:P32"/>
    <mergeCell ref="Q32:Q32"/>
    <mergeCell ref="R32:R32"/>
    <mergeCell ref="S32:S32"/>
    <mergeCell ref="X32:X32"/>
    <mergeCell ref="Y32:Y32"/>
    <mergeCell ref="Z32:Z32"/>
    <mergeCell ref="AA32:AA32"/>
    <mergeCell ref="AB32:AB32"/>
    <mergeCell ref="AC32:AC32"/>
    <mergeCell ref="AD32:AD32"/>
    <mergeCell ref="AE32:AE32"/>
    <mergeCell ref="AF32:AF32"/>
    <mergeCell ref="A33:A33"/>
    <mergeCell ref="B33:B33"/>
    <mergeCell ref="C33:C33"/>
    <mergeCell ref="F33:F33"/>
    <mergeCell ref="G33:G33"/>
    <mergeCell ref="H33:H33"/>
    <mergeCell ref="M33:M33"/>
    <mergeCell ref="N33:N33"/>
    <mergeCell ref="O33:O33"/>
    <mergeCell ref="P33:P33"/>
    <mergeCell ref="Q33:Q33"/>
    <mergeCell ref="R33:R33"/>
    <mergeCell ref="S33:S33"/>
    <mergeCell ref="X33:X33"/>
    <mergeCell ref="Y33:Y33"/>
    <mergeCell ref="Z33:Z33"/>
    <mergeCell ref="AA33:AA33"/>
    <mergeCell ref="AB33:AB33"/>
    <mergeCell ref="AC33:AC33"/>
    <mergeCell ref="AD33:AD33"/>
    <mergeCell ref="AE33:AE33"/>
    <mergeCell ref="AF33:AF33"/>
    <mergeCell ref="A34:A34"/>
    <mergeCell ref="B34:B34"/>
    <mergeCell ref="C34:C34"/>
    <mergeCell ref="F34:F34"/>
    <mergeCell ref="G34:G34"/>
    <mergeCell ref="H34:H34"/>
    <mergeCell ref="M34:M34"/>
    <mergeCell ref="N34:N34"/>
    <mergeCell ref="O34:O34"/>
    <mergeCell ref="P34:P34"/>
    <mergeCell ref="Q34:Q34"/>
    <mergeCell ref="R34:R34"/>
    <mergeCell ref="S34:S34"/>
    <mergeCell ref="X34:X34"/>
    <mergeCell ref="Y34:Y34"/>
    <mergeCell ref="Z34:Z34"/>
    <mergeCell ref="AA34:AA34"/>
    <mergeCell ref="AB34:AB34"/>
    <mergeCell ref="AC34:AC34"/>
    <mergeCell ref="AD34:AD34"/>
    <mergeCell ref="AE34:AE34"/>
    <mergeCell ref="AF34:AF34"/>
    <mergeCell ref="A35:A35"/>
    <mergeCell ref="B35:B35"/>
    <mergeCell ref="C35:C35"/>
    <mergeCell ref="F35:F35"/>
    <mergeCell ref="G35:G35"/>
    <mergeCell ref="H35:H35"/>
    <mergeCell ref="M35:M35"/>
    <mergeCell ref="N35:N35"/>
    <mergeCell ref="O35:O35"/>
    <mergeCell ref="P35:P35"/>
    <mergeCell ref="Q35:Q35"/>
    <mergeCell ref="R35:R35"/>
    <mergeCell ref="S35:S35"/>
    <mergeCell ref="X35:X35"/>
    <mergeCell ref="Y35:Y35"/>
    <mergeCell ref="Z35:Z35"/>
    <mergeCell ref="AA35:AA35"/>
    <mergeCell ref="AB35:AB35"/>
    <mergeCell ref="AC35:AC35"/>
    <mergeCell ref="AD35:AD35"/>
    <mergeCell ref="AE35:AE35"/>
    <mergeCell ref="AF35:AF35"/>
    <mergeCell ref="A36:A36"/>
    <mergeCell ref="B36:B36"/>
    <mergeCell ref="C36:C36"/>
    <mergeCell ref="F36:F36"/>
    <mergeCell ref="G36:G36"/>
    <mergeCell ref="H36:H36"/>
    <mergeCell ref="M36:M36"/>
    <mergeCell ref="N36:N36"/>
    <mergeCell ref="O36:O36"/>
    <mergeCell ref="P36:P36"/>
    <mergeCell ref="Q36:Q36"/>
    <mergeCell ref="R36:R36"/>
    <mergeCell ref="S36:S36"/>
    <mergeCell ref="X36:X36"/>
    <mergeCell ref="Y36:Y36"/>
    <mergeCell ref="Z36:Z36"/>
    <mergeCell ref="AA36:AA36"/>
    <mergeCell ref="AB36:AB36"/>
    <mergeCell ref="AC36:AC36"/>
    <mergeCell ref="AD36:AD36"/>
    <mergeCell ref="AE36:AE36"/>
    <mergeCell ref="AF36:AF36"/>
    <mergeCell ref="A37:A37"/>
    <mergeCell ref="B37:B37"/>
    <mergeCell ref="C37:C37"/>
    <mergeCell ref="F37:F37"/>
    <mergeCell ref="G37:G37"/>
    <mergeCell ref="H37:H37"/>
    <mergeCell ref="M37:M37"/>
    <mergeCell ref="N37:N37"/>
    <mergeCell ref="O37:O37"/>
    <mergeCell ref="P37:P37"/>
    <mergeCell ref="Q37:Q37"/>
    <mergeCell ref="R37:R37"/>
    <mergeCell ref="S37:S37"/>
    <mergeCell ref="X37:X37"/>
    <mergeCell ref="Y37:Y37"/>
    <mergeCell ref="Z37:Z37"/>
    <mergeCell ref="AA37:AA37"/>
    <mergeCell ref="AB37:AB37"/>
    <mergeCell ref="AC37:AC37"/>
    <mergeCell ref="AD37:AD37"/>
    <mergeCell ref="AE37:AE37"/>
    <mergeCell ref="AF37:AF37"/>
    <mergeCell ref="A38:A38"/>
    <mergeCell ref="B38:B38"/>
    <mergeCell ref="C38:C38"/>
    <mergeCell ref="F38:F38"/>
    <mergeCell ref="G38:G38"/>
    <mergeCell ref="H38:H38"/>
    <mergeCell ref="M38:M38"/>
    <mergeCell ref="N38:N38"/>
    <mergeCell ref="O38:O38"/>
    <mergeCell ref="P38:P38"/>
    <mergeCell ref="Q38:Q38"/>
    <mergeCell ref="R38:R38"/>
    <mergeCell ref="S38:S38"/>
    <mergeCell ref="X38:X38"/>
    <mergeCell ref="Y38:Y38"/>
    <mergeCell ref="Z38:Z38"/>
    <mergeCell ref="AA38:AA38"/>
    <mergeCell ref="AB38:AB38"/>
    <mergeCell ref="AC38:AC38"/>
    <mergeCell ref="AD38:AD38"/>
    <mergeCell ref="AE38:AE38"/>
    <mergeCell ref="AF38:AF38"/>
    <mergeCell ref="A39:A39"/>
    <mergeCell ref="B39:B39"/>
    <mergeCell ref="C39:C39"/>
    <mergeCell ref="F39:F39"/>
    <mergeCell ref="G39:G39"/>
    <mergeCell ref="H39:H39"/>
    <mergeCell ref="M39:M39"/>
    <mergeCell ref="N39:N39"/>
    <mergeCell ref="O39:O39"/>
    <mergeCell ref="P39:P39"/>
    <mergeCell ref="Q39:Q39"/>
    <mergeCell ref="R39:R39"/>
    <mergeCell ref="S39:S39"/>
    <mergeCell ref="X39:X39"/>
    <mergeCell ref="Y39:Y39"/>
    <mergeCell ref="Z39:Z39"/>
    <mergeCell ref="AA39:AA39"/>
    <mergeCell ref="AB39:AB39"/>
    <mergeCell ref="AC39:AC39"/>
    <mergeCell ref="AD39:AD39"/>
    <mergeCell ref="AE39:AE39"/>
    <mergeCell ref="AF39:AF39"/>
    <mergeCell ref="A40:A40"/>
    <mergeCell ref="B40:B40"/>
    <mergeCell ref="C40:C40"/>
    <mergeCell ref="F40:F40"/>
    <mergeCell ref="G40:G40"/>
    <mergeCell ref="H40:H40"/>
    <mergeCell ref="M40:M40"/>
    <mergeCell ref="N40:N40"/>
    <mergeCell ref="O40:O40"/>
    <mergeCell ref="P40:P40"/>
    <mergeCell ref="Q40:Q40"/>
    <mergeCell ref="R40:R40"/>
    <mergeCell ref="S40:S40"/>
    <mergeCell ref="X40:X40"/>
    <mergeCell ref="Y40:Y40"/>
    <mergeCell ref="Z40:Z40"/>
    <mergeCell ref="AA40:AA40"/>
    <mergeCell ref="AB40:AB40"/>
    <mergeCell ref="AC40:AC40"/>
    <mergeCell ref="AD40:AD40"/>
    <mergeCell ref="AE40:AE40"/>
    <mergeCell ref="AF40:AF40"/>
    <mergeCell ref="A41:A41"/>
    <mergeCell ref="B41:B41"/>
    <mergeCell ref="C41:C41"/>
    <mergeCell ref="F41:F41"/>
    <mergeCell ref="G41:G41"/>
    <mergeCell ref="H41:H41"/>
    <mergeCell ref="M41:M41"/>
    <mergeCell ref="N41:N41"/>
    <mergeCell ref="O41:O41"/>
    <mergeCell ref="P41:P41"/>
    <mergeCell ref="Q41:Q41"/>
    <mergeCell ref="R41:R41"/>
    <mergeCell ref="S41:S41"/>
    <mergeCell ref="X41:X41"/>
    <mergeCell ref="Y41:Y41"/>
    <mergeCell ref="Z41:Z41"/>
    <mergeCell ref="AA41:AA41"/>
    <mergeCell ref="AB41:AB41"/>
    <mergeCell ref="AC41:AC41"/>
    <mergeCell ref="AD41:AD41"/>
    <mergeCell ref="AE41:AE41"/>
    <mergeCell ref="AF41:AF41"/>
    <mergeCell ref="A42:A42"/>
    <mergeCell ref="B42:B42"/>
    <mergeCell ref="C42:C42"/>
    <mergeCell ref="F42:F42"/>
    <mergeCell ref="G42:G42"/>
    <mergeCell ref="H42:H42"/>
    <mergeCell ref="M42:M42"/>
    <mergeCell ref="N42:N42"/>
    <mergeCell ref="O42:O42"/>
    <mergeCell ref="P42:P42"/>
    <mergeCell ref="Q42:Q42"/>
    <mergeCell ref="R42:R42"/>
    <mergeCell ref="S42:S42"/>
    <mergeCell ref="X42:X42"/>
    <mergeCell ref="Y42:Y42"/>
    <mergeCell ref="Z42:Z42"/>
    <mergeCell ref="AA42:AA42"/>
    <mergeCell ref="AB42:AB42"/>
    <mergeCell ref="AC42:AC42"/>
    <mergeCell ref="AD42:AD42"/>
    <mergeCell ref="AE42:AE42"/>
    <mergeCell ref="AF42:AF42"/>
    <mergeCell ref="A43:A43"/>
    <mergeCell ref="B43:B43"/>
    <mergeCell ref="C43:C43"/>
    <mergeCell ref="F43:F43"/>
    <mergeCell ref="G43:G43"/>
    <mergeCell ref="H43:H43"/>
    <mergeCell ref="M43:M43"/>
    <mergeCell ref="N43:N43"/>
    <mergeCell ref="O43:O43"/>
    <mergeCell ref="P43:P43"/>
    <mergeCell ref="Q43:Q43"/>
    <mergeCell ref="R43:R43"/>
    <mergeCell ref="S43:S43"/>
    <mergeCell ref="X43:X43"/>
    <mergeCell ref="Y43:Y43"/>
    <mergeCell ref="Z43:Z43"/>
    <mergeCell ref="AA43:AA43"/>
    <mergeCell ref="AB43:AB43"/>
    <mergeCell ref="AC43:AC43"/>
    <mergeCell ref="AD43:AD43"/>
    <mergeCell ref="AE43:AE43"/>
    <mergeCell ref="AF43:AF43"/>
    <mergeCell ref="A44:A44"/>
    <mergeCell ref="B44:B44"/>
    <mergeCell ref="C44:C44"/>
    <mergeCell ref="F44:F44"/>
    <mergeCell ref="G44:G44"/>
    <mergeCell ref="H44:H44"/>
    <mergeCell ref="M44:M44"/>
    <mergeCell ref="N44:N44"/>
    <mergeCell ref="O44:O44"/>
    <mergeCell ref="P44:P44"/>
    <mergeCell ref="Q44:Q44"/>
    <mergeCell ref="R44:R44"/>
    <mergeCell ref="S44:S44"/>
    <mergeCell ref="X44:X44"/>
    <mergeCell ref="Y44:Y44"/>
    <mergeCell ref="Z44:Z44"/>
    <mergeCell ref="AA44:AA44"/>
    <mergeCell ref="AB44:AB44"/>
    <mergeCell ref="AC44:AC44"/>
    <mergeCell ref="AD44:AD44"/>
    <mergeCell ref="AE44:AE44"/>
    <mergeCell ref="AF44:AF44"/>
    <mergeCell ref="A45:A45"/>
    <mergeCell ref="B45:B45"/>
    <mergeCell ref="C45:C45"/>
    <mergeCell ref="F45:F45"/>
    <mergeCell ref="G45:G45"/>
    <mergeCell ref="H45:H45"/>
    <mergeCell ref="M45:M45"/>
    <mergeCell ref="N45:N45"/>
    <mergeCell ref="O45:O45"/>
    <mergeCell ref="P45:P45"/>
    <mergeCell ref="Q45:Q45"/>
    <mergeCell ref="R45:R45"/>
    <mergeCell ref="S45:S45"/>
    <mergeCell ref="X45:X45"/>
    <mergeCell ref="Y45:Y45"/>
    <mergeCell ref="Z45:Z45"/>
    <mergeCell ref="AA45:AA45"/>
    <mergeCell ref="AB45:AB45"/>
    <mergeCell ref="AC45:AC45"/>
    <mergeCell ref="AD45:AD45"/>
    <mergeCell ref="AE45:AE45"/>
    <mergeCell ref="AF45:AF45"/>
    <mergeCell ref="A46:A46"/>
    <mergeCell ref="B46:B46"/>
    <mergeCell ref="C46:C46"/>
    <mergeCell ref="F46:F46"/>
    <mergeCell ref="G46:G46"/>
    <mergeCell ref="H46:H46"/>
    <mergeCell ref="M46:M46"/>
    <mergeCell ref="N46:N46"/>
    <mergeCell ref="O46:O46"/>
    <mergeCell ref="P46:P46"/>
    <mergeCell ref="Q46:Q46"/>
    <mergeCell ref="R46:R46"/>
    <mergeCell ref="S46:S46"/>
    <mergeCell ref="X46:X46"/>
    <mergeCell ref="Y46:Y46"/>
    <mergeCell ref="Z46:Z46"/>
    <mergeCell ref="AA46:AA46"/>
    <mergeCell ref="AB46:AB46"/>
    <mergeCell ref="AC46:AC46"/>
    <mergeCell ref="AD46:AD46"/>
    <mergeCell ref="AE46:AE46"/>
    <mergeCell ref="AF46:AF46"/>
    <mergeCell ref="A47:A47"/>
    <mergeCell ref="B47:B47"/>
    <mergeCell ref="C47:C47"/>
    <mergeCell ref="F47:F47"/>
    <mergeCell ref="G47:G47"/>
    <mergeCell ref="H47:H47"/>
    <mergeCell ref="M47:M47"/>
    <mergeCell ref="N47:N47"/>
    <mergeCell ref="O47:O47"/>
    <mergeCell ref="P47:P47"/>
    <mergeCell ref="Q47:Q47"/>
    <mergeCell ref="R47:R47"/>
    <mergeCell ref="S47:S47"/>
    <mergeCell ref="X47:X47"/>
    <mergeCell ref="Y47:Y47"/>
    <mergeCell ref="Z47:Z47"/>
    <mergeCell ref="AA47:AA47"/>
    <mergeCell ref="AB47:AB47"/>
    <mergeCell ref="AC47:AC47"/>
    <mergeCell ref="AD47:AD47"/>
    <mergeCell ref="AE47:AE47"/>
    <mergeCell ref="AF47:AF47"/>
    <mergeCell ref="A48:A48"/>
    <mergeCell ref="B48:B48"/>
    <mergeCell ref="C48:C48"/>
    <mergeCell ref="F48:F48"/>
    <mergeCell ref="G48:G48"/>
    <mergeCell ref="H48:H48"/>
    <mergeCell ref="M48:M48"/>
    <mergeCell ref="N48:N48"/>
    <mergeCell ref="O48:O48"/>
    <mergeCell ref="P48:P48"/>
    <mergeCell ref="Q48:Q48"/>
    <mergeCell ref="R48:R48"/>
    <mergeCell ref="S48:S48"/>
    <mergeCell ref="X48:X48"/>
    <mergeCell ref="Y48:Y48"/>
    <mergeCell ref="Z48:Z48"/>
    <mergeCell ref="AA48:AA48"/>
    <mergeCell ref="AB48:AB48"/>
    <mergeCell ref="AC48:AC48"/>
    <mergeCell ref="AD48:AD48"/>
    <mergeCell ref="AE48:AE48"/>
    <mergeCell ref="AF48:AF48"/>
    <mergeCell ref="A49:A49"/>
    <mergeCell ref="B49:B49"/>
    <mergeCell ref="C49:C49"/>
    <mergeCell ref="F49:F49"/>
    <mergeCell ref="G49:G49"/>
    <mergeCell ref="H49:H49"/>
    <mergeCell ref="M49:M49"/>
    <mergeCell ref="N49:N49"/>
    <mergeCell ref="O49:O49"/>
    <mergeCell ref="P49:P49"/>
    <mergeCell ref="Q49:Q49"/>
    <mergeCell ref="R49:R49"/>
    <mergeCell ref="S49:S49"/>
    <mergeCell ref="X49:X49"/>
    <mergeCell ref="Y49:Y49"/>
    <mergeCell ref="Z49:Z49"/>
    <mergeCell ref="AA49:AA49"/>
    <mergeCell ref="AB49:AB49"/>
    <mergeCell ref="AC49:AC49"/>
    <mergeCell ref="AD49:AD49"/>
    <mergeCell ref="AE49:AE49"/>
    <mergeCell ref="AF49:AF49"/>
    <mergeCell ref="A50:A50"/>
    <mergeCell ref="B50:B50"/>
    <mergeCell ref="C50:C50"/>
    <mergeCell ref="F50:F50"/>
    <mergeCell ref="G50:G50"/>
    <mergeCell ref="H50:H50"/>
    <mergeCell ref="M50:M50"/>
    <mergeCell ref="N50:N50"/>
    <mergeCell ref="O50:O50"/>
    <mergeCell ref="P50:P50"/>
    <mergeCell ref="Q50:Q50"/>
    <mergeCell ref="R50:R50"/>
    <mergeCell ref="S50:S50"/>
    <mergeCell ref="X50:X50"/>
    <mergeCell ref="Y50:Y50"/>
    <mergeCell ref="Z50:Z50"/>
    <mergeCell ref="AA50:AA50"/>
    <mergeCell ref="AB50:AB50"/>
    <mergeCell ref="AC50:AC50"/>
    <mergeCell ref="AD50:AD50"/>
    <mergeCell ref="AE50:AE50"/>
    <mergeCell ref="AF50:AF50"/>
    <mergeCell ref="A51:A51"/>
    <mergeCell ref="B51:B51"/>
    <mergeCell ref="C51:C51"/>
    <mergeCell ref="F51:F51"/>
    <mergeCell ref="G51:G51"/>
    <mergeCell ref="H51:H51"/>
    <mergeCell ref="M51:M51"/>
    <mergeCell ref="N51:N51"/>
    <mergeCell ref="O51:O51"/>
    <mergeCell ref="P51:P51"/>
    <mergeCell ref="Q51:Q51"/>
    <mergeCell ref="R51:R51"/>
    <mergeCell ref="S51:S51"/>
    <mergeCell ref="X51:X51"/>
    <mergeCell ref="Y51:Y51"/>
    <mergeCell ref="Z51:Z51"/>
    <mergeCell ref="AA51:AA51"/>
    <mergeCell ref="AB51:AB51"/>
    <mergeCell ref="AC51:AC51"/>
    <mergeCell ref="AD51:AD51"/>
    <mergeCell ref="AE51:AE51"/>
    <mergeCell ref="AF51:AF51"/>
    <mergeCell ref="A52:A52"/>
    <mergeCell ref="B52:B52"/>
    <mergeCell ref="C52:C52"/>
    <mergeCell ref="F52:F52"/>
    <mergeCell ref="G52:G52"/>
    <mergeCell ref="H52:H52"/>
    <mergeCell ref="M52:M52"/>
    <mergeCell ref="N52:N52"/>
    <mergeCell ref="O52:O52"/>
    <mergeCell ref="P52:P52"/>
    <mergeCell ref="Q52:Q52"/>
    <mergeCell ref="R52:R52"/>
    <mergeCell ref="S52:S52"/>
    <mergeCell ref="X52:X52"/>
    <mergeCell ref="Y52:Y52"/>
    <mergeCell ref="Z52:Z52"/>
    <mergeCell ref="AA52:AA52"/>
    <mergeCell ref="AB52:AB52"/>
    <mergeCell ref="AC52:AC52"/>
    <mergeCell ref="AD52:AD52"/>
    <mergeCell ref="AE52:AE52"/>
    <mergeCell ref="AF52:AF52"/>
    <mergeCell ref="A53:A53"/>
    <mergeCell ref="B53:B53"/>
    <mergeCell ref="C53:C53"/>
    <mergeCell ref="F53:F53"/>
    <mergeCell ref="G53:G53"/>
    <mergeCell ref="H53:H53"/>
    <mergeCell ref="M53:M53"/>
    <mergeCell ref="N53:N53"/>
    <mergeCell ref="O53:O53"/>
    <mergeCell ref="P53:P53"/>
    <mergeCell ref="Q53:Q53"/>
    <mergeCell ref="R53:R53"/>
    <mergeCell ref="S53:S53"/>
    <mergeCell ref="X53:X53"/>
    <mergeCell ref="Y53:Y53"/>
    <mergeCell ref="Z53:Z53"/>
    <mergeCell ref="AA53:AA53"/>
    <mergeCell ref="AB53:AB53"/>
    <mergeCell ref="AC53:AC53"/>
    <mergeCell ref="AD53:AD53"/>
    <mergeCell ref="AE53:AE53"/>
    <mergeCell ref="AF53:AF53"/>
    <mergeCell ref="A54:A54"/>
    <mergeCell ref="B54:B54"/>
    <mergeCell ref="C54:C54"/>
    <mergeCell ref="F54:F54"/>
    <mergeCell ref="G54:G54"/>
    <mergeCell ref="H54:H54"/>
    <mergeCell ref="M54:M54"/>
    <mergeCell ref="N54:N54"/>
    <mergeCell ref="O54:O54"/>
    <mergeCell ref="P54:P54"/>
    <mergeCell ref="Q54:Q54"/>
    <mergeCell ref="R54:R54"/>
    <mergeCell ref="S54:S54"/>
    <mergeCell ref="X54:X54"/>
    <mergeCell ref="Y54:Y54"/>
    <mergeCell ref="Z54:Z54"/>
    <mergeCell ref="AA54:AA54"/>
    <mergeCell ref="AB54:AB54"/>
    <mergeCell ref="AC54:AC54"/>
    <mergeCell ref="AD54:AD54"/>
    <mergeCell ref="AE54:AE54"/>
    <mergeCell ref="AF54:AF54"/>
    <mergeCell ref="A55:A55"/>
    <mergeCell ref="B55:B55"/>
    <mergeCell ref="C55:C55"/>
    <mergeCell ref="F55:F55"/>
    <mergeCell ref="G55:G55"/>
    <mergeCell ref="H55:H55"/>
    <mergeCell ref="M55:M55"/>
    <mergeCell ref="N55:N55"/>
    <mergeCell ref="O55:O55"/>
    <mergeCell ref="P55:P55"/>
    <mergeCell ref="Q55:Q55"/>
    <mergeCell ref="R55:R55"/>
    <mergeCell ref="S55:S55"/>
    <mergeCell ref="X55:X55"/>
    <mergeCell ref="Y55:Y55"/>
    <mergeCell ref="Z55:Z55"/>
    <mergeCell ref="AA55:AA55"/>
    <mergeCell ref="AB55:AB55"/>
    <mergeCell ref="AC55:AC55"/>
    <mergeCell ref="AD55:AD55"/>
    <mergeCell ref="AE55:AE55"/>
    <mergeCell ref="AF55:AF55"/>
    <mergeCell ref="A56:A56"/>
    <mergeCell ref="B56:B56"/>
    <mergeCell ref="C56:C56"/>
    <mergeCell ref="F56:F56"/>
    <mergeCell ref="G56:G56"/>
    <mergeCell ref="H56:H56"/>
    <mergeCell ref="M56:M56"/>
    <mergeCell ref="N56:N56"/>
    <mergeCell ref="O56:O56"/>
    <mergeCell ref="P56:P56"/>
    <mergeCell ref="Q56:Q56"/>
    <mergeCell ref="R56:R56"/>
    <mergeCell ref="S56:S56"/>
    <mergeCell ref="X56:X56"/>
    <mergeCell ref="Y56:Y56"/>
    <mergeCell ref="Z56:Z56"/>
    <mergeCell ref="AA56:AA56"/>
    <mergeCell ref="AB56:AB56"/>
    <mergeCell ref="AC56:AC56"/>
    <mergeCell ref="AD56:AD56"/>
    <mergeCell ref="AE56:AE56"/>
    <mergeCell ref="AF56:AF56"/>
    <mergeCell ref="A57:A57"/>
    <mergeCell ref="B57:B57"/>
    <mergeCell ref="C57:C57"/>
    <mergeCell ref="F57:F57"/>
    <mergeCell ref="G57:G57"/>
    <mergeCell ref="H57:H57"/>
    <mergeCell ref="M57:M57"/>
    <mergeCell ref="N57:N57"/>
    <mergeCell ref="O57:O57"/>
    <mergeCell ref="P57:P57"/>
    <mergeCell ref="Q57:Q57"/>
    <mergeCell ref="R57:R57"/>
    <mergeCell ref="S57:S57"/>
    <mergeCell ref="X57:X57"/>
    <mergeCell ref="Y57:Y57"/>
    <mergeCell ref="Z57:Z57"/>
    <mergeCell ref="AA57:AA57"/>
    <mergeCell ref="AB57:AB57"/>
    <mergeCell ref="AC57:AC57"/>
    <mergeCell ref="AD57:AD57"/>
    <mergeCell ref="AE57:AE57"/>
    <mergeCell ref="AF57:AF57"/>
    <mergeCell ref="A58:A58"/>
    <mergeCell ref="B58:B58"/>
    <mergeCell ref="C58:C58"/>
    <mergeCell ref="F58:F58"/>
    <mergeCell ref="G58:G58"/>
    <mergeCell ref="H58:H58"/>
    <mergeCell ref="M58:M58"/>
    <mergeCell ref="N58:N58"/>
    <mergeCell ref="O58:O58"/>
    <mergeCell ref="P58:P58"/>
    <mergeCell ref="Q58:Q58"/>
    <mergeCell ref="R58:R58"/>
    <mergeCell ref="S58:S58"/>
    <mergeCell ref="X58:X58"/>
    <mergeCell ref="Y58:Y58"/>
    <mergeCell ref="Z58:Z58"/>
    <mergeCell ref="AA58:AA58"/>
    <mergeCell ref="AB58:AB58"/>
    <mergeCell ref="AC58:AC58"/>
    <mergeCell ref="AD58:AD58"/>
    <mergeCell ref="AE58:AE58"/>
    <mergeCell ref="AF58:AF58"/>
    <mergeCell ref="A59:A59"/>
    <mergeCell ref="B59:B59"/>
    <mergeCell ref="C59:C59"/>
    <mergeCell ref="F59:F59"/>
    <mergeCell ref="G59:G59"/>
    <mergeCell ref="H59:H59"/>
    <mergeCell ref="M59:M59"/>
    <mergeCell ref="N59:N59"/>
    <mergeCell ref="O59:O59"/>
    <mergeCell ref="P59:P59"/>
    <mergeCell ref="Q59:Q59"/>
    <mergeCell ref="R59:R59"/>
    <mergeCell ref="S59:S59"/>
    <mergeCell ref="X59:X59"/>
    <mergeCell ref="Y59:Y59"/>
    <mergeCell ref="Z59:Z59"/>
    <mergeCell ref="AA59:AA59"/>
    <mergeCell ref="AB59:AB59"/>
    <mergeCell ref="AC59:AC59"/>
    <mergeCell ref="AD59:AD59"/>
    <mergeCell ref="AE59:AE59"/>
    <mergeCell ref="AF59:AF59"/>
    <mergeCell ref="A60:A60"/>
    <mergeCell ref="B60:B60"/>
    <mergeCell ref="C60:C60"/>
    <mergeCell ref="F60:F60"/>
    <mergeCell ref="G60:G60"/>
    <mergeCell ref="H60:H60"/>
    <mergeCell ref="M60:M60"/>
    <mergeCell ref="N60:N60"/>
    <mergeCell ref="O60:O60"/>
    <mergeCell ref="P60:P60"/>
    <mergeCell ref="Q60:Q60"/>
    <mergeCell ref="R60:R60"/>
    <mergeCell ref="S60:S60"/>
    <mergeCell ref="X60:X60"/>
    <mergeCell ref="Y60:Y60"/>
    <mergeCell ref="Z60:Z60"/>
    <mergeCell ref="AA60:AA60"/>
    <mergeCell ref="AB60:AB60"/>
    <mergeCell ref="AC60:AC60"/>
    <mergeCell ref="AD60:AD60"/>
    <mergeCell ref="AE60:AE60"/>
    <mergeCell ref="AF60:AF60"/>
    <mergeCell ref="A61:A61"/>
    <mergeCell ref="B61:B61"/>
    <mergeCell ref="C61:C61"/>
    <mergeCell ref="F61:F61"/>
    <mergeCell ref="G61:G61"/>
    <mergeCell ref="H61:H61"/>
    <mergeCell ref="M61:M61"/>
    <mergeCell ref="N61:N61"/>
    <mergeCell ref="O61:O61"/>
    <mergeCell ref="P61:P61"/>
    <mergeCell ref="Q61:Q61"/>
    <mergeCell ref="R61:R61"/>
    <mergeCell ref="S61:S61"/>
    <mergeCell ref="X61:X61"/>
    <mergeCell ref="Y61:Y61"/>
    <mergeCell ref="Z61:Z61"/>
    <mergeCell ref="AA61:AA61"/>
    <mergeCell ref="AB61:AB61"/>
    <mergeCell ref="AC61:AC61"/>
    <mergeCell ref="AD61:AD61"/>
    <mergeCell ref="AE61:AE61"/>
    <mergeCell ref="AF61:AF61"/>
    <mergeCell ref="A62:A62"/>
    <mergeCell ref="B62:B62"/>
    <mergeCell ref="C62:C62"/>
    <mergeCell ref="F62:F62"/>
    <mergeCell ref="G62:G62"/>
    <mergeCell ref="H62:H62"/>
    <mergeCell ref="M62:M62"/>
    <mergeCell ref="N62:N62"/>
    <mergeCell ref="O62:O62"/>
    <mergeCell ref="P62:P62"/>
    <mergeCell ref="Q62:Q62"/>
    <mergeCell ref="R62:R62"/>
    <mergeCell ref="S62:S62"/>
    <mergeCell ref="X62:X62"/>
    <mergeCell ref="Y62:Y62"/>
    <mergeCell ref="Z62:Z62"/>
    <mergeCell ref="AA62:AA62"/>
    <mergeCell ref="AB62:AB62"/>
    <mergeCell ref="AC62:AC62"/>
    <mergeCell ref="AD62:AD62"/>
    <mergeCell ref="AE62:AE62"/>
    <mergeCell ref="AF62:AF62"/>
    <mergeCell ref="A63:A63"/>
    <mergeCell ref="B63:B63"/>
    <mergeCell ref="C63:C63"/>
    <mergeCell ref="F63:F63"/>
    <mergeCell ref="G63:G63"/>
    <mergeCell ref="H63:H63"/>
    <mergeCell ref="M63:M63"/>
    <mergeCell ref="N63:N63"/>
    <mergeCell ref="O63:O63"/>
    <mergeCell ref="P63:P63"/>
    <mergeCell ref="Q63:Q63"/>
    <mergeCell ref="R63:R63"/>
    <mergeCell ref="S63:S63"/>
    <mergeCell ref="X63:X63"/>
    <mergeCell ref="Y63:Y63"/>
    <mergeCell ref="Z63:Z63"/>
    <mergeCell ref="AA63:AA63"/>
    <mergeCell ref="AB63:AB63"/>
    <mergeCell ref="AC63:AC63"/>
    <mergeCell ref="AD63:AD63"/>
    <mergeCell ref="AE63:AE63"/>
    <mergeCell ref="AF63:AF63"/>
    <mergeCell ref="A64:A64"/>
    <mergeCell ref="B64:B64"/>
    <mergeCell ref="C64:C64"/>
    <mergeCell ref="F64:F64"/>
    <mergeCell ref="G64:G64"/>
    <mergeCell ref="H64:H64"/>
    <mergeCell ref="M64:M64"/>
    <mergeCell ref="N64:N64"/>
    <mergeCell ref="O64:O64"/>
    <mergeCell ref="P64:P64"/>
    <mergeCell ref="Q64:Q64"/>
    <mergeCell ref="R64:R64"/>
    <mergeCell ref="S64:S64"/>
    <mergeCell ref="X64:X64"/>
    <mergeCell ref="Y64:Y64"/>
    <mergeCell ref="Z64:Z64"/>
    <mergeCell ref="AA64:AA64"/>
    <mergeCell ref="AB64:AB64"/>
    <mergeCell ref="AC64:AC64"/>
    <mergeCell ref="AD64:AD64"/>
    <mergeCell ref="AE64:AE64"/>
    <mergeCell ref="AF64:AF64"/>
    <mergeCell ref="A65:A65"/>
    <mergeCell ref="B65:B65"/>
    <mergeCell ref="C65:C65"/>
    <mergeCell ref="F65:F65"/>
    <mergeCell ref="G65:G65"/>
    <mergeCell ref="H65:H65"/>
    <mergeCell ref="M65:M65"/>
    <mergeCell ref="N65:N65"/>
    <mergeCell ref="O65:O65"/>
    <mergeCell ref="P65:P65"/>
    <mergeCell ref="Q65:Q65"/>
    <mergeCell ref="R65:R65"/>
    <mergeCell ref="S65:S65"/>
    <mergeCell ref="X65:X65"/>
    <mergeCell ref="Y65:Y65"/>
    <mergeCell ref="Z65:Z65"/>
    <mergeCell ref="AA65:AA65"/>
    <mergeCell ref="AB65:AB65"/>
    <mergeCell ref="AC65:AC65"/>
    <mergeCell ref="AD65:AD65"/>
    <mergeCell ref="AE65:AE65"/>
    <mergeCell ref="AF65:AF65"/>
    <mergeCell ref="A66:A66"/>
    <mergeCell ref="B66:B66"/>
    <mergeCell ref="C66:C66"/>
    <mergeCell ref="F66:F66"/>
    <mergeCell ref="G66:G66"/>
    <mergeCell ref="H66:H66"/>
    <mergeCell ref="M66:M66"/>
    <mergeCell ref="N66:N66"/>
    <mergeCell ref="O66:O66"/>
    <mergeCell ref="P66:P66"/>
    <mergeCell ref="Q66:Q66"/>
    <mergeCell ref="R66:R66"/>
    <mergeCell ref="S66:S66"/>
    <mergeCell ref="X66:X66"/>
    <mergeCell ref="Y66:Y66"/>
    <mergeCell ref="Z66:Z66"/>
    <mergeCell ref="AA66:AA66"/>
    <mergeCell ref="AB66:AB66"/>
    <mergeCell ref="AC66:AC66"/>
    <mergeCell ref="AD66:AD66"/>
    <mergeCell ref="AE66:AE66"/>
    <mergeCell ref="AF66:AF66"/>
    <mergeCell ref="A67:A67"/>
    <mergeCell ref="B67:B67"/>
    <mergeCell ref="C67:C67"/>
    <mergeCell ref="F67:F67"/>
    <mergeCell ref="G67:G67"/>
    <mergeCell ref="H67:H67"/>
    <mergeCell ref="M67:M67"/>
    <mergeCell ref="N67:N67"/>
    <mergeCell ref="O67:O67"/>
    <mergeCell ref="P67:P67"/>
    <mergeCell ref="Q67:Q67"/>
    <mergeCell ref="R67:R67"/>
    <mergeCell ref="S67:S67"/>
    <mergeCell ref="X67:X67"/>
    <mergeCell ref="Y67:Y67"/>
    <mergeCell ref="Z67:Z67"/>
    <mergeCell ref="AA67:AA67"/>
    <mergeCell ref="AB67:AB67"/>
    <mergeCell ref="AC67:AC67"/>
    <mergeCell ref="AD67:AD67"/>
    <mergeCell ref="AE67:AE67"/>
    <mergeCell ref="AF67:AF67"/>
    <mergeCell ref="A68:A68"/>
    <mergeCell ref="B68:B68"/>
    <mergeCell ref="C68:C68"/>
    <mergeCell ref="F68:F68"/>
    <mergeCell ref="G68:G68"/>
    <mergeCell ref="H68:H68"/>
    <mergeCell ref="M68:M68"/>
    <mergeCell ref="N68:N68"/>
    <mergeCell ref="O68:O68"/>
    <mergeCell ref="P68:P68"/>
    <mergeCell ref="Q68:Q68"/>
    <mergeCell ref="R68:R68"/>
    <mergeCell ref="S68:S68"/>
    <mergeCell ref="X68:X68"/>
    <mergeCell ref="Y68:Y68"/>
    <mergeCell ref="Z68:Z68"/>
    <mergeCell ref="AA68:AA68"/>
    <mergeCell ref="AB68:AB68"/>
    <mergeCell ref="AC68:AC68"/>
    <mergeCell ref="AD68:AD68"/>
    <mergeCell ref="AE68:AE68"/>
    <mergeCell ref="AF68:AF68"/>
    <mergeCell ref="A69:A69"/>
    <mergeCell ref="B69:B69"/>
    <mergeCell ref="C69:C69"/>
    <mergeCell ref="F69:F69"/>
    <mergeCell ref="G69:G69"/>
    <mergeCell ref="H69:H69"/>
    <mergeCell ref="M69:M69"/>
    <mergeCell ref="N69:N69"/>
    <mergeCell ref="O69:O69"/>
    <mergeCell ref="P69:P69"/>
    <mergeCell ref="Q69:Q69"/>
    <mergeCell ref="R69:R69"/>
    <mergeCell ref="S69:S69"/>
    <mergeCell ref="X69:X69"/>
    <mergeCell ref="Y69:Y69"/>
    <mergeCell ref="Z69:Z69"/>
    <mergeCell ref="AA69:AA69"/>
    <mergeCell ref="AB69:AB69"/>
    <mergeCell ref="AC69:AC69"/>
    <mergeCell ref="AD69:AD69"/>
    <mergeCell ref="AE69:AE69"/>
    <mergeCell ref="AF69:AF69"/>
    <mergeCell ref="A70:A70"/>
    <mergeCell ref="B70:B70"/>
    <mergeCell ref="C70:C70"/>
    <mergeCell ref="F70:F70"/>
    <mergeCell ref="G70:G70"/>
    <mergeCell ref="H70:H70"/>
    <mergeCell ref="M70:M70"/>
    <mergeCell ref="N70:N70"/>
    <mergeCell ref="O70:O70"/>
    <mergeCell ref="P70:P70"/>
    <mergeCell ref="Q70:Q70"/>
    <mergeCell ref="R70:R70"/>
    <mergeCell ref="S70:S70"/>
    <mergeCell ref="X70:X70"/>
    <mergeCell ref="Y70:Y70"/>
    <mergeCell ref="Z70:Z70"/>
    <mergeCell ref="AA70:AA70"/>
    <mergeCell ref="AB70:AB70"/>
    <mergeCell ref="AC70:AC70"/>
    <mergeCell ref="AD70:AD70"/>
    <mergeCell ref="AE70:AE70"/>
    <mergeCell ref="AF70:AF70"/>
    <mergeCell ref="A71:A71"/>
    <mergeCell ref="B71:B71"/>
    <mergeCell ref="C71:C71"/>
    <mergeCell ref="F71:F71"/>
    <mergeCell ref="G71:G71"/>
    <mergeCell ref="H71:H71"/>
    <mergeCell ref="M71:M71"/>
    <mergeCell ref="N71:N71"/>
    <mergeCell ref="O71:O71"/>
    <mergeCell ref="P71:P71"/>
    <mergeCell ref="Q71:Q71"/>
    <mergeCell ref="R71:R71"/>
    <mergeCell ref="S71:S71"/>
    <mergeCell ref="X71:X71"/>
    <mergeCell ref="Y71:Y71"/>
    <mergeCell ref="Z71:Z71"/>
    <mergeCell ref="AA71:AA71"/>
    <mergeCell ref="AB71:AB71"/>
    <mergeCell ref="AC71:AC71"/>
    <mergeCell ref="AD71:AD71"/>
    <mergeCell ref="AE71:AE71"/>
    <mergeCell ref="AF71:AF71"/>
    <mergeCell ref="A72:A72"/>
    <mergeCell ref="B72:B72"/>
    <mergeCell ref="C72:C72"/>
    <mergeCell ref="F72:F72"/>
    <mergeCell ref="G72:G72"/>
    <mergeCell ref="H72:H72"/>
    <mergeCell ref="M72:M72"/>
    <mergeCell ref="N72:N72"/>
    <mergeCell ref="O72:O72"/>
    <mergeCell ref="P72:P72"/>
    <mergeCell ref="Q72:Q72"/>
    <mergeCell ref="R72:R72"/>
    <mergeCell ref="S72:S72"/>
    <mergeCell ref="X72:X72"/>
    <mergeCell ref="Y72:Y72"/>
    <mergeCell ref="Z72:Z72"/>
    <mergeCell ref="AA72:AA72"/>
    <mergeCell ref="AB72:AB72"/>
    <mergeCell ref="AC72:AC72"/>
    <mergeCell ref="AD72:AD72"/>
    <mergeCell ref="AE72:AE72"/>
    <mergeCell ref="AF72:AF72"/>
    <mergeCell ref="A73:A73"/>
    <mergeCell ref="B73:B73"/>
    <mergeCell ref="C73:C73"/>
    <mergeCell ref="F73:F73"/>
    <mergeCell ref="G73:G73"/>
    <mergeCell ref="H73:H73"/>
    <mergeCell ref="M73:M73"/>
    <mergeCell ref="N73:N73"/>
    <mergeCell ref="O73:O73"/>
    <mergeCell ref="P73:P73"/>
    <mergeCell ref="Q73:Q73"/>
    <mergeCell ref="R73:R73"/>
    <mergeCell ref="S73:S73"/>
    <mergeCell ref="X73:X73"/>
    <mergeCell ref="Y73:Y73"/>
    <mergeCell ref="Z73:Z73"/>
    <mergeCell ref="AA73:AA73"/>
    <mergeCell ref="AB73:AB73"/>
    <mergeCell ref="AC73:AC73"/>
    <mergeCell ref="AD73:AD73"/>
    <mergeCell ref="AE73:AE73"/>
    <mergeCell ref="AF73:AF73"/>
    <mergeCell ref="A74:A74"/>
    <mergeCell ref="B74:B74"/>
    <mergeCell ref="C74:C74"/>
    <mergeCell ref="F74:F74"/>
    <mergeCell ref="G74:G74"/>
    <mergeCell ref="H74:H74"/>
    <mergeCell ref="M74:M74"/>
    <mergeCell ref="N74:N74"/>
    <mergeCell ref="O74:O74"/>
    <mergeCell ref="P74:P74"/>
    <mergeCell ref="Q74:Q74"/>
    <mergeCell ref="R74:R74"/>
    <mergeCell ref="S74:S74"/>
    <mergeCell ref="X74:X74"/>
    <mergeCell ref="Y74:Y74"/>
    <mergeCell ref="Z74:Z74"/>
    <mergeCell ref="AA74:AA74"/>
    <mergeCell ref="AB74:AB74"/>
    <mergeCell ref="AC74:AC74"/>
    <mergeCell ref="AD74:AD74"/>
    <mergeCell ref="AE74:AE74"/>
    <mergeCell ref="AF74:AF74"/>
    <mergeCell ref="A75:A75"/>
    <mergeCell ref="B75:B75"/>
    <mergeCell ref="C75:C75"/>
    <mergeCell ref="F75:F75"/>
    <mergeCell ref="G75:G75"/>
    <mergeCell ref="H75:H75"/>
    <mergeCell ref="M75:M75"/>
    <mergeCell ref="N75:N75"/>
    <mergeCell ref="O75:O75"/>
    <mergeCell ref="P75:P75"/>
    <mergeCell ref="Q75:Q75"/>
    <mergeCell ref="R75:R75"/>
    <mergeCell ref="S75:S75"/>
    <mergeCell ref="X75:X75"/>
    <mergeCell ref="Y75:Y75"/>
    <mergeCell ref="Z75:Z75"/>
    <mergeCell ref="AA75:AA75"/>
    <mergeCell ref="AB75:AB75"/>
    <mergeCell ref="AC75:AC75"/>
    <mergeCell ref="AD75:AD75"/>
    <mergeCell ref="AE75:AE75"/>
    <mergeCell ref="AF75:AF75"/>
    <mergeCell ref="A76:A76"/>
    <mergeCell ref="B76:B76"/>
    <mergeCell ref="C76:C76"/>
    <mergeCell ref="F76:F76"/>
    <mergeCell ref="G76:G76"/>
    <mergeCell ref="H76:H76"/>
    <mergeCell ref="M76:M76"/>
    <mergeCell ref="N76:N76"/>
    <mergeCell ref="O76:O76"/>
    <mergeCell ref="P76:P76"/>
    <mergeCell ref="Q76:Q76"/>
    <mergeCell ref="R76:R76"/>
    <mergeCell ref="S76:S76"/>
    <mergeCell ref="X76:X76"/>
    <mergeCell ref="Y76:Y76"/>
    <mergeCell ref="Z76:Z76"/>
    <mergeCell ref="AA76:AA76"/>
    <mergeCell ref="AB76:AB76"/>
    <mergeCell ref="AC76:AC76"/>
    <mergeCell ref="AD76:AD76"/>
    <mergeCell ref="AE76:AE76"/>
    <mergeCell ref="AF76:AF76"/>
    <mergeCell ref="A77:A77"/>
    <mergeCell ref="B77:B77"/>
    <mergeCell ref="C77:C77"/>
    <mergeCell ref="F77:F77"/>
    <mergeCell ref="G77:G77"/>
    <mergeCell ref="H77:H77"/>
    <mergeCell ref="M77:M77"/>
    <mergeCell ref="N77:N77"/>
    <mergeCell ref="O77:O77"/>
    <mergeCell ref="P77:P77"/>
    <mergeCell ref="Q77:Q77"/>
    <mergeCell ref="R77:R77"/>
    <mergeCell ref="S77:S77"/>
    <mergeCell ref="X77:X77"/>
    <mergeCell ref="Y77:Y77"/>
    <mergeCell ref="Z77:Z77"/>
    <mergeCell ref="AA77:AA77"/>
    <mergeCell ref="AB77:AB77"/>
    <mergeCell ref="AC77:AC77"/>
    <mergeCell ref="AD77:AD77"/>
    <mergeCell ref="AE77:AE77"/>
    <mergeCell ref="AF77:AF77"/>
    <mergeCell ref="A78:A78"/>
    <mergeCell ref="B78:B78"/>
    <mergeCell ref="C78:C78"/>
    <mergeCell ref="F78:F78"/>
    <mergeCell ref="G78:G78"/>
    <mergeCell ref="H78:H78"/>
    <mergeCell ref="M78:M78"/>
    <mergeCell ref="N78:N78"/>
    <mergeCell ref="O78:O78"/>
    <mergeCell ref="P78:P78"/>
    <mergeCell ref="Q78:Q78"/>
    <mergeCell ref="R78:R78"/>
    <mergeCell ref="S78:S78"/>
    <mergeCell ref="X78:X78"/>
    <mergeCell ref="Y78:Y78"/>
    <mergeCell ref="Z78:Z78"/>
    <mergeCell ref="AA78:AA78"/>
    <mergeCell ref="AB78:AB78"/>
    <mergeCell ref="AC78:AC78"/>
    <mergeCell ref="AD78:AD78"/>
    <mergeCell ref="AE78:AE78"/>
    <mergeCell ref="AF78:AF78"/>
    <mergeCell ref="A79:A79"/>
    <mergeCell ref="B79:B79"/>
    <mergeCell ref="C79:C79"/>
    <mergeCell ref="F79:F79"/>
    <mergeCell ref="G79:G79"/>
    <mergeCell ref="H79:H79"/>
    <mergeCell ref="M79:M79"/>
    <mergeCell ref="N79:N79"/>
    <mergeCell ref="O79:O79"/>
    <mergeCell ref="P79:P79"/>
    <mergeCell ref="Q79:Q79"/>
    <mergeCell ref="R79:R79"/>
    <mergeCell ref="S79:S79"/>
    <mergeCell ref="X79:X79"/>
    <mergeCell ref="Y79:Y79"/>
    <mergeCell ref="Z79:Z79"/>
    <mergeCell ref="AA79:AA79"/>
    <mergeCell ref="AB79:AB79"/>
    <mergeCell ref="AC79:AC79"/>
    <mergeCell ref="AD79:AD79"/>
    <mergeCell ref="AE79:AE79"/>
    <mergeCell ref="AF79:AF79"/>
    <mergeCell ref="A80:A80"/>
    <mergeCell ref="B80:B80"/>
    <mergeCell ref="C80:C80"/>
    <mergeCell ref="F80:F80"/>
    <mergeCell ref="G80:G80"/>
    <mergeCell ref="H80:H80"/>
    <mergeCell ref="M80:M80"/>
    <mergeCell ref="N80:N80"/>
    <mergeCell ref="O80:O80"/>
    <mergeCell ref="P80:P80"/>
    <mergeCell ref="Q80:Q80"/>
    <mergeCell ref="R80:R80"/>
    <mergeCell ref="S80:S80"/>
    <mergeCell ref="X80:X80"/>
    <mergeCell ref="Y80:Y80"/>
    <mergeCell ref="Z80:Z80"/>
    <mergeCell ref="AA80:AA80"/>
    <mergeCell ref="AB80:AB80"/>
    <mergeCell ref="AC80:AC80"/>
    <mergeCell ref="AD80:AD80"/>
    <mergeCell ref="AE80:AE80"/>
    <mergeCell ref="AF80:AF80"/>
    <mergeCell ref="A81:A81"/>
    <mergeCell ref="B81:B81"/>
    <mergeCell ref="C81:C81"/>
    <mergeCell ref="F81:F81"/>
    <mergeCell ref="G81:G81"/>
    <mergeCell ref="H81:H81"/>
    <mergeCell ref="M81:M81"/>
    <mergeCell ref="N81:N81"/>
    <mergeCell ref="O81:O81"/>
    <mergeCell ref="P81:P81"/>
    <mergeCell ref="Q81:Q81"/>
    <mergeCell ref="R81:R81"/>
    <mergeCell ref="S81:S81"/>
    <mergeCell ref="X81:X81"/>
    <mergeCell ref="Y81:Y81"/>
    <mergeCell ref="Z81:Z81"/>
    <mergeCell ref="AA81:AA81"/>
    <mergeCell ref="AB81:AB81"/>
    <mergeCell ref="AC81:AC81"/>
    <mergeCell ref="AD81:AD81"/>
    <mergeCell ref="AE81:AE81"/>
    <mergeCell ref="AF81:AF81"/>
    <mergeCell ref="A82:A82"/>
    <mergeCell ref="B82:B82"/>
    <mergeCell ref="C82:C82"/>
    <mergeCell ref="F82:F82"/>
    <mergeCell ref="G82:G82"/>
    <mergeCell ref="H82:H82"/>
    <mergeCell ref="M82:M82"/>
    <mergeCell ref="N82:N82"/>
    <mergeCell ref="O82:O82"/>
    <mergeCell ref="P82:P82"/>
    <mergeCell ref="Q82:Q82"/>
    <mergeCell ref="R82:R82"/>
    <mergeCell ref="S82:S82"/>
    <mergeCell ref="X82:X82"/>
    <mergeCell ref="Y82:Y82"/>
    <mergeCell ref="Z82:Z82"/>
    <mergeCell ref="AA82:AA82"/>
    <mergeCell ref="AB82:AB82"/>
    <mergeCell ref="AC82:AC82"/>
    <mergeCell ref="AD82:AD82"/>
    <mergeCell ref="AE82:AE82"/>
    <mergeCell ref="AF82:AF82"/>
    <mergeCell ref="A83:A83"/>
    <mergeCell ref="B83:B83"/>
    <mergeCell ref="C83:C83"/>
    <mergeCell ref="F83:F83"/>
    <mergeCell ref="G83:G83"/>
    <mergeCell ref="H83:H83"/>
    <mergeCell ref="M83:M83"/>
    <mergeCell ref="N83:N83"/>
    <mergeCell ref="O83:O83"/>
    <mergeCell ref="P83:P83"/>
    <mergeCell ref="Q83:Q83"/>
    <mergeCell ref="R83:R83"/>
    <mergeCell ref="S83:S83"/>
    <mergeCell ref="X83:X83"/>
    <mergeCell ref="Y83:Y83"/>
    <mergeCell ref="Z83:Z83"/>
    <mergeCell ref="AA83:AA83"/>
    <mergeCell ref="AB83:AB83"/>
    <mergeCell ref="AC83:AC83"/>
    <mergeCell ref="AD83:AD83"/>
    <mergeCell ref="AE83:AE83"/>
    <mergeCell ref="AF83:AF83"/>
    <mergeCell ref="A84:A84"/>
    <mergeCell ref="B84:B84"/>
    <mergeCell ref="C84:C84"/>
    <mergeCell ref="F84:F84"/>
    <mergeCell ref="G84:G84"/>
    <mergeCell ref="H84:H84"/>
    <mergeCell ref="M84:M84"/>
    <mergeCell ref="N84:N84"/>
    <mergeCell ref="O84:O84"/>
    <mergeCell ref="P84:P84"/>
    <mergeCell ref="Q84:Q84"/>
    <mergeCell ref="R84:R84"/>
    <mergeCell ref="S84:S84"/>
    <mergeCell ref="X84:X84"/>
    <mergeCell ref="Y84:Y84"/>
    <mergeCell ref="Z84:Z84"/>
    <mergeCell ref="AA84:AA84"/>
    <mergeCell ref="AB84:AB84"/>
    <mergeCell ref="AC84:AC84"/>
    <mergeCell ref="AD84:AD84"/>
    <mergeCell ref="AE84:AE84"/>
    <mergeCell ref="AF84:AF84"/>
    <mergeCell ref="A85:A85"/>
    <mergeCell ref="B85:B85"/>
    <mergeCell ref="C85:C85"/>
    <mergeCell ref="F85:F85"/>
    <mergeCell ref="G85:G85"/>
    <mergeCell ref="H85:H85"/>
    <mergeCell ref="M85:M85"/>
    <mergeCell ref="N85:N85"/>
    <mergeCell ref="O85:O85"/>
    <mergeCell ref="P85:P85"/>
    <mergeCell ref="Q85:Q85"/>
    <mergeCell ref="R85:R85"/>
    <mergeCell ref="S85:S85"/>
    <mergeCell ref="X85:X85"/>
    <mergeCell ref="Y85:Y85"/>
    <mergeCell ref="Z85:Z85"/>
    <mergeCell ref="AA85:AA85"/>
    <mergeCell ref="AB85:AB85"/>
    <mergeCell ref="AC85:AC85"/>
    <mergeCell ref="AD85:AD85"/>
    <mergeCell ref="AE85:AE85"/>
    <mergeCell ref="AF85:AF85"/>
    <mergeCell ref="A86:A86"/>
    <mergeCell ref="B86:B86"/>
    <mergeCell ref="C86:C86"/>
    <mergeCell ref="F86:F86"/>
    <mergeCell ref="G86:G86"/>
    <mergeCell ref="H86:H86"/>
    <mergeCell ref="M86:M86"/>
    <mergeCell ref="N86:N86"/>
    <mergeCell ref="O86:O86"/>
    <mergeCell ref="P86:P86"/>
    <mergeCell ref="Q86:Q86"/>
    <mergeCell ref="R86:R86"/>
    <mergeCell ref="S86:S86"/>
    <mergeCell ref="X86:X86"/>
    <mergeCell ref="Y86:Y86"/>
    <mergeCell ref="Z86:Z86"/>
    <mergeCell ref="AA86:AA86"/>
    <mergeCell ref="AB86:AB86"/>
    <mergeCell ref="AC86:AC86"/>
    <mergeCell ref="AD86:AD86"/>
    <mergeCell ref="AE86:AE86"/>
    <mergeCell ref="AF86:AF86"/>
    <mergeCell ref="A87:A87"/>
    <mergeCell ref="B87:B87"/>
    <mergeCell ref="C87:C87"/>
    <mergeCell ref="F87:F87"/>
    <mergeCell ref="G87:G87"/>
    <mergeCell ref="H87:H87"/>
    <mergeCell ref="M87:M87"/>
    <mergeCell ref="N87:N87"/>
    <mergeCell ref="O87:O87"/>
    <mergeCell ref="P87:P87"/>
    <mergeCell ref="Q87:Q87"/>
    <mergeCell ref="R87:R87"/>
    <mergeCell ref="S87:S87"/>
    <mergeCell ref="X87:X87"/>
    <mergeCell ref="Y87:Y87"/>
    <mergeCell ref="Z87:Z87"/>
    <mergeCell ref="AA87:AA87"/>
    <mergeCell ref="AB87:AB87"/>
    <mergeCell ref="AC87:AC87"/>
    <mergeCell ref="AD87:AD87"/>
    <mergeCell ref="AE87:AE87"/>
    <mergeCell ref="AF87:AF87"/>
    <mergeCell ref="A88:A88"/>
    <mergeCell ref="B88:B88"/>
    <mergeCell ref="C88:C88"/>
    <mergeCell ref="F88:F88"/>
    <mergeCell ref="G88:G88"/>
    <mergeCell ref="H88:H88"/>
    <mergeCell ref="M88:M88"/>
    <mergeCell ref="N88:N88"/>
    <mergeCell ref="O88:O88"/>
    <mergeCell ref="P88:P88"/>
    <mergeCell ref="Q88:Q88"/>
    <mergeCell ref="R88:R88"/>
    <mergeCell ref="S88:S88"/>
    <mergeCell ref="X88:X88"/>
    <mergeCell ref="Y88:Y88"/>
    <mergeCell ref="Z88:Z88"/>
    <mergeCell ref="AA88:AA88"/>
    <mergeCell ref="AB88:AB88"/>
    <mergeCell ref="AC88:AC88"/>
    <mergeCell ref="AD88:AD88"/>
    <mergeCell ref="AE88:AE88"/>
    <mergeCell ref="AF88:AF88"/>
    <mergeCell ref="A89:A89"/>
    <mergeCell ref="B89:B89"/>
    <mergeCell ref="C89:C89"/>
    <mergeCell ref="F89:F89"/>
    <mergeCell ref="G89:G89"/>
    <mergeCell ref="H89:H89"/>
    <mergeCell ref="M89:M89"/>
    <mergeCell ref="N89:N89"/>
    <mergeCell ref="O89:O89"/>
    <mergeCell ref="P89:P89"/>
    <mergeCell ref="Q89:Q89"/>
    <mergeCell ref="R89:R89"/>
    <mergeCell ref="S89:S89"/>
    <mergeCell ref="X89:X89"/>
    <mergeCell ref="Y89:Y89"/>
    <mergeCell ref="Z89:Z89"/>
    <mergeCell ref="AA89:AA89"/>
    <mergeCell ref="AB89:AB89"/>
    <mergeCell ref="AC89:AC89"/>
    <mergeCell ref="AD89:AD89"/>
    <mergeCell ref="AE89:AE89"/>
    <mergeCell ref="AF89:AF89"/>
    <mergeCell ref="A90:A91"/>
    <mergeCell ref="B90:B91"/>
    <mergeCell ref="C90:C91"/>
    <mergeCell ref="F90:F91"/>
    <mergeCell ref="G90:G91"/>
    <mergeCell ref="H90:H91"/>
    <mergeCell ref="M90:M91"/>
    <mergeCell ref="N90:N91"/>
    <mergeCell ref="O90:O91"/>
    <mergeCell ref="P90:P91"/>
    <mergeCell ref="Q90:Q91"/>
    <mergeCell ref="R90:R91"/>
    <mergeCell ref="S90:S91"/>
    <mergeCell ref="X90:X91"/>
    <mergeCell ref="Y90:Y91"/>
    <mergeCell ref="Z90:Z91"/>
    <mergeCell ref="AA90:AA91"/>
    <mergeCell ref="AB90:AB91"/>
    <mergeCell ref="AC90:AC91"/>
    <mergeCell ref="AD90:AD91"/>
    <mergeCell ref="AE90:AE91"/>
    <mergeCell ref="AF90:AF91"/>
    <mergeCell ref="A92:A92"/>
    <mergeCell ref="B92:B92"/>
    <mergeCell ref="C92:C92"/>
    <mergeCell ref="F92:F92"/>
    <mergeCell ref="G92:G92"/>
    <mergeCell ref="H92:H92"/>
    <mergeCell ref="M92:M92"/>
    <mergeCell ref="N92:N92"/>
    <mergeCell ref="O92:O92"/>
    <mergeCell ref="P92:P92"/>
    <mergeCell ref="Q92:Q92"/>
    <mergeCell ref="R92:R92"/>
    <mergeCell ref="S92:S92"/>
    <mergeCell ref="X92:X92"/>
    <mergeCell ref="Y92:Y92"/>
    <mergeCell ref="Z92:Z92"/>
    <mergeCell ref="AA92:AA92"/>
    <mergeCell ref="AB92:AB92"/>
    <mergeCell ref="AC92:AC92"/>
    <mergeCell ref="AD92:AD92"/>
    <mergeCell ref="AE92:AE92"/>
    <mergeCell ref="AF92:AF92"/>
    <mergeCell ref="A93:A93"/>
    <mergeCell ref="B93:B93"/>
    <mergeCell ref="C93:C93"/>
    <mergeCell ref="F93:F93"/>
    <mergeCell ref="G93:G93"/>
    <mergeCell ref="H93:H93"/>
    <mergeCell ref="M93:M93"/>
    <mergeCell ref="N93:N93"/>
    <mergeCell ref="O93:O93"/>
    <mergeCell ref="P93:P93"/>
    <mergeCell ref="Q93:Q93"/>
    <mergeCell ref="R93:R93"/>
    <mergeCell ref="S93:S93"/>
    <mergeCell ref="X93:X93"/>
    <mergeCell ref="Y93:Y93"/>
    <mergeCell ref="Z93:Z93"/>
    <mergeCell ref="AA93:AA93"/>
    <mergeCell ref="AB93:AB93"/>
    <mergeCell ref="AC93:AC93"/>
    <mergeCell ref="AD93:AD93"/>
    <mergeCell ref="AE93:AE93"/>
    <mergeCell ref="AF93:AF93"/>
    <mergeCell ref="A94:A94"/>
    <mergeCell ref="B94:B94"/>
    <mergeCell ref="C94:C94"/>
    <mergeCell ref="F94:F94"/>
    <mergeCell ref="G94:G94"/>
    <mergeCell ref="H94:H94"/>
    <mergeCell ref="M94:M94"/>
    <mergeCell ref="N94:N94"/>
    <mergeCell ref="O94:O94"/>
    <mergeCell ref="P94:P94"/>
    <mergeCell ref="Q94:Q94"/>
    <mergeCell ref="R94:R94"/>
    <mergeCell ref="S94:S94"/>
    <mergeCell ref="X94:X94"/>
    <mergeCell ref="Y94:Y94"/>
    <mergeCell ref="Z94:Z94"/>
    <mergeCell ref="AA94:AA94"/>
    <mergeCell ref="AB94:AB94"/>
    <mergeCell ref="AC94:AC94"/>
    <mergeCell ref="AD94:AD94"/>
    <mergeCell ref="AE94:AE94"/>
    <mergeCell ref="AF94:AF94"/>
    <mergeCell ref="A95:A95"/>
    <mergeCell ref="B95:B95"/>
    <mergeCell ref="C95:C95"/>
    <mergeCell ref="F95:F95"/>
    <mergeCell ref="G95:G95"/>
    <mergeCell ref="H95:H95"/>
    <mergeCell ref="M95:M95"/>
    <mergeCell ref="N95:N95"/>
    <mergeCell ref="O95:O95"/>
    <mergeCell ref="P95:P95"/>
    <mergeCell ref="Q95:Q95"/>
    <mergeCell ref="R95:R95"/>
    <mergeCell ref="S95:S95"/>
    <mergeCell ref="X95:X95"/>
    <mergeCell ref="Y95:Y95"/>
    <mergeCell ref="Z95:Z95"/>
    <mergeCell ref="AA95:AA95"/>
    <mergeCell ref="AB95:AB95"/>
    <mergeCell ref="AC95:AC95"/>
    <mergeCell ref="AD95:AD95"/>
    <mergeCell ref="AE95:AE95"/>
    <mergeCell ref="AF95:AF95"/>
    <mergeCell ref="A96:A96"/>
    <mergeCell ref="B96:B96"/>
    <mergeCell ref="C96:C96"/>
    <mergeCell ref="F96:F96"/>
    <mergeCell ref="G96:G96"/>
    <mergeCell ref="H96:H96"/>
    <mergeCell ref="M96:M96"/>
    <mergeCell ref="N96:N96"/>
    <mergeCell ref="O96:O96"/>
    <mergeCell ref="P96:P96"/>
    <mergeCell ref="Q96:Q96"/>
    <mergeCell ref="R96:R96"/>
    <mergeCell ref="S96:S96"/>
    <mergeCell ref="X96:X96"/>
    <mergeCell ref="Y96:Y96"/>
    <mergeCell ref="Z96:Z96"/>
    <mergeCell ref="AA96:AA96"/>
    <mergeCell ref="AB96:AB96"/>
    <mergeCell ref="AC96:AC96"/>
    <mergeCell ref="AD96:AD96"/>
    <mergeCell ref="AE96:AE96"/>
    <mergeCell ref="AF96:AF96"/>
    <mergeCell ref="A97:A97"/>
    <mergeCell ref="B97:B97"/>
    <mergeCell ref="C97:C97"/>
    <mergeCell ref="F97:F97"/>
    <mergeCell ref="G97:G97"/>
    <mergeCell ref="H97:H97"/>
    <mergeCell ref="M97:M97"/>
    <mergeCell ref="N97:N97"/>
    <mergeCell ref="O97:O97"/>
    <mergeCell ref="P97:P97"/>
    <mergeCell ref="Q97:Q97"/>
    <mergeCell ref="R97:R97"/>
    <mergeCell ref="S97:S97"/>
    <mergeCell ref="X97:X97"/>
    <mergeCell ref="Y97:Y97"/>
    <mergeCell ref="Z97:Z97"/>
    <mergeCell ref="AA97:AA97"/>
    <mergeCell ref="AB97:AB97"/>
    <mergeCell ref="AC97:AC97"/>
    <mergeCell ref="AD97:AD97"/>
    <mergeCell ref="AE97:AE97"/>
    <mergeCell ref="AF97:AF97"/>
    <mergeCell ref="A98:A98"/>
    <mergeCell ref="B98:B98"/>
    <mergeCell ref="C98:C98"/>
    <mergeCell ref="F98:F98"/>
    <mergeCell ref="G98:G98"/>
    <mergeCell ref="H98:H98"/>
    <mergeCell ref="M98:M98"/>
    <mergeCell ref="N98:N98"/>
    <mergeCell ref="O98:O98"/>
    <mergeCell ref="P98:P98"/>
    <mergeCell ref="Q98:Q98"/>
    <mergeCell ref="R98:R98"/>
    <mergeCell ref="S98:S98"/>
    <mergeCell ref="X98:X98"/>
    <mergeCell ref="Y98:Y98"/>
    <mergeCell ref="Z98:Z98"/>
    <mergeCell ref="AA98:AA98"/>
    <mergeCell ref="AB98:AB98"/>
    <mergeCell ref="AC98:AC98"/>
    <mergeCell ref="AD98:AD98"/>
    <mergeCell ref="AE98:AE98"/>
    <mergeCell ref="AF98:AF98"/>
    <mergeCell ref="A99:A99"/>
    <mergeCell ref="B99:B99"/>
    <mergeCell ref="C99:C99"/>
    <mergeCell ref="F99:F99"/>
    <mergeCell ref="G99:G99"/>
    <mergeCell ref="H99:H99"/>
    <mergeCell ref="M99:M99"/>
    <mergeCell ref="N99:N99"/>
    <mergeCell ref="O99:O99"/>
    <mergeCell ref="P99:P99"/>
    <mergeCell ref="Q99:Q99"/>
    <mergeCell ref="R99:R99"/>
    <mergeCell ref="S99:S99"/>
    <mergeCell ref="X99:X99"/>
    <mergeCell ref="Y99:Y99"/>
    <mergeCell ref="Z99:Z99"/>
    <mergeCell ref="AA99:AA99"/>
    <mergeCell ref="AB99:AB99"/>
    <mergeCell ref="AC99:AC99"/>
    <mergeCell ref="AD99:AD99"/>
    <mergeCell ref="AE99:AE99"/>
    <mergeCell ref="AF99:AF99"/>
    <mergeCell ref="A100:A100"/>
    <mergeCell ref="B100:B100"/>
    <mergeCell ref="C100:C100"/>
    <mergeCell ref="F100:F100"/>
    <mergeCell ref="G100:G100"/>
    <mergeCell ref="H100:H100"/>
    <mergeCell ref="M100:M100"/>
    <mergeCell ref="N100:N100"/>
    <mergeCell ref="O100:O100"/>
    <mergeCell ref="P100:P100"/>
    <mergeCell ref="Q100:Q100"/>
    <mergeCell ref="R100:R100"/>
    <mergeCell ref="S100:S100"/>
    <mergeCell ref="X100:X100"/>
    <mergeCell ref="Y100:Y100"/>
    <mergeCell ref="Z100:Z100"/>
    <mergeCell ref="AA100:AA100"/>
    <mergeCell ref="AB100:AB100"/>
    <mergeCell ref="AC100:AC100"/>
    <mergeCell ref="AD100:AD100"/>
    <mergeCell ref="AE100:AE100"/>
    <mergeCell ref="AF100:AF100"/>
    <mergeCell ref="A101:A101"/>
    <mergeCell ref="B101:B101"/>
    <mergeCell ref="C101:C101"/>
    <mergeCell ref="F101:F101"/>
    <mergeCell ref="G101:G101"/>
    <mergeCell ref="H101:H101"/>
    <mergeCell ref="M101:M101"/>
    <mergeCell ref="N101:N101"/>
    <mergeCell ref="O101:O101"/>
    <mergeCell ref="P101:P101"/>
    <mergeCell ref="Q101:Q101"/>
    <mergeCell ref="R101:R101"/>
    <mergeCell ref="S101:S101"/>
    <mergeCell ref="X101:X101"/>
    <mergeCell ref="Y101:Y101"/>
    <mergeCell ref="Z101:Z101"/>
    <mergeCell ref="AA101:AA101"/>
    <mergeCell ref="AB101:AB101"/>
    <mergeCell ref="AC101:AC101"/>
    <mergeCell ref="AD101:AD101"/>
    <mergeCell ref="AE101:AE101"/>
    <mergeCell ref="AF101:AF101"/>
    <mergeCell ref="A102:A102"/>
    <mergeCell ref="B102:B102"/>
    <mergeCell ref="C102:C102"/>
    <mergeCell ref="F102:F102"/>
    <mergeCell ref="G102:G102"/>
    <mergeCell ref="H102:H102"/>
    <mergeCell ref="M102:M102"/>
    <mergeCell ref="N102:N102"/>
    <mergeCell ref="O102:O102"/>
    <mergeCell ref="P102:P102"/>
    <mergeCell ref="Q102:Q102"/>
    <mergeCell ref="R102:R102"/>
    <mergeCell ref="S102:S102"/>
    <mergeCell ref="X102:X102"/>
    <mergeCell ref="Y102:Y102"/>
    <mergeCell ref="Z102:Z102"/>
    <mergeCell ref="AA102:AA102"/>
    <mergeCell ref="AB102:AB102"/>
    <mergeCell ref="AC102:AC102"/>
    <mergeCell ref="AD102:AD102"/>
    <mergeCell ref="AE102:AE102"/>
    <mergeCell ref="AF102:AF102"/>
    <mergeCell ref="A103:A103"/>
    <mergeCell ref="B103:B103"/>
    <mergeCell ref="C103:C103"/>
    <mergeCell ref="F103:F103"/>
    <mergeCell ref="G103:G103"/>
    <mergeCell ref="H103:H103"/>
    <mergeCell ref="M103:M103"/>
    <mergeCell ref="N103:N103"/>
    <mergeCell ref="O103:O103"/>
    <mergeCell ref="P103:P103"/>
    <mergeCell ref="Q103:Q103"/>
    <mergeCell ref="R103:R103"/>
    <mergeCell ref="S103:S103"/>
    <mergeCell ref="X103:X103"/>
    <mergeCell ref="Y103:Y103"/>
    <mergeCell ref="Z103:Z103"/>
    <mergeCell ref="AA103:AA103"/>
    <mergeCell ref="AB103:AB103"/>
    <mergeCell ref="AC103:AC103"/>
    <mergeCell ref="AD103:AD103"/>
    <mergeCell ref="AE103:AE103"/>
    <mergeCell ref="AF103:AF103"/>
    <mergeCell ref="A104:A104"/>
    <mergeCell ref="B104:B104"/>
    <mergeCell ref="C104:C104"/>
    <mergeCell ref="F104:F104"/>
    <mergeCell ref="G104:G104"/>
    <mergeCell ref="H104:H104"/>
    <mergeCell ref="M104:M104"/>
    <mergeCell ref="N104:N104"/>
    <mergeCell ref="O104:O104"/>
    <mergeCell ref="P104:P104"/>
    <mergeCell ref="Q104:Q104"/>
    <mergeCell ref="R104:R104"/>
    <mergeCell ref="S104:S104"/>
    <mergeCell ref="X104:X104"/>
    <mergeCell ref="Y104:Y104"/>
    <mergeCell ref="Z104:Z104"/>
    <mergeCell ref="AA104:AA104"/>
    <mergeCell ref="AB104:AB104"/>
    <mergeCell ref="AC104:AC104"/>
    <mergeCell ref="AD104:AD104"/>
    <mergeCell ref="AE104:AE104"/>
    <mergeCell ref="AF104:AF104"/>
    <mergeCell ref="A105:A105"/>
    <mergeCell ref="B105:B105"/>
    <mergeCell ref="C105:C105"/>
    <mergeCell ref="F105:F105"/>
    <mergeCell ref="G105:G105"/>
    <mergeCell ref="H105:H105"/>
    <mergeCell ref="M105:M105"/>
    <mergeCell ref="N105:N105"/>
    <mergeCell ref="O105:O105"/>
    <mergeCell ref="P105:P105"/>
    <mergeCell ref="Q105:Q105"/>
    <mergeCell ref="R105:R105"/>
    <mergeCell ref="S105:S105"/>
    <mergeCell ref="X105:X105"/>
    <mergeCell ref="Y105:Y105"/>
    <mergeCell ref="Z105:Z105"/>
    <mergeCell ref="AA105:AA105"/>
    <mergeCell ref="AB105:AB105"/>
    <mergeCell ref="AC105:AC105"/>
    <mergeCell ref="AD105:AD105"/>
    <mergeCell ref="AE105:AE105"/>
    <mergeCell ref="AF105:AF105"/>
    <mergeCell ref="A106:A106"/>
    <mergeCell ref="B106:B106"/>
    <mergeCell ref="C106:C106"/>
    <mergeCell ref="F106:F106"/>
    <mergeCell ref="G106:G106"/>
    <mergeCell ref="H106:H106"/>
    <mergeCell ref="M106:M106"/>
    <mergeCell ref="N106:N106"/>
    <mergeCell ref="O106:O106"/>
    <mergeCell ref="P106:P106"/>
    <mergeCell ref="Q106:Q106"/>
    <mergeCell ref="R106:R106"/>
    <mergeCell ref="S106:S106"/>
    <mergeCell ref="X106:X106"/>
    <mergeCell ref="Y106:Y106"/>
    <mergeCell ref="Z106:Z106"/>
    <mergeCell ref="AA106:AA106"/>
    <mergeCell ref="AB106:AB106"/>
    <mergeCell ref="AC106:AC106"/>
    <mergeCell ref="AD106:AD106"/>
    <mergeCell ref="AE106:AE106"/>
    <mergeCell ref="AF106:AF106"/>
    <mergeCell ref="A107:A107"/>
    <mergeCell ref="B107:B107"/>
    <mergeCell ref="C107:C107"/>
    <mergeCell ref="F107:F107"/>
    <mergeCell ref="G107:G107"/>
    <mergeCell ref="H107:H107"/>
    <mergeCell ref="M107:M107"/>
    <mergeCell ref="N107:N107"/>
    <mergeCell ref="O107:O107"/>
    <mergeCell ref="P107:P107"/>
    <mergeCell ref="Q107:Q107"/>
    <mergeCell ref="R107:R107"/>
    <mergeCell ref="S107:S107"/>
    <mergeCell ref="X107:X107"/>
    <mergeCell ref="Y107:Y107"/>
    <mergeCell ref="Z107:Z107"/>
    <mergeCell ref="AA107:AA107"/>
    <mergeCell ref="AB107:AB107"/>
    <mergeCell ref="AC107:AC107"/>
    <mergeCell ref="AD107:AD107"/>
    <mergeCell ref="AE107:AE107"/>
    <mergeCell ref="AF107:AF107"/>
    <mergeCell ref="A108:A108"/>
    <mergeCell ref="B108:B108"/>
    <mergeCell ref="C108:C108"/>
    <mergeCell ref="F108:F108"/>
    <mergeCell ref="G108:G108"/>
    <mergeCell ref="H108:H108"/>
    <mergeCell ref="M108:M108"/>
    <mergeCell ref="N108:N108"/>
    <mergeCell ref="O108:O108"/>
    <mergeCell ref="P108:P108"/>
    <mergeCell ref="Q108:Q108"/>
    <mergeCell ref="R108:R108"/>
    <mergeCell ref="S108:S108"/>
    <mergeCell ref="X108:X108"/>
    <mergeCell ref="Y108:Y108"/>
    <mergeCell ref="Z108:Z108"/>
    <mergeCell ref="AA108:AA108"/>
    <mergeCell ref="AB108:AB108"/>
    <mergeCell ref="AC108:AC108"/>
    <mergeCell ref="AD108:AD108"/>
    <mergeCell ref="AE108:AE108"/>
    <mergeCell ref="AF108:AF108"/>
    <mergeCell ref="A109:A109"/>
    <mergeCell ref="B109:B109"/>
    <mergeCell ref="C109:C109"/>
    <mergeCell ref="F109:F109"/>
    <mergeCell ref="G109:G109"/>
    <mergeCell ref="H109:H109"/>
    <mergeCell ref="M109:M109"/>
    <mergeCell ref="N109:N109"/>
    <mergeCell ref="O109:O109"/>
    <mergeCell ref="P109:P109"/>
    <mergeCell ref="Q109:Q109"/>
    <mergeCell ref="R109:R109"/>
    <mergeCell ref="S109:S109"/>
    <mergeCell ref="X109:X109"/>
    <mergeCell ref="Y109:Y109"/>
    <mergeCell ref="Z109:Z109"/>
    <mergeCell ref="AA109:AA109"/>
    <mergeCell ref="AB109:AB109"/>
    <mergeCell ref="AC109:AC109"/>
    <mergeCell ref="AD109:AD109"/>
    <mergeCell ref="AE109:AE109"/>
    <mergeCell ref="AF109:AF109"/>
    <mergeCell ref="A110:A110"/>
    <mergeCell ref="B110:B110"/>
    <mergeCell ref="C110:C110"/>
    <mergeCell ref="F110:F110"/>
    <mergeCell ref="G110:G110"/>
    <mergeCell ref="H110:H110"/>
    <mergeCell ref="M110:M110"/>
    <mergeCell ref="N110:N110"/>
    <mergeCell ref="O110:O110"/>
    <mergeCell ref="P110:P110"/>
    <mergeCell ref="Q110:Q110"/>
    <mergeCell ref="R110:R110"/>
    <mergeCell ref="S110:S110"/>
    <mergeCell ref="X110:X110"/>
    <mergeCell ref="Y110:Y110"/>
    <mergeCell ref="Z110:Z110"/>
    <mergeCell ref="AA110:AA110"/>
    <mergeCell ref="AB110:AB110"/>
    <mergeCell ref="AC110:AC110"/>
    <mergeCell ref="AD110:AD110"/>
    <mergeCell ref="AE110:AE110"/>
    <mergeCell ref="AF110:AF110"/>
    <mergeCell ref="A111:A111"/>
    <mergeCell ref="B111:B111"/>
    <mergeCell ref="C111:C111"/>
    <mergeCell ref="F111:F111"/>
    <mergeCell ref="G111:G111"/>
    <mergeCell ref="H111:H111"/>
    <mergeCell ref="M111:M111"/>
    <mergeCell ref="N111:N111"/>
    <mergeCell ref="O111:O111"/>
    <mergeCell ref="P111:P111"/>
    <mergeCell ref="Q111:Q111"/>
    <mergeCell ref="R111:R111"/>
    <mergeCell ref="S111:S111"/>
    <mergeCell ref="X111:X111"/>
    <mergeCell ref="Y111:Y111"/>
    <mergeCell ref="Z111:Z111"/>
    <mergeCell ref="AA111:AA111"/>
    <mergeCell ref="AB111:AB111"/>
    <mergeCell ref="AC111:AC111"/>
    <mergeCell ref="AD111:AD111"/>
    <mergeCell ref="AE111:AE111"/>
    <mergeCell ref="AF111:AF111"/>
    <mergeCell ref="A112:A112"/>
    <mergeCell ref="B112:B112"/>
    <mergeCell ref="C112:C112"/>
    <mergeCell ref="F112:F112"/>
    <mergeCell ref="G112:G112"/>
    <mergeCell ref="H112:H112"/>
    <mergeCell ref="M112:M112"/>
    <mergeCell ref="N112:N112"/>
    <mergeCell ref="O112:O112"/>
    <mergeCell ref="P112:P112"/>
    <mergeCell ref="Q112:Q112"/>
    <mergeCell ref="R112:R112"/>
    <mergeCell ref="S112:S112"/>
    <mergeCell ref="X112:X112"/>
    <mergeCell ref="Y112:Y112"/>
    <mergeCell ref="Z112:Z112"/>
    <mergeCell ref="AA112:AA112"/>
    <mergeCell ref="AB112:AB112"/>
    <mergeCell ref="AC112:AC112"/>
    <mergeCell ref="AD112:AD112"/>
    <mergeCell ref="AE112:AE112"/>
    <mergeCell ref="AF112:AF112"/>
    <mergeCell ref="A113:A113"/>
    <mergeCell ref="B113:B113"/>
    <mergeCell ref="C113:C113"/>
    <mergeCell ref="F113:F113"/>
    <mergeCell ref="G113:G113"/>
    <mergeCell ref="H113:H113"/>
    <mergeCell ref="M113:M113"/>
    <mergeCell ref="N113:N113"/>
    <mergeCell ref="O113:O113"/>
    <mergeCell ref="P113:P113"/>
    <mergeCell ref="Q113:Q113"/>
    <mergeCell ref="R113:R113"/>
    <mergeCell ref="S113:S113"/>
    <mergeCell ref="X113:X113"/>
    <mergeCell ref="Y113:Y113"/>
    <mergeCell ref="Z113:Z113"/>
    <mergeCell ref="AA113:AA113"/>
    <mergeCell ref="AB113:AB113"/>
    <mergeCell ref="AC113:AC113"/>
    <mergeCell ref="AD113:AD113"/>
    <mergeCell ref="AE113:AE113"/>
    <mergeCell ref="AF113:AF113"/>
    <mergeCell ref="A114:A114"/>
    <mergeCell ref="B114:B114"/>
    <mergeCell ref="C114:C114"/>
    <mergeCell ref="F114:F114"/>
    <mergeCell ref="G114:G114"/>
    <mergeCell ref="H114:H114"/>
    <mergeCell ref="M114:M114"/>
    <mergeCell ref="N114:N114"/>
    <mergeCell ref="O114:O114"/>
    <mergeCell ref="P114:P114"/>
    <mergeCell ref="Q114:Q114"/>
    <mergeCell ref="R114:R114"/>
    <mergeCell ref="S114:S114"/>
    <mergeCell ref="X114:X114"/>
    <mergeCell ref="Y114:Y114"/>
    <mergeCell ref="Z114:Z114"/>
    <mergeCell ref="AA114:AA114"/>
    <mergeCell ref="AB114:AB114"/>
    <mergeCell ref="AC114:AC114"/>
    <mergeCell ref="AD114:AD114"/>
    <mergeCell ref="AE114:AE114"/>
    <mergeCell ref="AF114:AF114"/>
    <mergeCell ref="A115:A115"/>
    <mergeCell ref="B115:B115"/>
    <mergeCell ref="C115:C115"/>
    <mergeCell ref="F115:F115"/>
    <mergeCell ref="G115:G115"/>
    <mergeCell ref="H115:H115"/>
    <mergeCell ref="M115:M115"/>
    <mergeCell ref="N115:N115"/>
    <mergeCell ref="O115:O115"/>
    <mergeCell ref="P115:P115"/>
    <mergeCell ref="Q115:Q115"/>
    <mergeCell ref="R115:R115"/>
    <mergeCell ref="S115:S115"/>
    <mergeCell ref="X115:X115"/>
    <mergeCell ref="Y115:Y115"/>
    <mergeCell ref="Z115:Z115"/>
    <mergeCell ref="AA115:AA115"/>
    <mergeCell ref="AB115:AB115"/>
    <mergeCell ref="AC115:AC115"/>
    <mergeCell ref="AD115:AD115"/>
    <mergeCell ref="AE115:AE115"/>
    <mergeCell ref="AF115:AF115"/>
    <mergeCell ref="A116:A116"/>
    <mergeCell ref="B116:B116"/>
    <mergeCell ref="C116:C116"/>
    <mergeCell ref="F116:F116"/>
    <mergeCell ref="G116:G116"/>
    <mergeCell ref="H116:H116"/>
    <mergeCell ref="M116:M116"/>
    <mergeCell ref="N116:N116"/>
    <mergeCell ref="O116:O116"/>
    <mergeCell ref="P116:P116"/>
    <mergeCell ref="Q116:Q116"/>
    <mergeCell ref="R116:R116"/>
    <mergeCell ref="S116:S116"/>
    <mergeCell ref="X116:X116"/>
    <mergeCell ref="Y116:Y116"/>
    <mergeCell ref="Z116:Z116"/>
    <mergeCell ref="AA116:AA116"/>
    <mergeCell ref="AB116:AB116"/>
    <mergeCell ref="AC116:AC116"/>
    <mergeCell ref="AD116:AD116"/>
    <mergeCell ref="AE116:AE116"/>
    <mergeCell ref="AF116:AF116"/>
    <mergeCell ref="A117:A117"/>
    <mergeCell ref="B117:B117"/>
    <mergeCell ref="C117:C117"/>
    <mergeCell ref="F117:F117"/>
    <mergeCell ref="G117:G117"/>
    <mergeCell ref="H117:H117"/>
    <mergeCell ref="M117:M117"/>
    <mergeCell ref="N117:N117"/>
    <mergeCell ref="O117:O117"/>
    <mergeCell ref="P117:P117"/>
    <mergeCell ref="Q117:Q117"/>
    <mergeCell ref="R117:R117"/>
    <mergeCell ref="S117:S117"/>
    <mergeCell ref="X117:X117"/>
    <mergeCell ref="Y117:Y117"/>
    <mergeCell ref="Z117:Z117"/>
    <mergeCell ref="AA117:AA117"/>
    <mergeCell ref="AB117:AB117"/>
    <mergeCell ref="AC117:AC117"/>
    <mergeCell ref="AD117:AD117"/>
    <mergeCell ref="AE117:AE117"/>
    <mergeCell ref="AF117:AF117"/>
    <mergeCell ref="A118:A118"/>
    <mergeCell ref="B118:B118"/>
    <mergeCell ref="C118:C118"/>
    <mergeCell ref="F118:F118"/>
    <mergeCell ref="G118:G118"/>
    <mergeCell ref="H118:H118"/>
    <mergeCell ref="M118:M118"/>
    <mergeCell ref="N118:N118"/>
    <mergeCell ref="O118:O118"/>
    <mergeCell ref="P118:P118"/>
    <mergeCell ref="Q118:Q118"/>
    <mergeCell ref="R118:R118"/>
    <mergeCell ref="S118:S118"/>
    <mergeCell ref="X118:X118"/>
    <mergeCell ref="Y118:Y118"/>
    <mergeCell ref="Z118:Z118"/>
    <mergeCell ref="AA118:AA118"/>
    <mergeCell ref="AB118:AB118"/>
    <mergeCell ref="AC118:AC118"/>
    <mergeCell ref="AD118:AD118"/>
    <mergeCell ref="AE118:AE118"/>
    <mergeCell ref="AF118:AF118"/>
    <mergeCell ref="A119:A119"/>
    <mergeCell ref="B119:B119"/>
    <mergeCell ref="C119:C119"/>
    <mergeCell ref="F119:F119"/>
    <mergeCell ref="G119:G119"/>
    <mergeCell ref="H119:H119"/>
    <mergeCell ref="M119:M119"/>
    <mergeCell ref="N119:N119"/>
    <mergeCell ref="O119:O119"/>
    <mergeCell ref="P119:P119"/>
    <mergeCell ref="Q119:Q119"/>
    <mergeCell ref="R119:R119"/>
    <mergeCell ref="S119:S119"/>
    <mergeCell ref="X119:X119"/>
    <mergeCell ref="Y119:Y119"/>
    <mergeCell ref="Z119:Z119"/>
    <mergeCell ref="AA119:AA119"/>
    <mergeCell ref="AB119:AB119"/>
    <mergeCell ref="AC119:AC119"/>
    <mergeCell ref="AD119:AD119"/>
    <mergeCell ref="AE119:AE119"/>
    <mergeCell ref="AF119:AF119"/>
    <mergeCell ref="A120:A120"/>
    <mergeCell ref="B120:B120"/>
    <mergeCell ref="C120:C120"/>
    <mergeCell ref="F120:F120"/>
    <mergeCell ref="G120:G120"/>
    <mergeCell ref="H120:H120"/>
    <mergeCell ref="M120:M120"/>
    <mergeCell ref="N120:N120"/>
    <mergeCell ref="O120:O120"/>
    <mergeCell ref="P120:P120"/>
    <mergeCell ref="Q120:Q120"/>
    <mergeCell ref="R120:R120"/>
    <mergeCell ref="S120:S120"/>
    <mergeCell ref="X120:X120"/>
    <mergeCell ref="Y120:Y120"/>
    <mergeCell ref="Z120:Z120"/>
    <mergeCell ref="AA120:AA120"/>
    <mergeCell ref="AB120:AB120"/>
    <mergeCell ref="AC120:AC120"/>
    <mergeCell ref="AD120:AD120"/>
    <mergeCell ref="AE120:AE120"/>
    <mergeCell ref="AF120:AF120"/>
    <mergeCell ref="A121:A121"/>
    <mergeCell ref="B121:B121"/>
    <mergeCell ref="C121:C121"/>
    <mergeCell ref="F121:F121"/>
    <mergeCell ref="G121:G121"/>
    <mergeCell ref="H121:H121"/>
    <mergeCell ref="M121:M121"/>
    <mergeCell ref="N121:N121"/>
    <mergeCell ref="O121:O121"/>
    <mergeCell ref="P121:P121"/>
    <mergeCell ref="Q121:Q121"/>
    <mergeCell ref="R121:R121"/>
    <mergeCell ref="S121:S121"/>
    <mergeCell ref="X121:X121"/>
    <mergeCell ref="Y121:Y121"/>
    <mergeCell ref="Z121:Z121"/>
    <mergeCell ref="AA121:AA121"/>
    <mergeCell ref="AB121:AB121"/>
    <mergeCell ref="AC121:AC121"/>
    <mergeCell ref="AD121:AD121"/>
    <mergeCell ref="AE121:AE121"/>
    <mergeCell ref="AF121:AF121"/>
    <mergeCell ref="A122:A122"/>
    <mergeCell ref="B122:B122"/>
    <mergeCell ref="C122:C122"/>
    <mergeCell ref="F122:F122"/>
    <mergeCell ref="G122:G122"/>
    <mergeCell ref="H122:H122"/>
    <mergeCell ref="M122:M122"/>
    <mergeCell ref="N122:N122"/>
    <mergeCell ref="O122:O122"/>
    <mergeCell ref="P122:P122"/>
    <mergeCell ref="Q122:Q122"/>
    <mergeCell ref="R122:R122"/>
    <mergeCell ref="S122:S122"/>
    <mergeCell ref="X122:X122"/>
    <mergeCell ref="Y122:Y122"/>
    <mergeCell ref="Z122:Z122"/>
    <mergeCell ref="AA122:AA122"/>
    <mergeCell ref="AB122:AB122"/>
    <mergeCell ref="AC122:AC122"/>
    <mergeCell ref="AD122:AD122"/>
    <mergeCell ref="AE122:AE122"/>
    <mergeCell ref="AF122:AF122"/>
    <mergeCell ref="A123:A123"/>
    <mergeCell ref="B123:B123"/>
    <mergeCell ref="C123:C123"/>
    <mergeCell ref="F123:F123"/>
    <mergeCell ref="G123:G123"/>
    <mergeCell ref="H123:H123"/>
    <mergeCell ref="M123:M123"/>
    <mergeCell ref="N123:N123"/>
    <mergeCell ref="O123:O123"/>
    <mergeCell ref="P123:P123"/>
    <mergeCell ref="Q123:Q123"/>
    <mergeCell ref="R123:R123"/>
    <mergeCell ref="S123:S123"/>
    <mergeCell ref="X123:X123"/>
    <mergeCell ref="Y123:Y123"/>
    <mergeCell ref="Z123:Z123"/>
    <mergeCell ref="AA123:AA123"/>
    <mergeCell ref="AB123:AB123"/>
    <mergeCell ref="AC123:AC123"/>
    <mergeCell ref="AD123:AD123"/>
    <mergeCell ref="AE123:AE123"/>
    <mergeCell ref="AF123:AF123"/>
    <mergeCell ref="A124:A124"/>
    <mergeCell ref="B124:B124"/>
    <mergeCell ref="C124:C124"/>
    <mergeCell ref="F124:F124"/>
    <mergeCell ref="G124:G124"/>
    <mergeCell ref="H124:H124"/>
    <mergeCell ref="M124:M124"/>
    <mergeCell ref="N124:N124"/>
    <mergeCell ref="O124:O124"/>
    <mergeCell ref="P124:P124"/>
    <mergeCell ref="Q124:Q124"/>
    <mergeCell ref="R124:R124"/>
    <mergeCell ref="S124:S124"/>
    <mergeCell ref="X124:X124"/>
    <mergeCell ref="Y124:Y124"/>
    <mergeCell ref="Z124:Z124"/>
    <mergeCell ref="AA124:AA124"/>
    <mergeCell ref="AB124:AB124"/>
    <mergeCell ref="AC124:AC124"/>
    <mergeCell ref="AD124:AD124"/>
    <mergeCell ref="AE124:AE124"/>
    <mergeCell ref="AF124:AF124"/>
    <mergeCell ref="A125:A125"/>
    <mergeCell ref="B125:B125"/>
    <mergeCell ref="C125:C125"/>
    <mergeCell ref="F125:F125"/>
    <mergeCell ref="G125:G125"/>
    <mergeCell ref="H125:H125"/>
    <mergeCell ref="M125:M125"/>
    <mergeCell ref="N125:N125"/>
    <mergeCell ref="O125:O125"/>
    <mergeCell ref="P125:P125"/>
    <mergeCell ref="Q125:Q125"/>
    <mergeCell ref="R125:R125"/>
    <mergeCell ref="S125:S125"/>
    <mergeCell ref="X125:X125"/>
    <mergeCell ref="Y125:Y125"/>
    <mergeCell ref="Z125:Z125"/>
    <mergeCell ref="AA125:AA125"/>
    <mergeCell ref="AB125:AB125"/>
    <mergeCell ref="AC125:AC125"/>
    <mergeCell ref="AD125:AD125"/>
    <mergeCell ref="AE125:AE125"/>
    <mergeCell ref="AF125:AF125"/>
    <mergeCell ref="A126:A127"/>
    <mergeCell ref="B126:B127"/>
    <mergeCell ref="C126:C127"/>
    <mergeCell ref="F126:F127"/>
    <mergeCell ref="G126:G127"/>
    <mergeCell ref="H126:H127"/>
    <mergeCell ref="M126:M127"/>
    <mergeCell ref="N126:N127"/>
    <mergeCell ref="O126:O127"/>
    <mergeCell ref="P126:P127"/>
    <mergeCell ref="Q126:Q127"/>
    <mergeCell ref="R126:R127"/>
    <mergeCell ref="S126:S127"/>
    <mergeCell ref="X126:X127"/>
    <mergeCell ref="Y126:Y127"/>
    <mergeCell ref="Z126:Z127"/>
    <mergeCell ref="AA126:AA127"/>
    <mergeCell ref="AB126:AB127"/>
    <mergeCell ref="AC126:AC127"/>
    <mergeCell ref="AD126:AD127"/>
    <mergeCell ref="AE126:AE127"/>
    <mergeCell ref="AF126:AF127"/>
    <mergeCell ref="A128:A128"/>
    <mergeCell ref="B128:B128"/>
    <mergeCell ref="C128:C128"/>
    <mergeCell ref="F128:F128"/>
    <mergeCell ref="G128:G128"/>
    <mergeCell ref="H128:H128"/>
    <mergeCell ref="M128:M128"/>
    <mergeCell ref="N128:N128"/>
    <mergeCell ref="O128:O128"/>
    <mergeCell ref="P128:P128"/>
    <mergeCell ref="Q128:Q128"/>
    <mergeCell ref="R128:R128"/>
    <mergeCell ref="S128:S128"/>
    <mergeCell ref="X128:X128"/>
    <mergeCell ref="Y128:Y128"/>
    <mergeCell ref="Z128:Z128"/>
    <mergeCell ref="AA128:AA128"/>
    <mergeCell ref="AB128:AB128"/>
    <mergeCell ref="AC128:AC128"/>
    <mergeCell ref="AD128:AD128"/>
    <mergeCell ref="AE128:AE128"/>
    <mergeCell ref="AF128:AF128"/>
    <mergeCell ref="A129:A129"/>
    <mergeCell ref="B129:B129"/>
    <mergeCell ref="C129:C129"/>
    <mergeCell ref="F129:F129"/>
    <mergeCell ref="G129:G129"/>
    <mergeCell ref="H129:H129"/>
    <mergeCell ref="M129:M129"/>
    <mergeCell ref="N129:N129"/>
    <mergeCell ref="O129:O129"/>
    <mergeCell ref="P129:P129"/>
    <mergeCell ref="Q129:Q129"/>
    <mergeCell ref="R129:R129"/>
    <mergeCell ref="S129:S129"/>
    <mergeCell ref="X129:X129"/>
    <mergeCell ref="Y129:Y129"/>
    <mergeCell ref="Z129:Z129"/>
    <mergeCell ref="AA129:AA129"/>
    <mergeCell ref="AB129:AB129"/>
    <mergeCell ref="AC129:AC129"/>
    <mergeCell ref="AD129:AD129"/>
    <mergeCell ref="AE129:AE129"/>
    <mergeCell ref="AF129:AF129"/>
    <mergeCell ref="A130:A130"/>
    <mergeCell ref="B130:B130"/>
    <mergeCell ref="C130:C130"/>
    <mergeCell ref="F130:F130"/>
    <mergeCell ref="G130:G130"/>
    <mergeCell ref="H130:H130"/>
    <mergeCell ref="M130:M130"/>
    <mergeCell ref="N130:N130"/>
    <mergeCell ref="O130:O130"/>
    <mergeCell ref="P130:P130"/>
    <mergeCell ref="Q130:Q130"/>
    <mergeCell ref="R130:R130"/>
    <mergeCell ref="S130:S130"/>
    <mergeCell ref="X130:X130"/>
    <mergeCell ref="Y130:Y130"/>
    <mergeCell ref="Z130:Z130"/>
    <mergeCell ref="AA130:AA130"/>
    <mergeCell ref="AB130:AB130"/>
    <mergeCell ref="AC130:AC130"/>
    <mergeCell ref="AD130:AD130"/>
    <mergeCell ref="AE130:AE130"/>
    <mergeCell ref="AF130:AF130"/>
    <mergeCell ref="A131:A131"/>
    <mergeCell ref="B131:B131"/>
    <mergeCell ref="C131:C131"/>
    <mergeCell ref="F131:F131"/>
    <mergeCell ref="G131:G131"/>
    <mergeCell ref="H131:H131"/>
    <mergeCell ref="M131:M131"/>
    <mergeCell ref="N131:N131"/>
    <mergeCell ref="O131:O131"/>
    <mergeCell ref="P131:P131"/>
    <mergeCell ref="Q131:Q131"/>
    <mergeCell ref="R131:R131"/>
    <mergeCell ref="S131:S131"/>
    <mergeCell ref="X131:X131"/>
    <mergeCell ref="Y131:Y131"/>
    <mergeCell ref="Z131:Z131"/>
    <mergeCell ref="AA131:AA131"/>
    <mergeCell ref="AB131:AB131"/>
    <mergeCell ref="AC131:AC131"/>
    <mergeCell ref="AD131:AD131"/>
    <mergeCell ref="AE131:AE131"/>
    <mergeCell ref="AF131:AF131"/>
    <mergeCell ref="A132:A132"/>
    <mergeCell ref="B132:B132"/>
    <mergeCell ref="C132:C132"/>
    <mergeCell ref="F132:F132"/>
    <mergeCell ref="G132:G132"/>
    <mergeCell ref="H132:H132"/>
    <mergeCell ref="M132:M132"/>
    <mergeCell ref="N132:N132"/>
    <mergeCell ref="O132:O132"/>
    <mergeCell ref="P132:P132"/>
    <mergeCell ref="Q132:Q132"/>
    <mergeCell ref="R132:R132"/>
    <mergeCell ref="S132:S132"/>
    <mergeCell ref="X132:X132"/>
    <mergeCell ref="Y132:Y132"/>
    <mergeCell ref="Z132:Z132"/>
    <mergeCell ref="AA132:AA132"/>
    <mergeCell ref="AB132:AB132"/>
    <mergeCell ref="AC132:AC132"/>
    <mergeCell ref="AD132:AD132"/>
    <mergeCell ref="AE132:AE132"/>
    <mergeCell ref="AF132:AF132"/>
    <mergeCell ref="A133:A133"/>
    <mergeCell ref="B133:B133"/>
    <mergeCell ref="C133:C133"/>
    <mergeCell ref="F133:F133"/>
    <mergeCell ref="G133:G133"/>
    <mergeCell ref="H133:H133"/>
    <mergeCell ref="M133:M133"/>
    <mergeCell ref="N133:N133"/>
    <mergeCell ref="O133:O133"/>
    <mergeCell ref="P133:P133"/>
    <mergeCell ref="Q133:Q133"/>
    <mergeCell ref="R133:R133"/>
    <mergeCell ref="S133:S133"/>
    <mergeCell ref="X133:X133"/>
    <mergeCell ref="Y133:Y133"/>
    <mergeCell ref="Z133:Z133"/>
    <mergeCell ref="AA133:AA133"/>
    <mergeCell ref="AB133:AB133"/>
    <mergeCell ref="AC133:AC133"/>
    <mergeCell ref="AD133:AD133"/>
    <mergeCell ref="AE133:AE133"/>
    <mergeCell ref="AF133:AF133"/>
    <mergeCell ref="A134:A134"/>
    <mergeCell ref="B134:B134"/>
    <mergeCell ref="C134:C134"/>
    <mergeCell ref="F134:F134"/>
    <mergeCell ref="G134:G134"/>
    <mergeCell ref="H134:H134"/>
    <mergeCell ref="M134:M134"/>
    <mergeCell ref="N134:N134"/>
    <mergeCell ref="O134:O134"/>
    <mergeCell ref="P134:P134"/>
    <mergeCell ref="Q134:Q134"/>
    <mergeCell ref="R134:R134"/>
    <mergeCell ref="S134:S134"/>
    <mergeCell ref="X134:X134"/>
    <mergeCell ref="Y134:Y134"/>
    <mergeCell ref="Z134:Z134"/>
    <mergeCell ref="AA134:AA134"/>
    <mergeCell ref="AB134:AB134"/>
    <mergeCell ref="AC134:AC134"/>
    <mergeCell ref="AD134:AD134"/>
    <mergeCell ref="AE134:AE134"/>
    <mergeCell ref="AF134:AF134"/>
    <mergeCell ref="A135:A135"/>
    <mergeCell ref="B135:B135"/>
    <mergeCell ref="C135:C135"/>
    <mergeCell ref="F135:F135"/>
    <mergeCell ref="G135:G135"/>
    <mergeCell ref="H135:H135"/>
    <mergeCell ref="M135:M135"/>
    <mergeCell ref="N135:N135"/>
    <mergeCell ref="O135:O135"/>
    <mergeCell ref="P135:P135"/>
    <mergeCell ref="Q135:Q135"/>
    <mergeCell ref="R135:R135"/>
    <mergeCell ref="S135:S135"/>
    <mergeCell ref="X135:X135"/>
    <mergeCell ref="Y135:Y135"/>
    <mergeCell ref="Z135:Z135"/>
    <mergeCell ref="AA135:AA135"/>
    <mergeCell ref="AB135:AB135"/>
    <mergeCell ref="AC135:AC135"/>
    <mergeCell ref="AD135:AD135"/>
    <mergeCell ref="AE135:AE135"/>
    <mergeCell ref="AF135:AF135"/>
    <mergeCell ref="A136:A136"/>
    <mergeCell ref="B136:B136"/>
    <mergeCell ref="C136:C136"/>
    <mergeCell ref="F136:F136"/>
    <mergeCell ref="G136:G136"/>
    <mergeCell ref="H136:H136"/>
    <mergeCell ref="M136:M136"/>
    <mergeCell ref="N136:N136"/>
    <mergeCell ref="O136:O136"/>
    <mergeCell ref="P136:P136"/>
    <mergeCell ref="Q136:Q136"/>
    <mergeCell ref="R136:R136"/>
    <mergeCell ref="S136:S136"/>
    <mergeCell ref="X136:X136"/>
    <mergeCell ref="Y136:Y136"/>
    <mergeCell ref="Z136:Z136"/>
    <mergeCell ref="AA136:AA136"/>
    <mergeCell ref="AB136:AB136"/>
    <mergeCell ref="AC136:AC136"/>
    <mergeCell ref="AD136:AD136"/>
    <mergeCell ref="AE136:AE136"/>
    <mergeCell ref="AF136:AF136"/>
    <mergeCell ref="A137:A137"/>
    <mergeCell ref="B137:B137"/>
    <mergeCell ref="C137:C137"/>
    <mergeCell ref="F137:F137"/>
    <mergeCell ref="G137:G137"/>
    <mergeCell ref="H137:H137"/>
    <mergeCell ref="M137:M137"/>
    <mergeCell ref="N137:N137"/>
    <mergeCell ref="O137:O137"/>
    <mergeCell ref="P137:P137"/>
    <mergeCell ref="Q137:Q137"/>
    <mergeCell ref="R137:R137"/>
    <mergeCell ref="S137:S137"/>
    <mergeCell ref="X137:X137"/>
    <mergeCell ref="Y137:Y137"/>
    <mergeCell ref="Z137:Z137"/>
    <mergeCell ref="AA137:AA137"/>
    <mergeCell ref="AB137:AB137"/>
    <mergeCell ref="AC137:AC137"/>
    <mergeCell ref="AD137:AD137"/>
    <mergeCell ref="AE137:AE137"/>
    <mergeCell ref="AF137:AF137"/>
    <mergeCell ref="A138:A138"/>
    <mergeCell ref="B138:B138"/>
    <mergeCell ref="C138:C138"/>
    <mergeCell ref="F138:F138"/>
    <mergeCell ref="G138:G138"/>
    <mergeCell ref="H138:H138"/>
    <mergeCell ref="M138:M138"/>
    <mergeCell ref="N138:N138"/>
    <mergeCell ref="O138:O138"/>
    <mergeCell ref="P138:P138"/>
    <mergeCell ref="Q138:Q138"/>
    <mergeCell ref="R138:R138"/>
    <mergeCell ref="S138:S138"/>
    <mergeCell ref="X138:X138"/>
    <mergeCell ref="Y138:Y138"/>
    <mergeCell ref="Z138:Z138"/>
    <mergeCell ref="AA138:AA138"/>
    <mergeCell ref="AB138:AB138"/>
    <mergeCell ref="AC138:AC138"/>
    <mergeCell ref="AD138:AD138"/>
    <mergeCell ref="AE138:AE138"/>
    <mergeCell ref="AF138:AF138"/>
    <mergeCell ref="A139:A139"/>
    <mergeCell ref="B139:B139"/>
    <mergeCell ref="C139:C139"/>
    <mergeCell ref="F139:F139"/>
    <mergeCell ref="G139:G139"/>
    <mergeCell ref="H139:H139"/>
    <mergeCell ref="M139:M139"/>
    <mergeCell ref="N139:N139"/>
    <mergeCell ref="O139:O139"/>
    <mergeCell ref="P139:P139"/>
    <mergeCell ref="Q139:Q139"/>
    <mergeCell ref="R139:R139"/>
    <mergeCell ref="S139:S139"/>
    <mergeCell ref="X139:X139"/>
    <mergeCell ref="Y139:Y139"/>
    <mergeCell ref="Z139:Z139"/>
    <mergeCell ref="AA139:AA139"/>
    <mergeCell ref="AB139:AB139"/>
    <mergeCell ref="AC139:AC139"/>
    <mergeCell ref="AD139:AD139"/>
    <mergeCell ref="AE139:AE139"/>
    <mergeCell ref="AF139:AF139"/>
    <mergeCell ref="A140:A140"/>
    <mergeCell ref="B140:B140"/>
    <mergeCell ref="C140:C140"/>
    <mergeCell ref="F140:F140"/>
    <mergeCell ref="G140:G140"/>
    <mergeCell ref="H140:H140"/>
    <mergeCell ref="M140:M140"/>
    <mergeCell ref="N140:N140"/>
    <mergeCell ref="O140:O140"/>
    <mergeCell ref="P140:P140"/>
    <mergeCell ref="Q140:Q140"/>
    <mergeCell ref="R140:R140"/>
    <mergeCell ref="S140:S140"/>
    <mergeCell ref="X140:X140"/>
    <mergeCell ref="Y140:Y140"/>
    <mergeCell ref="Z140:Z140"/>
    <mergeCell ref="AA140:AA140"/>
    <mergeCell ref="AB140:AB140"/>
    <mergeCell ref="AC140:AC140"/>
    <mergeCell ref="AD140:AD140"/>
    <mergeCell ref="AE140:AE140"/>
    <mergeCell ref="AF140:AF140"/>
    <mergeCell ref="A141:A141"/>
    <mergeCell ref="B141:B141"/>
    <mergeCell ref="C141:C141"/>
    <mergeCell ref="F141:F141"/>
    <mergeCell ref="G141:G141"/>
    <mergeCell ref="H141:H141"/>
    <mergeCell ref="M141:M141"/>
    <mergeCell ref="N141:N141"/>
    <mergeCell ref="O141:O141"/>
    <mergeCell ref="P141:P141"/>
    <mergeCell ref="Q141:Q141"/>
    <mergeCell ref="R141:R141"/>
    <mergeCell ref="S141:S141"/>
    <mergeCell ref="X141:X141"/>
    <mergeCell ref="Y141:Y141"/>
    <mergeCell ref="Z141:Z141"/>
    <mergeCell ref="AA141:AA141"/>
    <mergeCell ref="AB141:AB141"/>
    <mergeCell ref="AC141:AC141"/>
    <mergeCell ref="AD141:AD141"/>
    <mergeCell ref="AE141:AE141"/>
    <mergeCell ref="AF141:AF141"/>
    <mergeCell ref="A142:A142"/>
    <mergeCell ref="B142:B142"/>
    <mergeCell ref="C142:C142"/>
    <mergeCell ref="F142:F142"/>
    <mergeCell ref="G142:G142"/>
    <mergeCell ref="H142:H142"/>
    <mergeCell ref="M142:M142"/>
    <mergeCell ref="N142:N142"/>
    <mergeCell ref="O142:O142"/>
    <mergeCell ref="P142:P142"/>
    <mergeCell ref="Q142:Q142"/>
    <mergeCell ref="R142:R142"/>
    <mergeCell ref="S142:S142"/>
    <mergeCell ref="X142:X142"/>
    <mergeCell ref="Y142:Y142"/>
    <mergeCell ref="Z142:Z142"/>
    <mergeCell ref="AA142:AA142"/>
    <mergeCell ref="AB142:AB142"/>
    <mergeCell ref="AC142:AC142"/>
    <mergeCell ref="AD142:AD142"/>
    <mergeCell ref="AE142:AE142"/>
    <mergeCell ref="AF142:AF142"/>
    <mergeCell ref="A143:A143"/>
    <mergeCell ref="B143:B143"/>
    <mergeCell ref="C143:C143"/>
    <mergeCell ref="F143:F143"/>
    <mergeCell ref="G143:G143"/>
    <mergeCell ref="H143:H143"/>
    <mergeCell ref="M143:M143"/>
    <mergeCell ref="N143:N143"/>
    <mergeCell ref="O143:O143"/>
    <mergeCell ref="P143:P143"/>
    <mergeCell ref="Q143:Q143"/>
    <mergeCell ref="R143:R143"/>
    <mergeCell ref="S143:S143"/>
    <mergeCell ref="X143:X143"/>
    <mergeCell ref="Y143:Y143"/>
    <mergeCell ref="Z143:Z143"/>
    <mergeCell ref="AA143:AA143"/>
    <mergeCell ref="AB143:AB143"/>
    <mergeCell ref="AC143:AC143"/>
    <mergeCell ref="AD143:AD143"/>
    <mergeCell ref="AE143:AE143"/>
    <mergeCell ref="AF143:AF143"/>
    <mergeCell ref="A144:A144"/>
    <mergeCell ref="B144:B144"/>
    <mergeCell ref="C144:C144"/>
    <mergeCell ref="F144:F144"/>
    <mergeCell ref="G144:G144"/>
    <mergeCell ref="H144:H144"/>
    <mergeCell ref="M144:M144"/>
    <mergeCell ref="N144:N144"/>
    <mergeCell ref="O144:O144"/>
    <mergeCell ref="P144:P144"/>
    <mergeCell ref="Q144:Q144"/>
    <mergeCell ref="R144:R144"/>
    <mergeCell ref="S144:S144"/>
    <mergeCell ref="X144:X144"/>
    <mergeCell ref="Y144:Y144"/>
    <mergeCell ref="Z144:Z144"/>
    <mergeCell ref="AA144:AA144"/>
    <mergeCell ref="AB144:AB144"/>
    <mergeCell ref="AC144:AC144"/>
    <mergeCell ref="AD144:AD144"/>
    <mergeCell ref="AE144:AE144"/>
    <mergeCell ref="AF144:AF144"/>
    <mergeCell ref="A145:A145"/>
    <mergeCell ref="B145:B145"/>
    <mergeCell ref="C145:C145"/>
    <mergeCell ref="F145:F145"/>
    <mergeCell ref="G145:G145"/>
    <mergeCell ref="H145:H145"/>
    <mergeCell ref="M145:M145"/>
    <mergeCell ref="N145:N145"/>
    <mergeCell ref="O145:O145"/>
    <mergeCell ref="P145:P145"/>
    <mergeCell ref="Q145:Q145"/>
    <mergeCell ref="R145:R145"/>
    <mergeCell ref="S145:S145"/>
    <mergeCell ref="X145:X145"/>
    <mergeCell ref="Y145:Y145"/>
    <mergeCell ref="Z145:Z145"/>
    <mergeCell ref="AA145:AA145"/>
    <mergeCell ref="AB145:AB145"/>
    <mergeCell ref="AC145:AC145"/>
    <mergeCell ref="AD145:AD145"/>
    <mergeCell ref="AE145:AE145"/>
    <mergeCell ref="AF145:AF145"/>
    <mergeCell ref="A146:A146"/>
    <mergeCell ref="B146:B146"/>
    <mergeCell ref="C146:C146"/>
    <mergeCell ref="F146:F146"/>
    <mergeCell ref="G146:G146"/>
    <mergeCell ref="H146:H146"/>
    <mergeCell ref="M146:M146"/>
    <mergeCell ref="N146:N146"/>
    <mergeCell ref="O146:O146"/>
    <mergeCell ref="P146:P146"/>
    <mergeCell ref="Q146:Q146"/>
    <mergeCell ref="R146:R146"/>
    <mergeCell ref="S146:S146"/>
    <mergeCell ref="X146:X146"/>
    <mergeCell ref="Y146:Y146"/>
    <mergeCell ref="Z146:Z146"/>
    <mergeCell ref="AA146:AA146"/>
    <mergeCell ref="AB146:AB146"/>
    <mergeCell ref="AC146:AC146"/>
    <mergeCell ref="AD146:AD146"/>
    <mergeCell ref="AE146:AE146"/>
    <mergeCell ref="AF146:AF146"/>
    <mergeCell ref="A147:A147"/>
    <mergeCell ref="B147:B147"/>
    <mergeCell ref="C147:C147"/>
    <mergeCell ref="F147:F147"/>
    <mergeCell ref="G147:G147"/>
    <mergeCell ref="H147:H147"/>
    <mergeCell ref="M147:M147"/>
    <mergeCell ref="N147:N147"/>
    <mergeCell ref="O147:O147"/>
    <mergeCell ref="P147:P147"/>
    <mergeCell ref="Q147:Q147"/>
    <mergeCell ref="R147:R147"/>
    <mergeCell ref="S147:S147"/>
    <mergeCell ref="X147:X147"/>
    <mergeCell ref="Y147:Y147"/>
    <mergeCell ref="Z147:Z147"/>
    <mergeCell ref="AA147:AA147"/>
    <mergeCell ref="AB147:AB147"/>
    <mergeCell ref="AC147:AC147"/>
    <mergeCell ref="AD147:AD147"/>
    <mergeCell ref="AE147:AE147"/>
    <mergeCell ref="AF147:AF147"/>
    <mergeCell ref="A148:A148"/>
    <mergeCell ref="B148:B148"/>
    <mergeCell ref="C148:C148"/>
    <mergeCell ref="F148:F148"/>
    <mergeCell ref="G148:G148"/>
    <mergeCell ref="H148:H148"/>
    <mergeCell ref="M148:M148"/>
    <mergeCell ref="N148:N148"/>
    <mergeCell ref="O148:O148"/>
    <mergeCell ref="P148:P148"/>
    <mergeCell ref="Q148:Q148"/>
    <mergeCell ref="R148:R148"/>
    <mergeCell ref="S148:S148"/>
    <mergeCell ref="X148:X148"/>
    <mergeCell ref="Y148:Y148"/>
    <mergeCell ref="Z148:Z148"/>
    <mergeCell ref="AA148:AA148"/>
    <mergeCell ref="AB148:AB148"/>
    <mergeCell ref="AC148:AC148"/>
    <mergeCell ref="AD148:AD148"/>
    <mergeCell ref="AE148:AE148"/>
    <mergeCell ref="AF148:AF148"/>
    <mergeCell ref="A149:A149"/>
    <mergeCell ref="B149:B149"/>
    <mergeCell ref="C149:C149"/>
    <mergeCell ref="F149:F149"/>
    <mergeCell ref="G149:G149"/>
    <mergeCell ref="H149:H149"/>
    <mergeCell ref="M149:M149"/>
    <mergeCell ref="N149:N149"/>
    <mergeCell ref="O149:O149"/>
    <mergeCell ref="P149:P149"/>
    <mergeCell ref="Q149:Q149"/>
    <mergeCell ref="R149:R149"/>
    <mergeCell ref="S149:S149"/>
    <mergeCell ref="X149:X149"/>
    <mergeCell ref="Y149:Y149"/>
    <mergeCell ref="Z149:Z149"/>
    <mergeCell ref="AA149:AA149"/>
    <mergeCell ref="AB149:AB149"/>
    <mergeCell ref="AC149:AC149"/>
    <mergeCell ref="AD149:AD149"/>
    <mergeCell ref="AE149:AE149"/>
    <mergeCell ref="AF149:AF149"/>
    <mergeCell ref="A150:A150"/>
    <mergeCell ref="B150:B150"/>
    <mergeCell ref="C150:C150"/>
    <mergeCell ref="F150:F150"/>
    <mergeCell ref="G150:G150"/>
    <mergeCell ref="H150:H150"/>
    <mergeCell ref="M150:M150"/>
    <mergeCell ref="N150:N150"/>
    <mergeCell ref="O150:O150"/>
    <mergeCell ref="P150:P150"/>
    <mergeCell ref="Q150:Q150"/>
    <mergeCell ref="R150:R150"/>
    <mergeCell ref="S150:S150"/>
    <mergeCell ref="X150:X150"/>
    <mergeCell ref="Y150:Y150"/>
    <mergeCell ref="Z150:Z150"/>
    <mergeCell ref="AA150:AA150"/>
    <mergeCell ref="AB150:AB150"/>
    <mergeCell ref="AC150:AC150"/>
    <mergeCell ref="AD150:AD150"/>
    <mergeCell ref="AE150:AE150"/>
    <mergeCell ref="AF150:AF150"/>
    <mergeCell ref="A151:A151"/>
    <mergeCell ref="B151:B151"/>
    <mergeCell ref="C151:C151"/>
    <mergeCell ref="F151:F151"/>
    <mergeCell ref="G151:G151"/>
    <mergeCell ref="H151:H151"/>
    <mergeCell ref="M151:M151"/>
    <mergeCell ref="N151:N151"/>
    <mergeCell ref="O151:O151"/>
    <mergeCell ref="P151:P151"/>
    <mergeCell ref="Q151:Q151"/>
    <mergeCell ref="R151:R151"/>
    <mergeCell ref="S151:S151"/>
    <mergeCell ref="X151:X151"/>
    <mergeCell ref="Y151:Y151"/>
    <mergeCell ref="Z151:Z151"/>
    <mergeCell ref="AA151:AA151"/>
    <mergeCell ref="AB151:AB151"/>
    <mergeCell ref="AC151:AC151"/>
    <mergeCell ref="AD151:AD151"/>
    <mergeCell ref="AE151:AE151"/>
    <mergeCell ref="AF151:AF151"/>
    <mergeCell ref="A152:A152"/>
    <mergeCell ref="B152:B152"/>
    <mergeCell ref="C152:C152"/>
    <mergeCell ref="F152:F152"/>
    <mergeCell ref="G152:G152"/>
    <mergeCell ref="H152:H152"/>
    <mergeCell ref="M152:M152"/>
    <mergeCell ref="N152:N152"/>
    <mergeCell ref="O152:O152"/>
    <mergeCell ref="P152:P152"/>
    <mergeCell ref="Q152:Q152"/>
    <mergeCell ref="R152:R152"/>
    <mergeCell ref="S152:S152"/>
    <mergeCell ref="X152:X152"/>
    <mergeCell ref="Y152:Y152"/>
    <mergeCell ref="Z152:Z152"/>
    <mergeCell ref="AA152:AA152"/>
    <mergeCell ref="AB152:AB152"/>
    <mergeCell ref="AC152:AC152"/>
    <mergeCell ref="AD152:AD152"/>
    <mergeCell ref="AE152:AE152"/>
    <mergeCell ref="AF152:AF152"/>
    <mergeCell ref="A153:A153"/>
    <mergeCell ref="B153:B153"/>
    <mergeCell ref="C153:C153"/>
    <mergeCell ref="F153:F153"/>
    <mergeCell ref="G153:G153"/>
    <mergeCell ref="H153:H153"/>
    <mergeCell ref="M153:M153"/>
    <mergeCell ref="N153:N153"/>
    <mergeCell ref="O153:O153"/>
    <mergeCell ref="P153:P153"/>
    <mergeCell ref="Q153:Q153"/>
    <mergeCell ref="R153:R153"/>
    <mergeCell ref="S153:S153"/>
    <mergeCell ref="X153:X153"/>
    <mergeCell ref="Y153:Y153"/>
    <mergeCell ref="Z153:Z153"/>
    <mergeCell ref="AA153:AA153"/>
    <mergeCell ref="AB153:AB153"/>
    <mergeCell ref="AC153:AC153"/>
    <mergeCell ref="AD153:AD153"/>
    <mergeCell ref="AE153:AE153"/>
    <mergeCell ref="AF153:AF153"/>
    <mergeCell ref="A154:A154"/>
    <mergeCell ref="B154:B154"/>
    <mergeCell ref="C154:C154"/>
    <mergeCell ref="F154:F154"/>
    <mergeCell ref="G154:G154"/>
    <mergeCell ref="H154:H154"/>
    <mergeCell ref="M154:M154"/>
    <mergeCell ref="N154:N154"/>
    <mergeCell ref="O154:O154"/>
    <mergeCell ref="P154:P154"/>
    <mergeCell ref="Q154:Q154"/>
    <mergeCell ref="R154:R154"/>
    <mergeCell ref="S154:S154"/>
    <mergeCell ref="X154:X154"/>
    <mergeCell ref="Y154:Y154"/>
    <mergeCell ref="Z154:Z154"/>
    <mergeCell ref="AA154:AA154"/>
    <mergeCell ref="AB154:AB154"/>
    <mergeCell ref="AC154:AC154"/>
    <mergeCell ref="AD154:AD154"/>
    <mergeCell ref="AE154:AE154"/>
    <mergeCell ref="AF154:AF154"/>
    <mergeCell ref="A155:A155"/>
    <mergeCell ref="B155:B155"/>
    <mergeCell ref="C155:C155"/>
    <mergeCell ref="F155:F155"/>
    <mergeCell ref="G155:G155"/>
    <mergeCell ref="H155:H155"/>
    <mergeCell ref="M155:M155"/>
    <mergeCell ref="N155:N155"/>
    <mergeCell ref="O155:O155"/>
    <mergeCell ref="P155:P155"/>
    <mergeCell ref="Q155:Q155"/>
    <mergeCell ref="R155:R155"/>
    <mergeCell ref="S155:S155"/>
    <mergeCell ref="X155:X155"/>
    <mergeCell ref="Y155:Y155"/>
    <mergeCell ref="Z155:Z155"/>
    <mergeCell ref="AA155:AA155"/>
    <mergeCell ref="AB155:AB155"/>
    <mergeCell ref="AC155:AC155"/>
    <mergeCell ref="AD155:AD155"/>
    <mergeCell ref="AE155:AE155"/>
    <mergeCell ref="AF155:AF155"/>
    <mergeCell ref="A156:A156"/>
    <mergeCell ref="B156:B156"/>
    <mergeCell ref="C156:C156"/>
    <mergeCell ref="F156:F156"/>
    <mergeCell ref="G156:G156"/>
    <mergeCell ref="H156:H156"/>
    <mergeCell ref="M156:M156"/>
    <mergeCell ref="N156:N156"/>
    <mergeCell ref="O156:O156"/>
    <mergeCell ref="P156:P156"/>
    <mergeCell ref="Q156:Q156"/>
    <mergeCell ref="R156:R156"/>
    <mergeCell ref="S156:S156"/>
    <mergeCell ref="X156:X156"/>
    <mergeCell ref="Y156:Y156"/>
    <mergeCell ref="Z156:Z156"/>
    <mergeCell ref="AA156:AA156"/>
    <mergeCell ref="AB156:AB156"/>
    <mergeCell ref="AC156:AC156"/>
    <mergeCell ref="AD156:AD156"/>
    <mergeCell ref="AE156:AE156"/>
    <mergeCell ref="AF156:AF156"/>
    <mergeCell ref="A157:A157"/>
    <mergeCell ref="B157:B157"/>
    <mergeCell ref="C157:C157"/>
    <mergeCell ref="F157:F157"/>
    <mergeCell ref="G157:G157"/>
    <mergeCell ref="H157:H157"/>
    <mergeCell ref="M157:M157"/>
    <mergeCell ref="N157:N157"/>
    <mergeCell ref="O157:O157"/>
    <mergeCell ref="P157:P157"/>
    <mergeCell ref="Q157:Q157"/>
    <mergeCell ref="R157:R157"/>
    <mergeCell ref="S157:S157"/>
    <mergeCell ref="X157:X157"/>
    <mergeCell ref="Y157:Y157"/>
    <mergeCell ref="Z157:Z157"/>
    <mergeCell ref="AA157:AA157"/>
    <mergeCell ref="AB157:AB157"/>
    <mergeCell ref="AC157:AC157"/>
    <mergeCell ref="AD157:AD157"/>
    <mergeCell ref="AE157:AE157"/>
    <mergeCell ref="AF157:AF157"/>
    <mergeCell ref="A158:A158"/>
    <mergeCell ref="B158:B158"/>
    <mergeCell ref="C158:C158"/>
    <mergeCell ref="F158:F158"/>
    <mergeCell ref="G158:G158"/>
    <mergeCell ref="H158:H158"/>
    <mergeCell ref="M158:M158"/>
    <mergeCell ref="N158:N158"/>
    <mergeCell ref="O158:O158"/>
    <mergeCell ref="P158:P158"/>
    <mergeCell ref="Q158:Q158"/>
    <mergeCell ref="R158:R158"/>
    <mergeCell ref="S158:S158"/>
    <mergeCell ref="X158:X158"/>
    <mergeCell ref="Y158:Y158"/>
    <mergeCell ref="Z158:Z158"/>
    <mergeCell ref="AA158:AA158"/>
    <mergeCell ref="AB158:AB158"/>
    <mergeCell ref="AC158:AC158"/>
    <mergeCell ref="AD158:AD158"/>
    <mergeCell ref="AE158:AE158"/>
    <mergeCell ref="AF158:AF158"/>
    <mergeCell ref="A159:A159"/>
    <mergeCell ref="B159:B159"/>
    <mergeCell ref="C159:C159"/>
    <mergeCell ref="F159:F159"/>
    <mergeCell ref="G159:G159"/>
    <mergeCell ref="H159:H159"/>
    <mergeCell ref="M159:M159"/>
    <mergeCell ref="N159:N159"/>
    <mergeCell ref="O159:O159"/>
    <mergeCell ref="P159:P159"/>
    <mergeCell ref="Q159:Q159"/>
    <mergeCell ref="R159:R159"/>
    <mergeCell ref="S159:S159"/>
    <mergeCell ref="X159:X159"/>
    <mergeCell ref="Y159:Y159"/>
    <mergeCell ref="Z159:Z159"/>
    <mergeCell ref="AA159:AA159"/>
    <mergeCell ref="AB159:AB159"/>
    <mergeCell ref="AC159:AC159"/>
    <mergeCell ref="AD159:AD159"/>
    <mergeCell ref="AE159:AE159"/>
    <mergeCell ref="AF159:AF159"/>
    <mergeCell ref="A160:A160"/>
    <mergeCell ref="B160:B160"/>
    <mergeCell ref="C160:C160"/>
    <mergeCell ref="F160:F160"/>
    <mergeCell ref="G160:G160"/>
    <mergeCell ref="H160:H160"/>
    <mergeCell ref="M160:M160"/>
    <mergeCell ref="N160:N160"/>
    <mergeCell ref="O160:O160"/>
    <mergeCell ref="P160:P160"/>
    <mergeCell ref="Q160:Q160"/>
    <mergeCell ref="R160:R160"/>
    <mergeCell ref="S160:S160"/>
    <mergeCell ref="X160:X160"/>
    <mergeCell ref="Y160:Y160"/>
    <mergeCell ref="Z160:Z160"/>
    <mergeCell ref="AA160:AA160"/>
    <mergeCell ref="AB160:AB160"/>
    <mergeCell ref="AC160:AC160"/>
    <mergeCell ref="AD160:AD160"/>
    <mergeCell ref="AE160:AE160"/>
    <mergeCell ref="AF160:AF160"/>
    <mergeCell ref="A161:A161"/>
    <mergeCell ref="B161:B161"/>
    <mergeCell ref="C161:C161"/>
    <mergeCell ref="F161:F161"/>
    <mergeCell ref="G161:G161"/>
    <mergeCell ref="H161:H161"/>
    <mergeCell ref="M161:M161"/>
    <mergeCell ref="N161:N161"/>
    <mergeCell ref="O161:O161"/>
    <mergeCell ref="P161:P161"/>
    <mergeCell ref="Q161:Q161"/>
    <mergeCell ref="R161:R161"/>
    <mergeCell ref="S161:S161"/>
    <mergeCell ref="X161:X161"/>
    <mergeCell ref="Y161:Y161"/>
    <mergeCell ref="Z161:Z161"/>
    <mergeCell ref="AA161:AA161"/>
    <mergeCell ref="AB161:AB161"/>
    <mergeCell ref="AC161:AC161"/>
    <mergeCell ref="AD161:AD161"/>
    <mergeCell ref="AE161:AE161"/>
    <mergeCell ref="AF161:AF161"/>
    <mergeCell ref="A162:A162"/>
    <mergeCell ref="B162:B162"/>
    <mergeCell ref="C162:C162"/>
    <mergeCell ref="F162:F162"/>
    <mergeCell ref="G162:G162"/>
    <mergeCell ref="H162:H162"/>
    <mergeCell ref="M162:M162"/>
    <mergeCell ref="N162:N162"/>
    <mergeCell ref="O162:O162"/>
    <mergeCell ref="P162:P162"/>
    <mergeCell ref="Q162:Q162"/>
    <mergeCell ref="R162:R162"/>
    <mergeCell ref="S162:S162"/>
    <mergeCell ref="X162:X162"/>
    <mergeCell ref="Y162:Y162"/>
    <mergeCell ref="Z162:Z162"/>
    <mergeCell ref="AA162:AA162"/>
    <mergeCell ref="AB162:AB162"/>
    <mergeCell ref="AC162:AC162"/>
    <mergeCell ref="AD162:AD162"/>
    <mergeCell ref="AE162:AE162"/>
    <mergeCell ref="AF162:AF162"/>
    <mergeCell ref="A163:A163"/>
    <mergeCell ref="B163:B163"/>
    <mergeCell ref="C163:C163"/>
    <mergeCell ref="F163:F163"/>
    <mergeCell ref="G163:G163"/>
    <mergeCell ref="H163:H163"/>
    <mergeCell ref="M163:M163"/>
    <mergeCell ref="N163:N163"/>
    <mergeCell ref="O163:O163"/>
    <mergeCell ref="P163:P163"/>
    <mergeCell ref="Q163:Q163"/>
    <mergeCell ref="R163:R163"/>
    <mergeCell ref="S163:S163"/>
    <mergeCell ref="X163:X163"/>
    <mergeCell ref="Y163:Y163"/>
    <mergeCell ref="Z163:Z163"/>
    <mergeCell ref="AA163:AA163"/>
    <mergeCell ref="AB163:AB163"/>
    <mergeCell ref="AC163:AC163"/>
    <mergeCell ref="AD163:AD163"/>
    <mergeCell ref="AE163:AE163"/>
    <mergeCell ref="AF163:AF163"/>
    <mergeCell ref="A164:A164"/>
    <mergeCell ref="B164:B164"/>
    <mergeCell ref="C164:C164"/>
    <mergeCell ref="F164:F164"/>
    <mergeCell ref="G164:G164"/>
    <mergeCell ref="H164:H164"/>
    <mergeCell ref="M164:M164"/>
    <mergeCell ref="N164:N164"/>
    <mergeCell ref="O164:O164"/>
    <mergeCell ref="P164:P164"/>
    <mergeCell ref="Q164:Q164"/>
    <mergeCell ref="R164:R164"/>
    <mergeCell ref="S164:S164"/>
    <mergeCell ref="X164:X164"/>
    <mergeCell ref="Y164:Y164"/>
    <mergeCell ref="Z164:Z164"/>
    <mergeCell ref="AA164:AA164"/>
    <mergeCell ref="AB164:AB164"/>
    <mergeCell ref="AC164:AC164"/>
    <mergeCell ref="AD164:AD164"/>
    <mergeCell ref="AE164:AE164"/>
    <mergeCell ref="AF164:AF164"/>
    <mergeCell ref="A165:A165"/>
    <mergeCell ref="B165:B165"/>
    <mergeCell ref="C165:C165"/>
    <mergeCell ref="F165:F165"/>
    <mergeCell ref="G165:G165"/>
    <mergeCell ref="H165:H165"/>
    <mergeCell ref="M165:M165"/>
    <mergeCell ref="N165:N165"/>
    <mergeCell ref="O165:O165"/>
    <mergeCell ref="P165:P165"/>
    <mergeCell ref="Q165:Q165"/>
    <mergeCell ref="R165:R165"/>
    <mergeCell ref="S165:S165"/>
    <mergeCell ref="X165:X165"/>
    <mergeCell ref="Y165:Y165"/>
    <mergeCell ref="Z165:Z165"/>
    <mergeCell ref="AA165:AA165"/>
    <mergeCell ref="AB165:AB165"/>
    <mergeCell ref="AC165:AC165"/>
    <mergeCell ref="AD165:AD165"/>
    <mergeCell ref="AE165:AE165"/>
    <mergeCell ref="AF165:AF165"/>
    <mergeCell ref="A166:A166"/>
    <mergeCell ref="B166:B166"/>
    <mergeCell ref="C166:C166"/>
    <mergeCell ref="F166:F166"/>
    <mergeCell ref="G166:G166"/>
    <mergeCell ref="H166:H166"/>
    <mergeCell ref="M166:M166"/>
    <mergeCell ref="N166:N166"/>
    <mergeCell ref="O166:O166"/>
    <mergeCell ref="P166:P166"/>
    <mergeCell ref="Q166:Q166"/>
    <mergeCell ref="R166:R166"/>
    <mergeCell ref="S166:S166"/>
    <mergeCell ref="X166:X166"/>
    <mergeCell ref="Y166:Y166"/>
    <mergeCell ref="Z166:Z166"/>
    <mergeCell ref="AA166:AA166"/>
    <mergeCell ref="AB166:AB166"/>
    <mergeCell ref="AC166:AC166"/>
    <mergeCell ref="AD166:AD166"/>
    <mergeCell ref="AE166:AE166"/>
    <mergeCell ref="AF166:AF166"/>
    <mergeCell ref="A167:A167"/>
    <mergeCell ref="B167:B167"/>
    <mergeCell ref="C167:C167"/>
    <mergeCell ref="F167:F167"/>
    <mergeCell ref="G167:G167"/>
    <mergeCell ref="H167:H167"/>
    <mergeCell ref="M167:M167"/>
    <mergeCell ref="N167:N167"/>
    <mergeCell ref="O167:O167"/>
    <mergeCell ref="P167:P167"/>
    <mergeCell ref="Q167:Q167"/>
    <mergeCell ref="R167:R167"/>
    <mergeCell ref="S167:S167"/>
    <mergeCell ref="X167:X167"/>
    <mergeCell ref="Y167:Y167"/>
    <mergeCell ref="Z167:Z167"/>
    <mergeCell ref="AA167:AA167"/>
    <mergeCell ref="AB167:AB167"/>
    <mergeCell ref="AC167:AC167"/>
    <mergeCell ref="AD167:AD167"/>
    <mergeCell ref="AE167:AE167"/>
    <mergeCell ref="AF167:AF167"/>
    <mergeCell ref="A168:A168"/>
    <mergeCell ref="B168:B168"/>
    <mergeCell ref="C168:C168"/>
    <mergeCell ref="F168:F168"/>
    <mergeCell ref="G168:G168"/>
    <mergeCell ref="H168:H168"/>
    <mergeCell ref="M168:M168"/>
    <mergeCell ref="N168:N168"/>
    <mergeCell ref="O168:O168"/>
    <mergeCell ref="P168:P168"/>
    <mergeCell ref="Q168:Q168"/>
    <mergeCell ref="R168:R168"/>
    <mergeCell ref="S168:S168"/>
    <mergeCell ref="X168:X168"/>
    <mergeCell ref="Y168:Y168"/>
    <mergeCell ref="Z168:Z168"/>
    <mergeCell ref="AA168:AA168"/>
    <mergeCell ref="AB168:AB168"/>
    <mergeCell ref="AC168:AC168"/>
    <mergeCell ref="AD168:AD168"/>
    <mergeCell ref="AE168:AE168"/>
    <mergeCell ref="AF168:AF168"/>
    <mergeCell ref="A169:A169"/>
    <mergeCell ref="B169:B169"/>
    <mergeCell ref="C169:C169"/>
    <mergeCell ref="F169:F169"/>
    <mergeCell ref="G169:G169"/>
    <mergeCell ref="H169:H169"/>
    <mergeCell ref="M169:M169"/>
    <mergeCell ref="N169:N169"/>
    <mergeCell ref="O169:O169"/>
    <mergeCell ref="P169:P169"/>
    <mergeCell ref="Q169:Q169"/>
    <mergeCell ref="R169:R169"/>
    <mergeCell ref="S169:S169"/>
    <mergeCell ref="X169:X169"/>
    <mergeCell ref="Y169:Y169"/>
    <mergeCell ref="Z169:Z169"/>
    <mergeCell ref="AA169:AA169"/>
    <mergeCell ref="AB169:AB169"/>
    <mergeCell ref="AC169:AC169"/>
    <mergeCell ref="AD169:AD169"/>
    <mergeCell ref="AE169:AE169"/>
    <mergeCell ref="AF169:AF169"/>
    <mergeCell ref="A170:A170"/>
    <mergeCell ref="B170:B170"/>
    <mergeCell ref="C170:C170"/>
    <mergeCell ref="F170:F170"/>
    <mergeCell ref="G170:G170"/>
    <mergeCell ref="H170:H170"/>
    <mergeCell ref="M170:M170"/>
    <mergeCell ref="N170:N170"/>
    <mergeCell ref="O170:O170"/>
    <mergeCell ref="P170:P170"/>
    <mergeCell ref="Q170:Q170"/>
    <mergeCell ref="R170:R170"/>
    <mergeCell ref="S170:S170"/>
    <mergeCell ref="X170:X170"/>
    <mergeCell ref="Y170:Y170"/>
    <mergeCell ref="Z170:Z170"/>
    <mergeCell ref="AA170:AA170"/>
    <mergeCell ref="AB170:AB170"/>
    <mergeCell ref="AC170:AC170"/>
    <mergeCell ref="AD170:AD170"/>
    <mergeCell ref="AE170:AE170"/>
    <mergeCell ref="AF170:AF170"/>
    <mergeCell ref="A171:A171"/>
    <mergeCell ref="B171:B171"/>
    <mergeCell ref="C171:C171"/>
    <mergeCell ref="F171:F171"/>
    <mergeCell ref="G171:G171"/>
    <mergeCell ref="H171:H171"/>
    <mergeCell ref="M171:M171"/>
    <mergeCell ref="N171:N171"/>
    <mergeCell ref="O171:O171"/>
    <mergeCell ref="P171:P171"/>
    <mergeCell ref="Q171:Q171"/>
    <mergeCell ref="R171:R171"/>
    <mergeCell ref="S171:S171"/>
    <mergeCell ref="X171:X171"/>
    <mergeCell ref="Y171:Y171"/>
    <mergeCell ref="Z171:Z171"/>
    <mergeCell ref="AA171:AA171"/>
    <mergeCell ref="AB171:AB171"/>
    <mergeCell ref="AC171:AC171"/>
    <mergeCell ref="AD171:AD171"/>
    <mergeCell ref="AE171:AE171"/>
    <mergeCell ref="AF171:AF171"/>
    <mergeCell ref="A172:A172"/>
    <mergeCell ref="B172:B172"/>
    <mergeCell ref="C172:C172"/>
    <mergeCell ref="F172:F172"/>
    <mergeCell ref="G172:G172"/>
    <mergeCell ref="H172:H172"/>
    <mergeCell ref="M172:M172"/>
    <mergeCell ref="N172:N172"/>
    <mergeCell ref="O172:O172"/>
    <mergeCell ref="P172:P172"/>
    <mergeCell ref="Q172:Q172"/>
    <mergeCell ref="R172:R172"/>
    <mergeCell ref="S172:S172"/>
    <mergeCell ref="X172:X172"/>
    <mergeCell ref="Y172:Y172"/>
    <mergeCell ref="Z172:Z172"/>
    <mergeCell ref="AA172:AA172"/>
    <mergeCell ref="AB172:AB172"/>
    <mergeCell ref="AC172:AC172"/>
    <mergeCell ref="AD172:AD172"/>
    <mergeCell ref="AE172:AE172"/>
    <mergeCell ref="AF172:AF172"/>
    <mergeCell ref="A173:A173"/>
    <mergeCell ref="B173:B173"/>
    <mergeCell ref="C173:C173"/>
    <mergeCell ref="F173:F173"/>
    <mergeCell ref="G173:G173"/>
    <mergeCell ref="H173:H173"/>
    <mergeCell ref="M173:M173"/>
    <mergeCell ref="N173:N173"/>
    <mergeCell ref="O173:O173"/>
    <mergeCell ref="P173:P173"/>
    <mergeCell ref="Q173:Q173"/>
    <mergeCell ref="R173:R173"/>
    <mergeCell ref="S173:S173"/>
    <mergeCell ref="X173:X173"/>
    <mergeCell ref="Y173:Y173"/>
    <mergeCell ref="Z173:Z173"/>
    <mergeCell ref="AA173:AA173"/>
    <mergeCell ref="AB173:AB173"/>
    <mergeCell ref="AC173:AC173"/>
    <mergeCell ref="AD173:AD173"/>
    <mergeCell ref="AE173:AE173"/>
    <mergeCell ref="AF173:AF173"/>
    <mergeCell ref="A174:A174"/>
    <mergeCell ref="B174:B174"/>
    <mergeCell ref="C174:C174"/>
    <mergeCell ref="F174:F174"/>
    <mergeCell ref="G174:G174"/>
    <mergeCell ref="H174:H174"/>
    <mergeCell ref="M174:M174"/>
    <mergeCell ref="N174:N174"/>
    <mergeCell ref="O174:O174"/>
    <mergeCell ref="P174:P174"/>
    <mergeCell ref="Q174:Q174"/>
    <mergeCell ref="R174:R174"/>
    <mergeCell ref="S174:S174"/>
    <mergeCell ref="X174:X174"/>
    <mergeCell ref="Y174:Y174"/>
    <mergeCell ref="Z174:Z174"/>
    <mergeCell ref="AA174:AA174"/>
    <mergeCell ref="AB174:AB174"/>
    <mergeCell ref="AC174:AC174"/>
    <mergeCell ref="AD174:AD174"/>
    <mergeCell ref="AE174:AE174"/>
    <mergeCell ref="AF174:AF174"/>
    <mergeCell ref="A175:A175"/>
    <mergeCell ref="B175:B175"/>
    <mergeCell ref="C175:C175"/>
    <mergeCell ref="F175:F175"/>
    <mergeCell ref="G175:G175"/>
    <mergeCell ref="H175:H175"/>
    <mergeCell ref="M175:M175"/>
    <mergeCell ref="N175:N175"/>
    <mergeCell ref="O175:O175"/>
    <mergeCell ref="P175:P175"/>
    <mergeCell ref="Q175:Q175"/>
    <mergeCell ref="R175:R175"/>
    <mergeCell ref="S175:S175"/>
    <mergeCell ref="X175:X175"/>
    <mergeCell ref="Y175:Y175"/>
    <mergeCell ref="Z175:Z175"/>
    <mergeCell ref="AA175:AA175"/>
    <mergeCell ref="AB175:AB175"/>
    <mergeCell ref="AC175:AC175"/>
    <mergeCell ref="AD175:AD175"/>
    <mergeCell ref="AE175:AE175"/>
    <mergeCell ref="AF175:AF175"/>
    <mergeCell ref="A176:A176"/>
    <mergeCell ref="B176:B176"/>
    <mergeCell ref="C176:C176"/>
    <mergeCell ref="F176:F176"/>
    <mergeCell ref="G176:G176"/>
    <mergeCell ref="H176:H176"/>
    <mergeCell ref="M176:M176"/>
    <mergeCell ref="N176:N176"/>
    <mergeCell ref="O176:O176"/>
    <mergeCell ref="P176:P176"/>
    <mergeCell ref="Q176:Q176"/>
    <mergeCell ref="R176:R176"/>
    <mergeCell ref="S176:S176"/>
    <mergeCell ref="X176:X176"/>
    <mergeCell ref="Y176:Y176"/>
    <mergeCell ref="Z176:Z176"/>
    <mergeCell ref="AA176:AA176"/>
    <mergeCell ref="AB176:AB176"/>
    <mergeCell ref="AC176:AC176"/>
    <mergeCell ref="AD176:AD176"/>
    <mergeCell ref="AE176:AE176"/>
    <mergeCell ref="AF176:AF176"/>
    <mergeCell ref="A177:A177"/>
    <mergeCell ref="B177:B177"/>
    <mergeCell ref="C177:C177"/>
    <mergeCell ref="F177:F177"/>
    <mergeCell ref="G177:G177"/>
    <mergeCell ref="H177:H177"/>
    <mergeCell ref="M177:M177"/>
    <mergeCell ref="N177:N177"/>
    <mergeCell ref="O177:O177"/>
    <mergeCell ref="P177:P177"/>
    <mergeCell ref="Q177:Q177"/>
    <mergeCell ref="R177:R177"/>
    <mergeCell ref="S177:S177"/>
    <mergeCell ref="X177:X177"/>
    <mergeCell ref="Y177:Y177"/>
    <mergeCell ref="Z177:Z177"/>
    <mergeCell ref="AA177:AA177"/>
    <mergeCell ref="AB177:AB177"/>
    <mergeCell ref="AC177:AC177"/>
    <mergeCell ref="AD177:AD177"/>
    <mergeCell ref="AE177:AE177"/>
    <mergeCell ref="AF177:AF177"/>
    <mergeCell ref="A178:A178"/>
    <mergeCell ref="B178:B178"/>
    <mergeCell ref="C178:C178"/>
    <mergeCell ref="F178:F178"/>
    <mergeCell ref="G178:G178"/>
    <mergeCell ref="H178:H178"/>
    <mergeCell ref="M178:M178"/>
    <mergeCell ref="N178:N178"/>
    <mergeCell ref="O178:O178"/>
    <mergeCell ref="P178:P178"/>
    <mergeCell ref="Q178:Q178"/>
    <mergeCell ref="R178:R178"/>
    <mergeCell ref="S178:S178"/>
    <mergeCell ref="X178:X178"/>
    <mergeCell ref="Y178:Y178"/>
    <mergeCell ref="Z178:Z178"/>
    <mergeCell ref="AA178:AA178"/>
    <mergeCell ref="AB178:AB178"/>
    <mergeCell ref="AC178:AC178"/>
    <mergeCell ref="AD178:AD178"/>
    <mergeCell ref="AE178:AE178"/>
    <mergeCell ref="AF178:AF178"/>
    <mergeCell ref="A179:A179"/>
    <mergeCell ref="B179:B179"/>
    <mergeCell ref="C179:C179"/>
    <mergeCell ref="F179:F179"/>
    <mergeCell ref="G179:G179"/>
    <mergeCell ref="H179:H179"/>
    <mergeCell ref="M179:M179"/>
    <mergeCell ref="N179:N179"/>
    <mergeCell ref="O179:O179"/>
    <mergeCell ref="P179:P179"/>
    <mergeCell ref="Q179:Q179"/>
    <mergeCell ref="R179:R179"/>
    <mergeCell ref="S179:S179"/>
    <mergeCell ref="X179:X179"/>
    <mergeCell ref="Y179:Y179"/>
    <mergeCell ref="Z179:Z179"/>
    <mergeCell ref="AA179:AA179"/>
    <mergeCell ref="AB179:AB179"/>
    <mergeCell ref="AC179:AC179"/>
    <mergeCell ref="AD179:AD179"/>
    <mergeCell ref="AE179:AE179"/>
    <mergeCell ref="AF179:AF179"/>
    <mergeCell ref="A180:A180"/>
    <mergeCell ref="B180:B180"/>
    <mergeCell ref="C180:C180"/>
    <mergeCell ref="F180:F180"/>
    <mergeCell ref="G180:G180"/>
    <mergeCell ref="H180:H180"/>
    <mergeCell ref="M180:M180"/>
    <mergeCell ref="N180:N180"/>
    <mergeCell ref="O180:O180"/>
    <mergeCell ref="P180:P180"/>
    <mergeCell ref="Q180:Q180"/>
    <mergeCell ref="R180:R180"/>
    <mergeCell ref="S180:S180"/>
    <mergeCell ref="X180:X180"/>
    <mergeCell ref="Y180:Y180"/>
    <mergeCell ref="Z180:Z180"/>
    <mergeCell ref="AA180:AA180"/>
    <mergeCell ref="AB180:AB180"/>
    <mergeCell ref="AC180:AC180"/>
    <mergeCell ref="AD180:AD180"/>
    <mergeCell ref="AE180:AE180"/>
    <mergeCell ref="AF180:AF180"/>
    <mergeCell ref="A181:A181"/>
    <mergeCell ref="B181:B181"/>
    <mergeCell ref="C181:C181"/>
    <mergeCell ref="F181:F181"/>
    <mergeCell ref="G181:G181"/>
    <mergeCell ref="H181:H181"/>
    <mergeCell ref="M181:M181"/>
    <mergeCell ref="N181:N181"/>
    <mergeCell ref="O181:O181"/>
    <mergeCell ref="P181:P181"/>
    <mergeCell ref="Q181:Q181"/>
    <mergeCell ref="R181:R181"/>
    <mergeCell ref="S181:S181"/>
    <mergeCell ref="X181:X181"/>
    <mergeCell ref="Y181:Y181"/>
    <mergeCell ref="Z181:Z181"/>
    <mergeCell ref="AA181:AA181"/>
    <mergeCell ref="AB181:AB181"/>
    <mergeCell ref="AC181:AC181"/>
    <mergeCell ref="AD181:AD181"/>
    <mergeCell ref="AE181:AE181"/>
    <mergeCell ref="AF181:AF181"/>
    <mergeCell ref="A182:A182"/>
    <mergeCell ref="B182:B182"/>
    <mergeCell ref="C182:C182"/>
    <mergeCell ref="F182:F182"/>
    <mergeCell ref="G182:G182"/>
    <mergeCell ref="H182:H182"/>
    <mergeCell ref="M182:M182"/>
    <mergeCell ref="N182:N182"/>
    <mergeCell ref="O182:O182"/>
    <mergeCell ref="P182:P182"/>
    <mergeCell ref="Q182:Q182"/>
    <mergeCell ref="R182:R182"/>
    <mergeCell ref="S182:S182"/>
    <mergeCell ref="X182:X182"/>
    <mergeCell ref="Y182:Y182"/>
    <mergeCell ref="Z182:Z182"/>
    <mergeCell ref="AA182:AA182"/>
    <mergeCell ref="AB182:AB182"/>
    <mergeCell ref="AC182:AC182"/>
    <mergeCell ref="AD182:AD182"/>
    <mergeCell ref="AE182:AE182"/>
    <mergeCell ref="AF182:AF182"/>
    <mergeCell ref="A183:A183"/>
    <mergeCell ref="B183:B183"/>
    <mergeCell ref="C183:C183"/>
    <mergeCell ref="F183:F183"/>
    <mergeCell ref="G183:G183"/>
    <mergeCell ref="H183:H183"/>
    <mergeCell ref="M183:M183"/>
    <mergeCell ref="N183:N183"/>
    <mergeCell ref="O183:O183"/>
    <mergeCell ref="P183:P183"/>
    <mergeCell ref="Q183:Q183"/>
    <mergeCell ref="R183:R183"/>
    <mergeCell ref="S183:S183"/>
    <mergeCell ref="X183:X183"/>
    <mergeCell ref="Y183:Y183"/>
    <mergeCell ref="Z183:Z183"/>
    <mergeCell ref="AA183:AA183"/>
    <mergeCell ref="AB183:AB183"/>
    <mergeCell ref="AC183:AC183"/>
    <mergeCell ref="AD183:AD183"/>
    <mergeCell ref="AE183:AE183"/>
    <mergeCell ref="AF183:AF183"/>
    <mergeCell ref="A184:A184"/>
    <mergeCell ref="B184:B184"/>
    <mergeCell ref="C184:C184"/>
    <mergeCell ref="F184:F184"/>
    <mergeCell ref="G184:G184"/>
    <mergeCell ref="H184:H184"/>
    <mergeCell ref="M184:M184"/>
    <mergeCell ref="N184:N184"/>
    <mergeCell ref="O184:O184"/>
    <mergeCell ref="P184:P184"/>
    <mergeCell ref="Q184:Q184"/>
    <mergeCell ref="R184:R184"/>
    <mergeCell ref="S184:S184"/>
    <mergeCell ref="X184:X184"/>
    <mergeCell ref="Y184:Y184"/>
    <mergeCell ref="Z184:Z184"/>
    <mergeCell ref="AA184:AA184"/>
    <mergeCell ref="AB184:AB184"/>
    <mergeCell ref="AC184:AC184"/>
    <mergeCell ref="AD184:AD184"/>
    <mergeCell ref="AE184:AE184"/>
    <mergeCell ref="AF184:AF184"/>
    <mergeCell ref="A185:A185"/>
    <mergeCell ref="B185:B185"/>
    <mergeCell ref="C185:C185"/>
    <mergeCell ref="F185:F185"/>
    <mergeCell ref="G185:G185"/>
    <mergeCell ref="H185:H185"/>
    <mergeCell ref="M185:M185"/>
    <mergeCell ref="N185:N185"/>
    <mergeCell ref="O185:O185"/>
    <mergeCell ref="P185:P185"/>
    <mergeCell ref="Q185:Q185"/>
    <mergeCell ref="R185:R185"/>
    <mergeCell ref="S185:S185"/>
    <mergeCell ref="X185:X185"/>
    <mergeCell ref="Y185:Y185"/>
    <mergeCell ref="Z185:Z185"/>
    <mergeCell ref="AA185:AA185"/>
    <mergeCell ref="AB185:AB185"/>
    <mergeCell ref="AC185:AC185"/>
    <mergeCell ref="AD185:AD185"/>
    <mergeCell ref="AE185:AE185"/>
    <mergeCell ref="AF185:AF185"/>
    <mergeCell ref="A186:A186"/>
    <mergeCell ref="B186:B186"/>
    <mergeCell ref="C186:C186"/>
    <mergeCell ref="F186:F186"/>
    <mergeCell ref="G186:G186"/>
    <mergeCell ref="H186:H186"/>
    <mergeCell ref="M186:M186"/>
    <mergeCell ref="N186:N186"/>
    <mergeCell ref="O186:O186"/>
    <mergeCell ref="P186:P186"/>
    <mergeCell ref="Q186:Q186"/>
    <mergeCell ref="R186:R186"/>
    <mergeCell ref="S186:S186"/>
    <mergeCell ref="X186:X186"/>
    <mergeCell ref="Y186:Y186"/>
    <mergeCell ref="Z186:Z186"/>
    <mergeCell ref="AA186:AA186"/>
    <mergeCell ref="AB186:AB186"/>
    <mergeCell ref="AC186:AC186"/>
    <mergeCell ref="AD186:AD186"/>
    <mergeCell ref="AE186:AE186"/>
    <mergeCell ref="AF186:AF186"/>
    <mergeCell ref="A187:A187"/>
    <mergeCell ref="B187:B187"/>
    <mergeCell ref="C187:C187"/>
    <mergeCell ref="F187:F187"/>
    <mergeCell ref="G187:G187"/>
    <mergeCell ref="H187:H187"/>
    <mergeCell ref="M187:M187"/>
    <mergeCell ref="N187:N187"/>
    <mergeCell ref="O187:O187"/>
    <mergeCell ref="P187:P187"/>
    <mergeCell ref="Q187:Q187"/>
    <mergeCell ref="R187:R187"/>
    <mergeCell ref="S187:S187"/>
    <mergeCell ref="X187:X187"/>
    <mergeCell ref="Y187:Y187"/>
    <mergeCell ref="Z187:Z187"/>
    <mergeCell ref="AA187:AA187"/>
    <mergeCell ref="AB187:AB187"/>
    <mergeCell ref="AC187:AC187"/>
    <mergeCell ref="AD187:AD187"/>
    <mergeCell ref="AE187:AE187"/>
    <mergeCell ref="AF187:AF187"/>
    <mergeCell ref="A188:A188"/>
    <mergeCell ref="B188:B188"/>
    <mergeCell ref="C188:C188"/>
    <mergeCell ref="F188:F188"/>
    <mergeCell ref="G188:G188"/>
    <mergeCell ref="H188:H188"/>
    <mergeCell ref="M188:M188"/>
    <mergeCell ref="N188:N188"/>
    <mergeCell ref="O188:O188"/>
    <mergeCell ref="P188:P188"/>
    <mergeCell ref="Q188:Q188"/>
    <mergeCell ref="R188:R188"/>
    <mergeCell ref="S188:S188"/>
    <mergeCell ref="X188:X188"/>
    <mergeCell ref="Y188:Y188"/>
    <mergeCell ref="Z188:Z188"/>
    <mergeCell ref="AA188:AA188"/>
    <mergeCell ref="AB188:AB188"/>
    <mergeCell ref="AC188:AC188"/>
    <mergeCell ref="AD188:AD188"/>
    <mergeCell ref="AE188:AE188"/>
    <mergeCell ref="AF188:AF188"/>
    <mergeCell ref="A189:A189"/>
    <mergeCell ref="B189:B189"/>
    <mergeCell ref="C189:C189"/>
    <mergeCell ref="F189:F189"/>
    <mergeCell ref="G189:G189"/>
    <mergeCell ref="H189:H189"/>
    <mergeCell ref="M189:M189"/>
    <mergeCell ref="N189:N189"/>
    <mergeCell ref="O189:O189"/>
    <mergeCell ref="P189:P189"/>
    <mergeCell ref="Q189:Q189"/>
    <mergeCell ref="R189:R189"/>
    <mergeCell ref="S189:S189"/>
    <mergeCell ref="X189:X189"/>
    <mergeCell ref="Y189:Y189"/>
    <mergeCell ref="Z189:Z189"/>
    <mergeCell ref="AA189:AA189"/>
    <mergeCell ref="AB189:AB189"/>
    <mergeCell ref="AC189:AC189"/>
    <mergeCell ref="AD189:AD189"/>
    <mergeCell ref="AE189:AE189"/>
    <mergeCell ref="AF189:AF189"/>
    <mergeCell ref="A190:A190"/>
    <mergeCell ref="B190:B190"/>
    <mergeCell ref="C190:C190"/>
    <mergeCell ref="F190:F190"/>
    <mergeCell ref="G190:G190"/>
    <mergeCell ref="H190:H190"/>
    <mergeCell ref="M190:M190"/>
    <mergeCell ref="N190:N190"/>
    <mergeCell ref="O190:O190"/>
    <mergeCell ref="P190:P190"/>
    <mergeCell ref="Q190:Q190"/>
    <mergeCell ref="R190:R190"/>
    <mergeCell ref="S190:S190"/>
    <mergeCell ref="X190:X190"/>
    <mergeCell ref="Y190:Y190"/>
    <mergeCell ref="Z190:Z190"/>
    <mergeCell ref="AA190:AA190"/>
    <mergeCell ref="AB190:AB190"/>
    <mergeCell ref="AC190:AC190"/>
    <mergeCell ref="AD190:AD190"/>
    <mergeCell ref="AE190:AE190"/>
    <mergeCell ref="AF190:AF190"/>
    <mergeCell ref="A191:A191"/>
    <mergeCell ref="B191:B191"/>
    <mergeCell ref="C191:C191"/>
    <mergeCell ref="F191:F191"/>
    <mergeCell ref="G191:G191"/>
    <mergeCell ref="H191:H191"/>
    <mergeCell ref="M191:M191"/>
    <mergeCell ref="N191:N191"/>
    <mergeCell ref="O191:O191"/>
    <mergeCell ref="P191:P191"/>
    <mergeCell ref="Q191:Q191"/>
    <mergeCell ref="R191:R191"/>
    <mergeCell ref="S191:S191"/>
    <mergeCell ref="X191:X191"/>
    <mergeCell ref="Y191:Y191"/>
    <mergeCell ref="Z191:Z191"/>
    <mergeCell ref="AA191:AA191"/>
    <mergeCell ref="AB191:AB191"/>
    <mergeCell ref="AC191:AC191"/>
    <mergeCell ref="AD191:AD191"/>
    <mergeCell ref="AE191:AE191"/>
    <mergeCell ref="AF191:AF191"/>
    <mergeCell ref="A192:A192"/>
    <mergeCell ref="B192:B192"/>
    <mergeCell ref="C192:C192"/>
    <mergeCell ref="F192:F192"/>
    <mergeCell ref="G192:G192"/>
    <mergeCell ref="H192:H192"/>
    <mergeCell ref="M192:M192"/>
    <mergeCell ref="N192:N192"/>
    <mergeCell ref="O192:O192"/>
    <mergeCell ref="P192:P192"/>
    <mergeCell ref="Q192:Q192"/>
    <mergeCell ref="R192:R192"/>
    <mergeCell ref="S192:S192"/>
    <mergeCell ref="X192:X192"/>
    <mergeCell ref="Y192:Y192"/>
    <mergeCell ref="Z192:Z192"/>
    <mergeCell ref="AA192:AA192"/>
    <mergeCell ref="AB192:AB192"/>
    <mergeCell ref="AC192:AC192"/>
    <mergeCell ref="AD192:AD192"/>
    <mergeCell ref="AE192:AE192"/>
    <mergeCell ref="AF192:AF192"/>
    <mergeCell ref="A193:A193"/>
    <mergeCell ref="B193:B193"/>
    <mergeCell ref="C193:C193"/>
    <mergeCell ref="F193:F193"/>
    <mergeCell ref="G193:G193"/>
    <mergeCell ref="H193:H193"/>
    <mergeCell ref="M193:M193"/>
    <mergeCell ref="N193:N193"/>
    <mergeCell ref="O193:O193"/>
    <mergeCell ref="P193:P193"/>
    <mergeCell ref="Q193:Q193"/>
    <mergeCell ref="R193:R193"/>
    <mergeCell ref="S193:S193"/>
    <mergeCell ref="X193:X193"/>
    <mergeCell ref="Y193:Y193"/>
    <mergeCell ref="Z193:Z193"/>
    <mergeCell ref="AA193:AA193"/>
    <mergeCell ref="AB193:AB193"/>
    <mergeCell ref="AC193:AC193"/>
    <mergeCell ref="AD193:AD193"/>
    <mergeCell ref="AE193:AE193"/>
    <mergeCell ref="AF193:AF193"/>
    <mergeCell ref="A194:A194"/>
    <mergeCell ref="B194:B194"/>
    <mergeCell ref="C194:C194"/>
    <mergeCell ref="F194:F194"/>
    <mergeCell ref="G194:G194"/>
    <mergeCell ref="H194:H194"/>
    <mergeCell ref="M194:M194"/>
    <mergeCell ref="N194:N194"/>
    <mergeCell ref="O194:O194"/>
    <mergeCell ref="P194:P194"/>
    <mergeCell ref="Q194:Q194"/>
    <mergeCell ref="R194:R194"/>
    <mergeCell ref="S194:S194"/>
    <mergeCell ref="X194:X194"/>
    <mergeCell ref="Y194:Y194"/>
    <mergeCell ref="Z194:Z194"/>
    <mergeCell ref="AA194:AA194"/>
    <mergeCell ref="AB194:AB194"/>
    <mergeCell ref="AC194:AC194"/>
    <mergeCell ref="AD194:AD194"/>
    <mergeCell ref="AE194:AE194"/>
    <mergeCell ref="AF194:AF194"/>
    <mergeCell ref="A195:A195"/>
    <mergeCell ref="B195:B195"/>
    <mergeCell ref="C195:C195"/>
    <mergeCell ref="F195:F195"/>
    <mergeCell ref="G195:G195"/>
    <mergeCell ref="H195:H195"/>
    <mergeCell ref="M195:M195"/>
    <mergeCell ref="N195:N195"/>
    <mergeCell ref="O195:O195"/>
    <mergeCell ref="P195:P195"/>
    <mergeCell ref="Q195:Q195"/>
    <mergeCell ref="R195:R195"/>
    <mergeCell ref="S195:S195"/>
    <mergeCell ref="X195:X195"/>
    <mergeCell ref="Y195:Y195"/>
    <mergeCell ref="Z195:Z195"/>
    <mergeCell ref="AA195:AA195"/>
    <mergeCell ref="AB195:AB195"/>
    <mergeCell ref="AC195:AC195"/>
    <mergeCell ref="AD195:AD195"/>
    <mergeCell ref="AE195:AE195"/>
    <mergeCell ref="AF195:AF195"/>
    <mergeCell ref="A196:A196"/>
    <mergeCell ref="B196:B196"/>
    <mergeCell ref="C196:C196"/>
    <mergeCell ref="F196:F196"/>
    <mergeCell ref="G196:G196"/>
    <mergeCell ref="H196:H196"/>
    <mergeCell ref="M196:M196"/>
    <mergeCell ref="N196:N196"/>
    <mergeCell ref="O196:O196"/>
    <mergeCell ref="P196:P196"/>
    <mergeCell ref="Q196:Q196"/>
    <mergeCell ref="R196:R196"/>
    <mergeCell ref="S196:S196"/>
    <mergeCell ref="X196:X196"/>
    <mergeCell ref="Y196:Y196"/>
    <mergeCell ref="Z196:Z196"/>
    <mergeCell ref="AA196:AA196"/>
    <mergeCell ref="AB196:AB196"/>
    <mergeCell ref="AC196:AC196"/>
    <mergeCell ref="AD196:AD196"/>
    <mergeCell ref="AE196:AE196"/>
    <mergeCell ref="AF196:AF196"/>
    <mergeCell ref="A197:A197"/>
    <mergeCell ref="B197:B197"/>
    <mergeCell ref="C197:C197"/>
    <mergeCell ref="F197:F197"/>
    <mergeCell ref="G197:G197"/>
    <mergeCell ref="H197:H197"/>
    <mergeCell ref="M197:M197"/>
    <mergeCell ref="N197:N197"/>
    <mergeCell ref="O197:O197"/>
    <mergeCell ref="P197:P197"/>
    <mergeCell ref="Q197:Q197"/>
    <mergeCell ref="R197:R197"/>
    <mergeCell ref="S197:S197"/>
    <mergeCell ref="X197:X197"/>
    <mergeCell ref="Y197:Y197"/>
    <mergeCell ref="Z197:Z197"/>
    <mergeCell ref="AA197:AA197"/>
    <mergeCell ref="AB197:AB197"/>
    <mergeCell ref="AC197:AC197"/>
    <mergeCell ref="AD197:AD197"/>
    <mergeCell ref="AE197:AE197"/>
    <mergeCell ref="AF197:AF197"/>
    <mergeCell ref="A198:A198"/>
    <mergeCell ref="B198:B198"/>
    <mergeCell ref="C198:C198"/>
    <mergeCell ref="F198:F198"/>
    <mergeCell ref="G198:G198"/>
    <mergeCell ref="H198:H198"/>
    <mergeCell ref="M198:M198"/>
    <mergeCell ref="N198:N198"/>
    <mergeCell ref="O198:O198"/>
    <mergeCell ref="P198:P198"/>
    <mergeCell ref="Q198:Q198"/>
    <mergeCell ref="R198:R198"/>
    <mergeCell ref="S198:S198"/>
    <mergeCell ref="X198:X198"/>
    <mergeCell ref="Y198:Y198"/>
    <mergeCell ref="Z198:Z198"/>
    <mergeCell ref="AA198:AA198"/>
    <mergeCell ref="AB198:AB198"/>
    <mergeCell ref="AC198:AC198"/>
    <mergeCell ref="AD198:AD198"/>
    <mergeCell ref="AE198:AE198"/>
    <mergeCell ref="AF198:AF198"/>
    <mergeCell ref="A199:A199"/>
    <mergeCell ref="B199:B199"/>
    <mergeCell ref="C199:C199"/>
    <mergeCell ref="F199:F199"/>
    <mergeCell ref="G199:G199"/>
    <mergeCell ref="H199:H199"/>
    <mergeCell ref="M199:M199"/>
    <mergeCell ref="N199:N199"/>
    <mergeCell ref="O199:O199"/>
    <mergeCell ref="P199:P199"/>
    <mergeCell ref="Q199:Q199"/>
    <mergeCell ref="R199:R199"/>
    <mergeCell ref="S199:S199"/>
    <mergeCell ref="X199:X199"/>
    <mergeCell ref="Y199:Y199"/>
    <mergeCell ref="Z199:Z199"/>
    <mergeCell ref="AA199:AA199"/>
    <mergeCell ref="AB199:AB199"/>
    <mergeCell ref="AC199:AC199"/>
    <mergeCell ref="AD199:AD199"/>
    <mergeCell ref="AE199:AE199"/>
    <mergeCell ref="AF199:AF199"/>
    <mergeCell ref="A200:A200"/>
    <mergeCell ref="B200:B200"/>
    <mergeCell ref="C200:C200"/>
    <mergeCell ref="F200:F200"/>
    <mergeCell ref="G200:G200"/>
    <mergeCell ref="H200:H200"/>
    <mergeCell ref="M200:M200"/>
    <mergeCell ref="N200:N200"/>
    <mergeCell ref="O200:O200"/>
    <mergeCell ref="P200:P200"/>
    <mergeCell ref="Q200:Q200"/>
    <mergeCell ref="R200:R200"/>
    <mergeCell ref="S200:S200"/>
    <mergeCell ref="X200:X200"/>
    <mergeCell ref="Y200:Y200"/>
    <mergeCell ref="Z200:Z200"/>
    <mergeCell ref="AA200:AA200"/>
    <mergeCell ref="AB200:AB200"/>
    <mergeCell ref="AC200:AC200"/>
    <mergeCell ref="AD200:AD200"/>
    <mergeCell ref="AE200:AE200"/>
    <mergeCell ref="AF200:AF200"/>
    <mergeCell ref="A201:A201"/>
    <mergeCell ref="B201:B201"/>
    <mergeCell ref="C201:C201"/>
    <mergeCell ref="F201:F201"/>
    <mergeCell ref="G201:G201"/>
    <mergeCell ref="H201:H201"/>
    <mergeCell ref="M201:M201"/>
    <mergeCell ref="N201:N201"/>
    <mergeCell ref="O201:O201"/>
    <mergeCell ref="P201:P201"/>
    <mergeCell ref="Q201:Q201"/>
    <mergeCell ref="R201:R201"/>
    <mergeCell ref="S201:S201"/>
    <mergeCell ref="X201:X201"/>
    <mergeCell ref="Y201:Y201"/>
    <mergeCell ref="Z201:Z201"/>
    <mergeCell ref="AA201:AA201"/>
    <mergeCell ref="AB201:AB201"/>
    <mergeCell ref="AC201:AC201"/>
    <mergeCell ref="AD201:AD201"/>
    <mergeCell ref="AE201:AE201"/>
    <mergeCell ref="AF201:AF201"/>
    <mergeCell ref="A202:A202"/>
    <mergeCell ref="B202:B202"/>
    <mergeCell ref="C202:C202"/>
    <mergeCell ref="F202:F202"/>
    <mergeCell ref="G202:G202"/>
    <mergeCell ref="H202:H202"/>
    <mergeCell ref="M202:M202"/>
    <mergeCell ref="N202:N202"/>
    <mergeCell ref="O202:O202"/>
    <mergeCell ref="P202:P202"/>
    <mergeCell ref="Q202:Q202"/>
    <mergeCell ref="R202:R202"/>
    <mergeCell ref="S202:S202"/>
    <mergeCell ref="X202:X202"/>
    <mergeCell ref="Y202:Y202"/>
    <mergeCell ref="Z202:Z202"/>
    <mergeCell ref="AA202:AA202"/>
    <mergeCell ref="AB202:AB202"/>
    <mergeCell ref="AC202:AC202"/>
    <mergeCell ref="AD202:AD202"/>
    <mergeCell ref="AE202:AE202"/>
    <mergeCell ref="AF202:AF202"/>
    <mergeCell ref="A203:A203"/>
    <mergeCell ref="B203:B203"/>
    <mergeCell ref="C203:C203"/>
    <mergeCell ref="F203:F203"/>
    <mergeCell ref="G203:G203"/>
    <mergeCell ref="H203:H203"/>
    <mergeCell ref="M203:M203"/>
    <mergeCell ref="N203:N203"/>
    <mergeCell ref="O203:O203"/>
    <mergeCell ref="P203:P203"/>
    <mergeCell ref="Q203:Q203"/>
    <mergeCell ref="R203:R203"/>
    <mergeCell ref="S203:S203"/>
    <mergeCell ref="X203:X203"/>
    <mergeCell ref="Y203:Y203"/>
    <mergeCell ref="Z203:Z203"/>
    <mergeCell ref="AA203:AA203"/>
    <mergeCell ref="AB203:AB203"/>
    <mergeCell ref="AC203:AC203"/>
    <mergeCell ref="AD203:AD203"/>
    <mergeCell ref="AE203:AE203"/>
    <mergeCell ref="AF203:AF203"/>
    <mergeCell ref="A204:A204"/>
    <mergeCell ref="B204:B204"/>
    <mergeCell ref="C204:C204"/>
    <mergeCell ref="F204:F204"/>
    <mergeCell ref="G204:G204"/>
    <mergeCell ref="H204:H204"/>
    <mergeCell ref="M204:M204"/>
    <mergeCell ref="N204:N204"/>
    <mergeCell ref="O204:O204"/>
    <mergeCell ref="P204:P204"/>
    <mergeCell ref="Q204:Q204"/>
    <mergeCell ref="R204:R204"/>
    <mergeCell ref="S204:S204"/>
    <mergeCell ref="X204:X204"/>
    <mergeCell ref="Y204:Y204"/>
    <mergeCell ref="Z204:Z204"/>
    <mergeCell ref="AA204:AA204"/>
    <mergeCell ref="AB204:AB204"/>
    <mergeCell ref="AC204:AC204"/>
    <mergeCell ref="AD204:AD204"/>
    <mergeCell ref="AE204:AE204"/>
    <mergeCell ref="AF204:AF204"/>
    <mergeCell ref="A205:A205"/>
    <mergeCell ref="B205:B205"/>
    <mergeCell ref="C205:C205"/>
    <mergeCell ref="F205:F205"/>
    <mergeCell ref="G205:G205"/>
    <mergeCell ref="H205:H205"/>
    <mergeCell ref="M205:M205"/>
    <mergeCell ref="N205:N205"/>
    <mergeCell ref="O205:O205"/>
    <mergeCell ref="P205:P205"/>
    <mergeCell ref="Q205:Q205"/>
    <mergeCell ref="R205:R205"/>
    <mergeCell ref="S205:S205"/>
    <mergeCell ref="X205:X205"/>
    <mergeCell ref="Y205:Y205"/>
    <mergeCell ref="Z205:Z205"/>
    <mergeCell ref="AA205:AA205"/>
    <mergeCell ref="AB205:AB205"/>
    <mergeCell ref="AC205:AC205"/>
    <mergeCell ref="AD205:AD205"/>
    <mergeCell ref="AE205:AE205"/>
    <mergeCell ref="AF205:AF205"/>
    <mergeCell ref="A206:A206"/>
    <mergeCell ref="B206:B206"/>
    <mergeCell ref="C206:C206"/>
    <mergeCell ref="F206:F206"/>
    <mergeCell ref="G206:G206"/>
    <mergeCell ref="H206:H206"/>
    <mergeCell ref="M206:M206"/>
    <mergeCell ref="N206:N206"/>
    <mergeCell ref="O206:O206"/>
    <mergeCell ref="P206:P206"/>
    <mergeCell ref="Q206:Q206"/>
    <mergeCell ref="R206:R206"/>
    <mergeCell ref="S206:S206"/>
    <mergeCell ref="X206:X206"/>
    <mergeCell ref="Y206:Y206"/>
    <mergeCell ref="Z206:Z206"/>
    <mergeCell ref="AA206:AA206"/>
    <mergeCell ref="AB206:AB206"/>
    <mergeCell ref="AC206:AC206"/>
    <mergeCell ref="AD206:AD206"/>
    <mergeCell ref="AE206:AE206"/>
    <mergeCell ref="AF206:AF206"/>
    <mergeCell ref="A207:A207"/>
    <mergeCell ref="B207:B207"/>
    <mergeCell ref="C207:C207"/>
    <mergeCell ref="F207:F207"/>
    <mergeCell ref="G207:G207"/>
    <mergeCell ref="H207:H207"/>
    <mergeCell ref="M207:M207"/>
    <mergeCell ref="N207:N207"/>
    <mergeCell ref="O207:O207"/>
    <mergeCell ref="P207:P207"/>
    <mergeCell ref="Q207:Q207"/>
    <mergeCell ref="R207:R207"/>
    <mergeCell ref="S207:S207"/>
    <mergeCell ref="X207:X207"/>
    <mergeCell ref="Y207:Y207"/>
    <mergeCell ref="Z207:Z207"/>
    <mergeCell ref="AA207:AA207"/>
    <mergeCell ref="AB207:AB207"/>
    <mergeCell ref="AC207:AC207"/>
    <mergeCell ref="AD207:AD207"/>
    <mergeCell ref="AE207:AE207"/>
    <mergeCell ref="AF207:AF207"/>
    <mergeCell ref="A208:A208"/>
    <mergeCell ref="B208:B208"/>
    <mergeCell ref="C208:C208"/>
    <mergeCell ref="F208:F208"/>
    <mergeCell ref="G208:G208"/>
    <mergeCell ref="H208:H208"/>
    <mergeCell ref="M208:M208"/>
    <mergeCell ref="N208:N208"/>
    <mergeCell ref="O208:O208"/>
    <mergeCell ref="P208:P208"/>
    <mergeCell ref="Q208:Q208"/>
    <mergeCell ref="R208:R208"/>
    <mergeCell ref="S208:S208"/>
    <mergeCell ref="X208:X208"/>
    <mergeCell ref="Y208:Y208"/>
    <mergeCell ref="Z208:Z208"/>
    <mergeCell ref="AA208:AA208"/>
    <mergeCell ref="AB208:AB208"/>
    <mergeCell ref="AC208:AC208"/>
    <mergeCell ref="AD208:AD208"/>
    <mergeCell ref="AE208:AE208"/>
    <mergeCell ref="AF208:AF208"/>
    <mergeCell ref="A209:A209"/>
    <mergeCell ref="B209:B209"/>
    <mergeCell ref="C209:C209"/>
    <mergeCell ref="F209:F209"/>
    <mergeCell ref="G209:G209"/>
    <mergeCell ref="H209:H209"/>
    <mergeCell ref="M209:M209"/>
    <mergeCell ref="N209:N209"/>
    <mergeCell ref="O209:O209"/>
    <mergeCell ref="P209:P209"/>
    <mergeCell ref="Q209:Q209"/>
    <mergeCell ref="R209:R209"/>
    <mergeCell ref="S209:S209"/>
    <mergeCell ref="X209:X209"/>
    <mergeCell ref="Y209:Y209"/>
    <mergeCell ref="Z209:Z209"/>
    <mergeCell ref="AA209:AA209"/>
    <mergeCell ref="AB209:AB209"/>
    <mergeCell ref="AC209:AC209"/>
    <mergeCell ref="AD209:AD209"/>
    <mergeCell ref="AE209:AE209"/>
    <mergeCell ref="AF209:AF209"/>
    <mergeCell ref="A210:A210"/>
    <mergeCell ref="B210:B210"/>
    <mergeCell ref="C210:C210"/>
    <mergeCell ref="F210:F210"/>
    <mergeCell ref="G210:G210"/>
    <mergeCell ref="H210:H210"/>
    <mergeCell ref="M210:M210"/>
    <mergeCell ref="N210:N210"/>
    <mergeCell ref="O210:O210"/>
    <mergeCell ref="P210:P210"/>
    <mergeCell ref="Q210:Q210"/>
    <mergeCell ref="R210:R210"/>
    <mergeCell ref="S210:S210"/>
    <mergeCell ref="X210:X210"/>
    <mergeCell ref="Y210:Y210"/>
    <mergeCell ref="Z210:Z210"/>
    <mergeCell ref="AA210:AA210"/>
    <mergeCell ref="AB210:AB210"/>
    <mergeCell ref="AC210:AC210"/>
    <mergeCell ref="AD210:AD210"/>
    <mergeCell ref="AE210:AE210"/>
    <mergeCell ref="AF210:AF210"/>
    <mergeCell ref="A211:A211"/>
    <mergeCell ref="B211:B211"/>
    <mergeCell ref="C211:C211"/>
    <mergeCell ref="F211:F211"/>
    <mergeCell ref="G211:G211"/>
    <mergeCell ref="H211:H211"/>
    <mergeCell ref="M211:M211"/>
    <mergeCell ref="N211:N211"/>
    <mergeCell ref="O211:O211"/>
    <mergeCell ref="P211:P211"/>
    <mergeCell ref="Q211:Q211"/>
    <mergeCell ref="R211:R211"/>
    <mergeCell ref="S211:S211"/>
    <mergeCell ref="X211:X211"/>
    <mergeCell ref="Y211:Y211"/>
    <mergeCell ref="Z211:Z211"/>
    <mergeCell ref="AA211:AA211"/>
    <mergeCell ref="AB211:AB211"/>
    <mergeCell ref="AC211:AC211"/>
    <mergeCell ref="AD211:AD211"/>
    <mergeCell ref="AE211:AE211"/>
    <mergeCell ref="AF211:AF211"/>
    <mergeCell ref="A212:A212"/>
    <mergeCell ref="B212:B212"/>
    <mergeCell ref="C212:C212"/>
    <mergeCell ref="F212:F212"/>
    <mergeCell ref="G212:G212"/>
    <mergeCell ref="H212:H212"/>
    <mergeCell ref="M212:M212"/>
    <mergeCell ref="N212:N212"/>
    <mergeCell ref="O212:O212"/>
    <mergeCell ref="P212:P212"/>
    <mergeCell ref="Q212:Q212"/>
    <mergeCell ref="R212:R212"/>
    <mergeCell ref="S212:S212"/>
    <mergeCell ref="X212:X212"/>
    <mergeCell ref="Y212:Y212"/>
    <mergeCell ref="Z212:Z212"/>
    <mergeCell ref="AA212:AA212"/>
    <mergeCell ref="AB212:AB212"/>
    <mergeCell ref="AC212:AC212"/>
    <mergeCell ref="AD212:AD212"/>
    <mergeCell ref="AE212:AE212"/>
    <mergeCell ref="AF212:AF212"/>
    <mergeCell ref="A213:A213"/>
    <mergeCell ref="B213:B213"/>
    <mergeCell ref="C213:C213"/>
    <mergeCell ref="F213:F213"/>
    <mergeCell ref="G213:G213"/>
    <mergeCell ref="H213:H213"/>
    <mergeCell ref="M213:M213"/>
    <mergeCell ref="N213:N213"/>
    <mergeCell ref="O213:O213"/>
    <mergeCell ref="P213:P213"/>
    <mergeCell ref="Q213:Q213"/>
    <mergeCell ref="R213:R213"/>
    <mergeCell ref="S213:S213"/>
    <mergeCell ref="X213:X213"/>
    <mergeCell ref="Y213:Y213"/>
    <mergeCell ref="Z213:Z213"/>
    <mergeCell ref="AA213:AA213"/>
    <mergeCell ref="AB213:AB213"/>
    <mergeCell ref="AC213:AC213"/>
    <mergeCell ref="AD213:AD213"/>
    <mergeCell ref="AE213:AE213"/>
    <mergeCell ref="AF213:AF213"/>
    <mergeCell ref="A214:A214"/>
    <mergeCell ref="B214:B214"/>
    <mergeCell ref="C214:C214"/>
    <mergeCell ref="F214:F214"/>
    <mergeCell ref="G214:G214"/>
    <mergeCell ref="H214:H214"/>
    <mergeCell ref="M214:M214"/>
    <mergeCell ref="N214:N214"/>
    <mergeCell ref="O214:O214"/>
    <mergeCell ref="P214:P214"/>
    <mergeCell ref="Q214:Q214"/>
    <mergeCell ref="R214:R214"/>
    <mergeCell ref="S214:S214"/>
    <mergeCell ref="X214:X214"/>
    <mergeCell ref="Y214:Y214"/>
    <mergeCell ref="Z214:Z214"/>
    <mergeCell ref="AA214:AA214"/>
    <mergeCell ref="AB214:AB214"/>
    <mergeCell ref="AC214:AC214"/>
    <mergeCell ref="AD214:AD214"/>
    <mergeCell ref="AE214:AE214"/>
    <mergeCell ref="AF214:AF214"/>
    <mergeCell ref="A215:A215"/>
    <mergeCell ref="B215:B215"/>
    <mergeCell ref="C215:C215"/>
    <mergeCell ref="F215:F215"/>
    <mergeCell ref="G215:G215"/>
    <mergeCell ref="H215:H215"/>
    <mergeCell ref="M215:M215"/>
    <mergeCell ref="N215:N215"/>
    <mergeCell ref="O215:O215"/>
    <mergeCell ref="P215:P215"/>
    <mergeCell ref="Q215:Q215"/>
    <mergeCell ref="R215:R215"/>
    <mergeCell ref="S215:S215"/>
    <mergeCell ref="X215:X215"/>
    <mergeCell ref="Y215:Y215"/>
    <mergeCell ref="Z215:Z215"/>
    <mergeCell ref="AA215:AA215"/>
    <mergeCell ref="AB215:AB215"/>
    <mergeCell ref="AC215:AC215"/>
    <mergeCell ref="AD215:AD215"/>
    <mergeCell ref="AE215:AE215"/>
    <mergeCell ref="AF215:AF215"/>
    <mergeCell ref="A216:A216"/>
    <mergeCell ref="B216:B216"/>
    <mergeCell ref="C216:C216"/>
    <mergeCell ref="F216:F216"/>
    <mergeCell ref="G216:G216"/>
    <mergeCell ref="H216:H216"/>
    <mergeCell ref="M216:M216"/>
    <mergeCell ref="N216:N216"/>
    <mergeCell ref="O216:O216"/>
    <mergeCell ref="P216:P216"/>
    <mergeCell ref="Q216:Q216"/>
    <mergeCell ref="R216:R216"/>
    <mergeCell ref="S216:S216"/>
    <mergeCell ref="X216:X216"/>
    <mergeCell ref="Y216:Y216"/>
    <mergeCell ref="Z216:Z216"/>
    <mergeCell ref="AA216:AA216"/>
    <mergeCell ref="AB216:AB216"/>
    <mergeCell ref="AC216:AC216"/>
    <mergeCell ref="AD216:AD216"/>
    <mergeCell ref="AE216:AE216"/>
    <mergeCell ref="AF216:AF216"/>
    <mergeCell ref="A217:A217"/>
    <mergeCell ref="B217:B217"/>
    <mergeCell ref="C217:C217"/>
    <mergeCell ref="F217:F217"/>
    <mergeCell ref="G217:G217"/>
    <mergeCell ref="H217:H217"/>
    <mergeCell ref="M217:M217"/>
    <mergeCell ref="N217:N217"/>
    <mergeCell ref="O217:O217"/>
    <mergeCell ref="P217:P217"/>
    <mergeCell ref="Q217:Q217"/>
    <mergeCell ref="R217:R217"/>
    <mergeCell ref="S217:S217"/>
    <mergeCell ref="X217:X217"/>
    <mergeCell ref="Y217:Y217"/>
    <mergeCell ref="Z217:Z217"/>
    <mergeCell ref="AA217:AA217"/>
    <mergeCell ref="AB217:AB217"/>
    <mergeCell ref="AC217:AC217"/>
    <mergeCell ref="AD217:AD217"/>
    <mergeCell ref="AE217:AE217"/>
    <mergeCell ref="AF217:AF217"/>
    <mergeCell ref="A218:A218"/>
    <mergeCell ref="B218:B218"/>
    <mergeCell ref="C218:C218"/>
    <mergeCell ref="F218:F218"/>
    <mergeCell ref="G218:G218"/>
    <mergeCell ref="H218:H218"/>
    <mergeCell ref="M218:M218"/>
    <mergeCell ref="N218:N218"/>
    <mergeCell ref="O218:O218"/>
    <mergeCell ref="P218:P218"/>
    <mergeCell ref="Q218:Q218"/>
    <mergeCell ref="R218:R218"/>
    <mergeCell ref="S218:S218"/>
    <mergeCell ref="X218:X218"/>
    <mergeCell ref="Y218:Y218"/>
    <mergeCell ref="Z218:Z218"/>
    <mergeCell ref="AA218:AA218"/>
    <mergeCell ref="AB218:AB218"/>
    <mergeCell ref="AC218:AC218"/>
    <mergeCell ref="AD218:AD218"/>
    <mergeCell ref="AE218:AE218"/>
    <mergeCell ref="AF218:AF218"/>
    <mergeCell ref="A219:A219"/>
    <mergeCell ref="B219:B219"/>
    <mergeCell ref="C219:C219"/>
    <mergeCell ref="F219:F219"/>
    <mergeCell ref="G219:G219"/>
    <mergeCell ref="H219:H219"/>
    <mergeCell ref="M219:M219"/>
    <mergeCell ref="N219:N219"/>
    <mergeCell ref="O219:O219"/>
    <mergeCell ref="P219:P219"/>
    <mergeCell ref="Q219:Q219"/>
    <mergeCell ref="R219:R219"/>
    <mergeCell ref="S219:S219"/>
    <mergeCell ref="X219:X219"/>
    <mergeCell ref="Y219:Y219"/>
    <mergeCell ref="Z219:Z219"/>
    <mergeCell ref="AA219:AA219"/>
    <mergeCell ref="AB219:AB219"/>
    <mergeCell ref="AC219:AC219"/>
    <mergeCell ref="AD219:AD219"/>
    <mergeCell ref="AE219:AE219"/>
    <mergeCell ref="AF219:AF219"/>
    <mergeCell ref="A220:A220"/>
    <mergeCell ref="B220:B220"/>
    <mergeCell ref="C220:C220"/>
    <mergeCell ref="F220:F220"/>
    <mergeCell ref="G220:G220"/>
    <mergeCell ref="H220:H220"/>
    <mergeCell ref="M220:M220"/>
    <mergeCell ref="N220:N220"/>
    <mergeCell ref="O220:O220"/>
    <mergeCell ref="P220:P220"/>
    <mergeCell ref="Q220:Q220"/>
    <mergeCell ref="R220:R220"/>
    <mergeCell ref="S220:S220"/>
    <mergeCell ref="X220:X220"/>
    <mergeCell ref="Y220:Y220"/>
    <mergeCell ref="Z220:Z220"/>
    <mergeCell ref="AA220:AA220"/>
    <mergeCell ref="AB220:AB220"/>
    <mergeCell ref="AC220:AC220"/>
    <mergeCell ref="AD220:AD220"/>
    <mergeCell ref="AE220:AE220"/>
    <mergeCell ref="AF220:AF220"/>
    <mergeCell ref="A221:A221"/>
    <mergeCell ref="B221:B221"/>
    <mergeCell ref="C221:C221"/>
    <mergeCell ref="F221:F221"/>
    <mergeCell ref="G221:G221"/>
    <mergeCell ref="H221:H221"/>
    <mergeCell ref="M221:M221"/>
    <mergeCell ref="N221:N221"/>
    <mergeCell ref="O221:O221"/>
    <mergeCell ref="P221:P221"/>
    <mergeCell ref="Q221:Q221"/>
    <mergeCell ref="R221:R221"/>
    <mergeCell ref="S221:S221"/>
    <mergeCell ref="X221:X221"/>
    <mergeCell ref="Y221:Y221"/>
    <mergeCell ref="Z221:Z221"/>
    <mergeCell ref="AA221:AA221"/>
    <mergeCell ref="AB221:AB221"/>
    <mergeCell ref="AC221:AC221"/>
    <mergeCell ref="AD221:AD221"/>
    <mergeCell ref="AE221:AE221"/>
    <mergeCell ref="AF221:AF221"/>
    <mergeCell ref="A222:A222"/>
    <mergeCell ref="B222:B222"/>
    <mergeCell ref="C222:C222"/>
    <mergeCell ref="F222:F222"/>
    <mergeCell ref="G222:G222"/>
    <mergeCell ref="H222:H222"/>
    <mergeCell ref="M222:M222"/>
    <mergeCell ref="N222:N222"/>
    <mergeCell ref="O222:O222"/>
    <mergeCell ref="P222:P222"/>
    <mergeCell ref="Q222:Q222"/>
    <mergeCell ref="R222:R222"/>
    <mergeCell ref="S222:S222"/>
    <mergeCell ref="X222:X222"/>
    <mergeCell ref="Y222:Y222"/>
    <mergeCell ref="Z222:Z222"/>
    <mergeCell ref="AA222:AA222"/>
    <mergeCell ref="AB222:AB222"/>
    <mergeCell ref="AC222:AC222"/>
    <mergeCell ref="AD222:AD222"/>
    <mergeCell ref="AE222:AE222"/>
    <mergeCell ref="AF222:AF222"/>
    <mergeCell ref="A223:A223"/>
    <mergeCell ref="B223:B223"/>
    <mergeCell ref="C223:C223"/>
    <mergeCell ref="F223:F223"/>
    <mergeCell ref="G223:G223"/>
    <mergeCell ref="H223:H223"/>
    <mergeCell ref="M223:M223"/>
    <mergeCell ref="N223:N223"/>
    <mergeCell ref="O223:O223"/>
    <mergeCell ref="P223:P223"/>
    <mergeCell ref="Q223:Q223"/>
    <mergeCell ref="R223:R223"/>
    <mergeCell ref="S223:S223"/>
    <mergeCell ref="X223:X223"/>
    <mergeCell ref="Y223:Y223"/>
    <mergeCell ref="Z223:Z223"/>
    <mergeCell ref="AA223:AA223"/>
    <mergeCell ref="AB223:AB223"/>
    <mergeCell ref="AC223:AC223"/>
    <mergeCell ref="AD223:AD223"/>
    <mergeCell ref="AE223:AE223"/>
    <mergeCell ref="AF223:AF223"/>
    <mergeCell ref="A224:A224"/>
    <mergeCell ref="B224:B224"/>
    <mergeCell ref="C224:C224"/>
    <mergeCell ref="F224:F224"/>
    <mergeCell ref="G224:G224"/>
    <mergeCell ref="H224:H224"/>
    <mergeCell ref="M224:M224"/>
    <mergeCell ref="N224:N224"/>
    <mergeCell ref="O224:O224"/>
    <mergeCell ref="P224:P224"/>
    <mergeCell ref="Q224:Q224"/>
    <mergeCell ref="R224:R224"/>
    <mergeCell ref="S224:S224"/>
    <mergeCell ref="X224:X224"/>
    <mergeCell ref="Y224:Y224"/>
    <mergeCell ref="Z224:Z224"/>
    <mergeCell ref="AA224:AA224"/>
    <mergeCell ref="AB224:AB224"/>
    <mergeCell ref="AC224:AC224"/>
    <mergeCell ref="AD224:AD224"/>
    <mergeCell ref="AE224:AE224"/>
    <mergeCell ref="AF224:AF224"/>
    <mergeCell ref="A225:A225"/>
    <mergeCell ref="B225:B225"/>
    <mergeCell ref="C225:C225"/>
    <mergeCell ref="F225:F225"/>
    <mergeCell ref="G225:G225"/>
    <mergeCell ref="H225:H225"/>
    <mergeCell ref="M225:M225"/>
    <mergeCell ref="N225:N225"/>
    <mergeCell ref="O225:O225"/>
    <mergeCell ref="P225:P225"/>
    <mergeCell ref="Q225:Q225"/>
    <mergeCell ref="R225:R225"/>
    <mergeCell ref="S225:S225"/>
    <mergeCell ref="X225:X225"/>
    <mergeCell ref="Y225:Y225"/>
    <mergeCell ref="Z225:Z225"/>
    <mergeCell ref="AA225:AA225"/>
    <mergeCell ref="AB225:AB225"/>
    <mergeCell ref="AC225:AC225"/>
    <mergeCell ref="AD225:AD225"/>
    <mergeCell ref="AE225:AE225"/>
    <mergeCell ref="AF225:AF225"/>
    <mergeCell ref="A226:A226"/>
    <mergeCell ref="B226:B226"/>
    <mergeCell ref="C226:C226"/>
    <mergeCell ref="F226:F226"/>
    <mergeCell ref="G226:G226"/>
    <mergeCell ref="H226:H226"/>
    <mergeCell ref="M226:M226"/>
    <mergeCell ref="N226:N226"/>
    <mergeCell ref="O226:O226"/>
    <mergeCell ref="P226:P226"/>
    <mergeCell ref="Q226:Q226"/>
    <mergeCell ref="R226:R226"/>
    <mergeCell ref="S226:S226"/>
    <mergeCell ref="X226:X226"/>
    <mergeCell ref="Y226:Y226"/>
    <mergeCell ref="Z226:Z226"/>
    <mergeCell ref="AA226:AA226"/>
    <mergeCell ref="AB226:AB226"/>
    <mergeCell ref="AC226:AC226"/>
    <mergeCell ref="AD226:AD226"/>
    <mergeCell ref="AE226:AE226"/>
    <mergeCell ref="AF226:AF226"/>
    <mergeCell ref="A227:A227"/>
    <mergeCell ref="B227:B227"/>
    <mergeCell ref="C227:C227"/>
    <mergeCell ref="F227:F227"/>
    <mergeCell ref="G227:G227"/>
    <mergeCell ref="H227:H227"/>
    <mergeCell ref="M227:M227"/>
    <mergeCell ref="N227:N227"/>
    <mergeCell ref="O227:O227"/>
    <mergeCell ref="P227:P227"/>
    <mergeCell ref="Q227:Q227"/>
    <mergeCell ref="R227:R227"/>
    <mergeCell ref="S227:S227"/>
    <mergeCell ref="X227:X227"/>
    <mergeCell ref="Y227:Y227"/>
    <mergeCell ref="Z227:Z227"/>
    <mergeCell ref="AA227:AA227"/>
    <mergeCell ref="AB227:AB227"/>
    <mergeCell ref="AC227:AC227"/>
    <mergeCell ref="AD227:AD227"/>
    <mergeCell ref="AE227:AE227"/>
    <mergeCell ref="AF227:AF227"/>
    <mergeCell ref="A228:A228"/>
    <mergeCell ref="B228:B228"/>
    <mergeCell ref="C228:C228"/>
    <mergeCell ref="F228:F228"/>
    <mergeCell ref="G228:G228"/>
    <mergeCell ref="H228:H228"/>
    <mergeCell ref="M228:M228"/>
    <mergeCell ref="N228:N228"/>
    <mergeCell ref="O228:O228"/>
    <mergeCell ref="P228:P228"/>
    <mergeCell ref="Q228:Q228"/>
    <mergeCell ref="R228:R228"/>
    <mergeCell ref="S228:S228"/>
    <mergeCell ref="X228:X228"/>
    <mergeCell ref="Y228:Y228"/>
    <mergeCell ref="Z228:Z228"/>
    <mergeCell ref="AA228:AA228"/>
    <mergeCell ref="AB228:AB228"/>
    <mergeCell ref="AC228:AC228"/>
    <mergeCell ref="AD228:AD228"/>
    <mergeCell ref="AE228:AE228"/>
    <mergeCell ref="AF228:AF228"/>
    <mergeCell ref="A229:A229"/>
    <mergeCell ref="B229:B229"/>
    <mergeCell ref="C229:C229"/>
    <mergeCell ref="F229:F229"/>
    <mergeCell ref="G229:G229"/>
    <mergeCell ref="H229:H229"/>
    <mergeCell ref="M229:M229"/>
    <mergeCell ref="N229:N229"/>
    <mergeCell ref="O229:O229"/>
    <mergeCell ref="P229:P229"/>
    <mergeCell ref="Q229:Q229"/>
    <mergeCell ref="R229:R229"/>
    <mergeCell ref="S229:S229"/>
    <mergeCell ref="X229:X229"/>
    <mergeCell ref="Y229:Y229"/>
    <mergeCell ref="Z229:Z229"/>
    <mergeCell ref="AA229:AA229"/>
    <mergeCell ref="AB229:AB229"/>
    <mergeCell ref="AC229:AC229"/>
    <mergeCell ref="AD229:AD229"/>
    <mergeCell ref="AE229:AE229"/>
    <mergeCell ref="AF229:AF229"/>
    <mergeCell ref="A230:A230"/>
    <mergeCell ref="B230:B230"/>
    <mergeCell ref="C230:C230"/>
    <mergeCell ref="F230:F230"/>
    <mergeCell ref="G230:G230"/>
    <mergeCell ref="H230:H230"/>
    <mergeCell ref="M230:M230"/>
    <mergeCell ref="N230:N230"/>
    <mergeCell ref="O230:O230"/>
    <mergeCell ref="P230:P230"/>
    <mergeCell ref="Q230:Q230"/>
    <mergeCell ref="R230:R230"/>
    <mergeCell ref="S230:S230"/>
    <mergeCell ref="X230:X230"/>
    <mergeCell ref="Y230:Y230"/>
    <mergeCell ref="Z230:Z230"/>
    <mergeCell ref="AA230:AA230"/>
    <mergeCell ref="AB230:AB230"/>
    <mergeCell ref="AC230:AC230"/>
    <mergeCell ref="AD230:AD230"/>
    <mergeCell ref="AE230:AE230"/>
    <mergeCell ref="AF230:AF230"/>
    <mergeCell ref="A231:A231"/>
    <mergeCell ref="B231:B231"/>
    <mergeCell ref="C231:C231"/>
    <mergeCell ref="F231:F231"/>
    <mergeCell ref="G231:G231"/>
    <mergeCell ref="H231:H231"/>
    <mergeCell ref="M231:M231"/>
    <mergeCell ref="N231:N231"/>
    <mergeCell ref="O231:O231"/>
    <mergeCell ref="P231:P231"/>
    <mergeCell ref="Q231:Q231"/>
    <mergeCell ref="R231:R231"/>
    <mergeCell ref="S231:S231"/>
    <mergeCell ref="X231:X231"/>
    <mergeCell ref="Y231:Y231"/>
    <mergeCell ref="Z231:Z231"/>
    <mergeCell ref="AA231:AA231"/>
    <mergeCell ref="AB231:AB231"/>
    <mergeCell ref="AC231:AC231"/>
    <mergeCell ref="AD231:AD231"/>
    <mergeCell ref="AE231:AE231"/>
    <mergeCell ref="AF231:AF231"/>
    <mergeCell ref="A232:A232"/>
    <mergeCell ref="B232:B232"/>
    <mergeCell ref="C232:C232"/>
    <mergeCell ref="F232:F232"/>
    <mergeCell ref="G232:G232"/>
    <mergeCell ref="H232:H232"/>
    <mergeCell ref="M232:M232"/>
    <mergeCell ref="N232:N232"/>
    <mergeCell ref="O232:O232"/>
    <mergeCell ref="P232:P232"/>
    <mergeCell ref="Q232:Q232"/>
    <mergeCell ref="R232:R232"/>
    <mergeCell ref="S232:S232"/>
    <mergeCell ref="X232:X232"/>
    <mergeCell ref="Y232:Y232"/>
    <mergeCell ref="Z232:Z232"/>
    <mergeCell ref="AA232:AA232"/>
    <mergeCell ref="AB232:AB232"/>
    <mergeCell ref="AC232:AC232"/>
    <mergeCell ref="AD232:AD232"/>
    <mergeCell ref="AE232:AE232"/>
    <mergeCell ref="AF232:AF232"/>
    <mergeCell ref="A233:A233"/>
    <mergeCell ref="B233:B233"/>
    <mergeCell ref="C233:C233"/>
    <mergeCell ref="F233:F233"/>
    <mergeCell ref="G233:G233"/>
    <mergeCell ref="H233:H233"/>
    <mergeCell ref="M233:M233"/>
    <mergeCell ref="N233:N233"/>
    <mergeCell ref="O233:O233"/>
    <mergeCell ref="P233:P233"/>
    <mergeCell ref="Q233:Q233"/>
    <mergeCell ref="R233:R233"/>
    <mergeCell ref="S233:S233"/>
    <mergeCell ref="X233:X233"/>
    <mergeCell ref="Y233:Y233"/>
    <mergeCell ref="Z233:Z233"/>
    <mergeCell ref="AA233:AA233"/>
    <mergeCell ref="AB233:AB233"/>
    <mergeCell ref="AC233:AC233"/>
    <mergeCell ref="AD233:AD233"/>
    <mergeCell ref="AE233:AE233"/>
    <mergeCell ref="AF233:AF233"/>
    <mergeCell ref="A234:A234"/>
    <mergeCell ref="B234:B234"/>
    <mergeCell ref="C234:C234"/>
    <mergeCell ref="F234:F234"/>
    <mergeCell ref="G234:G234"/>
    <mergeCell ref="H234:H234"/>
    <mergeCell ref="M234:M234"/>
    <mergeCell ref="N234:N234"/>
    <mergeCell ref="O234:O234"/>
    <mergeCell ref="P234:P234"/>
    <mergeCell ref="Q234:Q234"/>
    <mergeCell ref="R234:R234"/>
    <mergeCell ref="S234:S234"/>
    <mergeCell ref="X234:X234"/>
    <mergeCell ref="Y234:Y234"/>
    <mergeCell ref="Z234:Z234"/>
    <mergeCell ref="AA234:AA234"/>
    <mergeCell ref="AB234:AB234"/>
    <mergeCell ref="AC234:AC234"/>
    <mergeCell ref="AD234:AD234"/>
    <mergeCell ref="AE234:AE234"/>
    <mergeCell ref="AF234:AF234"/>
    <mergeCell ref="A235:A235"/>
    <mergeCell ref="B235:B235"/>
    <mergeCell ref="C235:C235"/>
    <mergeCell ref="F235:F235"/>
    <mergeCell ref="G235:G235"/>
    <mergeCell ref="H235:H235"/>
    <mergeCell ref="M235:M235"/>
    <mergeCell ref="N235:N235"/>
    <mergeCell ref="O235:O235"/>
    <mergeCell ref="P235:P235"/>
    <mergeCell ref="Q235:Q235"/>
    <mergeCell ref="R235:R235"/>
    <mergeCell ref="S235:S235"/>
    <mergeCell ref="X235:X235"/>
    <mergeCell ref="Y235:Y235"/>
    <mergeCell ref="Z235:Z235"/>
    <mergeCell ref="AA235:AA235"/>
    <mergeCell ref="AB235:AB235"/>
    <mergeCell ref="AC235:AC235"/>
    <mergeCell ref="AD235:AD235"/>
    <mergeCell ref="AE235:AE235"/>
    <mergeCell ref="AF235:AF235"/>
    <mergeCell ref="A236:A236"/>
    <mergeCell ref="B236:B236"/>
    <mergeCell ref="C236:C236"/>
    <mergeCell ref="F236:F236"/>
    <mergeCell ref="G236:G236"/>
    <mergeCell ref="H236:H236"/>
    <mergeCell ref="M236:M236"/>
    <mergeCell ref="N236:N236"/>
    <mergeCell ref="O236:O236"/>
    <mergeCell ref="P236:P236"/>
    <mergeCell ref="Q236:Q236"/>
    <mergeCell ref="R236:R236"/>
    <mergeCell ref="S236:S236"/>
    <mergeCell ref="X236:X236"/>
    <mergeCell ref="Y236:Y236"/>
    <mergeCell ref="Z236:Z236"/>
    <mergeCell ref="AA236:AA236"/>
    <mergeCell ref="AB236:AB236"/>
    <mergeCell ref="AC236:AC236"/>
    <mergeCell ref="AD236:AD236"/>
    <mergeCell ref="AE236:AE236"/>
    <mergeCell ref="AF236:AF236"/>
    <mergeCell ref="A237:A237"/>
    <mergeCell ref="B237:B237"/>
    <mergeCell ref="C237:C237"/>
    <mergeCell ref="F237:F237"/>
    <mergeCell ref="G237:G237"/>
    <mergeCell ref="H237:H237"/>
    <mergeCell ref="M237:M237"/>
    <mergeCell ref="N237:N237"/>
    <mergeCell ref="O237:O237"/>
    <mergeCell ref="P237:P237"/>
    <mergeCell ref="Q237:Q237"/>
    <mergeCell ref="R237:R237"/>
    <mergeCell ref="S237:S237"/>
    <mergeCell ref="X237:X237"/>
    <mergeCell ref="Y237:Y237"/>
    <mergeCell ref="Z237:Z237"/>
    <mergeCell ref="AA237:AA237"/>
    <mergeCell ref="AB237:AB237"/>
    <mergeCell ref="AC237:AC237"/>
    <mergeCell ref="AD237:AD237"/>
    <mergeCell ref="AE237:AE237"/>
    <mergeCell ref="AF237:AF237"/>
    <mergeCell ref="A238:A238"/>
    <mergeCell ref="B238:B238"/>
    <mergeCell ref="C238:C238"/>
    <mergeCell ref="F238:F238"/>
    <mergeCell ref="G238:G238"/>
    <mergeCell ref="H238:H238"/>
    <mergeCell ref="M238:M238"/>
    <mergeCell ref="N238:N238"/>
    <mergeCell ref="O238:O238"/>
    <mergeCell ref="P238:P238"/>
    <mergeCell ref="Q238:Q238"/>
    <mergeCell ref="R238:R238"/>
    <mergeCell ref="S238:S238"/>
    <mergeCell ref="X238:X238"/>
    <mergeCell ref="Y238:Y238"/>
    <mergeCell ref="Z238:Z238"/>
    <mergeCell ref="AA238:AA238"/>
    <mergeCell ref="AB238:AB238"/>
    <mergeCell ref="AC238:AC238"/>
    <mergeCell ref="AD238:AD238"/>
    <mergeCell ref="AE238:AE238"/>
    <mergeCell ref="AF238:AF238"/>
    <mergeCell ref="A239:A239"/>
    <mergeCell ref="B239:B239"/>
    <mergeCell ref="C239:C239"/>
    <mergeCell ref="F239:F239"/>
    <mergeCell ref="G239:G239"/>
    <mergeCell ref="H239:H239"/>
    <mergeCell ref="M239:M239"/>
    <mergeCell ref="N239:N239"/>
    <mergeCell ref="O239:O239"/>
    <mergeCell ref="P239:P239"/>
    <mergeCell ref="Q239:Q239"/>
    <mergeCell ref="R239:R239"/>
    <mergeCell ref="S239:S239"/>
    <mergeCell ref="X239:X239"/>
    <mergeCell ref="Y239:Y239"/>
    <mergeCell ref="Z239:Z239"/>
    <mergeCell ref="AA239:AA239"/>
    <mergeCell ref="AB239:AB239"/>
    <mergeCell ref="AC239:AC239"/>
    <mergeCell ref="AD239:AD239"/>
    <mergeCell ref="AE239:AE239"/>
    <mergeCell ref="AF239:AF239"/>
    <mergeCell ref="A240:A240"/>
    <mergeCell ref="B240:B240"/>
    <mergeCell ref="C240:C240"/>
    <mergeCell ref="F240:F240"/>
    <mergeCell ref="G240:G240"/>
    <mergeCell ref="H240:H240"/>
    <mergeCell ref="M240:M240"/>
    <mergeCell ref="N240:N240"/>
    <mergeCell ref="O240:O240"/>
    <mergeCell ref="P240:P240"/>
    <mergeCell ref="Q240:Q240"/>
    <mergeCell ref="R240:R240"/>
    <mergeCell ref="S240:S240"/>
    <mergeCell ref="X240:X240"/>
    <mergeCell ref="Y240:Y240"/>
    <mergeCell ref="Z240:Z240"/>
    <mergeCell ref="AA240:AA240"/>
    <mergeCell ref="AB240:AB240"/>
    <mergeCell ref="AC240:AC240"/>
    <mergeCell ref="AD240:AD240"/>
    <mergeCell ref="AE240:AE240"/>
    <mergeCell ref="AF240:AF240"/>
    <mergeCell ref="A241:A241"/>
    <mergeCell ref="B241:B241"/>
    <mergeCell ref="C241:C241"/>
    <mergeCell ref="F241:F241"/>
    <mergeCell ref="G241:G241"/>
    <mergeCell ref="H241:H241"/>
    <mergeCell ref="M241:M241"/>
    <mergeCell ref="N241:N241"/>
    <mergeCell ref="O241:O241"/>
    <mergeCell ref="P241:P241"/>
    <mergeCell ref="Q241:Q241"/>
    <mergeCell ref="R241:R241"/>
    <mergeCell ref="S241:S241"/>
    <mergeCell ref="X241:X241"/>
    <mergeCell ref="Y241:Y241"/>
    <mergeCell ref="Z241:Z241"/>
    <mergeCell ref="AA241:AA241"/>
    <mergeCell ref="AB241:AB241"/>
    <mergeCell ref="AC241:AC241"/>
    <mergeCell ref="AD241:AD241"/>
    <mergeCell ref="AE241:AE241"/>
    <mergeCell ref="AF241:AF241"/>
    <mergeCell ref="A242:A242"/>
    <mergeCell ref="B242:B242"/>
    <mergeCell ref="C242:C242"/>
    <mergeCell ref="F242:F242"/>
    <mergeCell ref="G242:G242"/>
    <mergeCell ref="H242:H242"/>
    <mergeCell ref="M242:M242"/>
    <mergeCell ref="N242:N242"/>
    <mergeCell ref="O242:O242"/>
    <mergeCell ref="P242:P242"/>
    <mergeCell ref="Q242:Q242"/>
    <mergeCell ref="R242:R242"/>
    <mergeCell ref="S242:S242"/>
    <mergeCell ref="X242:X242"/>
    <mergeCell ref="Y242:Y242"/>
    <mergeCell ref="Z242:Z242"/>
    <mergeCell ref="AA242:AA242"/>
    <mergeCell ref="AB242:AB242"/>
    <mergeCell ref="AC242:AC242"/>
    <mergeCell ref="AD242:AD242"/>
    <mergeCell ref="AE242:AE242"/>
    <mergeCell ref="AF242:AF242"/>
    <mergeCell ref="A243:A243"/>
    <mergeCell ref="B243:B243"/>
    <mergeCell ref="C243:C243"/>
    <mergeCell ref="F243:F243"/>
    <mergeCell ref="G243:G243"/>
    <mergeCell ref="H243:H243"/>
    <mergeCell ref="M243:M243"/>
    <mergeCell ref="N243:N243"/>
    <mergeCell ref="O243:O243"/>
    <mergeCell ref="P243:P243"/>
    <mergeCell ref="Q243:Q243"/>
    <mergeCell ref="R243:R243"/>
    <mergeCell ref="S243:S243"/>
    <mergeCell ref="X243:X243"/>
    <mergeCell ref="Y243:Y243"/>
    <mergeCell ref="Z243:Z243"/>
    <mergeCell ref="AA243:AA243"/>
    <mergeCell ref="AB243:AB243"/>
    <mergeCell ref="AC243:AC243"/>
    <mergeCell ref="AD243:AD243"/>
    <mergeCell ref="AE243:AE243"/>
    <mergeCell ref="AF243:AF243"/>
    <mergeCell ref="A244:A244"/>
    <mergeCell ref="B244:B244"/>
    <mergeCell ref="C244:C244"/>
    <mergeCell ref="F244:F244"/>
    <mergeCell ref="G244:G244"/>
    <mergeCell ref="H244:H244"/>
    <mergeCell ref="M244:M244"/>
    <mergeCell ref="N244:N244"/>
    <mergeCell ref="O244:O244"/>
    <mergeCell ref="P244:P244"/>
    <mergeCell ref="Q244:Q244"/>
    <mergeCell ref="R244:R244"/>
    <mergeCell ref="S244:S244"/>
    <mergeCell ref="X244:X244"/>
    <mergeCell ref="Y244:Y244"/>
    <mergeCell ref="Z244:Z244"/>
    <mergeCell ref="AA244:AA244"/>
    <mergeCell ref="AB244:AB244"/>
    <mergeCell ref="AC244:AC244"/>
    <mergeCell ref="AD244:AD244"/>
    <mergeCell ref="AE244:AE244"/>
    <mergeCell ref="AF244:AF244"/>
    <mergeCell ref="A245:A245"/>
    <mergeCell ref="B245:B245"/>
    <mergeCell ref="C245:C245"/>
    <mergeCell ref="F245:F245"/>
    <mergeCell ref="G245:G245"/>
    <mergeCell ref="H245:H245"/>
    <mergeCell ref="M245:M245"/>
    <mergeCell ref="N245:N245"/>
    <mergeCell ref="O245:O245"/>
    <mergeCell ref="P245:P245"/>
    <mergeCell ref="Q245:Q245"/>
    <mergeCell ref="R245:R245"/>
    <mergeCell ref="S245:S245"/>
    <mergeCell ref="X245:X245"/>
    <mergeCell ref="Y245:Y245"/>
    <mergeCell ref="Z245:Z245"/>
    <mergeCell ref="AA245:AA245"/>
    <mergeCell ref="AB245:AB245"/>
    <mergeCell ref="AC245:AC245"/>
    <mergeCell ref="AD245:AD245"/>
    <mergeCell ref="AE245:AE245"/>
    <mergeCell ref="AF245:AF245"/>
    <mergeCell ref="A246:A246"/>
    <mergeCell ref="B246:B246"/>
    <mergeCell ref="C246:C246"/>
    <mergeCell ref="F246:F246"/>
    <mergeCell ref="G246:G246"/>
    <mergeCell ref="H246:H246"/>
    <mergeCell ref="M246:M246"/>
    <mergeCell ref="N246:N246"/>
    <mergeCell ref="O246:O246"/>
    <mergeCell ref="P246:P246"/>
    <mergeCell ref="Q246:Q246"/>
    <mergeCell ref="R246:R246"/>
    <mergeCell ref="S246:S246"/>
    <mergeCell ref="X246:X246"/>
    <mergeCell ref="Y246:Y246"/>
    <mergeCell ref="Z246:Z246"/>
    <mergeCell ref="AA246:AA246"/>
    <mergeCell ref="AB246:AB246"/>
    <mergeCell ref="AC246:AC246"/>
    <mergeCell ref="AD246:AD246"/>
    <mergeCell ref="AE246:AE246"/>
    <mergeCell ref="AF246:AF246"/>
    <mergeCell ref="A247:A247"/>
    <mergeCell ref="B247:B247"/>
    <mergeCell ref="C247:C247"/>
    <mergeCell ref="F247:F247"/>
    <mergeCell ref="G247:G247"/>
    <mergeCell ref="H247:H247"/>
    <mergeCell ref="M247:M247"/>
    <mergeCell ref="N247:N247"/>
    <mergeCell ref="O247:O247"/>
    <mergeCell ref="P247:P247"/>
    <mergeCell ref="Q247:Q247"/>
    <mergeCell ref="R247:R247"/>
    <mergeCell ref="S247:S247"/>
    <mergeCell ref="X247:X247"/>
    <mergeCell ref="Y247:Y247"/>
    <mergeCell ref="Z247:Z247"/>
    <mergeCell ref="AA247:AA247"/>
    <mergeCell ref="AB247:AB247"/>
    <mergeCell ref="AC247:AC247"/>
    <mergeCell ref="AD247:AD247"/>
    <mergeCell ref="AE247:AE247"/>
    <mergeCell ref="AF247:AF247"/>
    <mergeCell ref="A248:A248"/>
    <mergeCell ref="B248:B248"/>
    <mergeCell ref="C248:C248"/>
    <mergeCell ref="F248:F248"/>
    <mergeCell ref="G248:G248"/>
    <mergeCell ref="H248:H248"/>
    <mergeCell ref="M248:M248"/>
    <mergeCell ref="N248:N248"/>
    <mergeCell ref="O248:O248"/>
    <mergeCell ref="P248:P248"/>
    <mergeCell ref="Q248:Q248"/>
    <mergeCell ref="R248:R248"/>
    <mergeCell ref="S248:S248"/>
    <mergeCell ref="X248:X248"/>
    <mergeCell ref="Y248:Y248"/>
    <mergeCell ref="Z248:Z248"/>
    <mergeCell ref="AA248:AA248"/>
    <mergeCell ref="AB248:AB248"/>
    <mergeCell ref="AC248:AC248"/>
    <mergeCell ref="AD248:AD248"/>
    <mergeCell ref="AE248:AE248"/>
    <mergeCell ref="AF248:AF248"/>
  </mergeCells>
  <hyperlinks>
    <hyperlink ref="D6" r:id="rId_hyperlink_1" tooltip="北风机废气回收洗涤塔无护笼，如果一人在爬爬梯时手部未抓牢，可能造成人员从爬梯坠落腿部骨折，住院三个月后出院。"/>
    <hyperlink ref="D7" r:id="rId_hyperlink_2" tooltip="废料堆现场较为杂乱，吊车司机视线不清，且双方均未佩戴对讲机进行及时沟通，假如指挥人员指挥失误会导致吊装件下落位置不准确，将会砸伤接件人员。"/>
    <hyperlink ref="D8" r:id="rId_hyperlink_3" tooltip="冷凝液泵进口管道漏水，致使地面有积水，导致地面湿滑，如若有人经过比较容易滑倒摔伤。"/>
    <hyperlink ref="D9" r:id="rId_hyperlink_4" tooltip="东硫铵低位槽管道腐蚀漏液，假设操作工巡检过程中未做好个人防护，就可能被漏液喷溅灼伤。"/>
    <hyperlink ref="D10" r:id="rId_hyperlink_5" tooltip="洒水车未安防火罩，经过粗苯地沟时，假如喷出火星，容易导致易燃气体燃烧。"/>
    <hyperlink ref="D11" r:id="rId_hyperlink_6" tooltip="2号风机在运行过程中西气封漏煤气（已切换备用机）"/>
    <hyperlink ref="D12" r:id="rId_hyperlink_7" tooltip="引风机未安装防护罩，一名操作工擦拭设备时裤腿不慎被轴承卷入，造成小腿挤伤、骨折。"/>
    <hyperlink ref="D13" r:id="rId_hyperlink_8" tooltip="一操作工在擦拭废气系统通风机时，通风机泄露废气，操作工未佩戴防毒面罩，造成轻微煤气中毒。头晕恶心呕吐。"/>
    <hyperlink ref="D14" r:id="rId_hyperlink_9" tooltip="北脱硫硫仓库二楼二层有一扇窗户玻璃破损，遇上风大，如果有操作人员从此处经过，玻璃掉落，可能造成人员划伤脸部，胳膊，送医院治疗三天后康复，损工三天。"/>
    <hyperlink ref="D15" r:id="rId_hyperlink_10" tooltip="西硫铵仓库门西门活页开焊，一巡检人员开仓库门时，一旦活页断裂，门失去平衡，巡检人员扶住门时造成手臂划伤。"/>
    <hyperlink ref="D16" r:id="rId_hyperlink_11" tooltip="电缆沟无盖板防护，如果一名巡检人员经过此处踏进坑中，会造成脚部崴伤。"/>
    <hyperlink ref="D17" r:id="rId_hyperlink_12" tooltip="东风机风机房西侧机后下液管爬梯腐蚀严重，如果一人在爬爬梯冲下液管时，因爬梯腿部腐蚀严重断裂，爬梯倒塌，人员从爬梯摔落，造成脚腕扭伤，经简单处理后不影响工作。"/>
    <hyperlink ref="D18" r:id="rId_hyperlink_13" tooltip="东冷凝澄清槽东侧框架顶部平台护栏锈蚀严重，且有部分以倾斜，如果操作人从平台行走，去开关阀门时，从护栏倾斜倾斜处坠落，造成1人头部着地死亡"/>
    <hyperlink ref="D19" r:id="rId_hyperlink_14" tooltip="mvr项目现场动火作业过程中，氧气瓶竖放，未进行固定，如果有人从旁边经过，不慎将氧气胶线踢到，将氧气瓶带倒，碰到氧气顶部，造成氧气瓶表头轻微泄露。"/>
    <hyperlink ref="D20" r:id="rId_hyperlink_15" tooltip="北风机房西门上部玻璃窗晃荡严重，大风天气风力5级，假如一名操作人员巡检时被坠落的玻璃砸伤肩胛骨，住院治疗一周。损工7天"/>
    <hyperlink ref="D21" r:id="rId_hyperlink_16" tooltip="空压机房北侧爬梯扶手、踏板腐蚀生锈断裂，如果操作人员上下爬梯擦空将会造成从3米高的爬梯上摔落，造成小腿轻微骨折，住院治疗三周，损工半年。"/>
    <hyperlink ref="D22" r:id="rId_hyperlink_17" tooltip="深度脱硫东北角管廊支架上管子腐蚀严重开焊，一名操作工在打扫卫生时，管子掉落砸中腿部，致左腿小腿骨折！"/>
    <hyperlink ref="D23" r:id="rId_hyperlink_18" tooltip="综合供水加药间北爬梯，一名操作工登爬梯到三米时，护栏开焊断裂，坠落跌伤小腿"/>
    <hyperlink ref="D24" r:id="rId_hyperlink_19" tooltip="导热油加热器无有效防腐，长时间暴露导致加热器腐蚀串漏，操作人员巡检时经过该区域被热空气灼伤。"/>
    <hyperlink ref="D25" r:id="rId_hyperlink_20" tooltip="5.5米抑尘项目汽轮机蒸汽管道保温施工中，施工人员所用脚手架连接处开焊，施工人员高处作业未系牢安全带，脚手架受力过大脚手板倾斜人员失足跌落"/>
    <hyperlink ref="D26" r:id="rId_hyperlink_21" tooltip="一名外来施工人员，在气割管道中，未系安全带无人监护，木梯老化断裂，人员从梯子上面摔下，造成手臂骨折，住院治疗2月出院。"/>
    <hyperlink ref="D27" r:id="rId_hyperlink_22" tooltip="一维修人员在检修加压泵时，由于未戴安全帽，起身取工具时被上方阀门碰伤头部"/>
    <hyperlink ref="D28" r:id="rId_hyperlink_23" tooltip="一名操作工在清理脱硝抑尘工段主风机时，因主风机连轴器护罩未按，衣服不甚被卷入，导致整个人身体被卷入，经医院现场抢救无效死亡"/>
    <hyperlink ref="D29" r:id="rId_hyperlink_24" tooltip="北风机初冷器前煤气管道处爬梯较窄顶部未固定，人员在爬爬梯时会发生摆动。如果一名仪表人员在爬爬梯查看仪表时，爬梯摆动过大倒塌，造成一人从爬梯摔落左小腿骨折，送医治疗三个月后康复。"/>
    <hyperlink ref="D30" r:id="rId_hyperlink_25" tooltip="一名操作人员在往液碱储槽打液碱开启泵出口阀门时，因法兰垫子老化且法兰处未加装防护罩，导致液碱喷出溅到操作人员的颈肩部，灼伤皮肤，住院治疗一周出院，限工七天。"/>
    <hyperlink ref="D31" r:id="rId_hyperlink_26" tooltip="两名外来人员，在按装管道中，一名员工未系安全带，地面无人监护，在转身中不慎，从管道上摔下，造成腿部骨折，住院治疗3个月出院"/>
    <hyperlink ref="D32" r:id="rId_hyperlink_27" tooltip="废水池无盖板无遮拦，假如一名操作工在夜间操作抽水时，左脚不慎落入池中，造成脚部腐蚀"/>
    <hyperlink ref="D33" r:id="rId_hyperlink_28" tooltip="南风机水封槽处灯泡坏，假设中夜班巡检人员对此处进行巡检，未带手电筒，可能会被水封槽处管线绊倒，造成腿部受伤，送医检查小腿骨折，损工两个月。"/>
    <hyperlink ref="D34" r:id="rId_hyperlink_29" tooltip="由于废气油缸底座松动，长时间换向过程中致使油缸掉落，造成废气无法交换，恢复正常需要四个小时维修时间。"/>
    <hyperlink ref="D35" r:id="rId_hyperlink_30" tooltip="在出现干熄焦汽轮机设备故障停机时，因单人操作，无法同步操作以及排查故障和在主控室操作手忙脚乱，引发更大的设备事故甚至人员伤害"/>
    <hyperlink ref="D36" r:id="rId_hyperlink_31" tooltip="地下室潜水泵电源线裸露，一名员工在冲洗地下室，水溅起喷落到裸露电线处导致连电，造成人员腿部处被电击穿，住院治疗，损工二个月。"/>
    <hyperlink ref="D37" r:id="rId_hyperlink_32" tooltip="一名操作工在1米高处平台操作时，因斜梯和平台没有护栏，在操作过程中因右脚用力踩空，从平台坠落右脚歪伤送往医院救治经诊断右脚骨折，经住院6个月治疗"/>
    <hyperlink ref="D38" r:id="rId_hyperlink_33" tooltip="深度脱硫西一号泡沫泵压力表阀门关不严，仪表工关上阀门换压力表时，喷出的泡沫有可能溅到眼中，造成角膜轻微灼伤。"/>
    <hyperlink ref="D39" r:id="rId_hyperlink_34" tooltip="一名巡检人员在初冷器平台巡检，一蒸汽阀门突然破损，若精神不集中就会躲闪不及，可能造成巡检人员左脸轻微烫伤，去医务室敷药后继续上班。"/>
    <hyperlink ref="D40" r:id="rId_hyperlink_35" tooltip="一名工人在结束对引风机维护保养后，跳下引风机电机的平台，站立不稳，造成左脚受伤"/>
    <hyperlink ref="D41" r:id="rId_hyperlink_36" tooltip="5.5米炉顶导烟车电动葫芦操作手柄因高温烤化变形破损，内部金属接线片裸露，一员工在未佩戴绝缘防护情况下操作电动葫芦更换水封盖，手掌与接线片接触发生触电，送医抢救无效死亡。"/>
    <hyperlink ref="D42" r:id="rId_hyperlink_37" tooltip="电缆桥架盖板未固定紧实，被大风吹起，掉落砸中路过人员，造成擦伤。"/>
    <hyperlink ref="D43" r:id="rId_hyperlink_38" tooltip="5.5米推焦车行走至9号碳化室处时，由于滑块雨搭开焊下垂，造成滑块连电起火烧毁"/>
    <hyperlink ref="D44" r:id="rId_hyperlink_39" tooltip="一名操作工在靠近护栏时，不慎跌落至炉顶面，且头部先着地，造成重伤，随即送医，抢救无效死亡"/>
    <hyperlink ref="D45" r:id="rId_hyperlink_40" tooltip="一名操作工在平台堵烟时，由于平台腐蚀严重，不堪人体重力，致使人员跌落，造成重伤，紧急送医，抢救无效死亡"/>
    <hyperlink ref="D46" r:id="rId_hyperlink_41" tooltip="粗苯蒸汽管架保温铝皮未及时清理，一名巡检人员在管架下部清理卫生，一旦铝皮脱落击中巡检人员手臂，轻微擦伤。"/>
    <hyperlink ref="D47" r:id="rId_hyperlink_42" tooltip="导热油空气预热器保温材料缺失，操作工在巡检时，不小心胳膊触碰到预热器"/>
    <hyperlink ref="D48" r:id="rId_hyperlink_43" tooltip="5.5米焦侧南头通风道上部漏水严重，腐蚀通风道，假如人员经过此处时，通风道坍塌造成人员身体多处骨折，住院治疗三个月的损工事故"/>
    <hyperlink ref="D49" r:id="rId_hyperlink_44" tooltip="2#提升机框架七层西侧护栏外悬挂一云梯，长期暴露室外未做防腐，如遇大风天气，焊点开焊坠落，砸中地面过路人员头肩部，造成人员死亡。"/>
    <hyperlink ref="D50" r:id="rId_hyperlink_45" tooltip="推焦平台与炉柱间有缝隙，煤粉从缝隙落到开闭器上，造成开闭器盖板盖不严，致使燃烧室内煤气过剩，最终导致烟囱冒黑烟。"/>
    <hyperlink ref="D51" r:id="rId_hyperlink_46" tooltip="排污泵接电380V，电缆所加套管不全且接线处与电缆沟上沿摩擦易破损，一巡检人员开启污水泵后返回观察时触电倒地，送医治疗，死亡。"/>
    <hyperlink ref="D52" r:id="rId_hyperlink_47" tooltip="汽机零米配电柜外接电缆（电压380伏）未加套管，长时间使用磨损绝缘层，导致配电柜表面带电，操作人员在停送电操作时触电倒地，抢救并送医，人员死亡。"/>
    <hyperlink ref="D53" r:id="rId_hyperlink_48" tooltip="一操作工在巡检时，由于2#减温减压压力调节阀处焊缝突然漏汽，未能及时躲避，被漏出的1.6Mpa、535℃蒸汽击中左胳膊，造成烫伤，送医院救治。"/>
    <hyperlink ref="D54" r:id="rId_hyperlink_49" tooltip="高压配电室1#联络线配电柜在线测温装置温度显示异常，无法判定触头温度是否正常，如温度过高发生断路器触头烧损，会引起设备停电造成财产损失。"/>
    <hyperlink ref="D55" r:id="rId_hyperlink_50" tooltip="精炼南墙上侧仪表管线已废弃未拆除，悬挂空中易坠落砸伤巡检人员，造成头部划伤，医务室就医后复工。"/>
    <hyperlink ref="D56" r:id="rId_hyperlink_51" tooltip="循环水加药间门口无挡鼠板，老鼠进入咬破加药罐，咬坏电缆，造成设备损坏，损失一万元。"/>
    <hyperlink ref="D57" r:id="rId_hyperlink_52" tooltip="硫酸管道铺设不合理，硫酸管道与循环水配电室北门斜坡距离0.4米，一巡检人员快速通过绿化带跑至此处时被硫酸管道绊倒，磕在配电室斜坡上，造成人员右手上臂骨折，去医院救治，损工3个月。"/>
    <hyperlink ref="D58" r:id="rId_hyperlink_53" tooltip="转化循环水泵房北侧平台警示牌脱落，平台无警示牌无法提醒巡检人员，雨雪天气巡检人员在平台滑倒，造成腿部划伤，医务室就医后复工。"/>
    <hyperlink ref="D59" r:id="rId_hyperlink_54" tooltip="设备维修后枕木摆放杂乱高低不平，一名巡检人员从此处通过，被枕木绊倒，磕倒在平台上，造成人员脚扭伤需休息一个月损工事故。"/>
    <hyperlink ref="D60" r:id="rId_hyperlink_55" tooltip="干熄焦1号提升机三层护栏护板开焊伸出，一巡检人员巡检经过时，未及时发现，将其拌倒，身体前俯爬在平台上，导致右手撑轻微擦伤，经简单处理后继续工作。"/>
    <hyperlink ref="D61" r:id="rId_hyperlink_56" tooltip="1#分馏塔爬梯处小门未关闭，一操作工私自攀爬，在攀爬过程中失足跌落地面，造成腿部骨折。住院医疗1个月，修养2个月。"/>
    <hyperlink ref="D62" r:id="rId_hyperlink_57" tooltip="空压机地沟盖板未盖好，一名操作工巡检过程中不慎踩空，造成小腿骨折。"/>
    <hyperlink ref="D63" r:id="rId_hyperlink_58" tooltip="除盐水站西墙3米高处电缆盖板松动，大风天气，一名员工巡检至此时，盖板脱落，砸伤肩部，送医后诊断为肩部骨折，损工3个月"/>
    <hyperlink ref="D64" r:id="rId_hyperlink_59" tooltip="3号减温减压照明灯电缆铺设不规范，一名员工开阀门时，不慎绊倒，膝盖破皮，去医务室简单处理"/>
    <hyperlink ref="D65" r:id="rId_hyperlink_60" tooltip="除盐水站东侧地沟盖板断裂下沉，夜班一名职工巡检至此时，人员踩空脚部受伤，送医后诊断为脚踝扭伤，损工半个月。"/>
    <hyperlink ref="D66" r:id="rId_hyperlink_61" tooltip="维修人员在设备顶部更换法兰螺栓时，未佩戴安全带，用力紧固螺栓时，因用力过大，从高处设备上坠落，造成右小臂骨折，多处擦伤，送医院治疗。"/>
    <hyperlink ref="D67" r:id="rId_hyperlink_62" tooltip="夜间操作工巡查2#压缩机时压缩机操作平台处黑皮管子，由于夜间光线差，操作工走到平台处时，不小心被平台处黑皮管线绊倒"/>
    <hyperlink ref="D68" r:id="rId_hyperlink_63" tooltip="一名操作工在调节蒸汽阀门时，正对蒸汽连管倒淋，黑胶皮管由于未固定好，阀门开启过大过程中，导致黑胶皮管窜出，蒸汽喷出，人员躲避不及时，造成一名操作工小腿烫伤，住院治疗半月，休息半月。"/>
    <hyperlink ref="D69" r:id="rId_hyperlink_64" tooltip="2#废锅南侧过桥无扶手，在一个下雨的夜晚一名操作工在穿越过桥时，脚底打滑，由于没有扶手支撑身体，从过桥上跌落到地面。"/>
    <hyperlink ref="D70" r:id="rId_hyperlink_65" tooltip="叉车充电室配电盒内电源线拆线后未用绝缘胶带包扎，叉车司机送电充电时碰触到裸露的电源线发生触电，漏电保护器动作跳闸，叉车司机及时脱离触电。"/>
    <hyperlink ref="D71" r:id="rId_hyperlink_66" tooltip="一侧窗户框缺失,玻璃裸露，操作人员在清理卫生时容易被裸露的玻璃割伤手部，经医务室包扎后继续工作，5日后康复，造成一人限工事故"/>
    <hyperlink ref="D72" r:id="rId_hyperlink_67" tooltip="在操作过程中由于工具放置不牢一名操作工巡检时工具滑落将操作工脚面砸伤送院治疗"/>
    <hyperlink ref="D73" r:id="rId_hyperlink_68" tooltip="一名工人从5.5米干熄车的应急爬梯下车时，在爬梯上滑倒，滑跌至地面，至该工人腿部受伤"/>
    <hyperlink ref="D74" r:id="rId_hyperlink_69" tooltip="干熄炉东侧北边除尘上部平台通道踏板腐烂缺失，一名职工巡检时没有注意脚下，不慎踩空，从8米的高度坠落地面，头部受伤，送医治疗。"/>
    <hyperlink ref="D75" r:id="rId_hyperlink_70" tooltip="5.5米炉顶北侧间台盖板缺失，如果一名操作工在巡检过程没有注意脚下不慎踩空，造成大腿骨折，送往医院治疗。"/>
    <hyperlink ref="D76" r:id="rId_hyperlink_71" tooltip="东焦场除尘施工时，未设置警戒带，一名工人路过时被上方掉落的工具砸伤头部"/>
    <hyperlink ref="D77" r:id="rId_hyperlink_72" tooltip="5.5米焦炉炉顶焦侧29号清理上升管桥管小平台倾斜晃动比较严重，如果一名操作工在清理上升管桥管时不慎闪落，从六米高处坠落，严重摔伤，送院治疗。"/>
    <hyperlink ref="D78" r:id="rId_hyperlink_73" tooltip="一测换工在夜间巡检经过此处时，由于光钱昏暗未发现地面有坑，不惧一脚踩入坑内跌倒，造成右脚受伤，送医诊断为右脚骨折。"/>
    <hyperlink ref="D79" r:id="rId_hyperlink_74" tooltip="北脱硫溶液换热器封头因垫子有裂缝，造成脱硫液外渗，假如换热器压力高，造成垫子破裂，导致脱硫液大量外溢。"/>
    <hyperlink ref="D80" r:id="rId_hyperlink_75" tooltip="北脱硫东管架保温铝皮脱落，假如大风天气一名巡检工途径此处，铝皮被风吹落轻微划伤颈部，去医院简单治疗后上班，无损工"/>
    <hyperlink ref="D81" r:id="rId_hyperlink_76" tooltip="炉顶机侧集气管道，42#上升管处的支架偏离掉落，正好砸中一名出炉工头部，紧急送医。"/>
    <hyperlink ref="D82" r:id="rId_hyperlink_77" tooltip="焦侧8#、29#上升管平台不牢固，且腐蚀严重，一操作工在工作时由此跌落，且头部着地受重伤，随即送医。"/>
    <hyperlink ref="D83" r:id="rId_hyperlink_78" tooltip="西区化水老系统水池约4米，池顶楼梯平台腐蚀严重有破洞，不牢固，一名操作工在工作时由此跌落，腿先着地受伤，随即送医院治疗。"/>
    <hyperlink ref="D84" r:id="rId_hyperlink_79" tooltip="5.5米焦炉拦焦车除尘船撑架开焊断开，一名操作工巡检踩过时，不慎跌落水槽，受伤送医。"/>
    <hyperlink ref="D85" r:id="rId_hyperlink_80" tooltip="高处的煤仓护瓦腐蚀严重，突然掉落，正好砸在一名操作工头上，划伤脸部，送医。"/>
    <hyperlink ref="D86" r:id="rId_hyperlink_81" tooltip="焦侧上升管一平台铺板翘起，1操作工经过时不慎绊倒，头部磕在扁铁上，受伤送医。"/>
    <hyperlink ref="D87" r:id="rId_hyperlink_82" tooltip="机侧平台南头端台处，出现一段裂缝塌陷，掉落的水泥块砸在从下面经过的1名员工头上，员工受伤送医。"/>
    <hyperlink ref="D88" r:id="rId_hyperlink_83" tooltip="送煤车前头运送余煤的刮板机篦子盖板变形，1操作工工作时不慎跌入左脚，造成左小腿骨折，送医。"/>
    <hyperlink ref="D89" r:id="rId_hyperlink_84" tooltip="5.5米机侧平台处，一铲车司机清理废料时，将铲伸至平台处，下方是摩电轨，假如油缸失灵铲自动下落，导致车辆联电，人员触电，当场死亡。"/>
    <hyperlink ref="D90" r:id="rId_hyperlink_85" tooltip="高压氨水管线插入集气道吹扫集气道，因插口大，用岩棉堵塞。操作工在清理上升管时，因集气道压力突然增高，造成岩棉松动，致使煤气泄露，操作工吸入煤气，中毒晕倒，头部着地摔倒在炉面上。"/>
    <hyperlink ref="D91" r:id="rId_hyperlink_86" tooltip="高压氨水管线插入集气道吹扫集气道，因高压氨水管及固定氨水管的横管高于平台，操作工行走时不注意绊倒，摔倒在顺水槽上，造成面部摔伤。"/>
    <hyperlink ref="D92" r:id="rId_hyperlink_87" tooltip="地下室巡检人员，巡检过程中由于视线不好被清水软皮管绊倒磕到肩膀，造成肩膀骨折！"/>
    <hyperlink ref="D93" r:id="rId_hyperlink_88" tooltip="假如一操作工巡检引风机时，因无爬梯需要攀爬，当爬到平台时因没抓牢后仰跌落，头部被铁板边角戳伤送医院抢救。"/>
    <hyperlink ref="D94" r:id="rId_hyperlink_89" tooltip="5.5米脱硫脱硝，高压风机平台无防护栏，一名操作人员在巡检时，从平台跌落，头部与铁器撞击昏迷不醒，送医院抢救。"/>
    <hyperlink ref="D95" r:id="rId_hyperlink_90" tooltip="5米5焦炉推焦操作工，在出焦操作过程中，被集气管道管托掉落砸中头部，当场昏迷，送医抢救。"/>
    <hyperlink ref="D96" r:id="rId_hyperlink_91" tooltip="在送煤过程中，如果托煤板线位故障，送煤过头顶落炉门，将拦焦正在处理焦炭的操作工砸到，救治无效死亡。"/>
    <hyperlink ref="D97" r:id="rId_hyperlink_92" tooltip="焦一皮带护栏缺失，一名操作人员在清理卫生时，不慎将手臂卷入皮带，造成手臂骨折，就医救治。"/>
    <hyperlink ref="D98" r:id="rId_hyperlink_93" tooltip="炉顶爬梯电缆杂乱，如果一名职工巡检下楼梯时未注意脚下，且双手未扶牢扶手，被电缆绊倒身体失去平衡前倾摔倒，头部撞击在地面上，送医院抢救，颈椎粉碎性骨折，抢救无效死亡。"/>
    <hyperlink ref="D99" r:id="rId_hyperlink_94" tooltip="1#转化炉废锅顶部人孔保护罩在检查时未盖好，人孔温度100°以上，一名操作工在巡检时，脚下打滑，滑入人孔边的空间，造成小腿下部被人孔盖烫伤，送医务室处理后就医治疗7天，损工7天"/>
    <hyperlink ref="D100" r:id="rId_hyperlink_95" tooltip="精炼分离器上部，检修时用的脚手板及铁管等，未及时清理干净。1名巡检人员在上去巡检时，不小心被脚手板绊倒，手臂擦伤，经医务人员包扎后继续上班。"/>
    <hyperlink ref="D101" r:id="rId_hyperlink_96" tooltip="三万气柜地沟盖板缺失，一名操作工在巡检时不慎踏入地沟，造成小腿骨折住院10天，休息90天。"/>
    <hyperlink ref="D102" r:id="rId_hyperlink_97" tooltip="精炼地缸处加醋酸，由于倒淋管高出地面，操作工往地缸盖上提放醋酸桶时被倒淋管绊倒，轻微擦伤。"/>
    <hyperlink ref="D103" r:id="rId_hyperlink_98" tooltip="循环机操作室顶蒸汽管线保温破损，一名巡检工在开关阀门时小腿被烫伤，住院治疗30天后复工上班。"/>
    <hyperlink ref="D104" r:id="rId_hyperlink_99" tooltip="加热器倒淋管的弯头处经长期使用出现裂痕，造成蒸汽泄漏，水汽从保温层冒出滴落，一名巡检人员在下方巡检维护设备时，被烫伤，送医务室处理后复工。"/>
    <hyperlink ref="D105" r:id="rId_hyperlink_100" tooltip="循环水污水处理站平台，有一木棍横在平台上，夜间有一操作工，巡检时，不慎拌倒，造成手腕扑伤，经去医院检查，手腕脱臼，休息三天，损工三天。"/>
    <hyperlink ref="D106" r:id="rId_hyperlink_101" tooltip="操作工夜间巡查时，经过冷却泵时，被地面杂乱的黑皮管绊倒，造成小腿骨折"/>
    <hyperlink ref="D107" r:id="rId_hyperlink_102" tooltip="夜间操作工巡查时，路过冷却泵时被地面杂乱的黑皮管绊倒，造成小腿骨折"/>
    <hyperlink ref="D108" r:id="rId_hyperlink_103" tooltip="干熄焦环境除尘西侧除尘管道.距地面七米框架处有一废旧钢筋，若遇大风天气，钢筋掉落，砸伤过路行人肩部，在家修养两天"/>
    <hyperlink ref="D109" r:id="rId_hyperlink_104" tooltip="炉顶旋臂吊处，一槽钢横放在端台上，一名职工在夜间工作时，因视线不好被槽钢绊倒，致使肩膀碰在旋臂吊铁架上，造成肩膀骨折。"/>
    <hyperlink ref="D110" r:id="rId_hyperlink_105" tooltip="变换操作工在排放二热交换器倒淋时，因倒淋管出口离地沟存在距离，使排出的热水和蒸汽向四周喷溅，造成操作人员脚腕部轻微烫伤，立即用冷水冲洗，到医务室清洗上药后复工。"/>
    <hyperlink ref="D111" r:id="rId_hyperlink_106" tooltip="1#循环水泵出口南侧排地沟盖板破损，一操作工巡检检查压力表时，不慎踩空摔倒，造成脚踝扭伤，损工5天"/>
    <hyperlink ref="D112" r:id="rId_hyperlink_107" tooltip="电工人员到楼顶检查天窗电机，右肩上挎着工具包，爬至到一半时，工具包不慎滑落，人员下意识的用右手去拿，另一只手没有抓紧爬梯从爬梯上跌落，身体右侧着地，造成身体右侧多处骨折，送医治疗损工150天。"/>
    <hyperlink ref="D113" r:id="rId_hyperlink_108" tooltip="雨雪天气，员工在夜间操作3号4号减温减压时，由于照明灯（220v）线路未加防护套管 线头裸露，操作工脚底打滑，手扶漏电处，造成触电，经医院抢救无效死亡！"/>
    <hyperlink ref="D114" r:id="rId_hyperlink_109" tooltip="冬季雨雪天气较多，爬梯台阶湿滑，一巡检人员通过循环水北侧爬梯去循环水池加药时，由于爬梯台阶未安装防滑条，台阶湿滑，巡检人员脚底打滑，从爬梯滑落至地面，送医治疗，脚踝扭伤，损工十天。"/>
    <hyperlink ref="D115" r:id="rId_hyperlink_110" tooltip="四号离心机皮带破损，一名操作工在巡检擦拭离心机时，皮带在高速运转中突然断裂打出，致使操作工手部受伤，去医院包扎后，损工两天。"/>
    <hyperlink ref="D116" r:id="rId_hyperlink_111" tooltip="洗焦泵房窗户合页腐烂严重，万一巡检人员经过时坠落砸伤头部。去医院包扎，限工3天。"/>
    <hyperlink ref="D117" r:id="rId_hyperlink_112" tooltip="压缩岗位因检修更换旧阀门未及时清理现场，夜间一名巡检工在巡查过程中，因夜间视线不好，没能发现安全通道处阀门，被阀门拌倒造成手腕扭伤，立即就医治疗。"/>
    <hyperlink ref="D118" r:id="rId_hyperlink_113" tooltip="缝包机接头处电缆裸露，当操作工在使用缝包机时不慎触电"/>
    <hyperlink ref="D119" r:id="rId_hyperlink_114" tooltip="压缩巡检室内静电地板塌陷，巡检工外出巡检时，没能及时发现不慎踩空，造成一名巡检工脚腕扭伤，立即就医诊断脚腕骨折，住院治疗。"/>
    <hyperlink ref="D120" r:id="rId_hyperlink_115" tooltip="一名操作工在巡检时，因踏板塌陷打滑扭伤脚踝，到医务室治疗。"/>
    <hyperlink ref="D121" r:id="rId_hyperlink_116" tooltip="1#分馏塔二层平台有外协人员刷漆时遗落的漆桶，大风天一名操作工巡检时被刮落的漆桶砸中右肩部，立即送医治疗。"/>
    <hyperlink ref="D122" r:id="rId_hyperlink_117" tooltip="焦炉预热器管架有维修时未清理的保温材料，一名操作工巡检时被掉落的保温材料砸伤胳膊，造成骨折住院治疗"/>
    <hyperlink ref="D123" r:id="rId_hyperlink_118" tooltip="1号吸氨泵机械密封漏液，一名操作工在巡检过程中氨水不慎溅入眼内，送医院救治"/>
    <hyperlink ref="D124" r:id="rId_hyperlink_119" tooltip="一名巡检工在巡检码垛机运转情况过程中，由于护栏门未锁闭将护栏门向里推开被运行中的机械手重击头部当场昏迷，另一名巡检工发现立即通知班长将其送往医院抢救。"/>
    <hyperlink ref="D125" r:id="rId_hyperlink_120" tooltip="一名操作工巡检过程中，接线箱接线柱无防爆泥，现场可燃气体进入接线箱，引发防爆箱爆炸。"/>
    <hyperlink ref="D126" r:id="rId_hyperlink_121" tooltip="低压配电室，380v配电柜柜门与柜体接地线脱落，导致柜门带电，电运人员在巡检时未带绝缘手套，用双手向两侧开启柜门上观察内部情况时，触电倒地经医院抢救无效死亡。"/>
    <hyperlink ref="D127" r:id="rId_hyperlink_122" tooltip="低压配电室，380v配电柜柜门与柜体接地线脱落，电缆破皮导致柜门带电，电运人员在巡检时未戴绝缘手套，用双手向两侧开启柜门时左手与带电柜门接触，触电倒地，送医抢救无效死亡。"/>
    <hyperlink ref="D128" r:id="rId_hyperlink_123" tooltip="晶分地池入口阀门扳手未及时撤除，一操作工巡检途径此处因刮大风扳手卡的不紧掉下来砸伤脚，及时送往医务室治疗。"/>
    <hyperlink ref="D129" r:id="rId_hyperlink_124" tooltip="主控楼顶3#减温减压无行走平台，巡检人员巡检3#减温减压时踩踏翻越高温高压管线，高温高压管线泄露蒸汽由下至上吹割巡检人员全身，巡检人员全身重度烫伤，呼吸道烫伤，部分肢体割裂伤，送医治疗15天后死亡。"/>
    <hyperlink ref="D130" r:id="rId_hyperlink_125" tooltip="精脱硫脱硫泵防护罩松动为加固牢"/>
    <hyperlink ref="D131" r:id="rId_hyperlink_126" tooltip="碳化一楼凉水塔平台人孔盖板未及时复位，一名巡检人员夜间巡检时不慎掉入池内溺水，送医院抢救无效死亡。"/>
    <hyperlink ref="D132" r:id="rId_hyperlink_127" tooltip="巡检工经过电缆沟时盖板断裂造成巡检工掉入电缆沟摔伤。"/>
    <hyperlink ref="D133" r:id="rId_hyperlink_128" tooltip="巡检工经过电缆沟时盖板断裂造成巡检工掉入电缆沟摔伤。"/>
    <hyperlink ref="D134" r:id="rId_hyperlink_129" tooltip="超浓水水池高5.5米，爬梯无安全护笼，无防护门及安全警示牌，一员工清理池底后水靴和橡胶手套沾水防滑性能降低，清理完后攀登爬梯至出口时脚底打滑，手抓握不牢坠落池底，脚踝骨折，送医治疗后休养4个月。"/>
    <hyperlink ref="D135" r:id="rId_hyperlink_130" tooltip="一操作工在巡检减温减压时，因2#减温减压后电动门法兰处漏汽，不慎被漏出的蒸汽（约360℃）烫伤右胳膊，送医院救治。"/>
    <hyperlink ref="D136" r:id="rId_hyperlink_131" tooltip="提升机变频室充电屏经常性故障报警，如不及时查找排除故障隐患，会引起直流电源无法正常供电，致使使用直流电源控制的设备不能正常操作，影响生产造成财产损失"/>
    <hyperlink ref="D137" r:id="rId_hyperlink_132" tooltip="一操作工巡查主控楼顶设备设施时，因爬梯未加装护栏，爬至离地面4米处时不慎跌落，送医救治，诊断为左腿骨折。"/>
    <hyperlink ref="D138" r:id="rId_hyperlink_133" tooltip="5.5米拦焦磨电轨总开关上方挡板太小，无法起防泥水作用，雨雪天气，一旦泥水进入配电箱会造成内部380伏电器短路跳闸，烧坏开关无法出焦"/>
    <hyperlink ref="D139" r:id="rId_hyperlink_134" tooltip="巡检人员巡检超滤设备时，因超滤排污管道处无盖板，导致巡检过程中一脚踏入排污沟导致小腿骨折"/>
    <hyperlink ref="D140" r:id="rId_hyperlink_135" tooltip="一操作工在打扫行车爬梯时，因未安装防滑条，操作工脚底打滑，不慎从四米高爬梯摔落至下方平台，送医救治，诊断为左小腿骨折，住院治疗20天，休养三个月。"/>
    <hyperlink ref="D141" r:id="rId_hyperlink_136" tooltip="精炼操作工在日常巡检时，踩到盖板处，突然破裂，操作工掉入地沟内，并砸伤腿部"/>
    <hyperlink ref="D142" r:id="rId_hyperlink_137" tooltip="一巡检工巡检至提升机七层西侧平台时，不慎被脚底蛇皮管拌到，由于缺少护栏，从40米高处跌落至地面，当场死亡"/>
    <hyperlink ref="D143" r:id="rId_hyperlink_138" tooltip="除盐水站一楼加药间窗户玻璃破裂，大风天气，一名员工巡检至此时，玻璃被风吹落掉到该员工右胳膊处，将该员工右胳膊割伤，送医后缝合十针，损工3天。"/>
    <hyperlink ref="D144" r:id="rId_hyperlink_139" tooltip="包装间平台清理料仓用的不锈钢管未及时撤除，当夜班操作工巡检时，因视线不清被不锈钢管拌倒右臂磕到旁边铁件上，造成右臂骨折，住院治疗。"/>
    <hyperlink ref="D145" r:id="rId_hyperlink_140" tooltip="周转库北门，托盘放置太高不齐，操作工在打扫路面卫生时，因辩识不到位，托盘落下，砸伤右脚，住院治疗"/>
    <hyperlink ref="D146" r:id="rId_hyperlink_141" tooltip="3#减温减压电动阀未设防雨罩，雨雪天气造成锈蚀损坏，财产损失5万元"/>
    <hyperlink ref="D147" r:id="rId_hyperlink_142" tooltip="柴油机消防泵电瓶线夹处电缆破损，柴油机本体及地面有油污，在做柴油机启动试验时破损处打火引起火灾烧坏电瓶，造成财产损失5000元"/>
    <hyperlink ref="D148" r:id="rId_hyperlink_143" tooltip="循环水消防水池原自动上水管弃用与主管分离后，悬挂在消防水池上部进水口，一巡检人员巡检经过时，水管从进水口向外脱落与巡检人员正面相对，将巡检人员左耳下部擦伤，经简单处理后继续工作。"/>
    <hyperlink ref="D149" r:id="rId_hyperlink_144" tooltip="地下室冷焦带减速机联轴器未加防护罩，一名员工给电机时，手臂抬落手套不甚卷入联轴器，造成手指骨折住院治疗十天后回家休养三个月，造成损工事故"/>
    <hyperlink ref="D150" r:id="rId_hyperlink_145" tooltip="汽机房西门南排水管管道松动，大风天气一人员巡检此处时排水管掉落砸至巡检人员右肩部，送医治疗诊断为右肩肩胛骨骨折，损工两个月"/>
    <hyperlink ref="D151" r:id="rId_hyperlink_146" tooltip="一维修人员在进行气割作业时，因未佩戴防护眼镜或面罩，导致飞起的铁渣不慎溅落在其右眼里，造成眼睛灼伤，住院治疗三个月。"/>
    <hyperlink ref="D152" r:id="rId_hyperlink_147" tooltip="地沟盖板破碎，路过时不小心踩到，盖板塌陷，会掉入其中！一名操作工在巡检过程中，踩到破裂地沟盖板，盖板塌陷，把脚歪伤，在家休息一周后复工！"/>
    <hyperlink ref="D153" r:id="rId_hyperlink_148" tooltip="由于水沟盖板缺失，操作人员经过时，不慎掉入水沟内，造成左腿受伤。送往医院检查经确诊为左腿肌肉擦伤，住院两天，在家休养五天后复工"/>
    <hyperlink ref="D154" r:id="rId_hyperlink_149" tooltip="蒸汽过热器法兰螺丝松动蒸汽泄露，一名巡检工到附近巡检被蒸汽烫伤手部"/>
    <hyperlink ref="D155" r:id="rId_hyperlink_150" tooltip="转化现场登高用铁凳支撑腿变形不牢固，无护栏，操作工登高时脚底踩空，摔落地面造成左脚踝扭伤，损工三天。"/>
    <hyperlink ref="D156" r:id="rId_hyperlink_151" tooltip="两名保运人员在检修低位槽液下泵时，一人未戴防护手套，操作时锤子砸偏，导致左手轻微擦伤，简单处理后正常上班！"/>
    <hyperlink ref="D157" r:id="rId_hyperlink_152" tooltip="蒸氨氨水储槽顶部腐蚀严重，假如氨水槽液位计不准确时，氨水会外溢地面被氨水污染，造成环境污染。"/>
    <hyperlink ref="D158" r:id="rId_hyperlink_153" tooltip="振动流化床踩的板凳固定不牢。假如停车的时候一名操作工踩在板凳上清理振动流化床内部，不小心板凳倒丁，造成右胳膊扭伤，去医院简单治疗后回家休养三天，损工三天。"/>
    <hyperlink ref="D159" r:id="rId_hyperlink_154" tooltip="由于总烟道测压孔处砖墙损坏，水熄时水熄车经过漏下残余的熄焦水灌入测压孔处，造成总烟道温度与吸力表损坏，维修正常需要费用1000元。"/>
    <hyperlink ref="D160" r:id="rId_hyperlink_155" tooltip="5.5米焦炉推焦道轨路基开裂，万一推焦车在推焦时脱轨。将导致一天内无法正常生产，直接经济损失50万元。"/>
    <hyperlink ref="D161" r:id="rId_hyperlink_156" tooltip="烟道通廊南侧无照明设施且通廊狭窄，多柱子底座裸露，倘若有人行走时未看清底座被绊倒，造成脚踝扭伤休养15天的损工事件。"/>
    <hyperlink ref="D162" r:id="rId_hyperlink_157" tooltip="5.5米焦炉水熄车平台护栏腐蚀严重，已接近断裂，操作工在此处工作时不慎跌落，头部先着地，且磕在了道轨上，随即紧急送医抢救无效死亡。"/>
    <hyperlink ref="D163" r:id="rId_hyperlink_158" tooltip="5.5米焦炉，推焦车出炉工操作平台铺板腐蚀严重，已腐烂的很薄，且出现孔洞，一操作工在干活时，铺板不负重力，人员掉落一条腿。"/>
    <hyperlink ref="D164" r:id="rId_hyperlink_159" tooltip="夜班人员到环境除尘顶部更换布袋，站在除尘仓内部更换布，身体上部正好与护栏开焊处持平，因夜间视线不好，人员在更换布袋时脚被灰仓内喷出管拌了一下，身体正好仰到在护栏开焊处，人员从开焊处跌落头部着地当场死亡"/>
    <hyperlink ref="D165" r:id="rId_hyperlink_160" tooltip="干熄焦锅炉五层边缘处斜放一F扳手，遇大风雨雪天气滑落，砸伤过路行人右肩部，送医治疗，损工十天。"/>
    <hyperlink ref="D166" r:id="rId_hyperlink_161" tooltip="一名工人在路过楼道门口时，被上部破损的玻璃掉落划伤颈部"/>
    <hyperlink ref="D167" r:id="rId_hyperlink_162" tooltip="一名工人下爬梯的过程中滑倒，从爬梯上跌落脚部受伤送医治疗"/>
    <hyperlink ref="D168" r:id="rId_hyperlink_163" tooltip="焦三皮带彩钢瓦破裂万一人员经过掉落砸伤肩部造成肩部骨裂住院治疗30天休养60天的损工事件"/>
    <hyperlink ref="D169" r:id="rId_hyperlink_164" tooltip="焦炉地下室南头一爬梯无扶手，如果一名员工爬梯时脚底打滑，膝盖磕碰到楼梯脚踏板上，造成膝盖骨骨裂，住院治疗一个月的损工事件"/>
    <hyperlink ref="D170" r:id="rId_hyperlink_165" tooltip="5.5米焦炉捣固煤仓南面二层窗户玻璃破损，假如破损玻璃掉落时有人经过此处，扎伤肩部，到医院进行处理伤口， 回家修养三天，损工事件。"/>
    <hyperlink ref="D171" r:id="rId_hyperlink_166" tooltip="5.5在线检测小屋空调外机通风不畅，导致空调停机"/>
    <hyperlink ref="D172" r:id="rId_hyperlink_167" tooltip="炉顶集气管压缩空气软管摆放杂乱，如果一名员工从此经过时被绊倒，膝盖磕碰到地面铁板上造成膝盖骨骨裂，住院治疗一个月的损工事件"/>
    <hyperlink ref="D173" r:id="rId_hyperlink_168" tooltip="除盐水池东侧地沟盖板破损，一员工清理地面卫生，由于天黑视线模糊，清理至水箱东侧时不慎掉入地沟盖板破损，导致脚踝骨折，容易治疗15天，休养3个月"/>
    <hyperlink ref="D174" r:id="rId_hyperlink_169" tooltip="操作人员操作三号减温减压供汽时，由于未发现阀门螺栓松动，打开阀门后高压蒸汽泄露导致人员烫伤，送医治疗，手臂严重烫伤，损工一月。"/>
    <hyperlink ref="D175" r:id="rId_hyperlink_170" tooltip="汽轮机零米北门地沟盖板未盖，一巡检工在打扫卫生时不慎掉入此处，造成脚踝扭伤，住院治疗，损工5天。"/>
    <hyperlink ref="D176" r:id="rId_hyperlink_171" tooltip="干熄焦主控室天窗380v电源线，电源线外皮未做保护装置，一检修人员未穿戴绝缘鞋绝缘手套，在下爬梯过程中，右脚踩在电源线与爬梯捆绑处时造成外皮破损漏电，导致检修人员触电从4米高处跌落至地面，送医"/>
    <hyperlink ref="D177" r:id="rId_hyperlink_172" tooltip="焦一皮带因防护栏缺失，一名操作人员在清理皮带底部卫生时，不慎将手臂卷入托辊，造成小臂骨折，就医修养治疗。"/>
    <hyperlink ref="D178" r:id="rId_hyperlink_173" tooltip="干熄焦汽机房凝结水泵护栏开焊，一人员夜间巡检此处时跌落至凝结水泵坑内，造成左小腿骨折，送医救治，损工三个月。"/>
    <hyperlink ref="D179" r:id="rId_hyperlink_174" tooltip="汽轮机开停机时，主控楼北门疏水井井口蒸汽大，无安全警示牌和警戒线，一名员工从此处通过，右小腿烫伤，去医务室简单处理后，正常工作。"/>
    <hyperlink ref="D180" r:id="rId_hyperlink_175" tooltip="一名外来施工人员对消防水管道进行电焊作业，未对柴油箱采取防护措施，电焊火花引燃柴油箱，引起火灾，造成柴油箱损坏，柴油机消防泵油管道烧毁，财产损失5000元。"/>
    <hyperlink ref="D181" r:id="rId_hyperlink_176" tooltip="除盐水站二楼通往综合水池处的铁板通道雨雪天气湿滑，一员工在雨天去往综合水池关一次水阀门路过此处时打滑摔倒，造成胳膊骨折，损工三个月。"/>
    <hyperlink ref="D182" r:id="rId_hyperlink_177" tooltip="干熄焦锅炉除尘焊接衬板，下部气瓶离落火点仅3米，氧气泄漏电焊火花飞溅引起气路着火，着火高温引起氧气瓶压力升高瓶阀飞出打伤地面操作人员"/>
    <hyperlink ref="D183" r:id="rId_hyperlink_178" tooltip="三号减温减压后电动阀温度传感器伴热带电线裸露，一名人员巡检至此时，不慎碰触，触电死亡。"/>
    <hyperlink ref="D184" r:id="rId_hyperlink_179" tooltip="铁板摆放不齐高低不平，夜间视线不良，一名人员从此处通过，被铁板绊倒，摔倒在地把腿部磕破一块皮，去医务室包扎后继续工作。"/>
    <hyperlink ref="D185" r:id="rId_hyperlink_180" tooltip="管道上铁皮松动已快掉落，夜间视线不良，一人员巡检到此处，铁皮突然掉落划伤人员脸部，去医务室包扎后继续工作。"/>
    <hyperlink ref="D186" r:id="rId_hyperlink_181" tooltip="西五机头照明灯损坏 中夜班人员巡检清理卫生 光线不好不慎绊倒 扭伤脚踝 经简单处理后不影响工作"/>
    <hyperlink ref="D187" r:id="rId_hyperlink_182" tooltip="一名维修工在焊地面除尘水槽时，焊渣掉在安全带上将其熔化，维修工不慎掉在3米高的地面当场昏迷，及时送医治疗。"/>
    <hyperlink ref="D188" r:id="rId_hyperlink_183" tooltip="一维修工按装爬梯时，没有正确按大钩挂物小钩挂绳规定违规操作，造成维修工不慎掉落4米高的地面昏迷，及时送医治疗"/>
    <hyperlink ref="D189" r:id="rId_hyperlink_184" tooltip="焦侧46#炉门衡栓，左右两侧都不到位，造成炉门掉落"/>
    <hyperlink ref="D190" r:id="rId_hyperlink_185" tooltip="炉顶焦侧44#上升管处，操作平台一盖板缺失，一人员经过时不慎跌入摔倒磕伤"/>
    <hyperlink ref="D191" r:id="rId_hyperlink_186" tooltip="一名操作人员，在焦四机尾操作时，顶部一四公分厚的彩钢瓦坠落，将其小臂砸伤造成粉碎性骨折，就医治疗。"/>
    <hyperlink ref="D192" r:id="rId_hyperlink_187" tooltip="四名外来施工人员，在按装封头过程中，由于木板没有固定，用力不均匀到至右侧人员，坠落幸好系安全带，造成腿部擦伤"/>
    <hyperlink ref="D193" r:id="rId_hyperlink_188" tooltip="送煤掉前头，拦焦一名操作人员在扒煤过程中，被高处再次跌落的煤饼砸中头部，送医抢救无效死亡。"/>
    <hyperlink ref="D194" r:id="rId_hyperlink_189" tooltip="一操作工在经过熄焦泵房安全门处，安全门脱落砸中操作工头部，当场昏迷，送医抢救。"/>
    <hyperlink ref="D195" r:id="rId_hyperlink_190" tooltip="1618破碎机接地线螺丝丢失未接好 操作工清理卫生时 不慎触电摔倒 造成右臂骨折 送医住院治疗"/>
    <hyperlink ref="D196" r:id="rId_hyperlink_191" tooltip="电机护罩螺丝振动丢失 护罩脱落 操作工 巡检清理卫生经过 不慎被风扇叶片 擦伤胳膊 送医务室包扎后不影响工作"/>
    <hyperlink ref="D197" r:id="rId_hyperlink_192" tooltip="操作工巡检时右脚不慎落入空荡处，使右脚骨折，送医院救治"/>
    <hyperlink ref="D198" r:id="rId_hyperlink_193" tooltip="煤棚西侧，盖板破损！煤场操作工夜间巡查时，左脚踩至盖板破损处，导致左腿划伤送医院清理，包扎在家休养七天"/>
    <hyperlink ref="D199" r:id="rId_hyperlink_194" tooltip="蒸汽板式换热器因堵塞杂物，维修在清理过程中一名操作工在未关闭蒸汽阀门的情况下误操作启动设备，导致维修工手臂及手部烫伤，送医检查损工半月。"/>
    <hyperlink ref="D200" r:id="rId_hyperlink_195" tooltip="煤八台阶连接处地面损坏，岗位操作工走至地面损坏处，导致左脚崴伤送医院包扎，在家休养七天！"/>
    <hyperlink ref="D201" r:id="rId_hyperlink_196" tooltip="干熄焦环境除尘二层一阶梯踏板过细.未装护栏，一人员在下行过程中，踏板开焊，人员从阶梯空隙跌落至平台，导致左腿部擦伤.左脚腕骨折，送医治疗，损工三个月。"/>
    <hyperlink ref="D202" r:id="rId_hyperlink_197" tooltip="汽轮机零米1106113配电箱接地线断开，由于柜内开关漏电导致柜体外壳带电，员工在擦拭配电箱时，发生触电！经医院抢救无效死亡！"/>
    <hyperlink ref="D203" r:id="rId_hyperlink_198" tooltip="环境除尘三层爬梯护栏处照明电缆未加防护套管，人员到环境除尘上放灰，来回踩踏电缆，造成电缆外皮破损，人员踩上后造成触电，经抢救无效死亡。"/>
    <hyperlink ref="D204" r:id="rId_hyperlink_199" tooltip="导管疏水外排管道焊接位置不当，汽轮机开机过程中暖导管之前必须先把电动主蒸汽阀门前疏水关闭，才能开导管疏水，存在疏水积存可能，易造成管道水冲击，建议接至西侧疏水外排管道或新加装疏水管道一根。。"/>
    <hyperlink ref="D205" r:id="rId_hyperlink_200" tooltip="气浮机南侧操作平台腐蚀严重，如果一名操作人员在调节开关阀门时，不慎掉入此处，造成脚踝扭伤，住院治疗损工五天。"/>
    <hyperlink ref="D206" r:id="rId_hyperlink_201" tooltip="南风机3#初冷器二层平台处有杂物，如果一名夜班操作人员在冲洗初冷器经过此处时，因夜间视线不良被平台上杂物绊倒，造成一人右手手臂多处轻微擦伤，经简单处理后不影响正常工作。"/>
    <hyperlink ref="D207" r:id="rId_hyperlink_202" tooltip="南风机风机房内倒链用后未复位，离地面约三米高，假设一名操作工巡检经过此处时倒链突然脱落，砸中操作工右肩部使其右肩部脱臼，送医治疗后休息三天复工。"/>
    <hyperlink ref="D208" r:id="rId_hyperlink_203" tooltip="北班长室东侧框架上方有一未固定铝皮，如果有一操作人员巡检时，经过此处铝皮跌落划伤手部，经包扎后正常工作。"/>
    <hyperlink ref="D209" r:id="rId_hyperlink_204" tooltip="一名操作工打扫现场卫生时，地方狭窄，身体突然倾倒，护栏开裂起不到保护作用，左胳膊扭伤，住院治疗，休息三日。"/>
    <hyperlink ref="D210" r:id="rId_hyperlink_205" tooltip="南点名室东侧台阶处，外来施工队伍把气瓶气路随意搭放，如果一名外来施工人员去调节气瓶开关时，被气路绊倒，造成一名外来施工人员的右腿膝盖着地，送医院检查，右腿膝盖骨裂，住院治疗1个月，在家休养3个月"/>
    <hyperlink ref="D211" r:id="rId_hyperlink_206" tooltip="西硫铵岗位日常巡检时发现西备用饱和器大母液泵出口反冲管泄露母液，如果发现不及时，东饱和器无法使用需切换西备用饱和器时，可能会造成大母液泵出口反冲管泄露大量母液腐蚀地面，造成环保事故"/>
    <hyperlink ref="D212" r:id="rId_hyperlink_207" tooltip="一员工在下爬梯时，未扶两侧扶手，滑落后造成身体多处受伤，送医确诊均为皮下软组织受伤。在家休养一天后复工。"/>
    <hyperlink ref="D213" r:id="rId_hyperlink_208" tooltip="MVR冷凝液泵联轴器处无防护罩，如果一操作工在擦拭设备时，下慎造成左手擦伤，去医务室色扎后下影响正常工作。"/>
    <hyperlink ref="D214" r:id="rId_hyperlink_209" tooltip="汽轮机零米射水箱与溢流箱联通管道未设置照明，视线不良，中夜班巡检人员到此巡检热水井液位时，不慎被联通管道绊倒，膝盖手腕擦伤，损工一天"/>
    <hyperlink ref="D215" r:id="rId_hyperlink_210" tooltip="汽轮机七米照明不良，一巡检工在巡检时，视线不好，不慎被铁板绊倒，膝盖擦伤，送医务室治疗"/>
    <hyperlink ref="D216" r:id="rId_hyperlink_211" tooltip="三号初冷器下液管蒸汽吹扫阀门盘根泄露，一名操作工在进行下液管吹扫过程中，由于个人防护不到位有可能会造成手部烫伤，去医务室处理后，不影响工作"/>
    <hyperlink ref="D217" r:id="rId_hyperlink_212" tooltip="除盐水站中控室南侧电缆套管脱落，一员工巡检中经过此处，铁皮套管锈蚀脱落砸中员工右侧肩膀及胳膊，送医检查多处均为皮外伤，未影响工作"/>
    <hyperlink ref="D218" r:id="rId_hyperlink_213" tooltip="东硫铵楼顶护栏腐蚀严重，部分断裂，遇大风天气，可能会坠落，如若有人员恰巧经过，被高空坠物砸中头部，造成一人死亡！"/>
    <hyperlink ref="D219" r:id="rId_hyperlink_214" tooltip="四楼结晶槽进口管道腐蚀漏液，假如一操作人员在三楼出料时母液滴入眼睛里，造成灼伤眼球，住院治疗三天出院，造成一人损工事故。"/>
    <hyperlink ref="D220" r:id="rId_hyperlink_215" tooltip="南风机电捕水封槽棚顶有杂物，如果一名操作工在巡检时，从棚底经过，棚顶杂物坠落，造成操作人员面部划伤，去医务室简单包扎，包扎后正常上班。"/>
    <hyperlink ref="D221" r:id="rId_hyperlink_216" tooltip="北脱硫冷凝液低位槽平台腐蚀，如果操作人员巡检时经过此处会造成平台小面积塌陷，可能会造成小腿擦伤，去医务室包扎后复工。"/>
    <hyperlink ref="D222" r:id="rId_hyperlink_217" tooltip="操作工在巡检时发现纳滤间盐碱泵机封泄漏，因操作工在巡检过程中没有仔细勘察清楚，造成盐碱泄漏大约一桶，之后用大量流动清水冲刷、晾干，地面轻微腐蚀。"/>
    <hyperlink ref="D223" r:id="rId_hyperlink_218" tooltip="当下雨天气时，因浓水外送泵无防雨罩，雨水渗入电机内部，因断路保护器失效，电机烧毁，造成经济损失2万元。"/>
    <hyperlink ref="D224" r:id="rId_hyperlink_219" tooltip="老凉水架北侧有一块冰凌悬挂在顶部，如果一名操作人员巡检经过此处，没有发现凉水架顶部的冰凌，有可能会被掉落的冰凌砸中头部所幸戴着安全帽，只是造成巡检人员头 晕，休息半小时后复工不影响生产。"/>
    <hyperlink ref="D225" r:id="rId_hyperlink_220" tooltip="深度脱硫1#熔硫釜蒸汽出口管道上漏点蒸汽泄漏，如果一名操作人员在开关阀门时手腕被泄漏出的蒸汽烫伤，到医务室治疗后在家休养15天，后正常上班。"/>
    <hyperlink ref="D226" r:id="rId_hyperlink_221" tooltip="该管道支架过于单薄，遇大风天气，有可能吹到，造成管道内的积液流到地面，造成环保事故。"/>
    <hyperlink ref="D227" r:id="rId_hyperlink_222" tooltip="西硫铵工段南框架蒸汽保温铝皮脱落，如果在大风天气一名操作工巡检时经过此处，可能被掉落的铝皮划伤手臂，就医简单包扎后正常工作。"/>
    <hyperlink ref="D228" r:id="rId_hyperlink_223" tooltip="蒸汽管道无支撑，假如一名操作工在开关阀门时，管道晃动焊口开裂，蒸气泄漏将操作工右脚踝烫伤，去医院治疗七天，回家休养三天，损工十天。"/>
    <hyperlink ref="D229" r:id="rId_hyperlink_224" tooltip="一操作工在乘坐三轮车前往仓库领料途中，由于三轮车转弯时的惯性被甩出车外，头部着地当场昏迷，紧急送医院救治后清醒，经医生诊断为轻微脑振荡，住院治疗二十天后复工"/>
    <hyperlink ref="D230" r:id="rId_hyperlink_225" tooltip="母液管道焊缝腐蚀泄漏，母液漏出，将会造成环保事故和健康影响"/>
    <hyperlink ref="D231" r:id="rId_hyperlink_226" tooltip="日常巡检时发现西硫铵南两盐大屋北侧原料储罐往外渗液，经检查是蒸汽放空阀门坏造成大量蒸汽冷凝水进入原料罐，如果发现不及时，可能会造成大量脱硫液泄漏腐蚀地面，造成环境污染。"/>
    <hyperlink ref="D232" r:id="rId_hyperlink_227" tooltip="操作工在初冷器巡检时发展初冷器喷洒管有泄露点，如果操作人员发展不及时可能有大量氨水与焦油泄漏，造成环境污染。"/>
    <hyperlink ref="D233" r:id="rId_hyperlink_228" tooltip="粗苯北系统西框架蒸汽阀门上部法兰泄露，假如两名维修工在更换蒸汽阀门上部法兰垫子时，一名维修工脸部被蒸汽烫伤到医院治疗15天在家休养一个月后正常上班。"/>
    <hyperlink ref="D234" r:id="rId_hyperlink_229" tooltip="硫磺室南墙上部管架一蒸汽管线外包铝皮腐蚀坏，假如大风天气一名操作工在巡检经过此处时，可能被掉落的铝皮划伤颈部，去医务室简单包扎后复工"/>
    <hyperlink ref="D235" r:id="rId_hyperlink_230" tooltip="一名操作工在巡检操作的过程中，被未保温的蒸汽阀门及管道烫伤，简单处理后继续工作。"/>
    <hyperlink ref="D236" r:id="rId_hyperlink_231" tooltip="旋液分离器上部有漏点，操作工在巡检、取样化验的过程中，被溅出的80℃的母液烫伤，用水清洗后继续工作。"/>
    <hyperlink ref="D237" r:id="rId_hyperlink_232" tooltip="下雪后爬梯上积雪未及时清理，一名职工上爬梯时未抓牢扶手，摔倒造成腿部扭伤"/>
    <hyperlink ref="D238" r:id="rId_hyperlink_233" tooltip="脱硫箱南侧废水井井盖缺失，如果一操作人员巡检到此，未看到井盖缺失，失足坠入井中造成腿部擦伤，请假一周，损工一周。"/>
    <hyperlink ref="D239" r:id="rId_hyperlink_234" tooltip="北脱硫屋前框架保温铝皮脱落在大风天气一名操作工巡检时经过此处，脱落铝皮滑伤颈部，送医务室。"/>
    <hyperlink ref="D240" r:id="rId_hyperlink_235" tooltip="两盐东侧框架顶部有一根废弃的管道未及时撤除，假如大风天气一名操作工巡检时经过此处，有可能会被掉落的管道砸伤肩部，造成肩部骨折，送医院就医后在家疗养三个月复工。"/>
    <hyperlink ref="D241" r:id="rId_hyperlink_236" tooltip="西硫铵热水槽南侧框架管道上面有一块铝皮损坏，一名操作工如果在大风天气巡检时经过此处，有可能会被掉落的铝皮划伤手臂，造成轻微伤害，简单处理后复工。"/>
    <hyperlink ref="D242" r:id="rId_hyperlink_237" tooltip="一名操作工在巡检制氮机组时，如果上爬梯不慎踩空，从爬梯上跌落，脚部受伤，经医护人员诊断，脚部轻微扭伤。"/>
    <hyperlink ref="D243" r:id="rId_hyperlink_238" tooltip="分汽缸上方去除氧器供气阀门漏气，一员工从此处楼梯经过被泄露的蒸汽烫伤面部，送医院救治诊断为浅二度烫伤住院治疗一周回家修养十五天"/>
    <hyperlink ref="D244" r:id="rId_hyperlink_239" tooltip="西四潜水泵电源线经过窗户未套管 被窗户挤压线皮破损 有员工经过不慎碰触 触电受伤 住院治疗一个月"/>
    <hyperlink ref="D245" r:id="rId_hyperlink_240" tooltip="东五台阶处照明灯损坏 夜班操作工巡检  不慎摔倒 扭伤脚踝 经简单处理不影响工作"/>
    <hyperlink ref="D246" r:id="rId_hyperlink_241" tooltip="一名员工在蹬梯作业时，因梯子不稳，滑落摔伤，造成左脚踝关节扭伤，送医院治疗3天，回家休养7天后复工。"/>
    <hyperlink ref="D247" r:id="rId_hyperlink_242" tooltip="东五操作室外部电缆桥架与地面距离太近，且无明显警示标志，一名员工路径此处时，不慎头部碰到电缆桥架上，造成颈部受伤，就医检查，造成颈椎轻微损伤，回家修养3天后复工。"/>
    <hyperlink ref="D248" r:id="rId_hyperlink_243" tooltip="一名操作工在打扫班长值班室西侧卫生时，右腿不慎掉入水沟内，造成右腿划伤，送医院检查右腿胫骨骨折，住院20天，休养2个月复工。"/>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隐患动态跟踪表</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叶志宏</dc:creator>
  <cp:lastModifiedBy>叶志宏</cp:lastModifiedBy>
  <dcterms:created xsi:type="dcterms:W3CDTF">2020-03-09T17:13:22+08:00</dcterms:created>
  <dcterms:modified xsi:type="dcterms:W3CDTF">2020-03-09T17:13:22+08:00</dcterms:modified>
  <dc:title>潍坊振兴焦化有限公司隐患动态跟踪</dc:title>
  <dc:description>file generated using system</dc:description>
  <dc:subject>2020年1月报告</dc:subject>
  <cp:keywords>隐患排查</cp:keywords>
  <cp:category/>
</cp:coreProperties>
</file>