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隐患动态跟踪表" sheetId="1" r:id="rId4"/>
  </sheets>
  <definedNames/>
  <calcPr calcId="999999" calcMode="auto" calcCompleted="1" fullCalcOnLoad="0"/>
</workbook>
</file>

<file path=xl/sharedStrings.xml><?xml version="1.0" encoding="utf-8"?>
<sst xmlns="http://schemas.openxmlformats.org/spreadsheetml/2006/main" uniqueCount="2955">
  <si>
    <t>潍坊振兴焦化有限公司安全生产KPI指标报表（隐患动态跟踪表）</t>
  </si>
  <si>
    <t>2020年10月</t>
  </si>
  <si>
    <t>隐患基本信息</t>
  </si>
  <si>
    <t>隐患特征</t>
  </si>
  <si>
    <t>数据分析</t>
  </si>
  <si>
    <t>整改方向</t>
  </si>
  <si>
    <t>整改情况</t>
  </si>
  <si>
    <t>序号</t>
  </si>
  <si>
    <t>发现日期</t>
  </si>
  <si>
    <t>区域</t>
  </si>
  <si>
    <t>隐患描述</t>
  </si>
  <si>
    <t>潜在后果</t>
  </si>
  <si>
    <t>状态</t>
  </si>
  <si>
    <t>紧急程度</t>
  </si>
  <si>
    <t>来源</t>
  </si>
  <si>
    <t>隐患类型1</t>
  </si>
  <si>
    <t>隐患类型2</t>
  </si>
  <si>
    <t>隐患类型3</t>
  </si>
  <si>
    <t>隐患类型4</t>
  </si>
  <si>
    <t>发现单位</t>
  </si>
  <si>
    <t>发现人</t>
  </si>
  <si>
    <t>责任部门</t>
  </si>
  <si>
    <t>责任领导</t>
  </si>
  <si>
    <t>整改期限</t>
  </si>
  <si>
    <t>具体位置</t>
  </si>
  <si>
    <t>核查评语</t>
  </si>
  <si>
    <t>后果类别</t>
  </si>
  <si>
    <t>严重性</t>
  </si>
  <si>
    <t>可能性</t>
  </si>
  <si>
    <t>风险级别</t>
  </si>
  <si>
    <t>整改方向1</t>
  </si>
  <si>
    <t>整改方向2</t>
  </si>
  <si>
    <t>整改措施</t>
  </si>
  <si>
    <t>措施数</t>
  </si>
  <si>
    <t>完成数</t>
  </si>
  <si>
    <t>整改进度</t>
  </si>
  <si>
    <t>复查人员</t>
  </si>
  <si>
    <t>复查日期</t>
  </si>
  <si>
    <t>说明</t>
  </si>
  <si>
    <t>19-6-18</t>
  </si>
  <si>
    <t>硫铵岗位，化产车间</t>
  </si>
  <si>
    <t>轻微煤气中毒</t>
  </si>
  <si>
    <t>已整改</t>
  </si>
  <si>
    <t>中等</t>
  </si>
  <si>
    <t>隐患排查</t>
  </si>
  <si>
    <t>辨识功能缺陷</t>
  </si>
  <si>
    <t>设备、设施、工具、附件缺陷</t>
  </si>
  <si>
    <t>室外作业场地环境不良</t>
  </si>
  <si>
    <t>化产车间</t>
  </si>
  <si>
    <t>黄兆华</t>
  </si>
  <si>
    <t>刘永鹏</t>
  </si>
  <si>
    <t>19-7-18</t>
  </si>
  <si>
    <t>饱和器大母液泵喷洒</t>
  </si>
  <si>
    <t>人员伤害</t>
  </si>
  <si>
    <t>C2</t>
  </si>
  <si>
    <t>F2</t>
  </si>
  <si>
    <t>IV</t>
  </si>
  <si>
    <t>√ 喷洒管法兰未上紧，维修人员佩戴便携式气体报警仪，戴好防毒口罩，使用铜制扳手加固螺栓。</t>
  </si>
  <si>
    <t>100%</t>
  </si>
  <si>
    <t>19-10-7</t>
  </si>
  <si>
    <t>19-8-7</t>
  </si>
  <si>
    <t>南脱硫</t>
  </si>
  <si>
    <t>人员烫伤</t>
  </si>
  <si>
    <t>一般</t>
  </si>
  <si>
    <t>室内作业环境不良</t>
  </si>
  <si>
    <t>李兴</t>
  </si>
  <si>
    <t>19-9-8</t>
  </si>
  <si>
    <t>熔硫釜</t>
  </si>
  <si>
    <t>隐患描述要表述完整，危害后果表达不完整。</t>
  </si>
  <si>
    <t>F4</t>
  </si>
  <si>
    <t>II</t>
  </si>
  <si>
    <t>√ 悬挂警示标识，观察窥镜必须戴防护面罩</t>
  </si>
  <si>
    <t>19-10-3</t>
  </si>
  <si>
    <t>19-8-8</t>
  </si>
  <si>
    <t>化产车间深度脱硫</t>
  </si>
  <si>
    <t>颈部烫伤，入院治疗七天，回家休修七天，损工事件。</t>
  </si>
  <si>
    <t>其他管理因素缺陷</t>
  </si>
  <si>
    <t>钱勇</t>
  </si>
  <si>
    <t>深度脱硫西侧</t>
  </si>
  <si>
    <t>隐患描述注意不要出现错别字。危害描述要清晰简洁。</t>
  </si>
  <si>
    <t>C3</t>
  </si>
  <si>
    <t>III</t>
  </si>
  <si>
    <t>√ 通知维修停熔硫釜加盲板，更换疏水阀门。
√ 悬挂警示标示牌“高温危险，注意烫伤”</t>
  </si>
  <si>
    <t>19-10-31</t>
  </si>
  <si>
    <t>19-8-13</t>
  </si>
  <si>
    <t>西硫铵岗位及配电室</t>
  </si>
  <si>
    <t>脚腕擦伤，休息后继续上班</t>
  </si>
  <si>
    <t>李栋</t>
  </si>
  <si>
    <t>19-9-14</t>
  </si>
  <si>
    <t>饱和器二层平台</t>
  </si>
  <si>
    <t>√ 办理动火作业证，落实安全措施焊补加固饱和器平台踏板。</t>
  </si>
  <si>
    <t>19-8-20</t>
  </si>
  <si>
    <t>洗脱苯工段</t>
  </si>
  <si>
    <t>巡检工佩戴安全帽，劳保防护措施得当，轻微伤害，休息半天！</t>
  </si>
  <si>
    <t>张鹏</t>
  </si>
  <si>
    <t>19-9-21</t>
  </si>
  <si>
    <t>北系统</t>
  </si>
  <si>
    <t>F3</t>
  </si>
  <si>
    <t>√ 通知维修工制作管道支架管托，固定晃动管道。</t>
  </si>
  <si>
    <t>19-10-27</t>
  </si>
  <si>
    <t>化产车间东冷凝</t>
  </si>
  <si>
    <t>导致手部腿部擦伤，到医务室消毒处理后返回岗位</t>
  </si>
  <si>
    <t>建筑物和其他结构缺陷</t>
  </si>
  <si>
    <t>刘健</t>
  </si>
  <si>
    <t>澄清槽</t>
  </si>
  <si>
    <t>√ 加固澄清槽腐蚀的踏板支架</t>
  </si>
  <si>
    <t>19-8-23</t>
  </si>
  <si>
    <t>眼睛轻微灼伤</t>
  </si>
  <si>
    <t>其他行为性危险和有害因素</t>
  </si>
  <si>
    <t>防护缺陷</t>
  </si>
  <si>
    <t>其他作业环境不良</t>
  </si>
  <si>
    <t>张传良</t>
  </si>
  <si>
    <t>19-9-23</t>
  </si>
  <si>
    <t>化产车间两盐</t>
  </si>
  <si>
    <t>√ 悬挂警示标识牌“配带护目镜、半面罩”</t>
  </si>
  <si>
    <t>19-10-19</t>
  </si>
  <si>
    <t>佩戴防护眼镜</t>
  </si>
  <si>
    <t>19-8-30</t>
  </si>
  <si>
    <t>干熄焦区域</t>
  </si>
  <si>
    <t>一人损工事故</t>
  </si>
  <si>
    <t>行为性危险有害因素</t>
  </si>
  <si>
    <t>炼焦车间</t>
  </si>
  <si>
    <t>郝德生</t>
  </si>
  <si>
    <t>何勇</t>
  </si>
  <si>
    <t>19-10-1</t>
  </si>
  <si>
    <t>环境除尘</t>
  </si>
  <si>
    <t>标准、流程</t>
  </si>
  <si>
    <t>√ 散落电源线不用就是撤走
√ 联系电工断电</t>
  </si>
  <si>
    <t>19-10-10</t>
  </si>
  <si>
    <t>19-9-2</t>
  </si>
  <si>
    <t>化产车间脱硫工段</t>
  </si>
  <si>
    <t>腿部轻微扭伤，休息三天正常工作</t>
  </si>
  <si>
    <t>脚手架、阶梯或活动梯架缺陷</t>
  </si>
  <si>
    <t>蒸铵塔</t>
  </si>
  <si>
    <t>假设性要是用“假如，一旦”等引导性词语。</t>
  </si>
  <si>
    <t>× 添加“高处作业，配带安全带”警示牌</t>
  </si>
  <si>
    <t>19-9-3</t>
  </si>
  <si>
    <t>脚部轻微烫伤</t>
  </si>
  <si>
    <t>周建伟</t>
  </si>
  <si>
    <t>19-10-4</t>
  </si>
  <si>
    <t>√ 硫磺现场添加照明灯</t>
  </si>
  <si>
    <t>19-9-4</t>
  </si>
  <si>
    <t>作业人员腿部挫伤，休息五天。</t>
  </si>
  <si>
    <t>19-10-5</t>
  </si>
  <si>
    <t>南脱硫2#脱硫塔煤气</t>
  </si>
  <si>
    <t>√ 作业前安全培训，技术交底，监护人员提醒作业人员带好安全带</t>
  </si>
  <si>
    <t>19-9-6</t>
  </si>
  <si>
    <t>2#站工段</t>
  </si>
  <si>
    <t>造成该人员身体多处骨折，需要住院治疗</t>
  </si>
  <si>
    <t>污水处理车间</t>
  </si>
  <si>
    <t>刘珊珊</t>
  </si>
  <si>
    <t>刘振志</t>
  </si>
  <si>
    <t>缺氧池爬梯护栏</t>
  </si>
  <si>
    <t>情景描述的完整性方面需要进一步加强了</t>
  </si>
  <si>
    <t>机械完整性</t>
  </si>
  <si>
    <t>√ 维修开焊的护栏</t>
  </si>
  <si>
    <t>19-9-30</t>
  </si>
  <si>
    <t>整改完成</t>
  </si>
  <si>
    <t>19-10-8</t>
  </si>
  <si>
    <t>熔硫釜一层</t>
  </si>
  <si>
    <t>√ 更换法兰垫子，设立警示标识。</t>
  </si>
  <si>
    <t>19-9-10</t>
  </si>
  <si>
    <t>一人腿部骨折，损工三个月。</t>
  </si>
  <si>
    <t>高联名</t>
  </si>
  <si>
    <t>19-10-11</t>
  </si>
  <si>
    <t>北脱硫溶液换热器处</t>
  </si>
  <si>
    <t>√ 更换或者加固爬梯。</t>
  </si>
  <si>
    <t>19-9-13</t>
  </si>
  <si>
    <t>5.5.炼焦车间</t>
  </si>
  <si>
    <t>住院治疗15天，休养一月</t>
  </si>
  <si>
    <t>职业安全卫生管理规章制度不完善</t>
  </si>
  <si>
    <t>董永涛</t>
  </si>
  <si>
    <t>张晓燕</t>
  </si>
  <si>
    <t>19-10-14</t>
  </si>
  <si>
    <t>焦炉地下室</t>
  </si>
  <si>
    <t>√ 区域挂牌
√ 协调维修制作维修平台</t>
  </si>
  <si>
    <t>一名操作工，轻微砸伤肩部，损工两周</t>
  </si>
  <si>
    <t>刘永强</t>
  </si>
  <si>
    <t>高压配电室二楼彩钢顶</t>
  </si>
  <si>
    <t>√ 清除腐蚀晃动的彩钢瓦。</t>
  </si>
  <si>
    <t>19-10-21</t>
  </si>
  <si>
    <t>19-9-18</t>
  </si>
  <si>
    <t>干熄焦提升机</t>
  </si>
  <si>
    <t>设备损坏，耽误生产，造成经济损失16万。</t>
  </si>
  <si>
    <t>监护失误</t>
  </si>
  <si>
    <t>刘萌</t>
  </si>
  <si>
    <t>19-10-18</t>
  </si>
  <si>
    <t>1号提升机大钩监控处</t>
  </si>
  <si>
    <t>及时发现问题，日常工作安全意识强。</t>
  </si>
  <si>
    <t>财产损失</t>
  </si>
  <si>
    <t>I</t>
  </si>
  <si>
    <t>工艺安全信息</t>
  </si>
  <si>
    <t>√ 联系电工增加照明灯
√ 主控人员及车辆司机提高责任心每孔跟看挂钩情况</t>
  </si>
  <si>
    <t>19-9-17</t>
  </si>
  <si>
    <t>化产车间，粗苯岗位</t>
  </si>
  <si>
    <t>人员腿部轻微擦伤</t>
  </si>
  <si>
    <t>刘帅</t>
  </si>
  <si>
    <t>粗苯计量槽围沿内</t>
  </si>
  <si>
    <t>√ 制作合适盖板，遮盖水坑。</t>
  </si>
  <si>
    <t>紧急切断阀误动作关闭，导致粗苯不能及时输送至粗苯贮槽</t>
  </si>
  <si>
    <t>张振</t>
  </si>
  <si>
    <t>粗苯罐区</t>
  </si>
  <si>
    <t>C1</t>
  </si>
  <si>
    <t>F1</t>
  </si>
  <si>
    <t>√ 更换老化破裂的穿线管和电源线。</t>
  </si>
  <si>
    <t>损坏主机2台，插排3个，光纤收发器2个。</t>
  </si>
  <si>
    <t>操作室</t>
  </si>
  <si>
    <t>√ 按照规范，更换合适防爆的设备。</t>
  </si>
  <si>
    <t>深度处理</t>
  </si>
  <si>
    <t>造成脚踝扭伤，膝盖软组织挫伤，就医需住院治疗</t>
  </si>
  <si>
    <t>张娜</t>
  </si>
  <si>
    <t>张林蕾</t>
  </si>
  <si>
    <t>超滤</t>
  </si>
  <si>
    <t>√ 更换盖板</t>
  </si>
  <si>
    <t>19-9-19</t>
  </si>
  <si>
    <t>空压机房</t>
  </si>
  <si>
    <t>操作工会触电后身体颤动，休息十分钟，继续工作。</t>
  </si>
  <si>
    <t>刘建明</t>
  </si>
  <si>
    <t>19-10-20</t>
  </si>
  <si>
    <t>空压机</t>
  </si>
  <si>
    <t>√ 更换接地线</t>
  </si>
  <si>
    <t>19-10-25</t>
  </si>
  <si>
    <t>化工厂脱硫岗位</t>
  </si>
  <si>
    <t>一名维修人员掉入小井，造成左大腿扭伤，在家休养7天的损工事故</t>
  </si>
  <si>
    <t>化工厂</t>
  </si>
  <si>
    <t>张发堂</t>
  </si>
  <si>
    <t>刘正君</t>
  </si>
  <si>
    <t>脱硫泡沫泵处</t>
  </si>
  <si>
    <t>质量保证</t>
  </si>
  <si>
    <t>√ 用盖板将小井盖好</t>
  </si>
  <si>
    <t>除尘系统</t>
  </si>
  <si>
    <t>环境除尘顶部掉落到二层，造成人员死亡</t>
  </si>
  <si>
    <t>事故分析</t>
  </si>
  <si>
    <t>潘增辉</t>
  </si>
  <si>
    <t>19-10-23</t>
  </si>
  <si>
    <t>环境除尘顶部护栏</t>
  </si>
  <si>
    <t>C4</t>
  </si>
  <si>
    <t>√ 联系维修焊接
√ 爬梯悬挂护警示牌</t>
  </si>
  <si>
    <t>19-9-22</t>
  </si>
  <si>
    <t>维修班</t>
  </si>
  <si>
    <t>地沟盖板断裂，巡检人员踩空，小腿轻微擦伤，简单处理后复工。</t>
  </si>
  <si>
    <t>刘少勇</t>
  </si>
  <si>
    <t>19-10-24</t>
  </si>
  <si>
    <t>维修班西侧地沟</t>
  </si>
  <si>
    <t>19-9-24</t>
  </si>
  <si>
    <t>循环水系统</t>
  </si>
  <si>
    <t>一名员工膝盖破皮，去医务室简单处理的轻微医疗事件</t>
  </si>
  <si>
    <t>郭文霞</t>
  </si>
  <si>
    <t>19-10-28</t>
  </si>
  <si>
    <t>循环水泵房</t>
  </si>
  <si>
    <t>√ 联系电工拆除
√ 人员整理</t>
  </si>
  <si>
    <t>19-9-25</t>
  </si>
  <si>
    <t>干熄焦</t>
  </si>
  <si>
    <t>导致一人员手背受伤。</t>
  </si>
  <si>
    <t>张瑞海</t>
  </si>
  <si>
    <t>干熄焦地下室</t>
  </si>
  <si>
    <t>皮带更换后及时恢复安全防护设施</t>
  </si>
  <si>
    <t>工艺安全分析</t>
  </si>
  <si>
    <t>设备变更管理</t>
  </si>
  <si>
    <t>√ 将护栏归位安装</t>
  </si>
  <si>
    <t>污水处理预处理</t>
  </si>
  <si>
    <t>污泥泵房室内管线混乱湿滑造成人员尺骨骨折损工44天</t>
  </si>
  <si>
    <t>李娟娟</t>
  </si>
  <si>
    <t>19-10-26</t>
  </si>
  <si>
    <t>预处理</t>
  </si>
  <si>
    <t>√ 防护罩恢复规定位置
√ 现场及时清理干净</t>
  </si>
  <si>
    <t>19-10-2</t>
  </si>
  <si>
    <t>19-9-26</t>
  </si>
  <si>
    <t>需休息一天的损工事故</t>
  </si>
  <si>
    <t>吴秀芝</t>
  </si>
  <si>
    <t>19-10-30</t>
  </si>
  <si>
    <t>深度处理酸碱罐围堰处</t>
  </si>
  <si>
    <t>√ 添加安装爬梯</t>
  </si>
  <si>
    <t>化工厂转化工段</t>
  </si>
  <si>
    <t>1人脚踝扭伤事故，损工三天</t>
  </si>
  <si>
    <t>刘朋</t>
  </si>
  <si>
    <t>1万m³气柜入口水渠</t>
  </si>
  <si>
    <t>√ 联系维修割铁板覆盖</t>
  </si>
  <si>
    <t>19-9-27</t>
  </si>
  <si>
    <t>压缩岗位</t>
  </si>
  <si>
    <t>行人经过不慎被钢绞线刮伤</t>
  </si>
  <si>
    <t>张立刚</t>
  </si>
  <si>
    <t>王中民</t>
  </si>
  <si>
    <t>压缩厂房北管架处</t>
  </si>
  <si>
    <t>√ 从上部截断拆除。</t>
  </si>
  <si>
    <t>钢绞线已弃用，拆除处理。</t>
  </si>
  <si>
    <t>19-9-28</t>
  </si>
  <si>
    <t>人员后背砸伤医疗事故。</t>
  </si>
  <si>
    <t>李宪斌</t>
  </si>
  <si>
    <t>郭峰祥</t>
  </si>
  <si>
    <t>19-11-3</t>
  </si>
  <si>
    <t>1#提升机框架三层东</t>
  </si>
  <si>
    <t>巡查认真，能发现潜在隐患</t>
  </si>
  <si>
    <t>√ 将已弃用照明灯拆除</t>
  </si>
  <si>
    <t>已拆除弃用照明灯。</t>
  </si>
  <si>
    <t>19-9-29</t>
  </si>
  <si>
    <t>化产车间南循环水</t>
  </si>
  <si>
    <t>胳膊摔伤</t>
  </si>
  <si>
    <t>刘永先</t>
  </si>
  <si>
    <t>19-10-29</t>
  </si>
  <si>
    <t>电解水处理器操作室</t>
  </si>
  <si>
    <t>√ 及时撤走支架。</t>
  </si>
  <si>
    <t>汽轮机系统</t>
  </si>
  <si>
    <t>一名员工尾椎骨骨折，损工三个月。</t>
  </si>
  <si>
    <t>关闭</t>
  </si>
  <si>
    <t>禚金伟</t>
  </si>
  <si>
    <t>汽轮机零米射水箱</t>
  </si>
  <si>
    <t>培训人员提报错误</t>
  </si>
  <si>
    <t>0%</t>
  </si>
  <si>
    <t>电气运行区域</t>
  </si>
  <si>
    <t>一名员工触电死亡</t>
  </si>
  <si>
    <t>电伤害</t>
  </si>
  <si>
    <t>胡西荣</t>
  </si>
  <si>
    <t>主控楼北1号厂变室内</t>
  </si>
  <si>
    <t>一员工腿部被电击穿损工事故</t>
  </si>
  <si>
    <t>孙文鹏</t>
  </si>
  <si>
    <t>王安博</t>
  </si>
  <si>
    <t>潮湿地域电气绝缘不良是造成触电事故的主要原因，应引起足够重视，及时处理接线头等易漏电部位</t>
  </si>
  <si>
    <t>√ 对潜水泵电缆接头进行绝缘处理，防止漏电</t>
  </si>
  <si>
    <t>20-1-3</t>
  </si>
  <si>
    <t>化工厂精炼工段</t>
  </si>
  <si>
    <t>如有氨气泄露，易刺激口、鼻、眼，引起短暂窒息，并刺激眼睛</t>
  </si>
  <si>
    <t>紧急</t>
  </si>
  <si>
    <t>职业健康管理不完善</t>
  </si>
  <si>
    <t>于观辉</t>
  </si>
  <si>
    <t>19-10-15</t>
  </si>
  <si>
    <t>冰机</t>
  </si>
  <si>
    <t>√ 必须立即配戴防护面局。
√ 加强职工教育，按劳保着装，做好个体防护。</t>
  </si>
  <si>
    <t>立即制止维修作业，进行批评教育，佩戴防毒面具检查后同意恢复作业。</t>
  </si>
  <si>
    <t>化产车间北风机</t>
  </si>
  <si>
    <t>操作工左手腕扭伤损工一天</t>
  </si>
  <si>
    <t>刘国强</t>
  </si>
  <si>
    <t>北风机初冷器</t>
  </si>
  <si>
    <t>√ 接地线用水泥压实，或用燕尾丝传入平台。</t>
  </si>
  <si>
    <t>一名操作工中毒晕倒，损工10天</t>
  </si>
  <si>
    <t>董云峰</t>
  </si>
  <si>
    <t>尹万春</t>
  </si>
  <si>
    <t>三万气柜入口</t>
  </si>
  <si>
    <t>启动前安全审核</t>
  </si>
  <si>
    <t>√ 巡检携带便携报警仪，采取安全措施处理漏点。</t>
  </si>
  <si>
    <t>已将松动螺栓紧固处理</t>
  </si>
  <si>
    <t>造成人员右手腕轻微损伤，在家休息10天。</t>
  </si>
  <si>
    <t>赵国防</t>
  </si>
  <si>
    <t>区域错误，后果判定不准确</t>
  </si>
  <si>
    <t>一名操作人员脚腕扭伤，医务室就医后复工。不影响工作。</t>
  </si>
  <si>
    <t>张广梅</t>
  </si>
  <si>
    <t>北脱硫工段循环槽附近</t>
  </si>
  <si>
    <t>√ 水坑加盖板覆盖</t>
  </si>
  <si>
    <t>一名巡检工送医疗养四天，损工事件</t>
  </si>
  <si>
    <t>其他物理性危险和有害因素</t>
  </si>
  <si>
    <t>安全环保处</t>
  </si>
  <si>
    <t>田震</t>
  </si>
  <si>
    <t>朱冬梅</t>
  </si>
  <si>
    <t>19-11-2</t>
  </si>
  <si>
    <t>焦三通廊入口旁</t>
  </si>
  <si>
    <t>√ 人员撤走
√ 保持现场工完料净</t>
  </si>
  <si>
    <t>污水处理车间深度处理</t>
  </si>
  <si>
    <t>右手手掌灼伤，右手手臂麻木无力</t>
  </si>
  <si>
    <t>操作错误</t>
  </si>
  <si>
    <t>张海娜</t>
  </si>
  <si>
    <t>√ 安装接地线</t>
  </si>
  <si>
    <t>备煤焦渣掺配系统</t>
  </si>
  <si>
    <t>一名操作工两根手指骨折，损工四个月</t>
  </si>
  <si>
    <t>丁杰</t>
  </si>
  <si>
    <t>备煤车间</t>
  </si>
  <si>
    <t>谢同海</t>
  </si>
  <si>
    <t>煤场东北角掺配站</t>
  </si>
  <si>
    <t>√ 更换电机护罩。</t>
  </si>
  <si>
    <t>已更换电机防护罩。</t>
  </si>
  <si>
    <t>南冷凝</t>
  </si>
  <si>
    <t>轴流风扇无接地线会发生触电事故</t>
  </si>
  <si>
    <t>葛立艳</t>
  </si>
  <si>
    <t>高压氨水泵降温的轴流</t>
  </si>
  <si>
    <t>后果严重性判断错误。损工应为C3</t>
  </si>
  <si>
    <t>备煤西线岗位及配电室</t>
  </si>
  <si>
    <t>人员伤害  误工7天</t>
  </si>
  <si>
    <t>刘洪明</t>
  </si>
  <si>
    <t>刘锡玉</t>
  </si>
  <si>
    <t>7#磅西侧</t>
  </si>
  <si>
    <t>√ 尽快加装盖板，消除隐患。</t>
  </si>
  <si>
    <t>造成该人员头部轻微磕伤，当时很疼过后没事，不需要治疗</t>
  </si>
  <si>
    <t>北加药间</t>
  </si>
  <si>
    <t>√ 拆除废旧的管道阀门</t>
  </si>
  <si>
    <t>19-11-1</t>
  </si>
  <si>
    <t>南风机</t>
  </si>
  <si>
    <t>一名操作工左腿骨折，住院治疗一个月</t>
  </si>
  <si>
    <t>标志缺陷</t>
  </si>
  <si>
    <t>张昆</t>
  </si>
  <si>
    <t>风机房</t>
  </si>
  <si>
    <t>√ 爬梯处加警示标识“上下爬梯抓牢扶手”</t>
  </si>
  <si>
    <t>管道法兰与阀门脱离，药剂喷出，造成环保事故。</t>
  </si>
  <si>
    <t>李贞涛</t>
  </si>
  <si>
    <t>循环槽</t>
  </si>
  <si>
    <t>环境污染</t>
  </si>
  <si>
    <t>√ 加固管道支架。</t>
  </si>
  <si>
    <t>蒸汽烫伤腿部，送往医院治疗，一周后康复出院。</t>
  </si>
  <si>
    <t>王彩红</t>
  </si>
  <si>
    <t>粗苯北框架西侧</t>
  </si>
  <si>
    <t>√ 补齐缺少的法兰螺栓。</t>
  </si>
  <si>
    <t>东硫铵</t>
  </si>
  <si>
    <t>右腿骨折，造成一人损工事故</t>
  </si>
  <si>
    <t>张伟波</t>
  </si>
  <si>
    <t>二楼硫铵成品料仓</t>
  </si>
  <si>
    <t>√ 下料口人孔及时关闭。周边设立护栏</t>
  </si>
  <si>
    <t>一操作人员腿部受伤送医务室就医后复工没有影响工作</t>
  </si>
  <si>
    <t>付艳</t>
  </si>
  <si>
    <t>南冷凝罐群</t>
  </si>
  <si>
    <t>√ 设立过路爬梯平台</t>
  </si>
  <si>
    <t>化产车间南脱硫岗位</t>
  </si>
  <si>
    <t>摔伤右脚脚踝，入院治疗七天，休息十天复工</t>
  </si>
  <si>
    <t>脱硫塔</t>
  </si>
  <si>
    <t>√ 悬挂警示标语牌</t>
  </si>
  <si>
    <t>操作工掉入小井造成脚踝扭伤送医务室治疗后回家修养两天损工事故</t>
  </si>
  <si>
    <t>路明</t>
  </si>
  <si>
    <t>缓冲槽小井</t>
  </si>
  <si>
    <t>风险等级判断错误，修正后提交。</t>
  </si>
  <si>
    <t>北脱硫 卸碱槽</t>
  </si>
  <si>
    <t>摔伤右手臂，损工三个月。</t>
  </si>
  <si>
    <t>赵延林</t>
  </si>
  <si>
    <t>19-11-5</t>
  </si>
  <si>
    <t>再生塔爬梯</t>
  </si>
  <si>
    <t>√ 清理杂物</t>
  </si>
  <si>
    <t>备煤东线岗位及配电室</t>
  </si>
  <si>
    <t>造成手臂骨折，住院一个月，在家休养三个月</t>
  </si>
  <si>
    <t>李晓楠</t>
  </si>
  <si>
    <t>刘冲</t>
  </si>
  <si>
    <t>19-11-4</t>
  </si>
  <si>
    <t>东四机头</t>
  </si>
  <si>
    <t>机头护栏使用后未安装，人员在清投作业时，易将胳膊卷入机头滚筒，造成人员伤害</t>
  </si>
  <si>
    <t>√ 安装防护栏，
√ 人员进行安全教育，不安全的设施必须整改后方可操作</t>
  </si>
  <si>
    <t>东四岗位机头防护栏安装到位，并对操作人员进行安全教育培训，达到安全生产的目的</t>
  </si>
  <si>
    <t>造成眼部受伤</t>
  </si>
  <si>
    <t>张立德</t>
  </si>
  <si>
    <t>一操作人员在切割铁皮时，未佩戴护目镜，违章操作</t>
  </si>
  <si>
    <t>直线责任</t>
  </si>
  <si>
    <t>√ 立即停止作业，并做好安全措施，严格劳保穿戴，方可开始切割作业
√ 人员佩戴好护目镜</t>
  </si>
  <si>
    <t>巡检时发现一作业人员在进行切割作业未按劳保穿戴，现场制止作业，人员佩戴好护目镜，做好现场防护，方可进行切割作业</t>
  </si>
  <si>
    <t>西硫铵</t>
  </si>
  <si>
    <t>一名操作工轻微划伤手臂</t>
  </si>
  <si>
    <t>赵兴家</t>
  </si>
  <si>
    <t>西硫铵母液储槽</t>
  </si>
  <si>
    <t>√ 清理铝皮杂物</t>
  </si>
  <si>
    <t>化工厂停车场北地面</t>
  </si>
  <si>
    <t>限工6个月</t>
  </si>
  <si>
    <t>刘强</t>
  </si>
  <si>
    <t>东风机</t>
  </si>
  <si>
    <t>√ 改造梯子平台，加装防护栏</t>
  </si>
  <si>
    <t>19-12-15</t>
  </si>
  <si>
    <t>角膜轻微灼伤，住院治疗，损工事件</t>
  </si>
  <si>
    <t>深度脱硫西</t>
  </si>
  <si>
    <t>× 作业人员佩戴好防护面罩</t>
  </si>
  <si>
    <t>立即清理，未造成不良后果。</t>
  </si>
  <si>
    <t>刘燕</t>
  </si>
  <si>
    <t>母液贮槽</t>
  </si>
  <si>
    <t>√ 降低液位更换回流管法兰垫</t>
  </si>
  <si>
    <t>一人被萘溅入眼内，冲洗后无碍。</t>
  </si>
  <si>
    <t>预热器底下液管阀门处</t>
  </si>
  <si>
    <t>√ 下液管处家警示标识牌</t>
  </si>
  <si>
    <t>北风机</t>
  </si>
  <si>
    <t>一人左脸轻微烫伤，敷药后继续上班。</t>
  </si>
  <si>
    <t>健康状况异常</t>
  </si>
  <si>
    <t>初冷器平台</t>
  </si>
  <si>
    <t>√ 更换阀门法兰垫子，紧固螺栓</t>
  </si>
  <si>
    <t>一名操作工手臂擦伤。</t>
  </si>
  <si>
    <t>乔玉杰</t>
  </si>
  <si>
    <t>西硫铵卸酸槽北边</t>
  </si>
  <si>
    <t>√ 切除废旧基座</t>
  </si>
  <si>
    <t>电器火灾烧坏电捕高压发生器和控制柜</t>
  </si>
  <si>
    <t>付晓寺</t>
  </si>
  <si>
    <t>南风机2#电捕</t>
  </si>
  <si>
    <t>√ 线缆加防护套管</t>
  </si>
  <si>
    <t>一名操作工在巡检时掉入小井造成脚踝扭伤送医务室检查处理后在家</t>
  </si>
  <si>
    <t>缓冲罐小井</t>
  </si>
  <si>
    <t>√ 小井处加防护盖板</t>
  </si>
  <si>
    <t>19-10-9</t>
  </si>
  <si>
    <t>住院治疗一个月，损工一个月</t>
  </si>
  <si>
    <t>19-11-7</t>
  </si>
  <si>
    <t>高压氨水泵轴流风扇</t>
  </si>
  <si>
    <t>√ 电仪人员安装轴流风扇接地线</t>
  </si>
  <si>
    <t>住院治疗一个月，损工一个月。</t>
  </si>
  <si>
    <t>重复提报。</t>
  </si>
  <si>
    <t>住院治疗3个月，损工3个月</t>
  </si>
  <si>
    <t>外部检查</t>
  </si>
  <si>
    <t>刘建萍</t>
  </si>
  <si>
    <t>东冷凝澄清槽</t>
  </si>
  <si>
    <t>√ 联系维修人员，及时封堵人孔盖</t>
  </si>
  <si>
    <t>加强熟练使用隐患填报软件，防止重复填报</t>
  </si>
  <si>
    <t>5.5米脱硫脱硝</t>
  </si>
  <si>
    <t>该员工左脚韧带断裂，送医治疗半个月，在家休养三个月</t>
  </si>
  <si>
    <t>刘树秀</t>
  </si>
  <si>
    <t>引风机</t>
  </si>
  <si>
    <t>× 维修安装爬梯
× 做好防护措施</t>
  </si>
  <si>
    <t>20-1-13</t>
  </si>
  <si>
    <t>按规范安装爬梯</t>
  </si>
  <si>
    <t>5.5米炉顶</t>
  </si>
  <si>
    <t>触电事故，人员抢救无效死亡。</t>
  </si>
  <si>
    <t>导烟车</t>
  </si>
  <si>
    <t>√ 更换不合格电器零部件
√ 加强电器管理，及时处理</t>
  </si>
  <si>
    <t>管道腐蚀破裂，冷凝液泄露，造成环保事故</t>
  </si>
  <si>
    <t>秦顺东</t>
  </si>
  <si>
    <t>秦顺东（南脱硫）</t>
  </si>
  <si>
    <t>√ 更换腐蚀管道</t>
  </si>
  <si>
    <t>腐蚀管道除锈刷漆，保温。</t>
  </si>
  <si>
    <t>人员腿部轻微擦伤，不影响正常工作。</t>
  </si>
  <si>
    <t>付洪泉</t>
  </si>
  <si>
    <t>电捕上部平台</t>
  </si>
  <si>
    <t>√ 制作更换合适尺寸的踏板，加固踏板底部支架</t>
  </si>
  <si>
    <t>化工厂碳化岗位</t>
  </si>
  <si>
    <t>造成一名路过人员轻微擦伤，简单包扎，未耽工。</t>
  </si>
  <si>
    <t>张  丽</t>
  </si>
  <si>
    <t>19-11-8</t>
  </si>
  <si>
    <t>清洗塔2层平台东侧</t>
  </si>
  <si>
    <t>√ 复位紧固</t>
  </si>
  <si>
    <t>20-1-15</t>
  </si>
  <si>
    <t>5.5米扒焦</t>
  </si>
  <si>
    <t>操作工右臂骨折，住院治疗20天，在家修养2个月后康复</t>
  </si>
  <si>
    <t>于林海</t>
  </si>
  <si>
    <t>5.5米凉焦台男头</t>
  </si>
  <si>
    <t>√ 管道刷警示色
√ 加强提醒培训教育</t>
  </si>
  <si>
    <t>5.5米焦炉机侧</t>
  </si>
  <si>
    <t>推焦车滑块整体烧坏，5.5米焦炉紧急停产维修4个小时</t>
  </si>
  <si>
    <t>姚兴军</t>
  </si>
  <si>
    <t>机侧9号碳化室</t>
  </si>
  <si>
    <t>√ 维修处理
√ 加强监控</t>
  </si>
  <si>
    <t>19-10-6</t>
  </si>
  <si>
    <t>一人轻微划伤未影响工作</t>
  </si>
  <si>
    <t>刘洪光</t>
  </si>
  <si>
    <t>终冷器</t>
  </si>
  <si>
    <t>√ 待检修期间更换阀门
√ 制作安装适合尺寸的阀门销子</t>
  </si>
  <si>
    <t>1#站工段</t>
  </si>
  <si>
    <t>右眼失明致残</t>
  </si>
  <si>
    <t>化学性危险和有害因素</t>
  </si>
  <si>
    <t>生化液碱围堰外</t>
  </si>
  <si>
    <t>√ 做好个人防护的前提下维修加药泵</t>
  </si>
  <si>
    <t>骨折，损工3个月</t>
  </si>
  <si>
    <t>张迎华</t>
  </si>
  <si>
    <t>19-12-7</t>
  </si>
  <si>
    <t>√ 维修制作平台中间地带护栏，安装护栏</t>
  </si>
  <si>
    <t>19-12-17</t>
  </si>
  <si>
    <t>手部受伤！</t>
  </si>
  <si>
    <t>邢玉坤</t>
  </si>
  <si>
    <t>捕酸器底部</t>
  </si>
  <si>
    <t>隐患描述过于简练，危害后果表述不清晰。</t>
  </si>
  <si>
    <t>√ 停止作业，佩戴老丁防护用品，护目镜，防酸碱手套后再继续施工作业。</t>
  </si>
  <si>
    <t>5.5米焦炉</t>
  </si>
  <si>
    <t>造成一名员工死亡</t>
  </si>
  <si>
    <t>王勇</t>
  </si>
  <si>
    <t>焦炉炉顶</t>
  </si>
  <si>
    <t>√ 更换新栏杆
√ 悬挂禁止攀登牌子</t>
  </si>
  <si>
    <t>宋华秀</t>
  </si>
  <si>
    <t>推焦岗位</t>
  </si>
  <si>
    <t>√ 维修重新铺新板
√ 生产班组未更换之前禁止踩踏</t>
  </si>
  <si>
    <t>一名操作工当场触电送医院救治，住院一周后抢救无效死亡</t>
  </si>
  <si>
    <t>王璇</t>
  </si>
  <si>
    <t>终冷器水封液下泵</t>
  </si>
  <si>
    <t>√ 电工人员更换破损线路加新穿线管</t>
  </si>
  <si>
    <t>北脱硫</t>
  </si>
  <si>
    <t>一人蒸汽烫伤，去医务室敷药在家休养两天复工。</t>
  </si>
  <si>
    <t>夏园园</t>
  </si>
  <si>
    <t>蒸氨塔底</t>
  </si>
  <si>
    <t>√ 更换破损的胶皮管</t>
  </si>
  <si>
    <t>19-11-6</t>
  </si>
  <si>
    <t>一名操作人员右腿擦伤上医务室敷药治疗后休息一周后复工。</t>
  </si>
  <si>
    <t>19-11-9</t>
  </si>
  <si>
    <t>泡沫槽中间处高联名</t>
  </si>
  <si>
    <t>√ 电缆线规范林顺整齐，完工后及时拆除。</t>
  </si>
  <si>
    <t>4.3米焦炉</t>
  </si>
  <si>
    <t>一人巡检时由于没有护栏防护不慎跌落造成重伤或者骨折</t>
  </si>
  <si>
    <t>房军</t>
  </si>
  <si>
    <t>19-11-12</t>
  </si>
  <si>
    <t>除尘风机</t>
  </si>
  <si>
    <t>× 联系维修安装护栏
× 并对护栏悬挂提示牌</t>
  </si>
  <si>
    <t>19-12-3</t>
  </si>
  <si>
    <t>装置已经停止运行</t>
  </si>
  <si>
    <t>4.3米脱硫脱硝</t>
  </si>
  <si>
    <t>一人巡检时从爬梯滑跌造成脊柱损伤，头部跌伤，皮肤擦伤</t>
  </si>
  <si>
    <t>刘经洪</t>
  </si>
  <si>
    <t>高压风机</t>
  </si>
  <si>
    <t>此区域护栏已经招标，尽快安排施工队伍施工</t>
  </si>
  <si>
    <t>巡检人员及时躲避，未造成伤害。</t>
  </si>
  <si>
    <t>物理性危险和有害因素</t>
  </si>
  <si>
    <t>刘佃刚</t>
  </si>
  <si>
    <t>西满流槽</t>
  </si>
  <si>
    <t>√ 清除就铁板</t>
  </si>
  <si>
    <t>左腿小腿擦伤去医务室简单处理后能上班工作</t>
  </si>
  <si>
    <t>夏海美</t>
  </si>
  <si>
    <t>换热器群南侧 夏海美</t>
  </si>
  <si>
    <t>√ 换热器群南侧小井用铁盖板遮盖</t>
  </si>
  <si>
    <t>触电，住院治疗一个月</t>
  </si>
  <si>
    <t>19-11-14</t>
  </si>
  <si>
    <t>好氧池</t>
  </si>
  <si>
    <t>√ 更换穿线管</t>
  </si>
  <si>
    <t>19-12-1</t>
  </si>
  <si>
    <t>造成肩部骨折，住院三天，在家休养半个月。</t>
  </si>
  <si>
    <t>杨兰</t>
  </si>
  <si>
    <t>冷凝液罐北管架</t>
  </si>
  <si>
    <t>假定性隐患，描述时可以使用“如果，一旦，假如”等词语</t>
  </si>
  <si>
    <t>√ 加固脱落的蒸汽管道。维修制作管托固定</t>
  </si>
  <si>
    <t>一名员工左脚扭伤，损工休息一周</t>
  </si>
  <si>
    <t>职业安全卫生责任制未落实</t>
  </si>
  <si>
    <t>王献宝</t>
  </si>
  <si>
    <t>19-11-15</t>
  </si>
  <si>
    <t>10000立方米气柜</t>
  </si>
  <si>
    <t>√ 设置安全措施、联系维修抓紧修复消防炮，恢复地面。</t>
  </si>
  <si>
    <t>脚腕扭伤，简单处理不影响工作</t>
  </si>
  <si>
    <t>胡福颖</t>
  </si>
  <si>
    <t>19-11-11</t>
  </si>
  <si>
    <t>上段罐平台</t>
  </si>
  <si>
    <t>√ 加固腐蚀平台</t>
  </si>
  <si>
    <t>造成一名巡检工腿部轻微擦伤，脚腕扭伤，休假3天</t>
  </si>
  <si>
    <t>压缩厂房北地面</t>
  </si>
  <si>
    <t>√ 及时将盖板复位。</t>
  </si>
  <si>
    <t>报警器短路损坏</t>
  </si>
  <si>
    <t>郭树鹏</t>
  </si>
  <si>
    <t>南脱硫脱硫塔</t>
  </si>
  <si>
    <t>19-10-17</t>
  </si>
  <si>
    <t>触电抢救无效死亡。</t>
  </si>
  <si>
    <t>5.5米脱硫脱硝现场</t>
  </si>
  <si>
    <t>此箱选型为防爆防雨防尘箱</t>
  </si>
  <si>
    <t>平台跌落，抢救无效死亡。</t>
  </si>
  <si>
    <t>田兴军</t>
  </si>
  <si>
    <t>4米3脱硫脱硝</t>
  </si>
  <si>
    <t>设备调试阶段，试运行完毕立马归位</t>
  </si>
  <si>
    <t>化工厂吸氨岗位</t>
  </si>
  <si>
    <t>一名操作工不慎砸伤简单包扎，立即复工</t>
  </si>
  <si>
    <t>李洪波</t>
  </si>
  <si>
    <t>氨水槽处</t>
  </si>
  <si>
    <t>√ 及时撤出</t>
  </si>
  <si>
    <t>一人腿部擦伤，胳膊摔伤，住院治疗5天，损工事件。</t>
  </si>
  <si>
    <t>任庆军</t>
  </si>
  <si>
    <t>19-11-30</t>
  </si>
  <si>
    <t>一万气柜出口</t>
  </si>
  <si>
    <t>√ 设置安全警示，联系地沟加盖盖板。</t>
  </si>
  <si>
    <t>一名操作工肩部碰伤，损工1天</t>
  </si>
  <si>
    <t>李金芳</t>
  </si>
  <si>
    <t>空分工段</t>
  </si>
  <si>
    <t>√ 行车用完吊钩升起移至安全位置。</t>
  </si>
  <si>
    <t>造成活塞掉落损坏，直接经济损失10000元。</t>
  </si>
  <si>
    <t>付新惠</t>
  </si>
  <si>
    <t>压缩机厂房二楼</t>
  </si>
  <si>
    <t>√ 通知维修人员及时修复戓更换。</t>
  </si>
  <si>
    <t>19-10-12</t>
  </si>
  <si>
    <t>钢丝绳松动吊砣意外落下，砸到头部，造成一人死亡。</t>
  </si>
  <si>
    <t>吕林</t>
  </si>
  <si>
    <t>2号炉烟道闸板</t>
  </si>
  <si>
    <t>× 四周安装警示护栏
× 悬挂警示牌</t>
  </si>
  <si>
    <t>已经停止运行</t>
  </si>
  <si>
    <t>人员死亡</t>
  </si>
  <si>
    <t>程雅君</t>
  </si>
  <si>
    <t>1号炉北侧爬梯</t>
  </si>
  <si>
    <t>× 爬梯挂警示牌
√ 联系维修对开焊部位进行焊接</t>
  </si>
  <si>
    <t>4.3米焦炉1号炉北侧爬梯踏板防滑钢筋已焊接加固</t>
  </si>
  <si>
    <t>住院治疗7天，修养30天，损工37天</t>
  </si>
  <si>
    <t>炉顶焦侧平台</t>
  </si>
  <si>
    <t>√ 上升管工重新理顺
√ 班组做好监督使用完禁止乱放</t>
  </si>
  <si>
    <t>19-10-22</t>
  </si>
  <si>
    <t>4.3米焦炉炉顶</t>
  </si>
  <si>
    <t>人员头部重伤，送医院抢救无效死亡。</t>
  </si>
  <si>
    <t>张瑞强</t>
  </si>
  <si>
    <t>中间平台</t>
  </si>
  <si>
    <t>√ 加强现场管理，炉顶通道禁止乱放杂物
√ 清理胶管，保障现场畅通</t>
  </si>
  <si>
    <t>遮挡板高处坠落砸中人员头部，送医院抢救无效死亡</t>
  </si>
  <si>
    <t>耿金鹏</t>
  </si>
  <si>
    <t>送煤车</t>
  </si>
  <si>
    <t>√ 现场悬挂当心高处坠物警示牌，提醒过往人员注意上方安全
√ 联系维修加固处理</t>
  </si>
  <si>
    <t>化工厂合成工段</t>
  </si>
  <si>
    <t>经医务室治疗后，休息3天。</t>
  </si>
  <si>
    <t>张海嫚</t>
  </si>
  <si>
    <t>合成塔</t>
  </si>
  <si>
    <t>√ 及时用铁板盖严或设置围栏。</t>
  </si>
  <si>
    <t>送医院抢救无效死亡</t>
  </si>
  <si>
    <t>刘海峰</t>
  </si>
  <si>
    <t>焦侧除尘干管</t>
  </si>
  <si>
    <t>√ 清理水槽上方铁架，防止掉落伤人
√ 规范放置，避免发生意外事故</t>
  </si>
  <si>
    <t>脸部缝5针，医务室治疗一周，损工一周</t>
  </si>
  <si>
    <t>刘世德</t>
  </si>
  <si>
    <t>脱硫工段</t>
  </si>
  <si>
    <t>后果严重性判断错误，损工应为C3</t>
  </si>
  <si>
    <t>空分</t>
  </si>
  <si>
    <t>一名操作工砸伤脚面，轻微伤害，无损工事件</t>
  </si>
  <si>
    <t>田珍</t>
  </si>
  <si>
    <t>主控室</t>
  </si>
  <si>
    <t>政策、原则</t>
  </si>
  <si>
    <t>√ 将灭火器按规范固定</t>
  </si>
  <si>
    <t>19-10-13</t>
  </si>
  <si>
    <t>刘永</t>
  </si>
  <si>
    <t>1号炉焦侧南头</t>
  </si>
  <si>
    <t>内部修补完成</t>
  </si>
  <si>
    <t>人员轻微煤气中毒，不影响正常工作。</t>
  </si>
  <si>
    <t>刘伟</t>
  </si>
  <si>
    <t>风机房二楼</t>
  </si>
  <si>
    <t>√ 维修检查，更换下液管
√ 设立警示牌，防止人员中毒</t>
  </si>
  <si>
    <t>脚部扭伤，到医院简单治疗后回家休养七天，损工七天</t>
  </si>
  <si>
    <t>付海德</t>
  </si>
  <si>
    <t>√ 循环槽溶液收集池加盖板</t>
  </si>
  <si>
    <t>脚面骨折，损工30天</t>
  </si>
  <si>
    <t>精炼</t>
  </si>
  <si>
    <t>√ 通知维修拧紧罗丝，防止坠落。</t>
  </si>
  <si>
    <t>维修人员重新加装固定螺母</t>
  </si>
  <si>
    <t>药液外漏造成地面腐蚀</t>
  </si>
  <si>
    <t>加药间</t>
  </si>
  <si>
    <t>√ 更换活接</t>
  </si>
  <si>
    <t>人员高处坠落，脚踝骨折，损工3个月</t>
  </si>
  <si>
    <t>职业安全卫生投入不足</t>
  </si>
  <si>
    <t>牵车台</t>
  </si>
  <si>
    <t>× 及时更换腐蚀铁板
× 加强设备巡查，及时防腐处理</t>
  </si>
  <si>
    <t>人员高处坠落，送医院抢救无效死亡。</t>
  </si>
  <si>
    <t>丁丽莉</t>
  </si>
  <si>
    <t>筛焦下料口</t>
  </si>
  <si>
    <t>√ 立即对此处进行封盖
√ 加强巡检巡查，及时封盖</t>
  </si>
  <si>
    <t>筛焦下料口处盖板未已封盖，并对操作人员进行教育，班组班中加强巡检</t>
  </si>
  <si>
    <t>人员被绊倒，手臂骨折，损工3个月</t>
  </si>
  <si>
    <t>杨启荣</t>
  </si>
  <si>
    <t>焦炉间台</t>
  </si>
  <si>
    <t>√ 规范放置
√ 及时整理</t>
  </si>
  <si>
    <t>4.3米1#炉焦侧</t>
  </si>
  <si>
    <t>医院抢救后修养，损工6个月</t>
  </si>
  <si>
    <t>张文龙</t>
  </si>
  <si>
    <t>晾焦台南头</t>
  </si>
  <si>
    <t>√ 联系维修增设护栏
√ 悬挂禁止人员进入警示标志</t>
  </si>
  <si>
    <t>脚部扭伤</t>
  </si>
  <si>
    <t>办公楼西电缆桥架</t>
  </si>
  <si>
    <t>√ 落实安全措施，登高作业人员佩带安全带</t>
  </si>
  <si>
    <t>4.3焦炉炉顶</t>
  </si>
  <si>
    <t>导致人员手臂骨折，损工95天</t>
  </si>
  <si>
    <t>刘英杰</t>
  </si>
  <si>
    <t>2号炉集气道上部走台</t>
  </si>
  <si>
    <t>√ 现场进行清理
√ 加强职工安全意识培训教育</t>
  </si>
  <si>
    <t>4.3米焦炉2号炉集气道上部走台检修用的电焊机电焊线已整改拆除</t>
  </si>
  <si>
    <t>化产车间，综合供水</t>
  </si>
  <si>
    <t>脚面骨折，损工一月</t>
  </si>
  <si>
    <t>李爱玲</t>
  </si>
  <si>
    <t>老凉水架西南侧</t>
  </si>
  <si>
    <t>√ 清除管线上部法兰杂物</t>
  </si>
  <si>
    <t>一人脚面砸伤，简单治疗立即复工。</t>
  </si>
  <si>
    <t>刘林</t>
  </si>
  <si>
    <t>氨水循环泵</t>
  </si>
  <si>
    <t>√ 固定复位牢靠。</t>
  </si>
  <si>
    <t>操作工已重新固定，保证护罩牢靠</t>
  </si>
  <si>
    <t>因电捕停机造成煤气焦油过多 煤气指数不达标而造成环保事故</t>
  </si>
  <si>
    <t>19-11-16</t>
  </si>
  <si>
    <t>东风机电捕</t>
  </si>
  <si>
    <t>√ 清理电瓷瓶灰尘，处理电源线密封口</t>
  </si>
  <si>
    <t>包装机</t>
  </si>
  <si>
    <t>挤伤手指，手指软组织损伤，损工一天</t>
  </si>
  <si>
    <t>张春宁</t>
  </si>
  <si>
    <t>√ 对封包机安装护板。</t>
  </si>
  <si>
    <t>重新安装护板</t>
  </si>
  <si>
    <t>包装机岗位</t>
  </si>
  <si>
    <t>一人脸部挂伤，包扎处理，损工2天</t>
  </si>
  <si>
    <t>张燚</t>
  </si>
  <si>
    <t>碳化包装机</t>
  </si>
  <si>
    <t>√ 将挂钩移除</t>
  </si>
  <si>
    <t>已通知维修人员将挂钩撤除</t>
  </si>
  <si>
    <t>化工厂合成区域</t>
  </si>
  <si>
    <t>操作工脸部烫伤，损工20天。</t>
  </si>
  <si>
    <t>张聪祥</t>
  </si>
  <si>
    <t>合成工段</t>
  </si>
  <si>
    <t>√ 通知维修人员更换液位计。</t>
  </si>
  <si>
    <t>维修人员已更换新液位计</t>
  </si>
  <si>
    <t>19-10-16</t>
  </si>
  <si>
    <t>雨天进水，易接地、短路、跳闸，影响生产</t>
  </si>
  <si>
    <t>丛林</t>
  </si>
  <si>
    <t>19-11-17</t>
  </si>
  <si>
    <t>脱硫塔上部</t>
  </si>
  <si>
    <t>√ 更换电动执行器接线盒</t>
  </si>
  <si>
    <t>19-12-16</t>
  </si>
  <si>
    <t>粗苯区域</t>
  </si>
  <si>
    <t>一名操作人员被管线绊倒导致手腕骨折，损工1个月</t>
  </si>
  <si>
    <t>南粗苯</t>
  </si>
  <si>
    <t>√ 贫油管线加防护保温措施及反光标识</t>
  </si>
  <si>
    <t>一名操作人员跨越时腿部被轻微灼伤，冷水冲洗后恢复正常。</t>
  </si>
  <si>
    <t>重物失落造成一巡检人员砸伤头部，造成脑震震，住院7天的损工事</t>
  </si>
  <si>
    <t>3万气柜</t>
  </si>
  <si>
    <t>.</t>
  </si>
  <si>
    <t>重物坠落砸伤一名巡检工，造成脑震荡，住院治疗7天的损工事故。</t>
  </si>
  <si>
    <t>造成一名巡检查工头部砸伤，住院治疗7天的损工事故。</t>
  </si>
  <si>
    <t>√ 将旧轴承取下消除隐患</t>
  </si>
  <si>
    <t>通知电工人员将旧轴承已撤除</t>
  </si>
  <si>
    <t>一人左脸烫伤，住院治疗损工五天</t>
  </si>
  <si>
    <t>韩锡奎</t>
  </si>
  <si>
    <t>变换工段</t>
  </si>
  <si>
    <t>区域错误</t>
  </si>
  <si>
    <t>轻微灼伤，不影响正常工作。</t>
  </si>
  <si>
    <t>吴香爱</t>
  </si>
  <si>
    <t>洗眼器</t>
  </si>
  <si>
    <t>√ 维修洗眼器喷淋阀门。</t>
  </si>
  <si>
    <t>手臂轻微擦伤，无损工继续作业</t>
  </si>
  <si>
    <t>高瑞芬</t>
  </si>
  <si>
    <t>蒸汽管架</t>
  </si>
  <si>
    <t>√ 清除管架上方杂物。</t>
  </si>
  <si>
    <t>20-1-14</t>
  </si>
  <si>
    <t>医务室治疗，休息三天，一人损工</t>
  </si>
  <si>
    <t>√ 计量泵接地线规范接线，沿地面铺设。</t>
  </si>
  <si>
    <t>人员面部轻微划伤         没有损工</t>
  </si>
  <si>
    <t>粗苯区域外供站</t>
  </si>
  <si>
    <t>√ 拆除后，重新保温</t>
  </si>
  <si>
    <t>4.3米焦炉地下室</t>
  </si>
  <si>
    <t>造成手臂划伤，去医院包扎治疗，在家休养三天的损工事件</t>
  </si>
  <si>
    <t>秦有杰</t>
  </si>
  <si>
    <t>焦侧通廊</t>
  </si>
  <si>
    <t>重复提交</t>
  </si>
  <si>
    <t>× 破损玻璃清除
× 安装新玻璃</t>
  </si>
  <si>
    <t>操作工被脱落铝皮砸中肩部或手部，轻微擦伤，不影响正常工作</t>
  </si>
  <si>
    <t>陶桂玲</t>
  </si>
  <si>
    <t>南框架</t>
  </si>
  <si>
    <t>√ 清理框架绿皮杂物</t>
  </si>
  <si>
    <t>董黎明</t>
  </si>
  <si>
    <t>1号炉集气道平台</t>
  </si>
  <si>
    <t>× 爬梯焊接
× 悬挂牌子</t>
  </si>
  <si>
    <t>造成手部骨折，住院治疗30天，休养60天的损工事件。</t>
  </si>
  <si>
    <t>范树超</t>
  </si>
  <si>
    <t>于观彦</t>
  </si>
  <si>
    <t>1#炉机侧烟道通廊</t>
  </si>
  <si>
    <t>× 让热修人员抹补
× 安装警示牌提醒</t>
  </si>
  <si>
    <t>北脱硫岗位及配电室</t>
  </si>
  <si>
    <t>造成操作工胳膊烫伤，经医院处理后继续工作</t>
  </si>
  <si>
    <t>孙绍华</t>
  </si>
  <si>
    <t>19-11-18</t>
  </si>
  <si>
    <t>导热油</t>
  </si>
  <si>
    <t>√ 预热器保温，设立警示标识。</t>
  </si>
  <si>
    <t>人员右臂割伤，大量出血，损工7天</t>
  </si>
  <si>
    <t>干熄焦冷焦带通廊</t>
  </si>
  <si>
    <t>√ 联系电工安装照明灯
√ 巡检人员佩戴手电</t>
  </si>
  <si>
    <t>汽轮机</t>
  </si>
  <si>
    <t>高温烫伤，损工一天</t>
  </si>
  <si>
    <t>高温物质</t>
  </si>
  <si>
    <t>刘丽丽</t>
  </si>
  <si>
    <t>空压机房南侧</t>
  </si>
  <si>
    <t>此处正在安装疏水器</t>
  </si>
  <si>
    <t>一名职工脸部划伤，医务室包扎限工三天。</t>
  </si>
  <si>
    <t>王军</t>
  </si>
  <si>
    <t>5.5炉南二楼</t>
  </si>
  <si>
    <t>风险危害辨识不足，重新提报</t>
  </si>
  <si>
    <t>人员骨折住院治疗三个月的损工事故</t>
  </si>
  <si>
    <t>王海虹</t>
  </si>
  <si>
    <t>19-11-19</t>
  </si>
  <si>
    <t>5.5米焦侧通廊南头</t>
  </si>
  <si>
    <t>√ 联系维修加固处理
√ 加强熄焦管理，杜绝平台漏水</t>
  </si>
  <si>
    <t>对通风道进行了更换，上部漏水点进行防漏处理</t>
  </si>
  <si>
    <t>空分岗位</t>
  </si>
  <si>
    <t>一人左脚扭伤，入院简单治疗，损工两天。</t>
  </si>
  <si>
    <t>张国德</t>
  </si>
  <si>
    <t>预冷室</t>
  </si>
  <si>
    <t>√ 联系维修按要求设置盖板</t>
  </si>
  <si>
    <t>已联系维修铺设盖板</t>
  </si>
  <si>
    <t>变换岗位</t>
  </si>
  <si>
    <t>一人左脸烫伤，住院治疗损工5天</t>
  </si>
  <si>
    <t>√ 紧固垫子，佩戴必要的防护罩等防护用品</t>
  </si>
  <si>
    <t>已对垫子进行更换</t>
  </si>
  <si>
    <t>一名操作工右肩部砸伤，送医务室包扎治疗，休息一周！</t>
  </si>
  <si>
    <t>澄清槽东部管廊</t>
  </si>
  <si>
    <t>√ 作业现场下部无关人员禁止通行</t>
  </si>
  <si>
    <t>包装传送线单套装置停车</t>
  </si>
  <si>
    <t>化工厂碳氨包装岗位</t>
  </si>
  <si>
    <t>√ 更换管路</t>
  </si>
  <si>
    <t>已更换管路</t>
  </si>
  <si>
    <t>化产车间北系统空压站</t>
  </si>
  <si>
    <t>设备损坏，经济损失5万</t>
  </si>
  <si>
    <t>配电室</t>
  </si>
  <si>
    <t>√ 清扫灰尘</t>
  </si>
  <si>
    <t>造成一人死亡</t>
  </si>
  <si>
    <t>董孝文</t>
  </si>
  <si>
    <t>七层西侧</t>
  </si>
  <si>
    <t>云梯为设备安装时使用，已不再使用，需进行拆除，彻底消防隐患</t>
  </si>
  <si>
    <t>√ 拆除云梯，消防隐患</t>
  </si>
  <si>
    <t>脚踝扭伤。</t>
  </si>
  <si>
    <t>环境除尘烟囱处</t>
  </si>
  <si>
    <t>后果描述不完整，隐患描述中有过多后果描述</t>
  </si>
  <si>
    <t>人员发生触电死亡事故。</t>
  </si>
  <si>
    <t>赵林忠</t>
  </si>
  <si>
    <t>炉顶区</t>
  </si>
  <si>
    <t>F1为类似飞机失事等极不可能发生的概率，此处辨识错误，重新提报。</t>
  </si>
  <si>
    <t>一人脚踝扭伤，损工30天</t>
  </si>
  <si>
    <t>张金龙</t>
  </si>
  <si>
    <t>压缩机</t>
  </si>
  <si>
    <t>√ 及时通知活门人员收回指定位置</t>
  </si>
  <si>
    <t>19-11-20</t>
  </si>
  <si>
    <t>已及时回收活门</t>
  </si>
  <si>
    <t>一人手腕骨折损工90天</t>
  </si>
  <si>
    <t>李夕良</t>
  </si>
  <si>
    <t>烟道通廊</t>
  </si>
  <si>
    <t>画面不清</t>
  </si>
  <si>
    <t>一人触电死亡</t>
  </si>
  <si>
    <t>× 电工整理
× 上报电缆线槽</t>
  </si>
  <si>
    <t>医务室治疗，损工三天</t>
  </si>
  <si>
    <t>李岩</t>
  </si>
  <si>
    <t>19-11-21</t>
  </si>
  <si>
    <t>化产车间北循环水</t>
  </si>
  <si>
    <t>√ 更换盖板，盖严水坑池。</t>
  </si>
  <si>
    <t>吸氨岗位</t>
  </si>
  <si>
    <t>造成一名操作工腿部擦伤脚腕扭伤，损工2天。</t>
  </si>
  <si>
    <t>刘长军</t>
  </si>
  <si>
    <t>氨水循环槽处</t>
  </si>
  <si>
    <t>√ 更换盖板或者用铁板覆盖</t>
  </si>
  <si>
    <t>已更换盖板</t>
  </si>
  <si>
    <t>身体伤害，误工35天</t>
  </si>
  <si>
    <t>杨小军</t>
  </si>
  <si>
    <t>煤六胶带机后尾</t>
  </si>
  <si>
    <t>√ 加装护栏，做好隔离。</t>
  </si>
  <si>
    <t>膝盖磕伤，误工2天</t>
  </si>
  <si>
    <t>丁曰海</t>
  </si>
  <si>
    <t>西五爬梯</t>
  </si>
  <si>
    <t>√ 对现场物品进行清除或整理，确保道路畅通。</t>
  </si>
  <si>
    <t>右胳膊烧伤，住院治疗半年</t>
  </si>
  <si>
    <t>王晶</t>
  </si>
  <si>
    <t>一楼</t>
  </si>
  <si>
    <t>√ 使用完后及时盖好</t>
  </si>
  <si>
    <t>导致烟囱冒黑烟</t>
  </si>
  <si>
    <t>王海涛</t>
  </si>
  <si>
    <t>19-11-22</t>
  </si>
  <si>
    <t>推焦平台</t>
  </si>
  <si>
    <t>× 提报新盖板
× 用灌浆料封堵</t>
  </si>
  <si>
    <t>20-1-2</t>
  </si>
  <si>
    <t>联系维修焊铁板处理</t>
  </si>
  <si>
    <t>除盐水站</t>
  </si>
  <si>
    <t>右肩及上臂烫伤，损工5天</t>
  </si>
  <si>
    <t>钱江红</t>
  </si>
  <si>
    <t>超浓水水池西侧</t>
  </si>
  <si>
    <t>蒸汽管道阀门体温度高，加强警示和严格劳保穿戴，对外漏部分进行保温隔离</t>
  </si>
  <si>
    <t>√ 严格劳保穿戴，悬挂警示牌进行警示提示
√ 加装保温进行防护隔离</t>
  </si>
  <si>
    <t>腿部骨折住院治疗一周的损工事故</t>
  </si>
  <si>
    <t>1#炉炉顶集气管上部</t>
  </si>
  <si>
    <t>× 更换新铁板
× 三班警示</t>
  </si>
  <si>
    <t>右手手指划伤，经包扎后，继续工作，不影响工作。</t>
  </si>
  <si>
    <t>西硫铵小母液泵</t>
  </si>
  <si>
    <t>√ 更换电机防护罩</t>
  </si>
  <si>
    <t>化产车间北脱硫</t>
  </si>
  <si>
    <t>职工处理情况时，身体轻微损伤，无损工。</t>
  </si>
  <si>
    <t>卢建祥</t>
  </si>
  <si>
    <t>脱硫配电室</t>
  </si>
  <si>
    <t>√ 紧固继电器螺丝</t>
  </si>
  <si>
    <t>脑部、脊柱损伤严重，抢救无效死亡</t>
  </si>
  <si>
    <t>刘青松</t>
  </si>
  <si>
    <t>干熄焦一号提升机</t>
  </si>
  <si>
    <t>安全意识强能发现潜在隐患。</t>
  </si>
  <si>
    <t>√ 维修人员将分段护栏焊接并对护栏进行整体加固</t>
  </si>
  <si>
    <t>已焊接加固</t>
  </si>
  <si>
    <t>李刚</t>
  </si>
  <si>
    <t>零米北门口</t>
  </si>
  <si>
    <t>安全意识强能发现细微处隐患</t>
  </si>
  <si>
    <t>√ 联系电工对电缆增加保护措施防止漏电伤人</t>
  </si>
  <si>
    <t>20-1-10</t>
  </si>
  <si>
    <t>电工对电缆已增加套筒。</t>
  </si>
  <si>
    <t>造成人员手臂受伤，经包扎后继续工作。</t>
  </si>
  <si>
    <t>刘胜胜</t>
  </si>
  <si>
    <t>压滤机房</t>
  </si>
  <si>
    <t>√ 更换破碎玻璃</t>
  </si>
  <si>
    <t>19-12-2</t>
  </si>
  <si>
    <t>电机烧坏，更换新电机，造成财产损失5千元</t>
  </si>
  <si>
    <t>孟凡鲁</t>
  </si>
  <si>
    <t>√ 更换电缆</t>
  </si>
  <si>
    <t>焦油罐区</t>
  </si>
  <si>
    <t>住院治疗3周，损工3个月。</t>
  </si>
  <si>
    <t>牟国明</t>
  </si>
  <si>
    <t>化产</t>
  </si>
  <si>
    <t>√ 加固开焊爬梯</t>
  </si>
  <si>
    <t>人员触电，经抢救无效死亡！</t>
  </si>
  <si>
    <t>秦海伟</t>
  </si>
  <si>
    <t>汽轮机零米</t>
  </si>
  <si>
    <t>电缆必须加装套管防止绝缘损坏，避免漏电触电事故</t>
  </si>
  <si>
    <t>√ 加装套管，加强绝缘保护</t>
  </si>
  <si>
    <t>诊断为左胳膊深二度烫伤，住院治疗一个月，损工一个月</t>
  </si>
  <si>
    <t>王  霞</t>
  </si>
  <si>
    <t>孙连祥</t>
  </si>
  <si>
    <t>减温减压室</t>
  </si>
  <si>
    <t>高压过热蒸汽漏气不会出现白雾，不意察觉，容易造成伤害，应及时处理漏点防止更大设备和人身伤害</t>
  </si>
  <si>
    <t>√ 切断与各系统连接，排出管内蒸汽，降至常压后进行焊补加固</t>
  </si>
  <si>
    <t>20-1-12</t>
  </si>
  <si>
    <t>2号减温减压本体整体已更换</t>
  </si>
  <si>
    <t>巡检人员被绊倒，手部轻微擦伤，经医务室简单处理后复工。</t>
  </si>
  <si>
    <t>深度脱硫北</t>
  </si>
  <si>
    <t>√ 切除钢筋</t>
  </si>
  <si>
    <t>入院治疗两周，损工两周复工。</t>
  </si>
  <si>
    <t>赵建源</t>
  </si>
  <si>
    <t>张华和</t>
  </si>
  <si>
    <t>一号氨冷加氨阀</t>
  </si>
  <si>
    <t>√ 立即通知维修紧固处理</t>
  </si>
  <si>
    <t>铝皮大风刮落，操作工脖颈处划伤，损工3天</t>
  </si>
  <si>
    <t>张建民</t>
  </si>
  <si>
    <t>3万气柜入口调节阀煤</t>
  </si>
  <si>
    <t>√ 将铝皮取下消除隐患</t>
  </si>
  <si>
    <t>人员腹部被钢筋刺入，损工100天。</t>
  </si>
  <si>
    <t>除盐水污水池排污沟</t>
  </si>
  <si>
    <t>问题虽小，但可能造成大的后果，应及时 消除</t>
  </si>
  <si>
    <t>√ 割除多余钢筋，确保地沟防护板达到有效状态</t>
  </si>
  <si>
    <t>5.5米焦炉焦侧</t>
  </si>
  <si>
    <t>一人死亡</t>
  </si>
  <si>
    <t>5.5米焦侧除尘风机</t>
  </si>
  <si>
    <t>已有规定，严禁操作人员徒手擦拭运转零部件！</t>
  </si>
  <si>
    <t>断路器触头烧损，引起设备停电造成财产损失。</t>
  </si>
  <si>
    <t>刘彬</t>
  </si>
  <si>
    <t>李水平</t>
  </si>
  <si>
    <t>19-11-26</t>
  </si>
  <si>
    <t>高压配电室</t>
  </si>
  <si>
    <t>温度探测检测实时显示可提醒人员及时发现及时处理，防止异常引发事故，应确保其有效性</t>
  </si>
  <si>
    <t>√ 检查维修，确保检测显示正常</t>
  </si>
  <si>
    <t>检查维修</t>
  </si>
  <si>
    <t>诊断为左小腿浅二度烫伤，损工15天。</t>
  </si>
  <si>
    <t>戴晓宁</t>
  </si>
  <si>
    <t>孙建雷</t>
  </si>
  <si>
    <t>19-11-25</t>
  </si>
  <si>
    <t>主控楼顶3#减温减压</t>
  </si>
  <si>
    <t>蒸汽泄漏必须及时处理防止人员和设备问题出现</t>
  </si>
  <si>
    <t>√ 卸压至常压后焊补漏点</t>
  </si>
  <si>
    <t>造成一人脸部烫伤，入院治疗30天。</t>
  </si>
  <si>
    <t>19-11-23</t>
  </si>
  <si>
    <t>碳化3楼楼顶</t>
  </si>
  <si>
    <t>√ 更换垫子，更换时注意防护</t>
  </si>
  <si>
    <t>化工厂，液氨充装站</t>
  </si>
  <si>
    <t>造成一人受伤，锁骨骨折。损工三个月。</t>
  </si>
  <si>
    <t>刘文永</t>
  </si>
  <si>
    <t>液氨充装站</t>
  </si>
  <si>
    <t>√ 通知电工进行修复。</t>
  </si>
  <si>
    <t>该灯已不用，已联系电工拆除</t>
  </si>
  <si>
    <t>一名操作工造成小腿骨折，住院30天休息90天。</t>
  </si>
  <si>
    <t>付洪国</t>
  </si>
  <si>
    <t>19-11-10</t>
  </si>
  <si>
    <t>宏盛消防水池</t>
  </si>
  <si>
    <t>√ 加盖板，防止伤人。</t>
  </si>
  <si>
    <t>精炼岗位</t>
  </si>
  <si>
    <t>医务室就医后复工。</t>
  </si>
  <si>
    <t>张文军</t>
  </si>
  <si>
    <t>19-11-24</t>
  </si>
  <si>
    <t>精炼南墙上侧</t>
  </si>
  <si>
    <t>× 通知维修人员拆除废旧管线</t>
  </si>
  <si>
    <t>装置已停产</t>
  </si>
  <si>
    <t>呼吸道严重灼伤，送医院治疗三天，岀院复工。</t>
  </si>
  <si>
    <t>高香梅</t>
  </si>
  <si>
    <t>一号冰机</t>
  </si>
  <si>
    <t>√ 通知维修紧固填料，加强防护。</t>
  </si>
  <si>
    <t>锅炉及发电装置</t>
  </si>
  <si>
    <t>电缆线烧毁造成锅炉停产36小时，损失一百二十万</t>
  </si>
  <si>
    <t>热力车间</t>
  </si>
  <si>
    <t>于连成</t>
  </si>
  <si>
    <t>19-11-28</t>
  </si>
  <si>
    <t>75T锅炉零米</t>
  </si>
  <si>
    <t>√ 重新制作铁质盖板，刷漆防腐
× 盖好齐全</t>
  </si>
  <si>
    <t>制作铁制带加强筋盖板更换原不合格水泥盖板。</t>
  </si>
  <si>
    <t>住院十天，损工十天。</t>
  </si>
  <si>
    <t>李龙堂</t>
  </si>
  <si>
    <t>压缩岗位二楼</t>
  </si>
  <si>
    <t>√ 在轨道端头的安全警示信息。</t>
  </si>
  <si>
    <t>一名巡检工被划伤脖子，就医治疗5天，复工</t>
  </si>
  <si>
    <t>化工厂转化岗位</t>
  </si>
  <si>
    <t>√ 清理铝皮消除隐患</t>
  </si>
  <si>
    <t>右手臂骨折住院15天，休息3个月。</t>
  </si>
  <si>
    <t>高继国</t>
  </si>
  <si>
    <t>审核与观察</t>
  </si>
  <si>
    <t>√ 及时清理积水</t>
  </si>
  <si>
    <t>管道腐蚀</t>
  </si>
  <si>
    <t>赵英</t>
  </si>
  <si>
    <t>情景描述中一天内处理完毕是整改完成了吗？还是别的什么？</t>
  </si>
  <si>
    <t>√ 维修漏点</t>
  </si>
  <si>
    <t>漏点已焊补，整改完成</t>
  </si>
  <si>
    <t>脸部受伤，损工3天</t>
  </si>
  <si>
    <t>东一</t>
  </si>
  <si>
    <t>东一2号给料机偏心轮螺栓断裂，操作时易出现设备事故及人员伤害事故</t>
  </si>
  <si>
    <t>√ 更换偏心轮螺栓
√ 加强巡检，提前发现隐患</t>
  </si>
  <si>
    <t>东一2号给料机偏心轮螺丝断，更换后防止设备事故及人员伤害事故</t>
  </si>
  <si>
    <t>备煤煤线岗位及配电室</t>
  </si>
  <si>
    <t>操作工右手电伤，损工7天</t>
  </si>
  <si>
    <t>1618破碎机</t>
  </si>
  <si>
    <t>1618行灯灯口破损，线头裸露，容易出现安全事故</t>
  </si>
  <si>
    <t>√ 立即更换行灯灯口
√ 线头处采用绝缘胶布包紧</t>
  </si>
  <si>
    <t>1618破碎机行灯灯头坏，容易出现安全事故，更换灯口及对线路进行包扎，防止安全事故的发生</t>
  </si>
  <si>
    <t>汽轮机停机、轴瓦烧毁，火灾事故。</t>
  </si>
  <si>
    <t>吴长禄</t>
  </si>
  <si>
    <t>汽轮机5米平台</t>
  </si>
  <si>
    <t>泄漏不仅造成污染也有安全风险，需消除</t>
  </si>
  <si>
    <t>√ 消除泄漏，确保静密封点泄漏率达标</t>
  </si>
  <si>
    <t>污水处理三号站</t>
  </si>
  <si>
    <t>人员小腿灼伤，住院治疗一个月。</t>
  </si>
  <si>
    <t>逯洪帅</t>
  </si>
  <si>
    <t>调节池</t>
  </si>
  <si>
    <t>√ 更换黑胶管</t>
  </si>
  <si>
    <t>设备损坏，损失一万元</t>
  </si>
  <si>
    <t>循环水加药间</t>
  </si>
  <si>
    <t>需注意老鼠造成的电气损坏</t>
  </si>
  <si>
    <t>√ 安装挡鼠板，防止老鼠进入</t>
  </si>
  <si>
    <t>加药间门口已加装挡鼠板</t>
  </si>
  <si>
    <t>造成人员右手上臂骨折，损工3个月。</t>
  </si>
  <si>
    <t>祝国杰</t>
  </si>
  <si>
    <t>循环水配电室北门</t>
  </si>
  <si>
    <t>√ 恢复警示牌，提供员工意识</t>
  </si>
  <si>
    <t>提高安全意识。</t>
  </si>
  <si>
    <t>精炼液溅入眼内，大量清水清洗，医务室就医后回岗操作</t>
  </si>
  <si>
    <t>刘同贞</t>
  </si>
  <si>
    <t>精炼工段</t>
  </si>
  <si>
    <t>√ 通知维修人员打夹子处理，有机会更换管道。</t>
  </si>
  <si>
    <t>循环水池</t>
  </si>
  <si>
    <t>医务室就医后复工</t>
  </si>
  <si>
    <t>张立强</t>
  </si>
  <si>
    <t>循环水泵房北平台爬梯</t>
  </si>
  <si>
    <t>√ 恢复警示牌，加强员工教育增强意识</t>
  </si>
  <si>
    <t>脚扭伤损工事故</t>
  </si>
  <si>
    <t>1#提升机框一层平台</t>
  </si>
  <si>
    <t>严格执行4S管理不仅是现场管理要求，也关系到作业安全，需及时清理现场方便操作</t>
  </si>
  <si>
    <t>√ 请除现场场杂物并保持</t>
  </si>
  <si>
    <t>现场枕木及杂物已清理</t>
  </si>
  <si>
    <t>人员轻微受伤</t>
  </si>
  <si>
    <t>干熄焦1号提升机三层</t>
  </si>
  <si>
    <t>护栏踢脚板本来是安全附件，出现异常变成了隐患，需及时焊接整改</t>
  </si>
  <si>
    <t>√ 踢脚板焊接牢固</t>
  </si>
  <si>
    <t>造成腿部骨折，住院医疗1个月，修养2个月，共损工3个月。</t>
  </si>
  <si>
    <t>张瑞涛</t>
  </si>
  <si>
    <t>1#分馏塔</t>
  </si>
  <si>
    <t>√ 爬梯小门及时关闭加强管理</t>
  </si>
  <si>
    <t>一名操作工失足跌落，小腿骨折，住院15天，共损工三个月</t>
  </si>
  <si>
    <t>刘涛</t>
  </si>
  <si>
    <t>√ 将盖板规范覆盖消除隐患</t>
  </si>
  <si>
    <t>一名员工肩部骨折，损工3个月</t>
  </si>
  <si>
    <t>毕玉宁</t>
  </si>
  <si>
    <t>除盐水站西墙</t>
  </si>
  <si>
    <t>小处着眼，防微杜渐</t>
  </si>
  <si>
    <t>√ 联系电工对电缆盖板进行固定</t>
  </si>
  <si>
    <t>电缆盖板进行固定，防止脱落伤人</t>
  </si>
  <si>
    <t>一名操作工烫伤，住院治疗半个月，休息半月。</t>
  </si>
  <si>
    <t>赵文杰</t>
  </si>
  <si>
    <t>变换蒸汽连管</t>
  </si>
  <si>
    <t>主控楼楼顶</t>
  </si>
  <si>
    <t>楼顶部位空间狭小，易绊倒的线缆应整理</t>
  </si>
  <si>
    <t>√ 班组将电缆进行绑扎固定，防止人员绊倒</t>
  </si>
  <si>
    <t>电缆已重新铺设至电缆盒内。</t>
  </si>
  <si>
    <t>一名员工脚步扭伤损工十天</t>
  </si>
  <si>
    <t>中控楼北门东侧</t>
  </si>
  <si>
    <t>条件限制，人员进入时注意防范</t>
  </si>
  <si>
    <t>变换</t>
  </si>
  <si>
    <t>一名操作工烫伤，住院治疗半月，休息半月。</t>
  </si>
  <si>
    <t>区域不符合要求</t>
  </si>
  <si>
    <t>重复提报</t>
  </si>
  <si>
    <t>送医院检查，左脚骨折，处理后回家休养十五天，损工十五天。</t>
  </si>
  <si>
    <t>赵淑红</t>
  </si>
  <si>
    <t>吸氨岗位浓氨槽处</t>
  </si>
  <si>
    <t>√ 把盖板盖好封闭。</t>
  </si>
  <si>
    <t>一名职工脚踝扭伤，损工半个月。</t>
  </si>
  <si>
    <t>刘桂圣</t>
  </si>
  <si>
    <t>除盐水站东侧地沟</t>
  </si>
  <si>
    <t>盖板不完整，小问题也能引起员工受伤，及时处理并保持</t>
  </si>
  <si>
    <t>√ 安装盖板，确保盖板完整性起到保护作用，防止人员跌落受伤</t>
  </si>
  <si>
    <t>已重新铺设盖板</t>
  </si>
  <si>
    <t>一名操作人员被烫伤住院5天后复工</t>
  </si>
  <si>
    <t>19-11-27</t>
  </si>
  <si>
    <t>脱硫箱东侧蒸汽管道</t>
  </si>
  <si>
    <t>√ 设立警戒线、警示标识
√ 焊补蒸汽漏点</t>
  </si>
  <si>
    <t>3#站化验室</t>
  </si>
  <si>
    <t>触电就医</t>
  </si>
  <si>
    <t>19-11-29</t>
  </si>
  <si>
    <t>化验室蒸样用通风橱内</t>
  </si>
  <si>
    <t>情景描述不完整，</t>
  </si>
  <si>
    <t>√ 维修更换配电箱盖子，后果描述</t>
  </si>
  <si>
    <t>锅炉35t疏水箱</t>
  </si>
  <si>
    <t>腿骨骨折，损工三个月。</t>
  </si>
  <si>
    <t>张雨安</t>
  </si>
  <si>
    <t>北侧水沟盖板</t>
  </si>
  <si>
    <t>√ 重新制作盖板
× 规范盖好盖板</t>
  </si>
  <si>
    <t>更换新地沟盖板</t>
  </si>
  <si>
    <t>一名操作人员左肩轻微骨裂，损工37天。</t>
  </si>
  <si>
    <t>刘桂亮</t>
  </si>
  <si>
    <t>√ 加固管道支架</t>
  </si>
  <si>
    <t>一人颈椎扭伤损工一月</t>
  </si>
  <si>
    <t>张晓雷</t>
  </si>
  <si>
    <t>北风机风机房内</t>
  </si>
  <si>
    <t>√ 固定住脚手板
√ 撤离无用的木板</t>
  </si>
  <si>
    <t>操作人员小腿骨折，损工60天</t>
  </si>
  <si>
    <t>区域选择错误</t>
  </si>
  <si>
    <t>结晶泵管道堵塞导致结晶泵电机超电流损坏电机</t>
  </si>
  <si>
    <t>结晶泵</t>
  </si>
  <si>
    <t>√ 更换压力表</t>
  </si>
  <si>
    <t>右手手指划伤，简单包扎后不影响工作。</t>
  </si>
  <si>
    <t>北脱硫西南角</t>
  </si>
  <si>
    <t>√ 更换电机防护罩
√ 检修氨水泵，加固电机防护罩</t>
  </si>
  <si>
    <t>一名巡检工左手手背划伤，送医务室包扎治疗。</t>
  </si>
  <si>
    <t>北管式炉管廊</t>
  </si>
  <si>
    <t>√ 清理管道上方铝皮</t>
  </si>
  <si>
    <t>19-12-22</t>
  </si>
  <si>
    <t>35吨锅炉烟道</t>
  </si>
  <si>
    <t>漆桶掉落砸伤一名巡检工头部、肩部，损工15天</t>
  </si>
  <si>
    <t>赵建军</t>
  </si>
  <si>
    <t>√ 彻底清理高处易落杂物
√ 登高注意安全</t>
  </si>
  <si>
    <t>遗落漆桶已清走</t>
  </si>
  <si>
    <t>75吨锅炉脱硫西侧</t>
  </si>
  <si>
    <t>送医院就治，限工100天</t>
  </si>
  <si>
    <t>赵坤</t>
  </si>
  <si>
    <t>× 重新制作铁质盖板，刷漆防腐
√ 盖好，保持盖板齐全</t>
  </si>
  <si>
    <t>更换新地沟盖板。</t>
  </si>
  <si>
    <t>充电插座短路，人员触电。</t>
  </si>
  <si>
    <t>√ 饮水机，与对讲机分开。对讲机单独设立插座充电</t>
  </si>
  <si>
    <t>35吨锅炉东减温减压</t>
  </si>
  <si>
    <t>外来人员脑震荡昏迷住院一月，损工一月。</t>
  </si>
  <si>
    <t>刘清明</t>
  </si>
  <si>
    <t>当场已整改</t>
  </si>
  <si>
    <t>住院一星期，出院复工。损工7天，损工一人。</t>
  </si>
  <si>
    <t>刘明壮</t>
  </si>
  <si>
    <t>液氨大槽</t>
  </si>
  <si>
    <t>√ 泄压紧固填料。</t>
  </si>
  <si>
    <t>化学水除盐水池</t>
  </si>
  <si>
    <t>人员坠落造成腿部骨折，住院治疗一个月，损工一个月</t>
  </si>
  <si>
    <t>杨振斌</t>
  </si>
  <si>
    <t>除盐水池</t>
  </si>
  <si>
    <t>池顶部已设巡检路线标识 且该处巡检频次低</t>
  </si>
  <si>
    <t>脸部划伤到医务室处理后回家休息两天能正常上班</t>
  </si>
  <si>
    <t>北系统富油槽</t>
  </si>
  <si>
    <t>危害严重程度判断错误，损工限工两天应为C3</t>
  </si>
  <si>
    <t>废弃放散管在罐顶部未及时清理造成一名操作工身亡</t>
  </si>
  <si>
    <t>粗苯北系统贫油槽</t>
  </si>
  <si>
    <t>隐患描述事件发生的概率判断为F4,有待商榷！</t>
  </si>
  <si>
    <t>√ 清理放散管，或是用铁丝固定住。</t>
  </si>
  <si>
    <t>平台破损，腿部受伤。</t>
  </si>
  <si>
    <t>杨爱富</t>
  </si>
  <si>
    <t>初冷器附属设备</t>
  </si>
  <si>
    <t>隐患描述和后果描述尽可能完整</t>
  </si>
  <si>
    <t>√ 更换平台铁板</t>
  </si>
  <si>
    <t>化产车间，东硫铵</t>
  </si>
  <si>
    <t>电机发热烧毁，造成经济损失三千元</t>
  </si>
  <si>
    <t>小母液泵</t>
  </si>
  <si>
    <t>√ 更换小母液泵电机后防护罩</t>
  </si>
  <si>
    <t>造成一名操作工氨水溅入眼内，送医务室救治，损工两天。</t>
  </si>
  <si>
    <t>刘树娟</t>
  </si>
  <si>
    <t>氨水储槽</t>
  </si>
  <si>
    <t>√ 更换乳胶管。</t>
  </si>
  <si>
    <t>住院治疗一个月</t>
  </si>
  <si>
    <t>张广顺</t>
  </si>
  <si>
    <t>危害后果判断错误！</t>
  </si>
  <si>
    <t>√ 更换破损的地沟盖板</t>
  </si>
  <si>
    <t>人员小腿骨折，损工60天</t>
  </si>
  <si>
    <t>沉淀槽</t>
  </si>
  <si>
    <t>√ 对踏板加固处理</t>
  </si>
  <si>
    <t>1人左小腿轻微划伤，不影响正常工作。</t>
  </si>
  <si>
    <t>东冷凝澄清槽压焦油阀</t>
  </si>
  <si>
    <t>√ 东冷凝澄清槽顶压焦油阀门处加盖板</t>
  </si>
  <si>
    <t>脸部被碱液灼伤面部红肿休养三天后复工。</t>
  </si>
  <si>
    <t>碱液泵处</t>
  </si>
  <si>
    <t>√ 按照规范保准，佩戴防护罩，胶皮手套</t>
  </si>
  <si>
    <t>经医务人员简单清洗后立即复工</t>
  </si>
  <si>
    <t>李友喜</t>
  </si>
  <si>
    <t>吸氨外供氨水泵</t>
  </si>
  <si>
    <t>√ 通知维修对漏点进行处理</t>
  </si>
  <si>
    <t>压缩岗位压缩机</t>
  </si>
  <si>
    <t>一名人员手臂骨折，住院治疗1个月，损工3个月。</t>
  </si>
  <si>
    <t>刘艳</t>
  </si>
  <si>
    <t>2号压缩机</t>
  </si>
  <si>
    <t>√ 办理登高证，系好安全带！</t>
  </si>
  <si>
    <t>立即停止作业，扎好安全带、戴好安全帽后恢复作业</t>
  </si>
  <si>
    <t>一名操作工脚踝扭伤，住院治疗15天，损工15天</t>
  </si>
  <si>
    <t>杨春水</t>
  </si>
  <si>
    <t>√ 严格检修现场工完料净场地清制度，及时清理</t>
  </si>
  <si>
    <t>冷却水管已及时清理</t>
  </si>
  <si>
    <t>操作工小腿骨折，损工三个月</t>
  </si>
  <si>
    <t>李福栋</t>
  </si>
  <si>
    <t>2#压缩机处</t>
  </si>
  <si>
    <t>√ 清理干净，放至指定位置。</t>
  </si>
  <si>
    <t>此处已安装压缩机，胶皮管已收走</t>
  </si>
  <si>
    <t>操作工右脚腕扭伤，损工5天</t>
  </si>
  <si>
    <t>风机房一楼</t>
  </si>
  <si>
    <t>√ 设立警示牌
√ 拆除横管</t>
  </si>
  <si>
    <t>造成一名操作工一氧化碳中毒事故，住院治疗七天，并在家休养3天</t>
  </si>
  <si>
    <t>赵秀生</t>
  </si>
  <si>
    <t>精炼工段气体分析仪</t>
  </si>
  <si>
    <t>CO这么低，才几ppm，能中毒！</t>
  </si>
  <si>
    <t>转化岗位</t>
  </si>
  <si>
    <t>一名维修工脸部烫伤送医院治疗损工7天</t>
  </si>
  <si>
    <t>2号废热锅炉</t>
  </si>
  <si>
    <t>√ 作业时劳保穿戴安全防护</t>
  </si>
  <si>
    <t>仪表已更换液位计垫子</t>
  </si>
  <si>
    <t>离心岗位</t>
  </si>
  <si>
    <t>氨水溅入眼睛导致眼睛灼伤，送医治疗一周，损工一周。</t>
  </si>
  <si>
    <t>初爱华</t>
  </si>
  <si>
    <t>晶分池入口管线阀门</t>
  </si>
  <si>
    <t>√ 通知维修堵漏，操作时按规定带护目镜</t>
  </si>
  <si>
    <t>劳保防护，维修已堵漏处理</t>
  </si>
  <si>
    <t>一维修工右手冻伤，损工两天</t>
  </si>
  <si>
    <t>吴轲</t>
  </si>
  <si>
    <t>液氧储槽</t>
  </si>
  <si>
    <t>√ 作业时做好劳动防护措施</t>
  </si>
  <si>
    <t>维修已更换垫子</t>
  </si>
  <si>
    <t>变换蒸汽连管倒淋</t>
  </si>
  <si>
    <t>× 用铁丝固定连接口</t>
  </si>
  <si>
    <t>一名操作工手腕拉伤，立即复工</t>
  </si>
  <si>
    <t>于瀛兰</t>
  </si>
  <si>
    <t>脱硫鼓风机房屋后爬梯</t>
  </si>
  <si>
    <t>√ 添加警示牌</t>
  </si>
  <si>
    <t>化工厂，叉车充电区</t>
  </si>
  <si>
    <t>叉车司机右脚拇指粉碎性骨折，住院30天，损工90天</t>
  </si>
  <si>
    <t>刘东东</t>
  </si>
  <si>
    <t>充电桩房内</t>
  </si>
  <si>
    <t>√ 停车拉手刹。</t>
  </si>
  <si>
    <t>脚腕崴伤，损工治疗60天。</t>
  </si>
  <si>
    <t>2#压缩机电机基础</t>
  </si>
  <si>
    <t>√ 通知维修人员用铁板盖严。</t>
  </si>
  <si>
    <t>双脚面轻度灼伤，损工15天。</t>
  </si>
  <si>
    <t>牟小花</t>
  </si>
  <si>
    <t>分析室</t>
  </si>
  <si>
    <t>√ 及时放置专门位置。</t>
  </si>
  <si>
    <t>蒸汽泄漏，烫伤手部</t>
  </si>
  <si>
    <t>南风机初冷器</t>
  </si>
  <si>
    <t>√ 更换阀门或压盘根</t>
  </si>
  <si>
    <t>就医后，诊断为身体多处骨折，治疗4个月，休假6个月损工事件。</t>
  </si>
  <si>
    <t>赵明杰</t>
  </si>
  <si>
    <t>2#废锅南侧过桥</t>
  </si>
  <si>
    <t>× 联系维修安装扶手</t>
  </si>
  <si>
    <t>装置已停产，准备拆除。</t>
  </si>
  <si>
    <t>送医诊断两人骨折，住院1个月回家休养3个月康复，损工4个月。</t>
  </si>
  <si>
    <t>刘海翠</t>
  </si>
  <si>
    <t>5.5推焦车</t>
  </si>
  <si>
    <t>学员日常练习提报错误，关闭</t>
  </si>
  <si>
    <t>人在经过时，碰到护栏，可能存在承受不住人的体重，造成护栏断裂</t>
  </si>
  <si>
    <t>于兰波</t>
  </si>
  <si>
    <t>焦侧护栏</t>
  </si>
  <si>
    <t>× 联系维修焊接
× 周边清理</t>
  </si>
  <si>
    <t>人员受到惊吓，无损工现象。</t>
  </si>
  <si>
    <t>赵继龙</t>
  </si>
  <si>
    <t>叉车充电室</t>
  </si>
  <si>
    <t>√ 及时将裸露线头按规范包好</t>
  </si>
  <si>
    <t>一操作人员手部割伤，限工5日</t>
  </si>
  <si>
    <t>20-2-3</t>
  </si>
  <si>
    <t>煤四岗位南墙窗户</t>
  </si>
  <si>
    <t>√ 更换窗户框</t>
  </si>
  <si>
    <t>已更换窗户框。</t>
  </si>
  <si>
    <t>刘明明</t>
  </si>
  <si>
    <t>脱硫脱硝</t>
  </si>
  <si>
    <t>设备调试</t>
  </si>
  <si>
    <t>一名巡检工脸部被铁丝划伤，送医务室轻微包扎后恢复健康。</t>
  </si>
  <si>
    <t>× 人员清理
× 整理整顿</t>
  </si>
  <si>
    <t>经医生检查轻微擦伤简单处理后立即复工</t>
  </si>
  <si>
    <t>刘炳焰</t>
  </si>
  <si>
    <t>严重性判断错误</t>
  </si>
  <si>
    <t>造成一名操作工休息3小时后复工。</t>
  </si>
  <si>
    <t>精炼工段2号冰机</t>
  </si>
  <si>
    <t>√ 通知维修紧固填料。</t>
  </si>
  <si>
    <t>√ 规范放置牢靠，不用及时清理。</t>
  </si>
  <si>
    <t>20-2-7</t>
  </si>
  <si>
    <t>造成鼻梁骨骨折，休养15天损工事件</t>
  </si>
  <si>
    <t>20-3-9</t>
  </si>
  <si>
    <t>√ 整理胶管
√ 规范放置</t>
  </si>
  <si>
    <t>20-10-2</t>
  </si>
  <si>
    <t>整理好胶管，整洁有序的放置，使工作更加安全。</t>
  </si>
  <si>
    <t>20-2-9</t>
  </si>
  <si>
    <t>造成一人右脚骨折，损工7个月</t>
  </si>
  <si>
    <t>推焦车</t>
  </si>
  <si>
    <t>√ 恢复篦子板
√ 加强防范</t>
  </si>
  <si>
    <t>更换新的篦子板，确保安全生产。</t>
  </si>
  <si>
    <t>20-4-11</t>
  </si>
  <si>
    <t>停炉检修五天，造成经济损失140万元</t>
  </si>
  <si>
    <t>20-5-11</t>
  </si>
  <si>
    <t>保养不及时造成设备问题影响大局</t>
  </si>
  <si>
    <t>√ 进行保养，确保设备油润滑正常，防止出现停机故障</t>
  </si>
  <si>
    <t>20-10-31</t>
  </si>
  <si>
    <t>以进行保养，正常运行</t>
  </si>
  <si>
    <t>20-4-10</t>
  </si>
  <si>
    <t>人员受伤 损工100天</t>
  </si>
  <si>
    <t>20-5-10</t>
  </si>
  <si>
    <t>地下室南头</t>
  </si>
  <si>
    <t>及时修复开裂处，防止伤人</t>
  </si>
  <si>
    <t>√ 及时修复开裂处，防止伤人</t>
  </si>
  <si>
    <t>已对开裂处进行修复加固</t>
  </si>
  <si>
    <t>20-5-6</t>
  </si>
  <si>
    <t>5米5焦炉</t>
  </si>
  <si>
    <t>腰椎受损住院治疗2个月，在家修养一年后痊愈复工</t>
  </si>
  <si>
    <t>20-6-7</t>
  </si>
  <si>
    <t>√ 加装护栏
√ 进入平台按高处作业采取相关措施</t>
  </si>
  <si>
    <t>20-10-1</t>
  </si>
  <si>
    <t>此处加装护栏无操作空间，已挂警示牌，所有上去操作的人员，全部系好安全带后方可作业。</t>
  </si>
  <si>
    <t>20-5-7</t>
  </si>
  <si>
    <t>一名职工脸部划伤，医务室包扎在家休息3天。</t>
  </si>
  <si>
    <t>熄焦塔</t>
  </si>
  <si>
    <t>√ 清理脱落墙皮
× 人员注意通行安全</t>
  </si>
  <si>
    <t>把起鼓的墙皮进行了铲除清理，确保不因起鼓的墙皮脱落造成人员伤害</t>
  </si>
  <si>
    <t>20-5-18</t>
  </si>
  <si>
    <t>化学水</t>
  </si>
  <si>
    <t>人员触电伤害，住院一周，损工一周</t>
  </si>
  <si>
    <t>1#EDI配电盘</t>
  </si>
  <si>
    <t>无</t>
  </si>
  <si>
    <t>20-5-31</t>
  </si>
  <si>
    <t>一人高处坠落，发生死亡事故</t>
  </si>
  <si>
    <t>20-8-10</t>
  </si>
  <si>
    <t>√ 规范使用安全带
√ 落实安全措施</t>
  </si>
  <si>
    <t>对操作人员进行了培训教育，施工前做了风险告知，并设专人监护，办理了高出作业票证，操作人员佩戴五点式安全带。</t>
  </si>
  <si>
    <t>一名外协人员触电死亡</t>
  </si>
  <si>
    <t>刘建恩</t>
  </si>
  <si>
    <t>5.5米推焦车</t>
  </si>
  <si>
    <t>承包商管理</t>
  </si>
  <si>
    <t>√ 加强外协施工单位安全监督
√ 及时制止违规接电</t>
  </si>
  <si>
    <t>对外协人员进行了培训教育，临时用电由炼焦车间电工拆接，并办理临时用电票证，在辖区设专职监护人。</t>
  </si>
  <si>
    <t>造成重大设备安全事故</t>
  </si>
  <si>
    <t>郭红岩</t>
  </si>
  <si>
    <t>√ 紧固螺丝
√ 及时维护修复</t>
  </si>
  <si>
    <t>20-6-1</t>
  </si>
  <si>
    <t>由维修对底座加固处理</t>
  </si>
  <si>
    <t>5米5焦炉炉顶</t>
  </si>
  <si>
    <t>面部轻微烧伤，一人损工</t>
  </si>
  <si>
    <t>炉顶</t>
  </si>
  <si>
    <t>√ 使用防护面罩
√ 人员在上风向</t>
  </si>
  <si>
    <t>对操作工进行了批评教育和扣罚处理，纠正了操作工的违章作业行为，在清理上升管时佩戴了防护面罩，确保不因炉火灼烫到脸部。</t>
  </si>
  <si>
    <t>20-6-4</t>
  </si>
  <si>
    <t>硫铵二楼</t>
  </si>
  <si>
    <t>一人骨折，住院治疗，损工一个月</t>
  </si>
  <si>
    <t>田志友</t>
  </si>
  <si>
    <t>20-8-25</t>
  </si>
  <si>
    <t>二楼除尘器放水管</t>
  </si>
  <si>
    <t>√ 剧警示色提示</t>
  </si>
  <si>
    <t>20-10-9</t>
  </si>
  <si>
    <t>20-6-5</t>
  </si>
  <si>
    <t>75T配电室</t>
  </si>
  <si>
    <t>地面积水发滑巡查人员轻微伤害</t>
  </si>
  <si>
    <t>张冠群</t>
  </si>
  <si>
    <t>高压配电室东门处</t>
  </si>
  <si>
    <t>左手臂骨折，住院治疗7天，在家休养60天的损工事件</t>
  </si>
  <si>
    <t>20-7-8</t>
  </si>
  <si>
    <t>× 管道覆盖
√ 加警示标识</t>
  </si>
  <si>
    <t>安装小心绊倒警示牌，警示提醒人员安全通过。</t>
  </si>
  <si>
    <t>划伤脚踝损工10天</t>
  </si>
  <si>
    <t>熄焦道轨南头西侧</t>
  </si>
  <si>
    <t>√ 清理剥落水泥块
× 及时修复</t>
  </si>
  <si>
    <t>20-6-15</t>
  </si>
  <si>
    <t>已对剥落水泥块进行清理</t>
  </si>
  <si>
    <t>20-6-10</t>
  </si>
  <si>
    <t>炼焦车间工段</t>
  </si>
  <si>
    <t>经过医院全力抢救，巡检人员伤势过重死亡。</t>
  </si>
  <si>
    <t>崔洪泉</t>
  </si>
  <si>
    <t>20-7-21</t>
  </si>
  <si>
    <t>5.5米捣鼓仓</t>
  </si>
  <si>
    <t>√ 加固彩钢瓦
√ 及时修复</t>
  </si>
  <si>
    <t>找维修人员加固修理了开裂的彩钢瓦，确保了不因大风造成彩钢掉落造成人员伤害。</t>
  </si>
  <si>
    <t>20-6-12</t>
  </si>
  <si>
    <t>小腿骨折，就医修养六个月。</t>
  </si>
  <si>
    <t>刘学军</t>
  </si>
  <si>
    <t>筛焦楼地面除尘</t>
  </si>
  <si>
    <t>√ 加装护栏
√ 做好个体防护</t>
  </si>
  <si>
    <t>20-6-16</t>
  </si>
  <si>
    <t>5米5焦炉地下室</t>
  </si>
  <si>
    <t>造成人员大面积煤气中毒，送医院抢救无效伤亡</t>
  </si>
  <si>
    <t>地下室东南侧轴流风扇</t>
  </si>
  <si>
    <t>√ 封堵破损部位
√ 加强巡检巡查</t>
  </si>
  <si>
    <t>20-6-26</t>
  </si>
  <si>
    <t>已对破损部位进行封堵</t>
  </si>
  <si>
    <t>20-6-18</t>
  </si>
  <si>
    <t>送医治疗，人员死亡。</t>
  </si>
  <si>
    <t>20-7-23</t>
  </si>
  <si>
    <t>东地面除尘</t>
  </si>
  <si>
    <t>踏板平台需具有足够强度，防止人员踩断坠落</t>
  </si>
  <si>
    <t>√ 平台下部与踏板垂直加装一根角铁支撑加固，防止人员踩断坠落</t>
  </si>
  <si>
    <t>检查牢固，不牢固的地方已进行加固</t>
  </si>
  <si>
    <t>20-6-20</t>
  </si>
  <si>
    <t>热力车间东区</t>
  </si>
  <si>
    <t>可能造成一名操作工手腕扭伤，在家休息一周后复工。</t>
  </si>
  <si>
    <t>唐炳涛</t>
  </si>
  <si>
    <t>南脱硫操作室</t>
  </si>
  <si>
    <t>20-6-23</t>
  </si>
  <si>
    <t>热力车间硫铵工段</t>
  </si>
  <si>
    <t>经医院抢救无效死亡，造成一人死亡事件。</t>
  </si>
  <si>
    <t>陈连胜</t>
  </si>
  <si>
    <t>20-6-30</t>
  </si>
  <si>
    <t>35t锅炉</t>
  </si>
  <si>
    <t>高空坠物，造成左侧肩部损伤，锁骨骨折需住院治疗损工2个月</t>
  </si>
  <si>
    <t>待整改</t>
  </si>
  <si>
    <t>张建华</t>
  </si>
  <si>
    <t>20-11-3</t>
  </si>
  <si>
    <t>35T锅炉本体</t>
  </si>
  <si>
    <t>× 定置放好工具
× 教育职工注意提高防范意识</t>
  </si>
  <si>
    <t>新化学水工段</t>
  </si>
  <si>
    <t>线路短路跳闸，造成设备停止，造成停产事故</t>
  </si>
  <si>
    <t>崔艳艳</t>
  </si>
  <si>
    <t>短路，停电，造成财产损失</t>
  </si>
  <si>
    <t>刘新才</t>
  </si>
  <si>
    <t>老化水配室</t>
  </si>
  <si>
    <t>× 加装灭弧罩
× 加强日常巡查</t>
  </si>
  <si>
    <t>20-7-1</t>
  </si>
  <si>
    <t>75T锅炉</t>
  </si>
  <si>
    <t>住院3个月，在家休养3个月，损工6个月</t>
  </si>
  <si>
    <t>于健</t>
  </si>
  <si>
    <t>煤仓顶部</t>
  </si>
  <si>
    <t>交接班及时封盖</t>
  </si>
  <si>
    <t>20-7-4</t>
  </si>
  <si>
    <t>一员工胳膊烫伤，损工40天</t>
  </si>
  <si>
    <t>热力西区</t>
  </si>
  <si>
    <t>√ 检修时更换阀门
√ 彻底焊接</t>
  </si>
  <si>
    <t>20-7-5</t>
  </si>
  <si>
    <t>35T锅炉二楼平台</t>
  </si>
  <si>
    <t>作业人员在晚上送照明开关时！误触接线排造成触电，发生融电伤害</t>
  </si>
  <si>
    <t>二楼平台照明箱</t>
  </si>
  <si>
    <t>重复</t>
  </si>
  <si>
    <t>5.5米捣固</t>
  </si>
  <si>
    <t>一名职工被坠落的挡风板砸重头部，当场身亡。</t>
  </si>
  <si>
    <t>马金梅</t>
  </si>
  <si>
    <t>捣固挡风板</t>
  </si>
  <si>
    <t>√ 更换彩钢瓦
√ 固定维护</t>
  </si>
  <si>
    <t>20-7-7</t>
  </si>
  <si>
    <t>热力车间脱硫岗位</t>
  </si>
  <si>
    <t>雨天及工作冲洗时电机漏电伤人及地面湿滑造成人员摔伤</t>
  </si>
  <si>
    <t>张传宝</t>
  </si>
  <si>
    <t>氨水罐南侧</t>
  </si>
  <si>
    <t>描述与标题不符</t>
  </si>
  <si>
    <t>造成颈椎骨折，送医抢救无效死亡</t>
  </si>
  <si>
    <t>20-8-8</t>
  </si>
  <si>
    <t>培训和表现</t>
  </si>
  <si>
    <t>√ 加强人员安全培训教育，清理余煤站在接煤板外侧
√ 确实需要清理接煤板时，做好安全防护措施</t>
  </si>
  <si>
    <t>加强了人员教育，清理时站在接煤板外侧，劳保着装，作业时做好防护。</t>
  </si>
  <si>
    <t>爆炸伤害致使二人死亡、三人重伤</t>
  </si>
  <si>
    <t>任成华</t>
  </si>
  <si>
    <t>20-7-31</t>
  </si>
  <si>
    <t>粗苯管式炉</t>
  </si>
  <si>
    <t>× 安装紧急切断阀</t>
  </si>
  <si>
    <t>20-10-25</t>
  </si>
  <si>
    <t>已停用，改为富油加热器</t>
  </si>
  <si>
    <t>旧化水</t>
  </si>
  <si>
    <t>在家休养七天，损工七天</t>
  </si>
  <si>
    <t>檀钰</t>
  </si>
  <si>
    <t>浓水池</t>
  </si>
  <si>
    <t>造成右小腿胫骨骨折，住院治疗一个月。</t>
  </si>
  <si>
    <t>马海东</t>
  </si>
  <si>
    <t>√ 恢复盖板
√ 盖好齐全</t>
  </si>
  <si>
    <t>20-10-14</t>
  </si>
  <si>
    <t>到医院缝了两针包扎后回家，误工5天。</t>
  </si>
  <si>
    <t>脱硫塔平台</t>
  </si>
  <si>
    <t>× 及时清理杂物
× 教育职工注意提高防范意识</t>
  </si>
  <si>
    <t>20-7-9</t>
  </si>
  <si>
    <t>35t疏水管</t>
  </si>
  <si>
    <t>住院5天，损工15天。</t>
  </si>
  <si>
    <t>35t锅炉东门</t>
  </si>
  <si>
    <t>5.5米焦炉拦焦</t>
  </si>
  <si>
    <t>拦焦车顶部</t>
  </si>
  <si>
    <t>√ 检修执行相关安全作业规范
√ 做好安全防范</t>
  </si>
  <si>
    <t>此处制作护栏，不便于生产，而且有挂安全带的固定点</t>
  </si>
  <si>
    <t>一操作工又肩骨折，住院治疗，损工61天</t>
  </si>
  <si>
    <t>李爱华</t>
  </si>
  <si>
    <t>捣固仓底南墙</t>
  </si>
  <si>
    <t>√ 加固彩钢瓦
√ 加强巡查</t>
  </si>
  <si>
    <t>20-7-24</t>
  </si>
  <si>
    <t>75T锅炉热力车间</t>
  </si>
  <si>
    <t>手臂烫伤，住院治疗十天，损工十天</t>
  </si>
  <si>
    <t>王盛超</t>
  </si>
  <si>
    <t>锅炉放灰管处</t>
  </si>
  <si>
    <t>20-7-25</t>
  </si>
  <si>
    <t>住院治疗12天，在家休息20天，工损工32天。</t>
  </si>
  <si>
    <t>姜宁</t>
  </si>
  <si>
    <t>新化学水车间内</t>
  </si>
  <si>
    <t>√ 焊补阻尼器
√ 巡检时戴护目镜</t>
  </si>
  <si>
    <t>20-7-26</t>
  </si>
  <si>
    <t>郝德志</t>
  </si>
  <si>
    <t>二级槽东</t>
  </si>
  <si>
    <t>35kv濰焦站</t>
  </si>
  <si>
    <t>集团公司通报</t>
  </si>
  <si>
    <t>生产管理处电工班</t>
  </si>
  <si>
    <t>刘庆川</t>
  </si>
  <si>
    <t>10KV控制室</t>
  </si>
  <si>
    <t>误提交</t>
  </si>
  <si>
    <t>20-7-27</t>
  </si>
  <si>
    <t>一人住院治疗20天，在家休养六个月。</t>
  </si>
  <si>
    <t>王雪颖</t>
  </si>
  <si>
    <t>35t除盐水箱平平台</t>
  </si>
  <si>
    <t>设行走区域</t>
  </si>
  <si>
    <t>35T锅炉锅炉岗位</t>
  </si>
  <si>
    <t>左腿大面积划伤，住院治疗7天，在家休息3天，损工10天</t>
  </si>
  <si>
    <t>刘新军</t>
  </si>
  <si>
    <t>35吨锅炉东侧</t>
  </si>
  <si>
    <t>住院治疗，损工二个月</t>
  </si>
  <si>
    <t>刘德明</t>
  </si>
  <si>
    <t>√ 加装护栏
√ 教育职工注意提高防范意识</t>
  </si>
  <si>
    <t>住院治疗，损工一周。</t>
  </si>
  <si>
    <t>秦光义</t>
  </si>
  <si>
    <t>巡检人员摔倒，造成头部轻微脑震荡住院7天</t>
  </si>
  <si>
    <t>絮凝剂罐旁边</t>
  </si>
  <si>
    <t>描述不知所云</t>
  </si>
  <si>
    <t>20-7-28</t>
  </si>
  <si>
    <t>划伤脖子，去医务室处理，未造成损工</t>
  </si>
  <si>
    <t>深井外供管线</t>
  </si>
  <si>
    <t>右小腿烫伤，送医院治疗一周，孙工一周。</t>
  </si>
  <si>
    <t>王帅</t>
  </si>
  <si>
    <t>75T锅炉三楼平台</t>
  </si>
  <si>
    <t>化工厂碳铵区域</t>
  </si>
  <si>
    <t>一人眼部灼伤，送医治疗7天</t>
  </si>
  <si>
    <t>李元成</t>
  </si>
  <si>
    <t>20-11-27</t>
  </si>
  <si>
    <t>氨水制备器处</t>
  </si>
  <si>
    <t>× 更换法兰垫子</t>
  </si>
  <si>
    <t>20-10-28</t>
  </si>
  <si>
    <t>20-7-29</t>
  </si>
  <si>
    <t>电缆绝缘层损坏抄电表数时发生触电事故</t>
  </si>
  <si>
    <t>建设项目“三同时”制度未落实</t>
  </si>
  <si>
    <t>高丽霞</t>
  </si>
  <si>
    <t>深井屋子</t>
  </si>
  <si>
    <t>× 整理电缆
× 理顺</t>
  </si>
  <si>
    <t>20-7-30</t>
  </si>
  <si>
    <t>眼睛灼伤，入院治疗一个月，误工三个月</t>
  </si>
  <si>
    <t>董丽霞</t>
  </si>
  <si>
    <t>化学水泵房</t>
  </si>
  <si>
    <t>被测蒸汽压力不准，蒸汽泄露伤人</t>
  </si>
  <si>
    <t>75吨平台</t>
  </si>
  <si>
    <t>20-8-2</t>
  </si>
  <si>
    <t>热力车间锅炉岗位</t>
  </si>
  <si>
    <t>造成操作工脚踝及腿部划伤半截裤子被煤气水浸湿</t>
  </si>
  <si>
    <t>厂区东北方</t>
  </si>
  <si>
    <t>20-8-4</t>
  </si>
  <si>
    <t>热力75t锅炉</t>
  </si>
  <si>
    <t>住院治疗损工一月</t>
  </si>
  <si>
    <t>75炉3层平台</t>
  </si>
  <si>
    <t>× 制作盖板
× 盖好盖板，保持完好齐全</t>
  </si>
  <si>
    <t>5.5米捣固机</t>
  </si>
  <si>
    <t>一人肩部骨折，五级伤残事故，损工一年</t>
  </si>
  <si>
    <t>孙启英</t>
  </si>
  <si>
    <t>20-9-7</t>
  </si>
  <si>
    <t>√ 清理松动砖块
√ 增加防护网</t>
  </si>
  <si>
    <t>把松动砖块清理并把水熄车开进塔底阻挡人员进入塔内</t>
  </si>
  <si>
    <t>5.5米焦炉拦焦岗位</t>
  </si>
  <si>
    <t>人员轻度灼伤，在医治疗一周，回家休养十五天，损工二十二天复工</t>
  </si>
  <si>
    <t>刘少奎</t>
  </si>
  <si>
    <t>拦焦</t>
  </si>
  <si>
    <t>√ 严禁交叉作业
√ 禁止人员随意出入作业区域</t>
  </si>
  <si>
    <t>对出炉工及区域人员进行了操作规程的重新学习，强烈要求不得严禁交叉作业，无关人员不得随意进入作业区，作业人员必须劳保着装，违反严肃处理。</t>
  </si>
  <si>
    <t>20-8-5</t>
  </si>
  <si>
    <t>汽轮机分气缸</t>
  </si>
  <si>
    <t>一巡查人员脚踏入破损处擦伤，无损工。稍后正常工作</t>
  </si>
  <si>
    <t>分汽缸排水沟</t>
  </si>
  <si>
    <t>20-8-6</t>
  </si>
  <si>
    <t>住院治疗，损工半月。</t>
  </si>
  <si>
    <t>李玉军</t>
  </si>
  <si>
    <t>锅炉平台</t>
  </si>
  <si>
    <t>20-8-7</t>
  </si>
  <si>
    <t>循环水泵</t>
  </si>
  <si>
    <t>造成手部骨折，送医院治疗二个月，限工二月</t>
  </si>
  <si>
    <t>污水池北侧</t>
  </si>
  <si>
    <t>汽机油站</t>
  </si>
  <si>
    <t>大腿摔伤住院治疗7天在家休养20天</t>
  </si>
  <si>
    <t>刘家丰</t>
  </si>
  <si>
    <t>送医院就医后，在家休养3天，损工3天</t>
  </si>
  <si>
    <t>锅炉输水管</t>
  </si>
  <si>
    <t>化学水老系统</t>
  </si>
  <si>
    <t>左小腿骨折，损工三个月。</t>
  </si>
  <si>
    <t>√ 重新制作铁质盖板，刷漆防腐
√ 盖好，保持盖板齐全</t>
  </si>
  <si>
    <t>造成巡检人员伤害  或公司检查通报批评</t>
  </si>
  <si>
    <t>地下（含水下）作业环境不良</t>
  </si>
  <si>
    <t>陶明涛</t>
  </si>
  <si>
    <t>2#循环泵处</t>
  </si>
  <si>
    <t>× 整理理顺电缆
× 教育职工注意提高防范意识</t>
  </si>
  <si>
    <t>5.5米焦炉烟道通廊</t>
  </si>
  <si>
    <t>一名职工右肩骨折，住院15天，休养60天。</t>
  </si>
  <si>
    <t>齐立臣</t>
  </si>
  <si>
    <t>20-9-8</t>
  </si>
  <si>
    <t>机侧通廊52#上方平</t>
  </si>
  <si>
    <t>√ 加固铺板
√ 人员禁止靠近</t>
  </si>
  <si>
    <t>20-8-20</t>
  </si>
  <si>
    <t>由维修进行了加固处理</t>
  </si>
  <si>
    <t>化产车间，深度脫硫</t>
  </si>
  <si>
    <t>一名操作工烫伤，在家休养七天</t>
  </si>
  <si>
    <t>张广德</t>
  </si>
  <si>
    <t>20-8-31</t>
  </si>
  <si>
    <t>深度脱硫</t>
  </si>
  <si>
    <t>√ 处理泄漏点</t>
  </si>
  <si>
    <t>20-10-10</t>
  </si>
  <si>
    <t>一操作工左脚脚踝骨折，住院治疗，损工61天</t>
  </si>
  <si>
    <t>焦测通廊东墙</t>
  </si>
  <si>
    <t>√ 加固处理
× 维修更换</t>
  </si>
  <si>
    <t>已由常调人员用采钢瓦进行了加固处理</t>
  </si>
  <si>
    <t>热力车间煤场</t>
  </si>
  <si>
    <t>巡检时防范意识不强，容易造成人员伤害，</t>
  </si>
  <si>
    <t>刘成林</t>
  </si>
  <si>
    <t>天车平台</t>
  </si>
  <si>
    <t>√ 焊接固定
√ 教育职工注意提高防范意识</t>
  </si>
  <si>
    <t>20-8-9</t>
  </si>
  <si>
    <t>地面有积水容易打滑，造成人员伤害。</t>
  </si>
  <si>
    <t>田清州</t>
  </si>
  <si>
    <t>东区深井屋门口口</t>
  </si>
  <si>
    <t>75T锅炉输煤系统</t>
  </si>
  <si>
    <t>右臂骨拆，损工三个月。</t>
  </si>
  <si>
    <t>输煤3号带</t>
  </si>
  <si>
    <t>有护栏</t>
  </si>
  <si>
    <t>35吨锅炉</t>
  </si>
  <si>
    <t>可导致巡检人员扭伤摔伤</t>
  </si>
  <si>
    <t>胡汉东</t>
  </si>
  <si>
    <t>锅炉一楼</t>
  </si>
  <si>
    <t>膝盖擦伤休息三天复工</t>
  </si>
  <si>
    <t>刘梅</t>
  </si>
  <si>
    <t>20-8-30</t>
  </si>
  <si>
    <t>脱硫箱</t>
  </si>
  <si>
    <t>√ 即使关闭观察人孔盖</t>
  </si>
  <si>
    <t>20-10-29</t>
  </si>
  <si>
    <t>脚部轻微骨折住院治疗三天休养20天复工</t>
  </si>
  <si>
    <t>于雪艳</t>
  </si>
  <si>
    <t>操作室门口</t>
  </si>
  <si>
    <t>√ 规范放置到架子上</t>
  </si>
  <si>
    <t>20-8-11</t>
  </si>
  <si>
    <t>锅炉压火停炉，经济损失5万元</t>
  </si>
  <si>
    <t>75吨锅炉3楼</t>
  </si>
  <si>
    <t>× 恢复盖板
× 加强日常巡查</t>
  </si>
  <si>
    <t>西三岗位</t>
  </si>
  <si>
    <t>赵兴辉</t>
  </si>
  <si>
    <t>赵明</t>
  </si>
  <si>
    <t>20-9-11</t>
  </si>
  <si>
    <t>西三</t>
  </si>
  <si>
    <t>√ 套管归位，并做好巡回检查！</t>
  </si>
  <si>
    <t>20-8-12</t>
  </si>
  <si>
    <t>人员伤害事故</t>
  </si>
  <si>
    <t>刘伟伟</t>
  </si>
  <si>
    <t>20-9-30</t>
  </si>
  <si>
    <t>西一</t>
  </si>
  <si>
    <t>√ 计划更换铺设的铁板
√ 人员不要在腐烂的铁板处逗留，防止发生人员伤害事故</t>
  </si>
  <si>
    <t>20-10-4</t>
  </si>
  <si>
    <t>20-8-13</t>
  </si>
  <si>
    <t>住院治疗3天,在家休息5天，共损工8天。</t>
  </si>
  <si>
    <t>刘欢</t>
  </si>
  <si>
    <t>新化学水车间</t>
  </si>
  <si>
    <t>√ 维修处理
√ 焊补漏点</t>
  </si>
  <si>
    <t>20-8-15</t>
  </si>
  <si>
    <t>一名操作工死亡事故</t>
  </si>
  <si>
    <t>高士国</t>
  </si>
  <si>
    <t>输煤系统</t>
  </si>
  <si>
    <t>× 焊接护栏防护
× 教育职工注意提高防范意识</t>
  </si>
  <si>
    <t>20-8-16</t>
  </si>
  <si>
    <t>掉落造成小腿骨折，损工一星期</t>
  </si>
  <si>
    <t>于佳佳</t>
  </si>
  <si>
    <t>新化学水操作室</t>
  </si>
  <si>
    <t>掉落造成小腿骨折，损工1个月</t>
  </si>
  <si>
    <t>王国花</t>
  </si>
  <si>
    <t>新化学水北门盐酸罐</t>
  </si>
  <si>
    <t>20-8-18</t>
  </si>
  <si>
    <t>损工七天休养一周</t>
  </si>
  <si>
    <t>刘宝安</t>
  </si>
  <si>
    <t>三楼平台南侧</t>
  </si>
  <si>
    <t>20-8-19</t>
  </si>
  <si>
    <t>住院治疗，损工15天</t>
  </si>
  <si>
    <t>75吨锅炉水封放水池</t>
  </si>
  <si>
    <t>煤场天车</t>
  </si>
  <si>
    <t>一名操作工脚部扭伤，休息一小时，复工</t>
  </si>
  <si>
    <t>张禄</t>
  </si>
  <si>
    <t>煤场</t>
  </si>
  <si>
    <t>35T锅炉除尘器</t>
  </si>
  <si>
    <t>一名巡检工肩部骨折，损工3个月</t>
  </si>
  <si>
    <t>除尘烟道支架</t>
  </si>
  <si>
    <t>热力东区</t>
  </si>
  <si>
    <t>人员脚砸伤，损工3天</t>
  </si>
  <si>
    <t>魏晓贞</t>
  </si>
  <si>
    <t>电容室内</t>
  </si>
  <si>
    <t>× 清理铁板
× 加强日常巡查</t>
  </si>
  <si>
    <t>20-8-23</t>
  </si>
  <si>
    <t>腿部擦伤简单处理后不影响工作。</t>
  </si>
  <si>
    <t>热力西区发电机小室南</t>
  </si>
  <si>
    <t>硫铵三楼</t>
  </si>
  <si>
    <t>浪浪费脫硫液，卫生不干净</t>
  </si>
  <si>
    <t>√ 更换不锈钢围堰
√ 加强日常巡查</t>
  </si>
  <si>
    <t>35t锅炉，</t>
  </si>
  <si>
    <t>损工三天。</t>
  </si>
  <si>
    <t>高国卿</t>
  </si>
  <si>
    <t>三楼平台</t>
  </si>
  <si>
    <t>造成人员触电和设备突然停电</t>
  </si>
  <si>
    <t>10KV配电室</t>
  </si>
  <si>
    <t>地点</t>
  </si>
  <si>
    <t>20-8-24</t>
  </si>
  <si>
    <t>住院治疗，损工一个月</t>
  </si>
  <si>
    <t>75t锅炉一层</t>
  </si>
  <si>
    <t>眼睛灼伤，误工2天.</t>
  </si>
  <si>
    <t>脱硫岗位</t>
  </si>
  <si>
    <t>脚踝扭伤，住院治疗20天，在家修养10天痊愈。损工30天。</t>
  </si>
  <si>
    <t>汽轮机一楼</t>
  </si>
  <si>
    <t>住院治疗，损工二个月。</t>
  </si>
  <si>
    <t>张兴才</t>
  </si>
  <si>
    <t>汽轮机一层</t>
  </si>
  <si>
    <t>住院治疗，损工3个月。</t>
  </si>
  <si>
    <t>刘建卫</t>
  </si>
  <si>
    <t>化学水西侧水沟</t>
  </si>
  <si>
    <t>20-8-26</t>
  </si>
  <si>
    <t>右手扭伤，休息三天</t>
  </si>
  <si>
    <t>造成一名员工死亡事故</t>
  </si>
  <si>
    <t>张仁良</t>
  </si>
  <si>
    <t>外侧有护栏</t>
  </si>
  <si>
    <t>新化水</t>
  </si>
  <si>
    <t>造成眼部灼伤，入院治疗三天，在家休养七天，共损工十天</t>
  </si>
  <si>
    <t>新化学水厂房</t>
  </si>
  <si>
    <t>20-8-27</t>
  </si>
  <si>
    <t>巡检时不慎掉落，造成脚腕扭伤，损工一星期</t>
  </si>
  <si>
    <t>汽机一楼油箱上部墙框</t>
  </si>
  <si>
    <t>人员肩部砸伤，在医院治疗五天，在家休息七天，损工一十二天</t>
  </si>
  <si>
    <t>刘春峰</t>
  </si>
  <si>
    <t>汽机一楼油箱上部墙体</t>
  </si>
  <si>
    <t>20-8-28</t>
  </si>
  <si>
    <t>巡检工在巡查时管线支架开焊坠落，造成轻伤，误工五天。</t>
  </si>
  <si>
    <t>魏天华</t>
  </si>
  <si>
    <t>20-9-29</t>
  </si>
  <si>
    <t>√ 固定管道支架</t>
  </si>
  <si>
    <t>工作人员三班工作，在巡检中造成人员伤害</t>
  </si>
  <si>
    <t>田怀成</t>
  </si>
  <si>
    <t>天车</t>
  </si>
  <si>
    <t>√ 加固护栏</t>
  </si>
  <si>
    <t>左腿骨折，损工三个月。</t>
  </si>
  <si>
    <t>职业安全卫生组织机构不健全</t>
  </si>
  <si>
    <t>除氧间</t>
  </si>
  <si>
    <t>√ 制作可移动工作平台</t>
  </si>
  <si>
    <t>20-8-29</t>
  </si>
  <si>
    <t>造成后脑勺轻微脑震荡</t>
  </si>
  <si>
    <t>污水反渗透</t>
  </si>
  <si>
    <t>√ 更换活节丝头</t>
  </si>
  <si>
    <t>碳化塔操作区</t>
  </si>
  <si>
    <t>造成重大经济损失，影响正常生产！</t>
  </si>
  <si>
    <t>吴少明</t>
  </si>
  <si>
    <t>热力煤场</t>
  </si>
  <si>
    <t>不符</t>
  </si>
  <si>
    <t>汽机一楼，空冷器东侧</t>
  </si>
  <si>
    <t>送医院治疗，腿部缝了十针，住院十五天，限工十五天</t>
  </si>
  <si>
    <t>20-10-27</t>
  </si>
  <si>
    <t>空冷器东侧</t>
  </si>
  <si>
    <t>√ 恢复盖板
√ 盖好，保持盖板齐全</t>
  </si>
  <si>
    <t>20-10-17</t>
  </si>
  <si>
    <t>盖板已恢复，盖好</t>
  </si>
  <si>
    <t>造成该操作工因当场触电身亡</t>
  </si>
  <si>
    <t>白立军</t>
  </si>
  <si>
    <t>两盐操作室</t>
  </si>
  <si>
    <t>√ 改造线缆开关，线路穿套管</t>
  </si>
  <si>
    <t>一名巡检工左手手踝骨折，送医治疗三天，损工一月</t>
  </si>
  <si>
    <t>西硫铵配电室</t>
  </si>
  <si>
    <t>√ 拆除配电箱</t>
  </si>
  <si>
    <t>送医院就医，在家休养7天，损工7天</t>
  </si>
  <si>
    <t>× 更换盖板
× 盖好，保持盖板齐全</t>
  </si>
  <si>
    <t>20-9-1</t>
  </si>
  <si>
    <t>一名操作工触电，浑身乏力，未造成大的伤害，休息后恢复正常</t>
  </si>
  <si>
    <t>35吨一楼</t>
  </si>
  <si>
    <t>× 恢复配电箱护盖
× 教育职工注意提高防范意识</t>
  </si>
  <si>
    <t>20-9-2</t>
  </si>
  <si>
    <t>操作人员在合照明闸时，易发生触电事故，造成轻微伤害，未损工</t>
  </si>
  <si>
    <t>二楼平台</t>
  </si>
  <si>
    <t>× 恢复盖板
× 教育职工注意提高防范意识</t>
  </si>
  <si>
    <t>化水水池</t>
  </si>
  <si>
    <t>经处理后，未影响正常工作，未损工。</t>
  </si>
  <si>
    <t>除盐水池东头</t>
  </si>
  <si>
    <t>20-9-6</t>
  </si>
  <si>
    <t>5.5米焦炉炉顶</t>
  </si>
  <si>
    <t>上升管冒大烟造成环保事故，经济损失10万元。</t>
  </si>
  <si>
    <t>20-10-6</t>
  </si>
  <si>
    <t>炉顶南侧煤气管架处</t>
  </si>
  <si>
    <t>√ 恢复保温
√ 保证阀门保温良好</t>
  </si>
  <si>
    <t>上报了保温部位，外协人员立刻进行了保温处理，其他需保温部位也全部上报车间，近期将全部包好，迎接冬季生产。</t>
  </si>
  <si>
    <t>5.5米焦炉地下室</t>
  </si>
  <si>
    <t>环保事故公司通报</t>
  </si>
  <si>
    <t>焦侧开闭器</t>
  </si>
  <si>
    <t>√ 及时注油润滑
√ 保持润滑效果</t>
  </si>
  <si>
    <t>20-9-10</t>
  </si>
  <si>
    <t>常调工进行了除锈注油润滑</t>
  </si>
  <si>
    <t>5.5米脱硫脱硝酸</t>
  </si>
  <si>
    <t>人员坠落小腿骨折住院15天，在家休息三个月</t>
  </si>
  <si>
    <t>韩瑞刚</t>
  </si>
  <si>
    <t>20-10-19</t>
  </si>
  <si>
    <t>在线检测小屋前</t>
  </si>
  <si>
    <t>描述不具体</t>
  </si>
  <si>
    <t>√ 将阀门移到便于操作位置
× 增设爬梯平台</t>
  </si>
  <si>
    <t>为了操作方便维修人员把操作阀门移到了烟道处，可以在地面方便操作。</t>
  </si>
  <si>
    <t>脱硫二楼振动筛面北侧</t>
  </si>
  <si>
    <t>√ 重新制作爬梯护栏
√ 教育职工注意提高防范意识</t>
  </si>
  <si>
    <t>旧化水，</t>
  </si>
  <si>
    <t>巡检工在巡检蒸汽管线时，安全意识不强，选成扭伤，损工一月。</t>
  </si>
  <si>
    <t>20-9-13</t>
  </si>
  <si>
    <t>操作工触电，送医院抢救无效死亡。</t>
  </si>
  <si>
    <t>水封槽北侧</t>
  </si>
  <si>
    <t>√ 更换腐蚀断裂的线缆穿线管</t>
  </si>
  <si>
    <t>眼睛灼伤，入院治疗5天，在家休息5天，损工10天。</t>
  </si>
  <si>
    <t>化水车间</t>
  </si>
  <si>
    <t>√ 紧固法兰
√ 教育职工注意提高防范意识</t>
  </si>
  <si>
    <t>20-9-15</t>
  </si>
  <si>
    <t>化产粗苯</t>
  </si>
  <si>
    <t>在家休息一天，损工一天</t>
  </si>
  <si>
    <t>20-9-28</t>
  </si>
  <si>
    <t>粗苯西南角</t>
  </si>
  <si>
    <t>√ 焊接开焊的护笼</t>
  </si>
  <si>
    <t>20-9-17</t>
  </si>
  <si>
    <t>右手手腕轻微骨折，损工一个月</t>
  </si>
  <si>
    <t>20-10-24</t>
  </si>
  <si>
    <t>旋转密封阀</t>
  </si>
  <si>
    <t>安全意识强巡查认真</t>
  </si>
  <si>
    <t>√ 联系维修加装护栏</t>
  </si>
  <si>
    <t>20-10-16</t>
  </si>
  <si>
    <t>安装警示牌，提醒员工上下爬梯注意安全</t>
  </si>
  <si>
    <t>20-9-19</t>
  </si>
  <si>
    <t>左脚脚踝扭伤，左小臂擦伤，送医务室治疗。损工15天。</t>
  </si>
  <si>
    <t>主控楼顶</t>
  </si>
  <si>
    <t>加护栏加强防护</t>
  </si>
  <si>
    <t>√ 按规范安装护栏，加强防护，防止人员失足扭伤</t>
  </si>
  <si>
    <t>联系维修安装护栏</t>
  </si>
  <si>
    <t>汽轮机七米</t>
  </si>
  <si>
    <t>右脚踝扭伤，损工一个月。</t>
  </si>
  <si>
    <t>汽轮机七米爬梯</t>
  </si>
  <si>
    <t>加装安全警示牌，提高人员上下爬梯时安全意识</t>
  </si>
  <si>
    <t>√ 加装安全警示牌，提高人员上下爬梯时安全意识</t>
  </si>
  <si>
    <t>安装警示牌，提醒员工上午爬梯注意安全</t>
  </si>
  <si>
    <t>20-9-21</t>
  </si>
  <si>
    <t>背部轻微骨折，住院治疗一个月在家休养一个月。</t>
  </si>
  <si>
    <t>高德钦</t>
  </si>
  <si>
    <t>废水槽</t>
  </si>
  <si>
    <t>√ 清除旧铁桶</t>
  </si>
  <si>
    <t>20-10-26</t>
  </si>
  <si>
    <t>化产车间南冷凝</t>
  </si>
  <si>
    <t>破损铝皮划伤手腕简单包扎处理不影响工作。</t>
  </si>
  <si>
    <t>√ 用玻璃丝布缠绕</t>
  </si>
  <si>
    <t>20-9-24</t>
  </si>
  <si>
    <t>水处理区域</t>
  </si>
  <si>
    <t>巡检时不慎掉落造成小腿骨折，损工半月</t>
  </si>
  <si>
    <t>新化学水加药间</t>
  </si>
  <si>
    <t>右脚划伤损工半天。</t>
  </si>
  <si>
    <t>脱硫</t>
  </si>
  <si>
    <t>√ 更换铁质盖板
√ 教育职工注意提高防范意识</t>
  </si>
  <si>
    <t>20-10-18</t>
  </si>
  <si>
    <t>20-9-25</t>
  </si>
  <si>
    <t>家休养7天，损工7天</t>
  </si>
  <si>
    <t>刘金科</t>
  </si>
  <si>
    <t>配电室需按标准规范配绝缘胶板</t>
  </si>
  <si>
    <t>√ 更换绝缘胶板，确保完整有效性</t>
  </si>
  <si>
    <t>备煤东线</t>
  </si>
  <si>
    <t>右脚划伤损工半天</t>
  </si>
  <si>
    <t>刘明源</t>
  </si>
  <si>
    <t>煤棚水沟</t>
  </si>
  <si>
    <t>√ 重新更换盖板
√ 人员经过时注意脚下，防止绊倒</t>
  </si>
  <si>
    <t>20-9-26</t>
  </si>
  <si>
    <t>住院15天，修养90天。</t>
  </si>
  <si>
    <t>初冷器东侧</t>
  </si>
  <si>
    <t>√ 焊接</t>
  </si>
  <si>
    <t>20-9-27</t>
  </si>
  <si>
    <t>75吨锅炉</t>
  </si>
  <si>
    <t>高温炉灰躲闪不及时容易造成高温灼伤人员伤害</t>
  </si>
  <si>
    <t>锅炉一层</t>
  </si>
  <si>
    <t>√ 更换卸灰阀
√ 教育职工注意提高防范意识</t>
  </si>
  <si>
    <t>一人烫伤左手臂，正常上班</t>
  </si>
  <si>
    <t>王海国</t>
  </si>
  <si>
    <t>液下泵蒸汽阀门</t>
  </si>
  <si>
    <t>√ 更换阀门垫子</t>
  </si>
  <si>
    <t>热力车间硫铵楼南侧</t>
  </si>
  <si>
    <t>住院治疗7天，损工一月</t>
  </si>
  <si>
    <t>结晶槽</t>
  </si>
  <si>
    <t>√ 制作安装踢脚板
√ 教育职工注意提高防范意识</t>
  </si>
  <si>
    <t>化产车间南脱硫</t>
  </si>
  <si>
    <t>安全带勒伤人员，送医治疗，休息五天上班，损工。</t>
  </si>
  <si>
    <t>南脱硫南框架</t>
  </si>
  <si>
    <t>√ 停止作业，进行安全培训规范使用安全带</t>
  </si>
  <si>
    <t>住院治疗一个月的损工事故。</t>
  </si>
  <si>
    <t>75T锅炉渣库</t>
  </si>
  <si>
    <t>一人眼部灼伤，住院治疗三天，在家休养一周</t>
  </si>
  <si>
    <t>硫铵</t>
  </si>
  <si>
    <t>一人损工。</t>
  </si>
  <si>
    <t>二楼离心机</t>
  </si>
  <si>
    <t>√ 更换垫子或腐蚀的短接</t>
  </si>
  <si>
    <t>人员触电，损工一周</t>
  </si>
  <si>
    <t>南脱硫循环槽上部</t>
  </si>
  <si>
    <t>√ 电工规范接线</t>
  </si>
  <si>
    <t>住院治疗，损工两个月。</t>
  </si>
  <si>
    <t>付洪友</t>
  </si>
  <si>
    <t>锅炉汽包旁边</t>
  </si>
  <si>
    <t>× 恢复盖板
× 盖好齐全</t>
  </si>
  <si>
    <t>一员工治疗IO天，损工IO天</t>
  </si>
  <si>
    <t>35t锅炉一楼</t>
  </si>
  <si>
    <t>√ 工完料清场地净
√ 工具定制存放</t>
  </si>
  <si>
    <t>右脚磕伤，医务室处理后正常上班</t>
  </si>
  <si>
    <t>脱硫循环水池</t>
  </si>
  <si>
    <t>已废弃</t>
  </si>
  <si>
    <t>危废库</t>
  </si>
  <si>
    <t>危废库北库房</t>
  </si>
  <si>
    <t>造成污水处理设备停运5个小时，少处理污水180立方</t>
  </si>
  <si>
    <t>污水超滤</t>
  </si>
  <si>
    <t>左手臂轻微擦伤</t>
  </si>
  <si>
    <t>赵玉强</t>
  </si>
  <si>
    <t>北脱硫泵房北门口路面</t>
  </si>
  <si>
    <t>√ 清楚路边废铁管</t>
  </si>
  <si>
    <t>财产损失2-10万元</t>
  </si>
  <si>
    <t>于秋菊</t>
  </si>
  <si>
    <t>20-11-10</t>
  </si>
  <si>
    <t>√ 维修检查电机</t>
  </si>
  <si>
    <t>一职工手臂轻微擦伤</t>
  </si>
  <si>
    <t>75t锅炉，渣库爬梯</t>
  </si>
  <si>
    <t>√ 悬挂“上下爬梯注意安全”警示牌
√ 教育职工注意提高防范意识</t>
  </si>
  <si>
    <t>备煤西线</t>
  </si>
  <si>
    <t>腿部轻微伤</t>
  </si>
  <si>
    <t>邢志鹏</t>
  </si>
  <si>
    <t>20-10-5</t>
  </si>
  <si>
    <t>煤场道路水沟</t>
  </si>
  <si>
    <t>√ 更换盖板
√ 人员行走注意脚下安全</t>
  </si>
  <si>
    <t>人员挤伤</t>
  </si>
  <si>
    <t>杨斌</t>
  </si>
  <si>
    <t>20-11-1</t>
  </si>
  <si>
    <t>√ 立即联系维修焊接，以防事故发生！</t>
  </si>
  <si>
    <t>污水外漏，污染环境</t>
  </si>
  <si>
    <t>赵延平</t>
  </si>
  <si>
    <t>煤场西南角</t>
  </si>
  <si>
    <t>√ 尽快维修，加强管理，杜绝“跑”、“冒”、“滴”、“漏”现象发生。</t>
  </si>
  <si>
    <t>热力车间院西北角</t>
  </si>
  <si>
    <t>磕破皮(小腿)</t>
  </si>
  <si>
    <t>热力车间西北角地沟盖</t>
  </si>
  <si>
    <t>√ 重新制作盖板
√ 盖好，保持盖板齐全</t>
  </si>
  <si>
    <t>化产车间 两盐工段</t>
  </si>
  <si>
    <t>破片击伤该操作工面部造成轻微划伤，没有损工</t>
  </si>
  <si>
    <t>切片机</t>
  </si>
  <si>
    <t>√ 更换防护罩</t>
  </si>
  <si>
    <t>化水浓水排放地沟</t>
  </si>
  <si>
    <t>一名巡检工扭伤脚腕，划伤小腿，简单包扎休息后，不影响工作</t>
  </si>
  <si>
    <t>张志然</t>
  </si>
  <si>
    <t>20-11-7</t>
  </si>
  <si>
    <t>焦四机头</t>
  </si>
  <si>
    <t>× 增设防护罩
× 现场设置警示标志</t>
  </si>
  <si>
    <t>腐蚀计量泵造成泵损坏</t>
  </si>
  <si>
    <t>隐患描述不清</t>
  </si>
  <si>
    <t>付洪亮</t>
  </si>
  <si>
    <t>机侧二层平台</t>
  </si>
  <si>
    <t>× 加固平台
× 平台覆盖铁板</t>
  </si>
  <si>
    <t>一职工手臂轻微擦伤。</t>
  </si>
  <si>
    <t>刘金光</t>
  </si>
  <si>
    <t>√ 严格按照岗位物品摆放标准进行摆放，提高意识，加强辨识。</t>
  </si>
  <si>
    <t>负荷超限</t>
  </si>
  <si>
    <t>程秀鹏</t>
  </si>
  <si>
    <t>社会影响</t>
  </si>
  <si>
    <t>× 更换油缸
× 及时消除隐患</t>
  </si>
  <si>
    <t>两盐</t>
  </si>
  <si>
    <t>一名操作工右手粉碎性骨折截肢，损工半年。</t>
  </si>
  <si>
    <t>张守勇</t>
  </si>
  <si>
    <t>两盐分离器附近</t>
  </si>
  <si>
    <t>√ 安装防护罩</t>
  </si>
  <si>
    <t>设备停电，造成生产停产，造成环保事故</t>
  </si>
  <si>
    <t>李光进</t>
  </si>
  <si>
    <t>× 恢复护盖
× 固定牢固</t>
  </si>
  <si>
    <t>5.5米焦炉煤气水封</t>
  </si>
  <si>
    <t>一人中毒事故</t>
  </si>
  <si>
    <t>许开通</t>
  </si>
  <si>
    <t>煤仓底部</t>
  </si>
  <si>
    <t>用彩钢瓦封堵和煤气水封泄露没有必然关系</t>
  </si>
  <si>
    <t>冷凝</t>
  </si>
  <si>
    <t>造成环保事故，集团公司通报批评。</t>
  </si>
  <si>
    <t>信号缺陷</t>
  </si>
  <si>
    <t>牟圆圆</t>
  </si>
  <si>
    <t>√ 检查后维护处理</t>
  </si>
  <si>
    <t>脚踝划伤</t>
  </si>
  <si>
    <t>胡红晨</t>
  </si>
  <si>
    <t>× 设立警戒线或警示牌；移走栅栏板</t>
  </si>
  <si>
    <t>人员伤害。</t>
  </si>
  <si>
    <t>20-10-3</t>
  </si>
  <si>
    <t>√ 维修焊补护照罩
√ 设备使用时发现问题及时处理，防止发生事故</t>
  </si>
  <si>
    <t>一名操作工烫伤手背，涂抹烫伤膏，不影响工作。</t>
  </si>
  <si>
    <t>锅炉一层排污管线</t>
  </si>
  <si>
    <t>一人右腿擦伤，简单包扎后返工，未损工</t>
  </si>
  <si>
    <t>刘建平</t>
  </si>
  <si>
    <t>初冷器南花砖地面</t>
  </si>
  <si>
    <t>炼焦车间干熄焦</t>
  </si>
  <si>
    <t>一人眼部轻微损伤事故损工一天</t>
  </si>
  <si>
    <t>待核查</t>
  </si>
  <si>
    <t>干熄车</t>
  </si>
  <si>
    <t>人员触电伤害，在家修养十天</t>
  </si>
  <si>
    <t>张洪波</t>
  </si>
  <si>
    <t>炉顶北间台悬臂吊</t>
  </si>
  <si>
    <t>损工伤害判定C2？</t>
  </si>
  <si>
    <t>√ 规范电气线路安装
× 加强巡检巡查</t>
  </si>
  <si>
    <t>由电工进行规范安装，电工重新捆扎了电线，做好了绝缘防护。</t>
  </si>
  <si>
    <t>砸伤，造成人员伤害</t>
  </si>
  <si>
    <t>范波</t>
  </si>
  <si>
    <t>西五通廊</t>
  </si>
  <si>
    <t>√ 拆除不牢固的遗留胎板
√ 人员经过注意上方掉落物，防止伤人</t>
  </si>
  <si>
    <t>加装时，作业工操作意识不强阀体坠落，造成腿部砸伤，损工一月，</t>
  </si>
  <si>
    <t>作业现场当场整改</t>
  </si>
  <si>
    <t>一操作工左脚脚踝骨折，住院治疗，损工61天。</t>
  </si>
  <si>
    <t>焦侧通廊东墙</t>
  </si>
  <si>
    <t>√ 修复缺失花砖
× 按照劳保着装，穿防砸鞋</t>
  </si>
  <si>
    <t>把破口用花砖重新砌好。</t>
  </si>
  <si>
    <t>停车检修，经济损失2000元。</t>
  </si>
  <si>
    <t>郭才喜</t>
  </si>
  <si>
    <t>20-10-13</t>
  </si>
  <si>
    <t>西四</t>
  </si>
  <si>
    <t>√ 密切注意运行情况，尽快对其更换。</t>
  </si>
  <si>
    <t>南化产风机岗位</t>
  </si>
  <si>
    <t>手臂烫伤，损工十五天</t>
  </si>
  <si>
    <t>3#初冷器上段氨水管</t>
  </si>
  <si>
    <t>√ 更换腐蚀的管道</t>
  </si>
  <si>
    <t>环境污染，车间影响</t>
  </si>
  <si>
    <t>于松江</t>
  </si>
  <si>
    <t>电捕西侧</t>
  </si>
  <si>
    <t>√ 清理残渣</t>
  </si>
  <si>
    <t>5.5米送煤车</t>
  </si>
  <si>
    <t>扈金星</t>
  </si>
  <si>
    <t>一号刮板机</t>
  </si>
  <si>
    <t>× 修复刮板机篦子板
× 及时固定</t>
  </si>
  <si>
    <t>一人小腿擦伤，消毒处理后继续工作</t>
  </si>
  <si>
    <t>于观成</t>
  </si>
  <si>
    <t>20-11-4</t>
  </si>
  <si>
    <t>煤八</t>
  </si>
  <si>
    <t>√ 责令职工将篦子盖严</t>
  </si>
  <si>
    <t>一人手掌膝盖擦伤，消毒处理后继续工作</t>
  </si>
  <si>
    <t>冯成刚</t>
  </si>
  <si>
    <t>煤棚</t>
  </si>
  <si>
    <t>√ 立即将篦子复位</t>
  </si>
  <si>
    <t>一人膝盖擦伤，消毒处理后继续工作</t>
  </si>
  <si>
    <t>2#煤场</t>
  </si>
  <si>
    <t>√ 联系维修割除</t>
  </si>
  <si>
    <t>右手臂烫伤，住院七天，损工十五天</t>
  </si>
  <si>
    <t>一楼放灰处</t>
  </si>
  <si>
    <t>风险判定错误</t>
  </si>
  <si>
    <t>摔伤，住院治疗！</t>
  </si>
  <si>
    <t>脱硫塔中部人孔处</t>
  </si>
  <si>
    <t>造成巡查工掉力下水管道中脚踝扭伤腿部擦伤</t>
  </si>
  <si>
    <t>20-11-26</t>
  </si>
  <si>
    <t>灰泵东侧下水管道</t>
  </si>
  <si>
    <t>× 重新制作盖板
× 盖好齐全</t>
  </si>
  <si>
    <t>住院治治疗，损工一月。</t>
  </si>
  <si>
    <t>脱脱硫塔中部</t>
  </si>
  <si>
    <t>热力35t锅炉</t>
  </si>
  <si>
    <t>停炉停产造成经济损失</t>
  </si>
  <si>
    <t>35锅炉炉顶</t>
  </si>
  <si>
    <t>一名操作工肩部受伤，送医务室处理，误工一天</t>
  </si>
  <si>
    <t>20-11-21</t>
  </si>
  <si>
    <t>75吨锅炉下降管</t>
  </si>
  <si>
    <t>× 及时保温管线防护
× 加强日常巡查</t>
  </si>
  <si>
    <t>煤厂</t>
  </si>
  <si>
    <t>煤棚损坏经济损失一万元</t>
  </si>
  <si>
    <t>× 悬挂限高牌
× 加强日常巡查</t>
  </si>
  <si>
    <t>东冷凝</t>
  </si>
  <si>
    <t>高处坠落，一人死亡</t>
  </si>
  <si>
    <t>√ 拆除爬梯平台</t>
  </si>
  <si>
    <t>化产车间西硫铵</t>
  </si>
  <si>
    <t>财产损失1万元</t>
  </si>
  <si>
    <t>徐洪涛</t>
  </si>
  <si>
    <t>皮带机</t>
  </si>
  <si>
    <t>√ 修理托辊</t>
  </si>
  <si>
    <t>人员脸部轻微划伤</t>
  </si>
  <si>
    <t>刘良永</t>
  </si>
  <si>
    <t>东饱和器西管架</t>
  </si>
  <si>
    <t>√ 拆除或加固松动铝皮</t>
  </si>
  <si>
    <t>造成手臂烫伤，损工一星期</t>
  </si>
  <si>
    <t>老化学水车间西门口</t>
  </si>
  <si>
    <t>住院治疗，损工2个月</t>
  </si>
  <si>
    <t>锅炉本体平台</t>
  </si>
  <si>
    <t>产水不足影响锅炉运行，造成财产损失</t>
  </si>
  <si>
    <t>EDI</t>
  </si>
  <si>
    <t>小腿磕伤损工一天</t>
  </si>
  <si>
    <t>干燥机北侧</t>
  </si>
  <si>
    <t>× 悬挂“上下爬梯注意安全”警示牌
× 教育职工注意提高防范意识</t>
  </si>
  <si>
    <t>造成手臂大面积灼伤，损工半月</t>
  </si>
  <si>
    <t>人员砸伤，划伤</t>
  </si>
  <si>
    <t>王晓丽</t>
  </si>
  <si>
    <t>20-11-13</t>
  </si>
  <si>
    <t>西五</t>
  </si>
  <si>
    <t>√ 立即组织人员清理整改！以防造成人员伤害！</t>
  </si>
  <si>
    <t>5.5米焦炉推焦车</t>
  </si>
  <si>
    <t>1人死亡</t>
  </si>
  <si>
    <t>贾永玲</t>
  </si>
  <si>
    <t>炉门修理站</t>
  </si>
  <si>
    <t>√ 炉门打好安全钩
√ 规范作业，加强检查</t>
  </si>
  <si>
    <t>一人烧伤住院治疗两个月，损工两个月，脸部无法恢复正常样子。</t>
  </si>
  <si>
    <t>上升管水封</t>
  </si>
  <si>
    <t>× 更换水封槽，及时联系化产，稳定集气道压力
× 人员佩戴防护面罩</t>
  </si>
  <si>
    <t>热力车间输煤系统</t>
  </si>
  <si>
    <t>住院治疗，损工一个月。</t>
  </si>
  <si>
    <t>2号带机尾</t>
  </si>
  <si>
    <t>腿部骨折，住校3月</t>
  </si>
  <si>
    <t>75t锅炉除尘器爬梯</t>
  </si>
  <si>
    <t>公司统一组织防腐</t>
  </si>
  <si>
    <t>一名员工胳膊骨折，送医治疗10天，在家修养70天</t>
  </si>
  <si>
    <t>余热锅炉软水箱</t>
  </si>
  <si>
    <t>× 人员巡检此处按高处作业落实安全措施
× 加强巡检人员安全监护</t>
  </si>
  <si>
    <t>造成左小腿骨折住院治疗一个月在家休养一个月。</t>
  </si>
  <si>
    <t>75T锅炉一楼平面</t>
  </si>
  <si>
    <t>经抢修一个半小时小时恢复生产。</t>
  </si>
  <si>
    <t>75T锅炉渣库二楼平</t>
  </si>
  <si>
    <t>住院治疗50天，损工50天</t>
  </si>
  <si>
    <t>装置停工检修</t>
  </si>
  <si>
    <t>王克明</t>
  </si>
  <si>
    <t>√ 更换下调心
√ 巡检时人员注意观察，发现问题及时处理</t>
  </si>
  <si>
    <t>20-10-7</t>
  </si>
  <si>
    <t>卸料器漏煤，皮带划伤</t>
  </si>
  <si>
    <t>张胜文</t>
  </si>
  <si>
    <t>东五</t>
  </si>
  <si>
    <t>√ 立即停车更换托辊，以防造成设备事故！</t>
  </si>
  <si>
    <t>5.5米焦炉扒运焦</t>
  </si>
  <si>
    <t>造成一人右手臂骨折，送医院治疗15天在家休养三个月损工事件。</t>
  </si>
  <si>
    <t>焦三皮带斜桥</t>
  </si>
  <si>
    <t>× 固定彩钢瓦
× 加强巡检巡查，及时处理</t>
  </si>
  <si>
    <t>一人当场死亡</t>
  </si>
  <si>
    <t>35吨锅炉炉顶</t>
  </si>
  <si>
    <t>入院治疗5天，在家休息20天，共损工25天。</t>
  </si>
  <si>
    <t>住院治疗5天，在家休养3天，痊愈。损工8天。</t>
  </si>
  <si>
    <t>二号带过桥处</t>
  </si>
  <si>
    <t>左肩骨折，住院治疗，损工91天。</t>
  </si>
  <si>
    <t>炉顶煤仓东墙</t>
  </si>
  <si>
    <t>× 加固彩钢瓦
× 加强巡查，及时处理</t>
  </si>
  <si>
    <t>汽轮机岗位</t>
  </si>
  <si>
    <t>汽轮机4米平台</t>
  </si>
  <si>
    <t>× 维修制作简易操作平台
× 教育职工注意提高防范意识</t>
  </si>
  <si>
    <t>20-10-8</t>
  </si>
  <si>
    <t>一职工左脚轻微烫伤，损工3天</t>
  </si>
  <si>
    <t>王忠亮</t>
  </si>
  <si>
    <t>20-11-8</t>
  </si>
  <si>
    <t>点名室前</t>
  </si>
  <si>
    <t>√ 责令职工将暖壶立即拿走</t>
  </si>
  <si>
    <t>职工左臂轻微擦伤，休息一会儿继续工作</t>
  </si>
  <si>
    <t>刘振国</t>
  </si>
  <si>
    <t>东三</t>
  </si>
  <si>
    <t>√ 责令职工将钎子定置摆放</t>
  </si>
  <si>
    <t>手臂关节错位损工七天。</t>
  </si>
  <si>
    <t>董树堂</t>
  </si>
  <si>
    <t>推焦平台铁板凸起</t>
  </si>
  <si>
    <t>√ 整平处理
√ 更换钢砖</t>
  </si>
  <si>
    <t>20-10-12</t>
  </si>
  <si>
    <t>已由热修人员整平处理</t>
  </si>
  <si>
    <t>75吨锅炉分汽缸</t>
  </si>
  <si>
    <t>造成胳膊烫伤，住院治疗七天，限工七天</t>
  </si>
  <si>
    <t>汽轮机南侧</t>
  </si>
  <si>
    <t>× 及时保温管线防护
× 教育职工注意提高防范意识</t>
  </si>
  <si>
    <t>一名操作工脚部骨折，损工一年</t>
  </si>
  <si>
    <t>刘培建</t>
  </si>
  <si>
    <t>20-11-9</t>
  </si>
  <si>
    <t>送煤车刮板机</t>
  </si>
  <si>
    <t>× 修复加固
× 加强检查</t>
  </si>
  <si>
    <t>炼焦车间炉门修理站</t>
  </si>
  <si>
    <t>经济损失四千元</t>
  </si>
  <si>
    <t>马从好</t>
  </si>
  <si>
    <t>20-11-11</t>
  </si>
  <si>
    <t>卷扬机连触器</t>
  </si>
  <si>
    <t>× 更换连轴器
× 增设防护罩</t>
  </si>
  <si>
    <t>导致1人受伤，住院治疗、休养，共计损工4个月。</t>
  </si>
  <si>
    <t>拦焦车</t>
  </si>
  <si>
    <t>× 加固平台
× 维修处理</t>
  </si>
  <si>
    <t>导致1人死亡</t>
  </si>
  <si>
    <t>焦炉焦侧</t>
  </si>
  <si>
    <t>√ 清理炉门炉框
√ 检查横栓，确保到位</t>
  </si>
  <si>
    <t>南门南蒸汽管线疏水阀</t>
  </si>
  <si>
    <t>操作工疏水时发生蒸汽烫伤，轻微伤无损工</t>
  </si>
  <si>
    <t>南门南苯酐蒸汽管线</t>
  </si>
  <si>
    <t>× 维修紧固
× 加强日常巡查</t>
  </si>
  <si>
    <t>公司级隐患检查通报 或墙面脱落不清洁</t>
  </si>
  <si>
    <t>汽轮机厂房东墙外</t>
  </si>
  <si>
    <t>一名操作工右手臂骨折，住院30天在家休养60天。</t>
  </si>
  <si>
    <t>赵光发</t>
  </si>
  <si>
    <t>上升管平台走廊</t>
  </si>
  <si>
    <t>√ 清理杂物
√ 保持畅通</t>
  </si>
  <si>
    <t>20-10-15</t>
  </si>
  <si>
    <t>左脚踝骨折，住院治疗7天。</t>
  </si>
  <si>
    <t>刘凯旋</t>
  </si>
  <si>
    <t>拦焦除尘水槽</t>
  </si>
  <si>
    <t>× 焊接加固
× 维修处理</t>
  </si>
  <si>
    <t>一名员工送医院抢救无效死亡</t>
  </si>
  <si>
    <t>王胜</t>
  </si>
  <si>
    <t>5.5米焦炉炉顶南侧</t>
  </si>
  <si>
    <t>√ 加固处理
√ 禁止倚靠护栏</t>
  </si>
  <si>
    <t>5.5米焦炉熄焦</t>
  </si>
  <si>
    <t>造成一名职工扭伤脚踝，休养7天损工事件。</t>
  </si>
  <si>
    <t>焦侧南头</t>
  </si>
  <si>
    <t>√ 刷警示色带
× 增设警示标志</t>
  </si>
  <si>
    <t>已由常调人员刷警示色带</t>
  </si>
  <si>
    <t>可能导致人员摔伤及扭伤</t>
  </si>
  <si>
    <t>√ 工具用完放置工具存放处，严谨乱摆乱放！</t>
  </si>
  <si>
    <t>右臂骨折伤害</t>
  </si>
  <si>
    <t>杨光伟</t>
  </si>
  <si>
    <t>捕油器</t>
  </si>
  <si>
    <t>√ 加固焊接护栏爬梯</t>
  </si>
  <si>
    <t>手臂骨折，损工100天。</t>
  </si>
  <si>
    <t>悬臂吊处</t>
  </si>
  <si>
    <t>√ 清理杂物
√ 有序规范放置</t>
  </si>
  <si>
    <t>操作人员摔下去腿部骨折，经送医抢救，操作人员损工三个月。</t>
  </si>
  <si>
    <t>炼焦车间炉顶</t>
  </si>
  <si>
    <t>× 维修更换
× 整平加固</t>
  </si>
  <si>
    <t>夹紧损坏影响正常生产</t>
  </si>
  <si>
    <t>李艳秋</t>
  </si>
  <si>
    <t>提升机底下道轨</t>
  </si>
  <si>
    <t>× 维修处理
× 加强监控检查</t>
  </si>
  <si>
    <t>20-10-11</t>
  </si>
  <si>
    <t>左腿坠落，未造成伤害</t>
  </si>
  <si>
    <t>宋涛</t>
  </si>
  <si>
    <t>1618除尘箱体</t>
  </si>
  <si>
    <t>√ 盖板立即恢复位置，以防事故发生</t>
  </si>
  <si>
    <t>南区</t>
  </si>
  <si>
    <t>一名操作人员左手划伤简单包扎后继续上班</t>
  </si>
  <si>
    <t>20-11-19</t>
  </si>
  <si>
    <t>南脱硫二楼压滤机房内</t>
  </si>
  <si>
    <t>新化水过滤器南</t>
  </si>
  <si>
    <t>立即脱去被污染衣服用清水冲洗没有影响工作</t>
  </si>
  <si>
    <t>絮凝剂加药管道</t>
  </si>
  <si>
    <t>× 维修修复
× 教育职工注意提高防范意识</t>
  </si>
  <si>
    <t>操作检修人员安全意识不足，造成小腿骨折，损工一月</t>
  </si>
  <si>
    <t>热力车问</t>
  </si>
  <si>
    <t>× 焊接开焊处
× 教育职工注意提高防范意识</t>
  </si>
  <si>
    <t>西区空压机房</t>
  </si>
  <si>
    <t>在家休养10天，损工10天</t>
  </si>
  <si>
    <t>空压机房门口</t>
  </si>
  <si>
    <t>一人颈部出血事故，损工一天。</t>
  </si>
  <si>
    <t>√ 更换三角带</t>
  </si>
  <si>
    <t>造成手掌轻微伤</t>
  </si>
  <si>
    <t>杨春鹏</t>
  </si>
  <si>
    <t>东六通廊后尾下部</t>
  </si>
  <si>
    <t>√ 割除或整平高出部分
√ 人员经过注意安全</t>
  </si>
  <si>
    <t>化产车间，南化产</t>
  </si>
  <si>
    <t>送医务室检查，肩部轻微刮伤，简单包扎继续上班。无损工</t>
  </si>
  <si>
    <t>脱硫塔南框架</t>
  </si>
  <si>
    <t>√ 清除管架铝皮</t>
  </si>
  <si>
    <t>造成肩膀轻微伤</t>
  </si>
  <si>
    <t>左恒坤</t>
  </si>
  <si>
    <t>东五后尾</t>
  </si>
  <si>
    <t>√ 清理杂物
√ 电缆桥架上方不准放任何物品</t>
  </si>
  <si>
    <t>皮带划伤，撕裂</t>
  </si>
  <si>
    <t>郝效蓉</t>
  </si>
  <si>
    <t>√ 更换托辊
√ 巡检时发现问题及时停车处理</t>
  </si>
  <si>
    <t>设备事故，造成财产损失</t>
  </si>
  <si>
    <t>刘树杰</t>
  </si>
  <si>
    <t>东四</t>
  </si>
  <si>
    <t>√ 通知电工立即整改！加装接地线！以防发生事故！</t>
  </si>
  <si>
    <t>膝盖轻微擦伤，简单处理包扎后不影响工作。</t>
  </si>
  <si>
    <t>北脱硫泵房门口</t>
  </si>
  <si>
    <t>√ 清除地面废铁管</t>
  </si>
  <si>
    <t>备煤车间班长值班室</t>
  </si>
  <si>
    <t>刘丽霞</t>
  </si>
  <si>
    <t>20-10-30</t>
  </si>
  <si>
    <t>点名室</t>
  </si>
  <si>
    <t>√ 更换木门
√ 门窗必须固定，防止伤害事故</t>
  </si>
  <si>
    <t>备煤煤线</t>
  </si>
  <si>
    <t>环境影响</t>
  </si>
  <si>
    <t>马丛芳</t>
  </si>
  <si>
    <t>煤八机头</t>
  </si>
  <si>
    <t>√ 停车后积煤必须清理干净
√ 人员使用设备，按规程进行</t>
  </si>
  <si>
    <t>皮带划伤</t>
  </si>
  <si>
    <t>刘金海</t>
  </si>
  <si>
    <t>√ 更换托辊
√ 使用设备时注意观察，发现问题及时处理</t>
  </si>
  <si>
    <t>人身伤害，</t>
  </si>
  <si>
    <t>赵红</t>
  </si>
  <si>
    <t>煤七机头</t>
  </si>
  <si>
    <t>√ 维修焊补开焊部分
√ 人员操作行走时注意避开护栏</t>
  </si>
  <si>
    <t>皮带损坏</t>
  </si>
  <si>
    <t>刘汉东</t>
  </si>
  <si>
    <t>√ 更换托辊
√ 加强巡检，发现问题及时出理</t>
  </si>
  <si>
    <t>装置停工</t>
  </si>
  <si>
    <t>高玉花</t>
  </si>
  <si>
    <t>√ 更换托辊
√ 使用设备时发现问题及时停车处理</t>
  </si>
  <si>
    <t>设备损坏，造成财产损失</t>
  </si>
  <si>
    <t>李述芳</t>
  </si>
  <si>
    <t>东五岗位</t>
  </si>
  <si>
    <t>√ 更换托辊
√ 加强巡检，发现问题及时处理</t>
  </si>
  <si>
    <t>刘会明</t>
  </si>
  <si>
    <t>√ 操作工停车后及时清理托辊积煤
√ 设备使用期间禁止清理</t>
  </si>
  <si>
    <t>皮带损伤</t>
  </si>
  <si>
    <t>王晓伟</t>
  </si>
  <si>
    <t>西二</t>
  </si>
  <si>
    <t>√ 更换托辊
√ 开车期间加强巡检，发现问题及时处理</t>
  </si>
  <si>
    <t>煤气调度不及时，造升公司停产，经济损失5万元。</t>
  </si>
  <si>
    <t>后勤部门</t>
  </si>
  <si>
    <t>张军虎</t>
  </si>
  <si>
    <t>20-11-24</t>
  </si>
  <si>
    <t>深度脱硫煤气流量计</t>
  </si>
  <si>
    <t>× 保温</t>
  </si>
  <si>
    <t>造成腿部轻微擦伤</t>
  </si>
  <si>
    <t>维修班值班室爬梯</t>
  </si>
  <si>
    <t>√ 拆除破损部分或者更换
√ 人员上下爬梯，手扶栏杆，注意脚下安全</t>
  </si>
  <si>
    <t>头部碰伤，脑震荡，住院休养3天</t>
  </si>
  <si>
    <t>孟德强</t>
  </si>
  <si>
    <t>环境除尘北管廊</t>
  </si>
  <si>
    <t>√ 管线外保温铝皮重新恢复，保证牢靠。
× 未恢复前设置警戒，人员绕行</t>
  </si>
  <si>
    <t>20-10-22</t>
  </si>
  <si>
    <t>铝皮已重新加固</t>
  </si>
  <si>
    <t>手部指骨骨裂，就医休养1月</t>
  </si>
  <si>
    <t>循环水池东北侧</t>
  </si>
  <si>
    <t>√ 管壁刷警戒色漆，警示提醒。
× 未整改前进行口头传达警戒防范。</t>
  </si>
  <si>
    <t>管壁已刷漆，警示提醒</t>
  </si>
  <si>
    <t>造成右腿骨折身体其它部位多处滑伤住院治疗一个月的损工事故。</t>
  </si>
  <si>
    <t>75t锅炉三楼平台</t>
  </si>
  <si>
    <t>75吨灰库</t>
  </si>
  <si>
    <t>下雨时，容易进水，造成漏电，停电事故。</t>
  </si>
  <si>
    <t>灰库二楼</t>
  </si>
  <si>
    <t>水沟无盖板，造成人员伤害。</t>
  </si>
  <si>
    <t>25T锅炉西</t>
  </si>
  <si>
    <t>脚部轻微砸伤。</t>
  </si>
  <si>
    <t>√ 固定销或者绑好
√ 人员使用设备时注意安全</t>
  </si>
  <si>
    <t>秦继永</t>
  </si>
  <si>
    <t>√ 更换托辊
√ 巡检时发现问题及时处理，防止损伤设备</t>
  </si>
  <si>
    <t>刘春建</t>
  </si>
  <si>
    <t>√ 停车将铁丝清理干净
√ 清理除铁器杂物时，注意不要掉落，防止划伤皮带</t>
  </si>
  <si>
    <t>送医院救治无效死亡</t>
  </si>
  <si>
    <t>孙洪涛</t>
  </si>
  <si>
    <t>刘国成</t>
  </si>
  <si>
    <t>20-12-3</t>
  </si>
  <si>
    <t>机侧</t>
  </si>
  <si>
    <t>× 更换炉门，确保横拴到位
× 及时清理残渣，横栓不到位禁止车辆驶离</t>
  </si>
  <si>
    <t>肋骨骨折，就医休养六个月。</t>
  </si>
  <si>
    <t>机侧除尘</t>
  </si>
  <si>
    <t>√ 清理备件
√ 定置存放</t>
  </si>
  <si>
    <t>绊倒膝盖半月板破裂，就医休养十二个月。</t>
  </si>
  <si>
    <t>扒焦岗位</t>
  </si>
  <si>
    <t>√ 清理杂物
√ 保持通行顺畅</t>
  </si>
  <si>
    <t>小臂粉碎性骨折，就医休养六个月。</t>
  </si>
  <si>
    <t>炉顶岗位</t>
  </si>
  <si>
    <t>√ 清理杂物
√ 规范放置储存</t>
  </si>
  <si>
    <t>5.5米扒焦，炼焦车</t>
  </si>
  <si>
    <t>脑部受伤，就医休养六个月。</t>
  </si>
  <si>
    <t>刘清磊</t>
  </si>
  <si>
    <t>焦三通廊</t>
  </si>
  <si>
    <t>× 清理杂物
× 保持畅通</t>
  </si>
  <si>
    <t>导致爪斗坠落和乱绳卷扬机地坐损坏</t>
  </si>
  <si>
    <t>提报区域有误，请确认核实后进行提报</t>
  </si>
  <si>
    <t>√ 维修焊补护罩
√ 人员操作时注意安全</t>
  </si>
  <si>
    <t>入院治疗1个月</t>
  </si>
  <si>
    <t>于海兹</t>
  </si>
  <si>
    <t>35T锅炉操作平台爬</t>
  </si>
  <si>
    <t>导致乱绳爪斗摔坏卷扬机地坐损坏</t>
  </si>
  <si>
    <t>专项检查</t>
  </si>
  <si>
    <t>× 维修紧固螺栓
× 加强日常巡查检查及维护保养</t>
  </si>
  <si>
    <t>炼焦车间熄焦岗位</t>
  </si>
  <si>
    <t>右手臂骨折，损工一个月</t>
  </si>
  <si>
    <t>孙超</t>
  </si>
  <si>
    <t>熄焦道轨东侧</t>
  </si>
  <si>
    <t>× 刷警示标识漆
× 绕道通行</t>
  </si>
  <si>
    <t>深度处理工段</t>
  </si>
  <si>
    <t>一名操作人员右脚踝扭伤，损工三天。</t>
  </si>
  <si>
    <t>20-11-14</t>
  </si>
  <si>
    <t>最终沉淀池</t>
  </si>
  <si>
    <t>√ 整改爬梯</t>
  </si>
  <si>
    <t>一名操作人员被氧化剂溅射到脸上，不影响工作。</t>
  </si>
  <si>
    <t>深度处理加药间</t>
  </si>
  <si>
    <t>√ 维修计量泵</t>
  </si>
  <si>
    <t>入院治疗，损工100天</t>
  </si>
  <si>
    <t>周方宾</t>
  </si>
  <si>
    <t>拦焦除尘管道上</t>
  </si>
  <si>
    <t>× 清理扫帚
× 工具规范放置</t>
  </si>
  <si>
    <t>废水外溢，对公司内部环境造成影响。</t>
  </si>
  <si>
    <t>禄洪帅</t>
  </si>
  <si>
    <t>20-11-15</t>
  </si>
  <si>
    <t>VOC风机排放塔处</t>
  </si>
  <si>
    <t>√ 更换输水管
√ 输水管进行加固，防止震裂。</t>
  </si>
  <si>
    <t>20-10-20</t>
  </si>
  <si>
    <t>于海霞</t>
  </si>
  <si>
    <t>煤十</t>
  </si>
  <si>
    <t>√ 维修更换挡皮
√ 设备使用时发现问题及时处理</t>
  </si>
  <si>
    <t>电击伤，人员伤害</t>
  </si>
  <si>
    <t>单静</t>
  </si>
  <si>
    <t>√ 电工更换行灯线
√ 电工包扎好破损部分，人员使用时注意用电安全</t>
  </si>
  <si>
    <t>划伤，撕裂皮带</t>
  </si>
  <si>
    <t>东五机尾</t>
  </si>
  <si>
    <t>√ 维修更换刮皮
√ 设备使用时注意观察，防止磨损带面</t>
  </si>
  <si>
    <t>皮带撕裂，影响生产。</t>
  </si>
  <si>
    <t>李祥村</t>
  </si>
  <si>
    <t>西一皮带机</t>
  </si>
  <si>
    <t>√ 维修更换下调心支架
√ 设备使用时加强维护保养</t>
  </si>
  <si>
    <t>需住院治疗，损工两个月。</t>
  </si>
  <si>
    <t>天车爬梯</t>
  </si>
  <si>
    <t>造成右腿磕伤，损工15天</t>
  </si>
  <si>
    <t>老化水冷却水池</t>
  </si>
  <si>
    <t>风险级别判定错误</t>
  </si>
  <si>
    <t>温度变送器损坏，损失1500元</t>
  </si>
  <si>
    <t>二楼平台，1号熔硫釜</t>
  </si>
  <si>
    <t>√ 更换穿线管，接口做防水处理</t>
  </si>
  <si>
    <t>王琳</t>
  </si>
  <si>
    <t>√ 更换托辊
√ 使用设备时注意发现问题及时处理</t>
  </si>
  <si>
    <t>胳膊擦伤去医务室上药后继续工作</t>
  </si>
  <si>
    <t>× 彻底清理杂物
× 加强日常巡查</t>
  </si>
  <si>
    <t>王凤博</t>
  </si>
  <si>
    <t>20-11-25</t>
  </si>
  <si>
    <t>√ 立即停车更换！防止发生设备事故！</t>
  </si>
  <si>
    <t>送医务室处理，后恢复工作！损工两小时！</t>
  </si>
  <si>
    <t>20-11-18</t>
  </si>
  <si>
    <t>保温皮边角部位进行卷边处理防止锋利部位伤人</t>
  </si>
  <si>
    <t>√ 保温皮边角部位进行卷边处理防止锋利部位伤人</t>
  </si>
  <si>
    <t>防雨罩保温铁皮周边进行包扎，防止划伤人员</t>
  </si>
  <si>
    <t>送医治疗，损工一天。</t>
  </si>
  <si>
    <t>主控楼二楼减温减压室</t>
  </si>
  <si>
    <t>加装警示牌，防止人员碰伤</t>
  </si>
  <si>
    <t>√ 加装安全警示牌，提高人员安全意识</t>
  </si>
  <si>
    <t>安装警示牌，提醒员工安全意识</t>
  </si>
  <si>
    <t>电机烧毁，人员触电</t>
  </si>
  <si>
    <t>滕建雷</t>
  </si>
  <si>
    <t>√ 立即整改！工具严格按规定摆放！防止发生事故！</t>
  </si>
  <si>
    <t>汽轮机  炼焦车间</t>
  </si>
  <si>
    <t>右小臂烫伤，损工3天。</t>
  </si>
  <si>
    <t>主控楼顶部</t>
  </si>
  <si>
    <t>保温完整性不仅可防止烫伤还有节能防热量散失作用</t>
  </si>
  <si>
    <t>√ 加装保温，防止裸露部位烫伤</t>
  </si>
  <si>
    <t>已加装保温。</t>
  </si>
  <si>
    <t>左手拇指划伤，损工一小时</t>
  </si>
  <si>
    <t>主控楼化验室</t>
  </si>
  <si>
    <t>出水口边缘过于锋利，洗手时极意碰到边缘划伤手，应立即处理</t>
  </si>
  <si>
    <t>√ 将出水口边缘磨成钝角，防止锋利边缘伤人</t>
  </si>
  <si>
    <t>水管出口加软皮套管，防止水管出口边缘锋利伤人</t>
  </si>
  <si>
    <t>爬梯护笼缺失造成一名操作工左脚脚腕崴伤损工14天</t>
  </si>
  <si>
    <t>粗苯计量槽西侧框架</t>
  </si>
  <si>
    <t>√ 更换或加固爬梯护笼</t>
  </si>
  <si>
    <t>20-11-2</t>
  </si>
  <si>
    <t>气瓶着火造成人员轻度烧伤去医务室处理后继续工作</t>
  </si>
  <si>
    <t>明火</t>
  </si>
  <si>
    <t>刘立聪</t>
  </si>
  <si>
    <t>北脱硫东侧马路</t>
  </si>
  <si>
    <t>√ 停止施工，气瓶间距保持在5米以上间距，与动火点保持10米以上</t>
  </si>
  <si>
    <t>右小腿烫伤，损工七天。</t>
  </si>
  <si>
    <t>汽轮机五米</t>
  </si>
  <si>
    <t>保温完好既防止灼烫伤又防止热量损失，应注意保持完好</t>
  </si>
  <si>
    <t>安装保温岩棉，防止阀门裸露烫伤</t>
  </si>
  <si>
    <t>一人右前臂骨折损工122天</t>
  </si>
  <si>
    <t>郭焕雷</t>
  </si>
  <si>
    <t>张永生</t>
  </si>
  <si>
    <t>西三楼道</t>
  </si>
  <si>
    <t>√ 加强巡查
√ 尽快修复</t>
  </si>
  <si>
    <t>20-10-21</t>
  </si>
  <si>
    <t>一人右脚脚踝扭伤休息一会不影响工作</t>
  </si>
  <si>
    <t>刘延安</t>
  </si>
  <si>
    <t>东二</t>
  </si>
  <si>
    <t>√ 加强巡查</t>
  </si>
  <si>
    <t>一人右手食指电伤在家修养一星期</t>
  </si>
  <si>
    <t>刘军伟</t>
  </si>
  <si>
    <t>√ 尽快修复
√ 加强巡查</t>
  </si>
  <si>
    <t>√ 抓紧维修
√ 加强巡查</t>
  </si>
  <si>
    <t>影响正常生产造成损失</t>
  </si>
  <si>
    <t>刘根元</t>
  </si>
  <si>
    <t>东一地沟</t>
  </si>
  <si>
    <t>一人右手手腕扭伤休息一会不影响工作</t>
  </si>
  <si>
    <t>刘江</t>
  </si>
  <si>
    <t>√ 修复照明
√ 加强巡查</t>
  </si>
  <si>
    <t>1号站</t>
  </si>
  <si>
    <t>郭维利</t>
  </si>
  <si>
    <t>20-11-20</t>
  </si>
  <si>
    <t>二级沉淀池上部北侧</t>
  </si>
  <si>
    <t>√ 恢复盖板</t>
  </si>
  <si>
    <t>皮带磨损，非人为性停车</t>
  </si>
  <si>
    <t>崔健</t>
  </si>
  <si>
    <t>√ 通知维修更换，防止造成设备事故！</t>
  </si>
  <si>
    <t>钎子掉落，人员伤害。</t>
  </si>
  <si>
    <t>刘庆平</t>
  </si>
  <si>
    <t>√ 严格按照工具存放规定进行存放。</t>
  </si>
  <si>
    <t>造成人员触电死亡</t>
  </si>
  <si>
    <t>王秀莲</t>
  </si>
  <si>
    <t>南冷凝泵房</t>
  </si>
  <si>
    <t>√ 按标准要求规范接地</t>
  </si>
  <si>
    <t>巡检人员被玻璃钢瓦绊倒，左腿膝盖轻微擦伤，不影响工作。</t>
  </si>
  <si>
    <t>北脱硫北边路面</t>
  </si>
  <si>
    <t>× 清除地面的玻璃钢瓦</t>
  </si>
  <si>
    <t>非计划停机1小时    经济损失500元</t>
  </si>
  <si>
    <t>3#煤场</t>
  </si>
  <si>
    <t>√ 加强原料煤质量监管，及时清除煤内杂物。</t>
  </si>
  <si>
    <t>人员上下楼梯时，易造成伤害事故</t>
  </si>
  <si>
    <t>20-11-30</t>
  </si>
  <si>
    <t>煤五外部爬梯</t>
  </si>
  <si>
    <t>√ 维修焊补栏杆
√ 人员上下爬梯时注意安全</t>
  </si>
  <si>
    <t>送医检查，无损工。</t>
  </si>
  <si>
    <t>张冬梅</t>
  </si>
  <si>
    <t>√ 清除腐蚀的彩钢瓦</t>
  </si>
  <si>
    <t>炼焦车间除盐水</t>
  </si>
  <si>
    <t>一人面部灼伤，损工15天</t>
  </si>
  <si>
    <t>20-11-22</t>
  </si>
  <si>
    <t>二楼加药间</t>
  </si>
  <si>
    <t>漏点既是安全隐患也是环保隐患，及时处理</t>
  </si>
  <si>
    <t>√ 悬挂安全警示牌，提高人员安全意识，合理时机停车进行维修补漏</t>
  </si>
  <si>
    <t>联系维修处理，漏点处加套管紧固</t>
  </si>
  <si>
    <t>头部轻微擦伤流血，包扎休息1天。</t>
  </si>
  <si>
    <t>张国行</t>
  </si>
  <si>
    <t>机侧拆除现场</t>
  </si>
  <si>
    <t>√ 教育施工人员，自备用品定置摆放。
√ 立即将水杯取下，放置到安全区域。</t>
  </si>
  <si>
    <t>已经现场按要求完成整改。</t>
  </si>
  <si>
    <t>左小腿擦伤，损工三天</t>
  </si>
  <si>
    <t>于松国</t>
  </si>
  <si>
    <t>副省煤器下部</t>
  </si>
  <si>
    <t>安全意识强能发现身边隐患</t>
  </si>
  <si>
    <t>√ 重新整理盖板</t>
  </si>
  <si>
    <t>联系维修，重新整理盖板</t>
  </si>
  <si>
    <t>左小腿电灼伤损工3天</t>
  </si>
  <si>
    <t>刘锦涛</t>
  </si>
  <si>
    <t>环境除尘顶部</t>
  </si>
  <si>
    <t>安全意识强巡查认真细致</t>
  </si>
  <si>
    <t>√ 检查电线是否在用，撤掉或是重新包扎</t>
  </si>
  <si>
    <t>联系电工检查电线，对裸露的线头撤除</t>
  </si>
  <si>
    <t>人员头部受击当场昏迷，脑部有大量淤血损工两个月</t>
  </si>
  <si>
    <t>√ 清理撤离木板</t>
  </si>
  <si>
    <t>化产车间粗苯</t>
  </si>
  <si>
    <t>脚部轻微伤，损工两天。</t>
  </si>
  <si>
    <t>二段贫油冷却器</t>
  </si>
  <si>
    <t>√ 悬挂警示牌</t>
  </si>
  <si>
    <t>经济损失</t>
  </si>
  <si>
    <t>空气预热器旁边</t>
  </si>
  <si>
    <t>提报有误，非5.5米焦炉区域隐患，请确认核实后进行提报</t>
  </si>
  <si>
    <t>造成右腿骨折身体多处擦伤，住院治疗一个月在家休养一个月的损工</t>
  </si>
  <si>
    <t>曹建</t>
  </si>
  <si>
    <t>75t锅炉一楼</t>
  </si>
  <si>
    <t>× 制作挡板
× 封堵缝隙处</t>
  </si>
  <si>
    <t>东四岗位</t>
  </si>
  <si>
    <t>皮带损坏，非人为性停车</t>
  </si>
  <si>
    <t>秦小荣</t>
  </si>
  <si>
    <t>√ 尽快将挡煤板进行更换。</t>
  </si>
  <si>
    <t>1人被困，损工3小时</t>
  </si>
  <si>
    <t>提升机电梯</t>
  </si>
  <si>
    <t>√ 排查内部线缆外观无损及确认绝缘保障情况完好。
√ 加装符合要求的巡查检修口盖板。</t>
  </si>
  <si>
    <t>一名操作人员脚裸扭伤损工三天</t>
  </si>
  <si>
    <t>赵洪伟</t>
  </si>
  <si>
    <t>最终沉淀池无过桥</t>
  </si>
  <si>
    <t>√ 添加过桥踏板</t>
  </si>
  <si>
    <t>污水2#站</t>
  </si>
  <si>
    <t>一名操作人员小腿处轻微擦伤，休二天无损工事故。</t>
  </si>
  <si>
    <t>李传宝</t>
  </si>
  <si>
    <t>生化压滤机房</t>
  </si>
  <si>
    <t>√ 整改防护罩</t>
  </si>
  <si>
    <t>深度处理超滤B套装置停运6小时。</t>
  </si>
  <si>
    <t>郭建忠</t>
  </si>
  <si>
    <t>深度处理岗位</t>
  </si>
  <si>
    <t>√ 维修更换阀门</t>
  </si>
  <si>
    <t>电捕短路，引起爆炸，造成市媒体报道</t>
  </si>
  <si>
    <t>刘善华</t>
  </si>
  <si>
    <t>南风机电捕</t>
  </si>
  <si>
    <t>√ 查明原因修复</t>
  </si>
  <si>
    <t>皮带磨损，造成经济损失。</t>
  </si>
  <si>
    <t>张志军</t>
  </si>
  <si>
    <t>东一岗位</t>
  </si>
  <si>
    <t>√ 更换刮煤皮。</t>
  </si>
  <si>
    <t>左小腿受伤，无损工。</t>
  </si>
  <si>
    <t>毕兵</t>
  </si>
  <si>
    <t>√ 尽快将损坏部位的护栏进行焊接维修。</t>
  </si>
  <si>
    <t>废弃管道腐蚀坠落造成一名操作工砸中头部死亡</t>
  </si>
  <si>
    <t>两盐北侧框架</t>
  </si>
  <si>
    <t>√ 拆除或加固</t>
  </si>
  <si>
    <t>住院治疗3天，在家休息5天，损工8天。</t>
  </si>
  <si>
    <t>新化水车间</t>
  </si>
  <si>
    <t>送医院处理后，住院30天休息60天，损工90天</t>
  </si>
  <si>
    <t>1#脱硫塔上部部</t>
  </si>
  <si>
    <t>√ 检修时更换</t>
  </si>
  <si>
    <t>一员工左眼被火碱药液灼伤，治疗两天，休养三天，造成损工事故。</t>
  </si>
  <si>
    <t>刘进杰</t>
  </si>
  <si>
    <t>除盐水站加药间</t>
  </si>
  <si>
    <t>√ 悬挂安全警示牌，提高人员安全意识，合理时机进行维修补漏</t>
  </si>
  <si>
    <t>维修进行补漏</t>
  </si>
  <si>
    <t>损坏眼球</t>
  </si>
  <si>
    <t>二楼母液回流管</t>
  </si>
  <si>
    <t>√ 更换垫子</t>
  </si>
  <si>
    <t>干熄炉四层</t>
  </si>
  <si>
    <t>一人手臂轻微擦伤</t>
  </si>
  <si>
    <t>赵高青</t>
  </si>
  <si>
    <t>南循环水</t>
  </si>
  <si>
    <t>√ 修复管道破损处铝皮</t>
  </si>
  <si>
    <t>胳膊轻微受伤</t>
  </si>
  <si>
    <t>赵伟</t>
  </si>
  <si>
    <t>20-10-23</t>
  </si>
  <si>
    <t>非正常停车，经济损失1000元。</t>
  </si>
  <si>
    <t>高彦兵</t>
  </si>
  <si>
    <t>东三岗位</t>
  </si>
  <si>
    <t>√ 加强巡查，密切关注胶带运行情况，发现跑偏现象要及时进行调整。</t>
  </si>
  <si>
    <t>手指轻微擦伤。</t>
  </si>
  <si>
    <t>√ 尽快按装护栏套管。</t>
  </si>
  <si>
    <t>人员摔倒扭伤脚踝</t>
  </si>
  <si>
    <t>刘钦亮</t>
  </si>
  <si>
    <t>√ 及时通知电工对其进行检修。</t>
  </si>
  <si>
    <t>造成人员伤亡事故。</t>
  </si>
  <si>
    <t>循环水池冷却塔顶部</t>
  </si>
  <si>
    <t>裸露部位及时处理，防止漏电触电</t>
  </si>
  <si>
    <t>√ 对电源裸露部位进行绝缘包扎处理，防止漏电</t>
  </si>
  <si>
    <t>绝缘包扎，盖板整理</t>
  </si>
  <si>
    <t>造成经济损失约10000元。</t>
  </si>
  <si>
    <t>安装好阀门手轮，确保良好使用状态</t>
  </si>
  <si>
    <t>√ 安装好阀门手轮，确保良好使用状态</t>
  </si>
  <si>
    <t>安装阀门手轮</t>
  </si>
  <si>
    <t>一次除尘二层</t>
  </si>
  <si>
    <t>造成下右小腿骨折，送医治疗三个月、在家休养二个月</t>
  </si>
  <si>
    <t>事故槽</t>
  </si>
  <si>
    <t>√ 添加防护罩</t>
  </si>
  <si>
    <t>刘清峰</t>
  </si>
  <si>
    <t>√ 停车立即更换，以防造成设备事故！</t>
  </si>
  <si>
    <t>面部擦伤，损工7天</t>
  </si>
  <si>
    <t>一人绊倒，左侧膝盖骨裂，治疗七天，休养三个半月，造成损工事故</t>
  </si>
  <si>
    <t>刘振华</t>
  </si>
  <si>
    <t>一名操作工右腿膝盖擦伤包扎后复工</t>
  </si>
  <si>
    <t>× 及时清理地面管道</t>
  </si>
  <si>
    <t>财产损失价值10—50万</t>
  </si>
  <si>
    <t>× 更换维修电机风扇</t>
  </si>
  <si>
    <t>南化产</t>
  </si>
  <si>
    <t>右小腿划伤，一人损工5天</t>
  </si>
  <si>
    <t>刘洪芳</t>
  </si>
  <si>
    <t>南循环水北路口处</t>
  </si>
  <si>
    <t>√ 盖严实地沟盖板</t>
  </si>
  <si>
    <t>北循环水</t>
  </si>
  <si>
    <t>腿部受伤造成损伤213天</t>
  </si>
  <si>
    <t>风机房拆除现场</t>
  </si>
  <si>
    <t>√ 设立警戒线</t>
  </si>
  <si>
    <t>右侧膝盖骨裂，治疗20天  休养3个月。</t>
  </si>
  <si>
    <t>清除现场杂物，创造良好作业环境</t>
  </si>
  <si>
    <t>√ 清除现场杂物，创造良好作业环境</t>
  </si>
  <si>
    <t>电缆线更换位置</t>
  </si>
  <si>
    <t>左小腿 脚踝等多处擦伤，损工一天。</t>
  </si>
  <si>
    <t>消防水池西北角处</t>
  </si>
  <si>
    <t>地沟盖板伤人事故经常发生，需及时处理</t>
  </si>
  <si>
    <t>√ 更换盖板，保持防护有效</t>
  </si>
  <si>
    <t>盖板已更换</t>
  </si>
  <si>
    <t>一名操作工左腿膝盖擦伤包扎后复工</t>
  </si>
  <si>
    <t>董国庆</t>
  </si>
  <si>
    <t>汽机房零米</t>
  </si>
  <si>
    <t>作业现场需清除杂物，防止绊倒</t>
  </si>
  <si>
    <t>√ 清除通道杂物，防止人员绊倒受伤</t>
  </si>
  <si>
    <t>现场已重新整理</t>
  </si>
  <si>
    <t>经济损失100元</t>
  </si>
  <si>
    <t>1618破碎机除尘平</t>
  </si>
  <si>
    <t>√ 尽快将该电机护罩固定。</t>
  </si>
  <si>
    <t>李洋洋</t>
  </si>
  <si>
    <t>煤七</t>
  </si>
  <si>
    <t>庞守湘</t>
  </si>
  <si>
    <t>钱发林</t>
  </si>
  <si>
    <t>西煤厂</t>
  </si>
  <si>
    <t>√ 尽快处理
√ 加强巡查</t>
  </si>
  <si>
    <t>张宏涛</t>
  </si>
  <si>
    <t>煤六机头</t>
  </si>
  <si>
    <t>烫伤仪表工手部，轻微红肿</t>
  </si>
  <si>
    <t>贫油泵</t>
  </si>
  <si>
    <t>√ 维修更换压力表</t>
  </si>
  <si>
    <t>巡检人员右上臂骨折住院治疗两个月后复工损工两个月</t>
  </si>
  <si>
    <t>振动危害</t>
  </si>
  <si>
    <t>√ 拆除清理</t>
  </si>
  <si>
    <t>一人右手电伤损工50天</t>
  </si>
  <si>
    <t>√ 加强巡查
√ 定置摆放</t>
  </si>
  <si>
    <t>背部砸伤，休养3天</t>
  </si>
  <si>
    <t>汽机房西侧电缆桥架</t>
  </si>
  <si>
    <t>大风天气来临，高处易坠物伤人需及时处理</t>
  </si>
  <si>
    <t>√ 请除高处易坠物品并保持</t>
  </si>
  <si>
    <t>己整理盖好</t>
  </si>
  <si>
    <t>部分设备非计划停车，耗资1700元。</t>
  </si>
  <si>
    <t>单清燕</t>
  </si>
  <si>
    <t>√ 对减速机漏油部位进行检修，保持油位在合理区间值，加强巡查，注意运行。</t>
  </si>
  <si>
    <t>轮胎爆胎，经济损失800元。</t>
  </si>
  <si>
    <t>李建伟</t>
  </si>
  <si>
    <t>洒水车</t>
  </si>
  <si>
    <t>√ 对轮胎损坏部位进行修补。</t>
  </si>
  <si>
    <t>胶带划伤，造成经济损失。</t>
  </si>
  <si>
    <t>张立峰</t>
  </si>
  <si>
    <t>西三胶带机</t>
  </si>
  <si>
    <t>经济损失具体数额没有说明。</t>
  </si>
  <si>
    <t>√ 对护栏损坏部位尽快修复</t>
  </si>
  <si>
    <t>一职工左腿受轻微伤，未损工。</t>
  </si>
  <si>
    <t>交班室西边水沟</t>
  </si>
  <si>
    <t>√ 尽快补充缺失部位盖板。</t>
  </si>
  <si>
    <t>右脚掌轻微浮肿，无损工。</t>
  </si>
  <si>
    <t>√ 尽快将卸料车护罩进行加固。</t>
  </si>
  <si>
    <t>造成地面环境污染，车间通报批评</t>
  </si>
  <si>
    <t>于刚华</t>
  </si>
  <si>
    <t>1号站压滤机房</t>
  </si>
  <si>
    <t>√ 更换盘根</t>
  </si>
  <si>
    <t>脚踝扭伤，损工三十天。</t>
  </si>
  <si>
    <t>赵波</t>
  </si>
  <si>
    <t>干熄焦主控楼PLC室</t>
  </si>
  <si>
    <t>将盖板放在有效位置上，起到有效防护作用</t>
  </si>
  <si>
    <t>× 将盖板放在有效位置上，起到有效防护作用</t>
  </si>
  <si>
    <t>一人左臂深Ⅱ度烫伤，治疗一周，修养两周，造成损工事故</t>
  </si>
  <si>
    <t>干熄焦锅炉</t>
  </si>
  <si>
    <t>皮带磨损撕裂10米，经济损失1000元。</t>
  </si>
  <si>
    <t>牟博勋</t>
  </si>
  <si>
    <t>√ 尽快将缺失的立辊安装到位。</t>
  </si>
  <si>
    <t>污水溢出，造成环保事故。</t>
  </si>
  <si>
    <t>排污泵</t>
  </si>
  <si>
    <t>√ 加除藻剂，清理池内水藻</t>
  </si>
  <si>
    <t>一人肩部骨折，住院15天，损工三个月。</t>
  </si>
  <si>
    <t>√ 增设警戒线</t>
  </si>
  <si>
    <t>一名操作人员腿部扭伤，损工37天。</t>
  </si>
  <si>
    <t>75吨锅炉底除渣沟南</t>
  </si>
  <si>
    <t>× 加装照明灯
× 教育职工注意提高防范意识</t>
  </si>
  <si>
    <t>右腿轻微擦伤，包扎后继续工作</t>
  </si>
  <si>
    <t>环境除尘放灰平台</t>
  </si>
  <si>
    <t>头部碰伤，住院治疗1个月，损工30天。</t>
  </si>
  <si>
    <t>环境除尘四层</t>
  </si>
  <si>
    <t>一员工右手电灼伤，休养15天</t>
  </si>
  <si>
    <t>2号提升机变压器室</t>
  </si>
  <si>
    <t>容易导致连电停电，影响生产</t>
  </si>
  <si>
    <t>汽轮机厂房东侧</t>
  </si>
  <si>
    <t>一人员擦伤手部，简单包扎继续工作</t>
  </si>
  <si>
    <t>20-12-1</t>
  </si>
  <si>
    <t>提升机7层过道</t>
  </si>
  <si>
    <t>巡查认真细致安全意识强</t>
  </si>
  <si>
    <t>√ 联系维修加固护板</t>
  </si>
  <si>
    <t>维修已焊补</t>
  </si>
  <si>
    <t>赵可霞</t>
  </si>
  <si>
    <t>煤六</t>
  </si>
  <si>
    <t>√ 立即将拖把放置工具存放处！并严格按规定将工具放置存放处！</t>
  </si>
  <si>
    <t>一人员左脚脚踝扭伤，送医治疗休养10天</t>
  </si>
  <si>
    <t>于彩亮</t>
  </si>
  <si>
    <t>3号减温减压平台</t>
  </si>
  <si>
    <t>一员工脚腕扭伤</t>
  </si>
  <si>
    <t>室外污水地沟处</t>
  </si>
  <si>
    <t>腿部擦伤，未影响正常工作。</t>
  </si>
  <si>
    <t>北大门地沟</t>
  </si>
  <si>
    <t>√ 加固或更换</t>
  </si>
  <si>
    <t>膝盖擦伤，休息片刻，未影响正常工作。</t>
  </si>
  <si>
    <t>马卫东</t>
  </si>
  <si>
    <t>贫富油换热器南部地沟</t>
  </si>
  <si>
    <t>√ 规范放置盖板</t>
  </si>
  <si>
    <t>造成一名人员摔伤。</t>
  </si>
  <si>
    <t>东七</t>
  </si>
  <si>
    <t>√ 立即停止工作，更换新安全挂钩防止发生人员伤害！</t>
  </si>
  <si>
    <t>气体报警探头损坏，损失1600元</t>
  </si>
  <si>
    <t>南脱硫二楼南墙</t>
  </si>
  <si>
    <t>√ 更换套管</t>
  </si>
  <si>
    <t>人员腿部击伤，送医治疗10天，损工一个月上班</t>
  </si>
  <si>
    <t>南风机初冷器东</t>
  </si>
  <si>
    <t>√ 固定气瓶</t>
  </si>
  <si>
    <t>托管损坏，没有造成经济损失。</t>
  </si>
  <si>
    <t>刘顺</t>
  </si>
  <si>
    <t>西一带地沟</t>
  </si>
  <si>
    <t>隐患描述格式不正确，并存在错别字叙述不清现象。</t>
  </si>
  <si>
    <t>√ 立即更换托辊。</t>
  </si>
  <si>
    <t>皮带划伤财产损失</t>
  </si>
  <si>
    <t>付喜洋</t>
  </si>
  <si>
    <t>√ 更换缺失托辊
√ 设备使用时注意，发现问题及时处理，防止损坏设备</t>
  </si>
  <si>
    <t>磕到后脑勺轻微脑震荡损工3天</t>
  </si>
  <si>
    <t>35吨锅炉一楼</t>
  </si>
  <si>
    <t>手部擦伤，损工两天</t>
  </si>
  <si>
    <t>住院治疗，并在家休养一周</t>
  </si>
  <si>
    <t>厂房二楼</t>
  </si>
  <si>
    <t>造成装置非计划停车</t>
  </si>
  <si>
    <t>√ 立即停车更换，防止皮带划伤撕裂！</t>
  </si>
  <si>
    <t>造成物资烧毁，财产损失！</t>
  </si>
  <si>
    <t>煤五</t>
  </si>
  <si>
    <t>√ 立即联系维修更换！防止发生火灾时不能及时扑灭！</t>
  </si>
  <si>
    <t>右手烫伤，去医务室处理，损工一周</t>
  </si>
  <si>
    <t>东区分汽缸</t>
  </si>
  <si>
    <t>轻微擦伤，不影响工作。</t>
  </si>
  <si>
    <t>刘云霞</t>
  </si>
  <si>
    <t>20-11-28</t>
  </si>
  <si>
    <t>南脱硫二楼压滤机房</t>
  </si>
  <si>
    <t>√ 定置摆放</t>
  </si>
  <si>
    <t>化产车间两盐岗位</t>
  </si>
  <si>
    <t>大门被风刮倒，咋伤人员头部导致人员死亡</t>
  </si>
  <si>
    <t>刘滨</t>
  </si>
  <si>
    <t>化产车间两盐大门</t>
  </si>
  <si>
    <t>√ 立即更换大门导轨</t>
  </si>
  <si>
    <t>排水沟盖板破损，造成车辆爆胎，经济损失500元。</t>
  </si>
  <si>
    <t>刘兴业</t>
  </si>
  <si>
    <t>七号磅北侧水沟</t>
  </si>
  <si>
    <t>√ 尽快将盖板复位，并加以固定。</t>
  </si>
  <si>
    <t>非正常停车检修，经济损失1000元。</t>
  </si>
  <si>
    <t>代向明</t>
  </si>
  <si>
    <t>× 及时清理刮板积煤。</t>
  </si>
  <si>
    <t>南化产制冷机</t>
  </si>
  <si>
    <t>脚背受伤，包扎后回家休息，损工一周</t>
  </si>
  <si>
    <t>× 清除铁板</t>
  </si>
  <si>
    <t>未戴安全帽，轻微伤害，无大碍。</t>
  </si>
  <si>
    <t>西煤场</t>
  </si>
  <si>
    <t>隐患描述不完整，受伤部位没有说明。</t>
  </si>
  <si>
    <t>√ 加强监管。</t>
  </si>
  <si>
    <t>皮带撕裂</t>
  </si>
  <si>
    <t>杨玉明</t>
  </si>
  <si>
    <t>20-11-29</t>
  </si>
  <si>
    <t>√ 联系维修更换挡皮，以防发生设备事故！</t>
  </si>
  <si>
    <t>造成头部轻微伤害，休息片刻未影响正常工作。</t>
  </si>
  <si>
    <t>备煤斜桥底部小屋</t>
  </si>
  <si>
    <t>√ 拆除废旧铁管</t>
  </si>
  <si>
    <t>操作人员触电，损工N天</t>
  </si>
  <si>
    <t>新化学水一级反渗透</t>
  </si>
  <si>
    <t>制氮机组</t>
  </si>
  <si>
    <t>操作工左手轻微扭伤</t>
  </si>
  <si>
    <t>× 清除铁管</t>
  </si>
  <si>
    <t>绝缘子旋转导致两根滑触线发生短路影响生产.污染环境</t>
  </si>
  <si>
    <t>刘鑫</t>
  </si>
  <si>
    <t>南侧导烟车滑触线</t>
  </si>
  <si>
    <t>× 电工维修处理
× 加强巡检巡查</t>
  </si>
  <si>
    <t>备煤车间中控室</t>
  </si>
  <si>
    <t>紧急停车</t>
  </si>
  <si>
    <t>韩雪</t>
  </si>
  <si>
    <t>√ 属严重违章，按照规定对责任人进行处罚，并责令其立即整改！</t>
  </si>
  <si>
    <t>胶带划伤非计划停车</t>
  </si>
  <si>
    <t>高洪吉</t>
  </si>
  <si>
    <t>√ l联系维修更换刮皮</t>
  </si>
  <si>
    <t>手部轻微擦伤</t>
  </si>
  <si>
    <t>南脱硫压滤机</t>
  </si>
  <si>
    <t>一名维修工轻微中毒</t>
  </si>
  <si>
    <t>风机初冷器</t>
  </si>
  <si>
    <t>√ 补起螺栓</t>
  </si>
  <si>
    <t>手腕骨折，损工三个月</t>
  </si>
  <si>
    <t>35吨锅炉鼓风机</t>
  </si>
  <si>
    <t>电机损坏，经济损失300元。</t>
  </si>
  <si>
    <t>张勇</t>
  </si>
  <si>
    <t>√ 将电源线防护套管复位，并加以固定。</t>
  </si>
  <si>
    <t>重复做题</t>
  </si>
  <si>
    <t>容易漏电，发生人员触电事故</t>
  </si>
  <si>
    <t>毕玉军</t>
  </si>
  <si>
    <t>√ 立即加装套管！以防发生人员电伤！</t>
  </si>
  <si>
    <t>王李伟</t>
  </si>
  <si>
    <t>√ 立即整改，严谨工具乱摆乱放！以防造成设备事故！</t>
  </si>
  <si>
    <t>一名巡检工踩破盖板掉入地沟扭伤脚腕，休息后继续工作</t>
  </si>
  <si>
    <t>一层楼梯东侧</t>
  </si>
  <si>
    <t>护栏缺失，造成人员轻微伤害</t>
  </si>
  <si>
    <t>初冷器二层平台处</t>
  </si>
  <si>
    <t>√ 焊接护栏</t>
  </si>
  <si>
    <t>货物损坏，经济损失500元。</t>
  </si>
  <si>
    <t>于凤江</t>
  </si>
  <si>
    <t>√ 更换舌片</t>
  </si>
  <si>
    <t>左眼受伤，损工2个月</t>
  </si>
  <si>
    <t>硫铵四楼</t>
  </si>
  <si>
    <t>√ 堵漏处理漏点</t>
  </si>
  <si>
    <t>焦炉停运2.5小时，财产损失7万元</t>
  </si>
  <si>
    <t>张立新</t>
  </si>
  <si>
    <t>干熄车夹紧装置</t>
  </si>
  <si>
    <t>× 将销子归位固定</t>
  </si>
  <si>
    <t>磕伤肘部，损工2个月</t>
  </si>
  <si>
    <t>常建磊</t>
  </si>
  <si>
    <t>熄焦池处熄焦泵</t>
  </si>
  <si>
    <t>√ 规范敷设接地线
√ 维修整改处理</t>
  </si>
  <si>
    <t>西一地沟</t>
  </si>
  <si>
    <t>√ 安装护栏套管
√ 人员清理卫生时注意安全</t>
  </si>
  <si>
    <t>胶带磨损，经济损失。</t>
  </si>
  <si>
    <t>√ 及时联系维修更换刮煤板！以防造成设备事故！</t>
  </si>
  <si>
    <t>污水处理车间2#站</t>
  </si>
  <si>
    <t>硫酸灼伤右腿。损工一周</t>
  </si>
  <si>
    <t>戴立军</t>
  </si>
  <si>
    <t>2#中间水池</t>
  </si>
  <si>
    <t>如果发现不及时会造成更多更大的环境污染。</t>
  </si>
  <si>
    <t>董永琴</t>
  </si>
  <si>
    <t>深度处理浓水阀门</t>
  </si>
  <si>
    <t>代立峰</t>
  </si>
  <si>
    <t>√ 铁钎立即放置工具存放处！并严谨岗位人员工具乱摆乱放！</t>
  </si>
  <si>
    <t>2～10万元财产损失</t>
  </si>
  <si>
    <t>岳凯</t>
  </si>
  <si>
    <t>MVR一楼</t>
  </si>
  <si>
    <t>√ 维修处理</t>
  </si>
  <si>
    <t>污水处理车间1</t>
  </si>
  <si>
    <t>电击伤害</t>
  </si>
  <si>
    <t>刘凤春</t>
  </si>
  <si>
    <t>生化操作区域</t>
  </si>
  <si>
    <t>异味散出污染环境</t>
  </si>
  <si>
    <t>张彩红</t>
  </si>
  <si>
    <t>1#站生化工段</t>
  </si>
  <si>
    <t>胡红梅</t>
  </si>
  <si>
    <t>201配电室东侧</t>
  </si>
  <si>
    <t>√ 做好警示，尽快覆盖。</t>
  </si>
  <si>
    <t>火灾爆炸导致附近五名操作工伤亡</t>
  </si>
  <si>
    <t>粗苯计量槽</t>
  </si>
  <si>
    <t>× 拆除顶部易燃物</t>
  </si>
  <si>
    <t>热力车间硫铵楼南厕</t>
  </si>
  <si>
    <t>围堰内地沟</t>
  </si>
  <si>
    <t>一人右手划伤</t>
  </si>
  <si>
    <t>刘钦利</t>
  </si>
  <si>
    <t>化产点名室</t>
  </si>
  <si>
    <t>× 更换破损玻璃</t>
  </si>
  <si>
    <t>一名操作工轻微煤气中毒，损工2天。</t>
  </si>
  <si>
    <t>付斌</t>
  </si>
  <si>
    <t>20-12-2</t>
  </si>
  <si>
    <t>电捕后煤气管道阀门</t>
  </si>
  <si>
    <t>× 处理泄漏点</t>
  </si>
  <si>
    <t>陈兴友</t>
  </si>
  <si>
    <t>√ 停车更换托辊，防止皮带划伤造成设备事故</t>
  </si>
  <si>
    <t>王安磊</t>
  </si>
  <si>
    <t>√ 停车更换，防止皮带跑偏造成设备事故</t>
  </si>
  <si>
    <t>手指轻微擦伤</t>
  </si>
  <si>
    <t>牟增书</t>
  </si>
  <si>
    <t>√ 立即复位，以防发生人员伤害！</t>
  </si>
  <si>
    <t>巡检工及时发现扑灭，未造成人员伤亡和设备损坏！</t>
  </si>
  <si>
    <t>1#脱硫塔</t>
  </si>
  <si>
    <t>√ 封堵管口</t>
  </si>
  <si>
    <t>一操作工巡查时，触电住院治疗一周</t>
  </si>
  <si>
    <t>锅炉给水变送器</t>
  </si>
  <si>
    <t>操作人员苯中毒晕倒，救出后送医治疗1周。</t>
  </si>
  <si>
    <t>× 更换气路</t>
  </si>
  <si>
    <t>设备损坏，财产损失约5万元。</t>
  </si>
  <si>
    <t>阚洪全</t>
  </si>
  <si>
    <t>× 维修焊接加固
× 加强巡检巡查</t>
  </si>
  <si>
    <t>鼓风机电机烧坏</t>
  </si>
  <si>
    <t>机侧地面除尘</t>
  </si>
  <si>
    <t>× 加装法兰
× 加强巡查</t>
  </si>
  <si>
    <t>轻微擦伤</t>
  </si>
  <si>
    <t>南风机施工现场</t>
  </si>
  <si>
    <t>× 规范放置气瓶气路</t>
  </si>
  <si>
    <t>粗苯</t>
  </si>
  <si>
    <t>废水顺着罐体泄漏至地面造成环境污染</t>
  </si>
  <si>
    <t>粗苯东废水罐</t>
  </si>
  <si>
    <t>一名操作工被盖板绊倒造成膝盖轻微擦伤</t>
  </si>
  <si>
    <t>高卫东</t>
  </si>
  <si>
    <t>加碱槽处</t>
  </si>
  <si>
    <t>√ 清除盖板</t>
  </si>
  <si>
    <t>热力车间汽轮机</t>
  </si>
  <si>
    <t>右手烫伤，用清水冲洗后恢复正常，无损工。</t>
  </si>
  <si>
    <t>汽轮机头</t>
  </si>
  <si>
    <t>人员跳落地面，右脚扭伤</t>
  </si>
  <si>
    <t>终冷塔南配电室</t>
  </si>
  <si>
    <t>√ 再进行安全培训后，佩戴好安全带作业</t>
  </si>
  <si>
    <t>財产损失5-10万元</t>
  </si>
  <si>
    <t>泵房</t>
  </si>
  <si>
    <t>√ 维修更换维修</t>
  </si>
</sst>
</file>

<file path=xl/styles.xml><?xml version="1.0" encoding="utf-8"?>
<styleSheet xmlns="http://schemas.openxmlformats.org/spreadsheetml/2006/main" xml:space="preserve">
  <numFmts count="0"/>
  <fonts count="6">
    <font>
      <b val="0"/>
      <i val="0"/>
      <strike val="0"/>
      <u val="none"/>
      <sz val="8"/>
      <color rgb="FF000000"/>
      <name val="Arial"/>
    </font>
    <font>
      <b val="1"/>
      <i val="0"/>
      <strike val="0"/>
      <u val="none"/>
      <sz val="16"/>
      <color rgb="FF000000"/>
      <name val="Arial"/>
    </font>
    <font>
      <b val="0"/>
      <i val="0"/>
      <strike val="0"/>
      <u val="none"/>
      <sz val="10"/>
      <color rgb="FF000000"/>
      <name val="Arial"/>
    </font>
    <font>
      <b val="0"/>
      <i val="0"/>
      <strike val="0"/>
      <u val="none"/>
      <sz val="8"/>
      <color rgb="0000CD"/>
      <name val="Arial"/>
    </font>
    <font>
      <b val="0"/>
      <i val="0"/>
      <strike val="0"/>
      <u val="none"/>
      <sz val="8"/>
      <color rgb="000000"/>
      <name val="Arial"/>
    </font>
    <font>
      <b val="0"/>
      <i val="0"/>
      <strike val="0"/>
      <u val="none"/>
      <sz val="8"/>
      <color rgb="DC143C"/>
      <name val="Arial"/>
    </font>
  </fonts>
  <fills count="10">
    <fill>
      <patternFill patternType="none"/>
    </fill>
    <fill>
      <patternFill patternType="gray125">
        <fgColor rgb="FFFFFFFF"/>
        <bgColor rgb="FF000000"/>
      </patternFill>
    </fill>
    <fill>
      <patternFill patternType="solid">
        <fgColor rgb="FFC6E0B4"/>
        <bgColor rgb="FF000000"/>
      </patternFill>
    </fill>
    <fill>
      <patternFill patternType="solid">
        <fgColor rgb="FFBDD7EE"/>
        <bgColor rgb="FF000000"/>
      </patternFill>
    </fill>
    <fill>
      <patternFill patternType="solid">
        <fgColor rgb="FFA0D565"/>
        <bgColor rgb="FF000000"/>
      </patternFill>
    </fill>
    <fill>
      <patternFill patternType="solid">
        <fgColor rgb="FFFFD85D"/>
        <bgColor rgb="FF000000"/>
      </patternFill>
    </fill>
    <fill>
      <patternFill patternType="solid">
        <fgColor rgb="FF90EE90"/>
        <bgColor rgb="FF000000"/>
      </patternFill>
    </fill>
    <fill>
      <patternFill patternType="solid">
        <fgColor rgb="FF3CB371"/>
        <bgColor rgb="FF000000"/>
      </patternFill>
    </fill>
    <fill>
      <patternFill patternType="solid">
        <fgColor rgb="FFF8F8FF"/>
        <bgColor rgb="FF000000"/>
      </patternFill>
    </fill>
    <fill>
      <patternFill patternType="solid">
        <fgColor rgb="FFFFD7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7">
    <xf xfId="0" fontId="0" numFmtId="0" fillId="0" borderId="0" applyFont="0" applyNumberFormat="0" applyFill="0" applyBorder="0" applyAlignment="0">
      <alignment horizontal="general" vertical="top" textRotation="0" wrapText="true" shrinkToFit="false"/>
    </xf>
    <xf xfId="0" fontId="0" numFmtId="0" fillId="0" borderId="0" applyFont="0" applyNumberFormat="0" applyFill="0" applyBorder="0" applyAlignment="1">
      <alignment horizontal="center" vertical="top" textRotation="0" wrapText="true" shrinkToFit="false"/>
    </xf>
    <xf xfId="0" fontId="1" numFmtId="0" fillId="0" borderId="0" applyFont="1" applyNumberFormat="0" applyFill="0" applyBorder="0" applyAlignment="1">
      <alignment horizontal="center" vertical="top" textRotation="0" wrapText="true" shrinkToFit="false"/>
    </xf>
    <xf xfId="0" fontId="0" numFmtId="0" fillId="2" borderId="1" applyFont="0" applyNumberFormat="0" applyFill="1" applyBorder="1" applyAlignment="1">
      <alignment horizontal="center" vertical="top" textRotation="0" wrapText="true" shrinkToFit="false"/>
    </xf>
    <xf xfId="0" fontId="0" numFmtId="0" fillId="2" borderId="1" applyFont="0" applyNumberFormat="0" applyFill="1" applyBorder="1" applyAlignment="0">
      <alignment horizontal="general" vertical="top" textRotation="0" wrapText="true" shrinkToFit="false"/>
    </xf>
    <xf xfId="0" fontId="0" numFmtId="0" fillId="3" borderId="1" applyFont="0" applyNumberFormat="0" applyFill="1" applyBorder="1" applyAlignment="1">
      <alignment horizontal="center" vertical="top" textRotation="0" wrapText="true" shrinkToFit="false"/>
    </xf>
    <xf xfId="0" fontId="0" numFmtId="0" fillId="3" borderId="1" applyFont="0" applyNumberFormat="0" applyFill="1" applyBorder="1" applyAlignment="0">
      <alignment horizontal="general" vertical="top" textRotation="0" wrapText="true" shrinkToFit="false"/>
    </xf>
    <xf xfId="0" fontId="0" numFmtId="0" fillId="4" borderId="1" applyFont="0" applyNumberFormat="0" applyFill="1" applyBorder="1" applyAlignment="0">
      <alignment horizontal="general" vertical="top" textRotation="0" wrapText="true" shrinkToFit="false"/>
    </xf>
    <xf xfId="0" fontId="0" numFmtId="0" fillId="5" borderId="1" applyFont="0" applyNumberFormat="0" applyFill="1" applyBorder="1" applyAlignment="1">
      <alignment horizontal="center" vertical="top" textRotation="0" wrapText="true" shrinkToFit="false"/>
    </xf>
    <xf xfId="0" fontId="0" numFmtId="0" fillId="5" borderId="1" applyFont="0" applyNumberFormat="0" applyFill="1" applyBorder="1" applyAlignment="0">
      <alignment horizontal="general" vertical="top" textRotation="0" wrapText="true" shrinkToFit="false"/>
    </xf>
    <xf xfId="0" fontId="2" numFmtId="0" fillId="2" borderId="1" applyFont="1" applyNumberFormat="0" applyFill="1" applyBorder="1" applyAlignment="1">
      <alignment horizontal="center" vertical="top" textRotation="0" wrapText="true" shrinkToFit="false"/>
    </xf>
    <xf xfId="0" fontId="2" numFmtId="0" fillId="2" borderId="1" applyFont="1" applyNumberFormat="0" applyFill="1" applyBorder="1" applyAlignment="0">
      <alignment horizontal="general" vertical="top" textRotation="0" wrapText="true" shrinkToFit="false"/>
    </xf>
    <xf xfId="0" fontId="2" numFmtId="0" fillId="3" borderId="1" applyFont="1" applyNumberFormat="0" applyFill="1" applyBorder="1" applyAlignment="1">
      <alignment horizontal="center" vertical="top" textRotation="0" wrapText="true" shrinkToFit="false"/>
    </xf>
    <xf xfId="0" fontId="2" numFmtId="0" fillId="3" borderId="1" applyFont="1" applyNumberFormat="0" applyFill="1" applyBorder="1" applyAlignment="0">
      <alignment horizontal="general" vertical="top" textRotation="0" wrapText="true" shrinkToFit="false"/>
    </xf>
    <xf xfId="0" fontId="2" numFmtId="0" fillId="4" borderId="1" applyFont="1" applyNumberFormat="0" applyFill="1" applyBorder="1" applyAlignment="1">
      <alignment horizontal="center" vertical="top" textRotation="0" wrapText="true" shrinkToFit="false"/>
    </xf>
    <xf xfId="0" fontId="2" numFmtId="0" fillId="4" borderId="1" applyFont="1" applyNumberFormat="0" applyFill="1" applyBorder="1" applyAlignment="0">
      <alignment horizontal="general" vertical="top" textRotation="0" wrapText="true" shrinkToFit="false"/>
    </xf>
    <xf xfId="0" fontId="2" numFmtId="0" fillId="5" borderId="1" applyFont="1" applyNumberFormat="0" applyFill="1" applyBorder="1" applyAlignment="1">
      <alignment horizontal="center" vertical="top" textRotation="0" wrapText="true" shrinkToFit="false"/>
    </xf>
    <xf xfId="0" fontId="2" numFmtId="0" fillId="5" borderId="1" applyFont="1" applyNumberFormat="0" applyFill="1" applyBorder="1" applyAlignment="0">
      <alignment horizontal="general" vertical="top" textRotation="0" wrapText="true" shrinkToFit="false"/>
    </xf>
    <xf xfId="0" fontId="2" numFmtId="0" fillId="0" borderId="0" applyFont="1" applyNumberFormat="0" applyFill="0" applyBorder="0" applyAlignment="0">
      <alignment horizontal="general" vertical="top" textRotation="0" wrapText="true" shrinkToFit="false"/>
    </xf>
    <xf xfId="0" fontId="0" numFmtId="0" fillId="0" borderId="1" applyFont="0" applyNumberFormat="0" applyFill="0" applyBorder="1" applyAlignment="0">
      <alignment horizontal="general" vertical="top" textRotation="0" wrapText="true" shrinkToFit="false"/>
    </xf>
    <xf xfId="0" fontId="0" numFmtId="0" fillId="6" borderId="1" applyFont="0" applyNumberFormat="0" applyFill="1" applyBorder="1" applyAlignment="0">
      <alignment horizontal="general" vertical="top" textRotation="0" wrapText="true" shrinkToFit="false"/>
    </xf>
    <xf xfId="0" fontId="3" numFmtId="0" fillId="0" borderId="1" applyFont="1" applyNumberFormat="0" applyFill="0" applyBorder="1" applyAlignment="0">
      <alignment horizontal="general" vertical="top" textRotation="0" wrapText="true" shrinkToFit="false"/>
    </xf>
    <xf xfId="0" fontId="4" numFmtId="0" fillId="0" borderId="1" applyFont="1" applyNumberFormat="0" applyFill="0" applyBorder="1" applyAlignment="0">
      <alignment horizontal="general" vertical="top" textRotation="0" wrapText="true" shrinkToFit="false"/>
    </xf>
    <xf xfId="0" fontId="0" numFmtId="0" fillId="7" borderId="1" applyFont="0" applyNumberFormat="0" applyFill="1" applyBorder="1" applyAlignment="0">
      <alignment horizontal="general" vertical="top" textRotation="0" wrapText="true" shrinkToFit="false"/>
    </xf>
    <xf xfId="0" fontId="5" numFmtId="0" fillId="0" borderId="1" applyFont="1" applyNumberFormat="0" applyFill="0" applyBorder="1" applyAlignment="0">
      <alignment horizontal="general" vertical="top" textRotation="0" wrapText="true" shrinkToFit="false"/>
    </xf>
    <xf xfId="0" fontId="0" numFmtId="0" fillId="8" borderId="1" applyFont="0" applyNumberFormat="0" applyFill="1" applyBorder="1" applyAlignment="0">
      <alignment horizontal="general" vertical="top" textRotation="0" wrapText="true" shrinkToFit="false"/>
    </xf>
    <xf xfId="0" fontId="0" numFmtId="0" fillId="9" borderId="1" applyFont="0" applyNumberFormat="0" applyFill="1" applyBorder="1" applyAlignment="0">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www.henontech.com/fieldsafety/harzard/harzard_show.php?rid=1018&amp;url=harzardrecs.php" TargetMode="External"/><Relationship Id="rId_hyperlink_2" Type="http://schemas.openxmlformats.org/officeDocument/2006/relationships/hyperlink" Target="http://www.henontech.com/fieldsafety/harzard/harzard_show.php?rid=1316&amp;url=harzardrecs.php" TargetMode="External"/><Relationship Id="rId_hyperlink_3" Type="http://schemas.openxmlformats.org/officeDocument/2006/relationships/hyperlink" Target="http://www.henontech.com/fieldsafety/harzard/harzard_show.php?rid=1320&amp;url=harzardrecs.php" TargetMode="External"/><Relationship Id="rId_hyperlink_4" Type="http://schemas.openxmlformats.org/officeDocument/2006/relationships/hyperlink" Target="http://www.henontech.com/fieldsafety/harzard/harzard_show.php?rid=1337&amp;url=harzardrecs.php" TargetMode="External"/><Relationship Id="rId_hyperlink_5" Type="http://schemas.openxmlformats.org/officeDocument/2006/relationships/hyperlink" Target="http://www.henontech.com/fieldsafety/harzard/harzard_show.php?rid=1388&amp;url=harzardrecs.php" TargetMode="External"/><Relationship Id="rId_hyperlink_6" Type="http://schemas.openxmlformats.org/officeDocument/2006/relationships/hyperlink" Target="http://www.henontech.com/fieldsafety/harzard/harzard_show.php?rid=1392&amp;url=harzardrecs.php" TargetMode="External"/><Relationship Id="rId_hyperlink_7" Type="http://schemas.openxmlformats.org/officeDocument/2006/relationships/hyperlink" Target="http://www.henontech.com/fieldsafety/harzard/harzard_show.php?rid=1424&amp;url=harzardrecs.php" TargetMode="External"/><Relationship Id="rId_hyperlink_8" Type="http://schemas.openxmlformats.org/officeDocument/2006/relationships/hyperlink" Target="http://www.henontech.com/fieldsafety/harzard/harzard_show.php?rid=1492&amp;url=harzardrecs.php" TargetMode="External"/><Relationship Id="rId_hyperlink_9" Type="http://schemas.openxmlformats.org/officeDocument/2006/relationships/hyperlink" Target="http://www.henontech.com/fieldsafety/harzard/harzard_show.php?rid=1506&amp;url=harzardrecs.php" TargetMode="External"/><Relationship Id="rId_hyperlink_10" Type="http://schemas.openxmlformats.org/officeDocument/2006/relationships/hyperlink" Target="http://www.henontech.com/fieldsafety/harzard/harzard_show.php?rid=1510&amp;url=harzardrecs.php" TargetMode="External"/><Relationship Id="rId_hyperlink_11" Type="http://schemas.openxmlformats.org/officeDocument/2006/relationships/hyperlink" Target="http://www.henontech.com/fieldsafety/harzard/harzard_show.php?rid=1516&amp;url=harzardrecs.php" TargetMode="External"/><Relationship Id="rId_hyperlink_12" Type="http://schemas.openxmlformats.org/officeDocument/2006/relationships/hyperlink" Target="http://www.henontech.com/fieldsafety/harzard/harzard_show.php?rid=1524&amp;url=harzardrecs.php" TargetMode="External"/><Relationship Id="rId_hyperlink_13" Type="http://schemas.openxmlformats.org/officeDocument/2006/relationships/hyperlink" Target="http://www.henontech.com/fieldsafety/harzard/harzard_show.php?rid=1527&amp;url=harzardrecs.php" TargetMode="External"/><Relationship Id="rId_hyperlink_14" Type="http://schemas.openxmlformats.org/officeDocument/2006/relationships/hyperlink" Target="http://www.henontech.com/fieldsafety/harzard/harzard_show.php?rid=1546&amp;url=harzardrecs.php" TargetMode="External"/><Relationship Id="rId_hyperlink_15" Type="http://schemas.openxmlformats.org/officeDocument/2006/relationships/hyperlink" Target="http://www.henontech.com/fieldsafety/harzard/harzard_show.php?rid=1558&amp;url=harzardrecs.php" TargetMode="External"/><Relationship Id="rId_hyperlink_16" Type="http://schemas.openxmlformats.org/officeDocument/2006/relationships/hyperlink" Target="http://www.henontech.com/fieldsafety/harzard/harzard_show.php?rid=1571&amp;url=harzardrecs.php" TargetMode="External"/><Relationship Id="rId_hyperlink_17" Type="http://schemas.openxmlformats.org/officeDocument/2006/relationships/hyperlink" Target="http://www.henontech.com/fieldsafety/harzard/harzard_show.php?rid=1581&amp;url=harzardrecs.php" TargetMode="External"/><Relationship Id="rId_hyperlink_18" Type="http://schemas.openxmlformats.org/officeDocument/2006/relationships/hyperlink" Target="http://www.henontech.com/fieldsafety/harzard/harzard_show.php?rid=1588&amp;url=harzardrecs.php" TargetMode="External"/><Relationship Id="rId_hyperlink_19" Type="http://schemas.openxmlformats.org/officeDocument/2006/relationships/hyperlink" Target="http://www.henontech.com/fieldsafety/harzard/harzard_show.php?rid=1591&amp;url=harzardrecs.php" TargetMode="External"/><Relationship Id="rId_hyperlink_20" Type="http://schemas.openxmlformats.org/officeDocument/2006/relationships/hyperlink" Target="http://www.henontech.com/fieldsafety/harzard/harzard_show.php?rid=1593&amp;url=harzardrecs.php" TargetMode="External"/><Relationship Id="rId_hyperlink_21" Type="http://schemas.openxmlformats.org/officeDocument/2006/relationships/hyperlink" Target="http://www.henontech.com/fieldsafety/harzard/harzard_show.php?rid=1595&amp;url=harzardrecs.php" TargetMode="External"/><Relationship Id="rId_hyperlink_22" Type="http://schemas.openxmlformats.org/officeDocument/2006/relationships/hyperlink" Target="http://www.henontech.com/fieldsafety/harzard/harzard_show.php?rid=1607&amp;url=harzardrecs.php" TargetMode="External"/><Relationship Id="rId_hyperlink_23" Type="http://schemas.openxmlformats.org/officeDocument/2006/relationships/hyperlink" Target="http://www.henontech.com/fieldsafety/harzard/harzard_show.php?rid=1627&amp;url=harzardrecs.php" TargetMode="External"/><Relationship Id="rId_hyperlink_24" Type="http://schemas.openxmlformats.org/officeDocument/2006/relationships/hyperlink" Target="http://www.henontech.com/fieldsafety/harzard/harzard_show.php?rid=1636&amp;url=harzardrecs.php" TargetMode="External"/><Relationship Id="rId_hyperlink_25" Type="http://schemas.openxmlformats.org/officeDocument/2006/relationships/hyperlink" Target="http://www.henontech.com/fieldsafety/harzard/harzard_show.php?rid=1642&amp;url=harzardrecs.php" TargetMode="External"/><Relationship Id="rId_hyperlink_26" Type="http://schemas.openxmlformats.org/officeDocument/2006/relationships/hyperlink" Target="http://www.henontech.com/fieldsafety/harzard/harzard_show.php?rid=1658&amp;url=harzardrecs.php" TargetMode="External"/><Relationship Id="rId_hyperlink_27" Type="http://schemas.openxmlformats.org/officeDocument/2006/relationships/hyperlink" Target="http://www.henontech.com/fieldsafety/harzard/harzard_show.php?rid=1665&amp;url=harzardrecs.php" TargetMode="External"/><Relationship Id="rId_hyperlink_28" Type="http://schemas.openxmlformats.org/officeDocument/2006/relationships/hyperlink" Target="http://www.henontech.com/fieldsafety/harzard/harzard_show.php?rid=1676&amp;url=harzardrecs.php" TargetMode="External"/><Relationship Id="rId_hyperlink_29" Type="http://schemas.openxmlformats.org/officeDocument/2006/relationships/hyperlink" Target="http://www.henontech.com/fieldsafety/harzard/harzard_show.php?rid=1681&amp;url=harzardrecs.php" TargetMode="External"/><Relationship Id="rId_hyperlink_30" Type="http://schemas.openxmlformats.org/officeDocument/2006/relationships/hyperlink" Target="http://www.henontech.com/fieldsafety/harzard/harzard_show.php?rid=1683&amp;url=harzardrecs.php" TargetMode="External"/><Relationship Id="rId_hyperlink_31" Type="http://schemas.openxmlformats.org/officeDocument/2006/relationships/hyperlink" Target="http://www.henontech.com/fieldsafety/harzard/harzard_show.php?rid=1684&amp;url=harzardrecs.php" TargetMode="External"/><Relationship Id="rId_hyperlink_32" Type="http://schemas.openxmlformats.org/officeDocument/2006/relationships/hyperlink" Target="http://www.henontech.com/fieldsafety/harzard/harzard_show.php?rid=1697&amp;url=harzardrecs.php" TargetMode="External"/><Relationship Id="rId_hyperlink_33" Type="http://schemas.openxmlformats.org/officeDocument/2006/relationships/hyperlink" Target="http://www.henontech.com/fieldsafety/harzard/harzard_show.php?rid=1698&amp;url=harzardrecs.php" TargetMode="External"/><Relationship Id="rId_hyperlink_34" Type="http://schemas.openxmlformats.org/officeDocument/2006/relationships/hyperlink" Target="http://www.henontech.com/fieldsafety/harzard/harzard_show.php?rid=1699&amp;url=harzardrecs.php" TargetMode="External"/><Relationship Id="rId_hyperlink_35" Type="http://schemas.openxmlformats.org/officeDocument/2006/relationships/hyperlink" Target="http://www.henontech.com/fieldsafety/harzard/harzard_show.php?rid=1700&amp;url=harzardrecs.php" TargetMode="External"/><Relationship Id="rId_hyperlink_36" Type="http://schemas.openxmlformats.org/officeDocument/2006/relationships/hyperlink" Target="http://www.henontech.com/fieldsafety/harzard/harzard_show.php?rid=1703&amp;url=harzardrecs.php" TargetMode="External"/><Relationship Id="rId_hyperlink_37" Type="http://schemas.openxmlformats.org/officeDocument/2006/relationships/hyperlink" Target="http://www.henontech.com/fieldsafety/harzard/harzard_show.php?rid=1704&amp;url=harzardrecs.php" TargetMode="External"/><Relationship Id="rId_hyperlink_38" Type="http://schemas.openxmlformats.org/officeDocument/2006/relationships/hyperlink" Target="http://www.henontech.com/fieldsafety/harzard/harzard_show.php?rid=1705&amp;url=harzardrecs.php" TargetMode="External"/><Relationship Id="rId_hyperlink_39" Type="http://schemas.openxmlformats.org/officeDocument/2006/relationships/hyperlink" Target="http://www.henontech.com/fieldsafety/harzard/harzard_show.php?rid=1709&amp;url=harzardrecs.php" TargetMode="External"/><Relationship Id="rId_hyperlink_40" Type="http://schemas.openxmlformats.org/officeDocument/2006/relationships/hyperlink" Target="http://www.henontech.com/fieldsafety/harzard/harzard_show.php?rid=1710&amp;url=harzardrecs.php" TargetMode="External"/><Relationship Id="rId_hyperlink_41" Type="http://schemas.openxmlformats.org/officeDocument/2006/relationships/hyperlink" Target="http://www.henontech.com/fieldsafety/harzard/harzard_show.php?rid=1711&amp;url=harzardrecs.php" TargetMode="External"/><Relationship Id="rId_hyperlink_42" Type="http://schemas.openxmlformats.org/officeDocument/2006/relationships/hyperlink" Target="http://www.henontech.com/fieldsafety/harzard/harzard_show.php?rid=1712&amp;url=harzardrecs.php" TargetMode="External"/><Relationship Id="rId_hyperlink_43" Type="http://schemas.openxmlformats.org/officeDocument/2006/relationships/hyperlink" Target="http://www.henontech.com/fieldsafety/harzard/harzard_show.php?rid=1713&amp;url=harzardrecs.php" TargetMode="External"/><Relationship Id="rId_hyperlink_44" Type="http://schemas.openxmlformats.org/officeDocument/2006/relationships/hyperlink" Target="http://www.henontech.com/fieldsafety/harzard/harzard_show.php?rid=1714&amp;url=harzardrecs.php" TargetMode="External"/><Relationship Id="rId_hyperlink_45" Type="http://schemas.openxmlformats.org/officeDocument/2006/relationships/hyperlink" Target="http://www.henontech.com/fieldsafety/harzard/harzard_show.php?rid=1718&amp;url=harzardrecs.php" TargetMode="External"/><Relationship Id="rId_hyperlink_46" Type="http://schemas.openxmlformats.org/officeDocument/2006/relationships/hyperlink" Target="http://www.henontech.com/fieldsafety/harzard/harzard_show.php?rid=1719&amp;url=harzardrecs.php" TargetMode="External"/><Relationship Id="rId_hyperlink_47" Type="http://schemas.openxmlformats.org/officeDocument/2006/relationships/hyperlink" Target="http://www.henontech.com/fieldsafety/harzard/harzard_show.php?rid=1720&amp;url=harzardrecs.php" TargetMode="External"/><Relationship Id="rId_hyperlink_48" Type="http://schemas.openxmlformats.org/officeDocument/2006/relationships/hyperlink" Target="http://www.henontech.com/fieldsafety/harzard/harzard_show.php?rid=1721&amp;url=harzardrecs.php" TargetMode="External"/><Relationship Id="rId_hyperlink_49" Type="http://schemas.openxmlformats.org/officeDocument/2006/relationships/hyperlink" Target="http://www.henontech.com/fieldsafety/harzard/harzard_show.php?rid=1723&amp;url=harzardrecs.php" TargetMode="External"/><Relationship Id="rId_hyperlink_50" Type="http://schemas.openxmlformats.org/officeDocument/2006/relationships/hyperlink" Target="http://www.henontech.com/fieldsafety/harzard/harzard_show.php?rid=1725&amp;url=harzardrecs.php" TargetMode="External"/><Relationship Id="rId_hyperlink_51" Type="http://schemas.openxmlformats.org/officeDocument/2006/relationships/hyperlink" Target="http://www.henontech.com/fieldsafety/harzard/harzard_show.php?rid=1727&amp;url=harzardrecs.php" TargetMode="External"/><Relationship Id="rId_hyperlink_52" Type="http://schemas.openxmlformats.org/officeDocument/2006/relationships/hyperlink" Target="http://www.henontech.com/fieldsafety/harzard/harzard_show.php?rid=1728&amp;url=harzardrecs.php" TargetMode="External"/><Relationship Id="rId_hyperlink_53" Type="http://schemas.openxmlformats.org/officeDocument/2006/relationships/hyperlink" Target="http://www.henontech.com/fieldsafety/harzard/harzard_show.php?rid=1729&amp;url=harzardrecs.php" TargetMode="External"/><Relationship Id="rId_hyperlink_54" Type="http://schemas.openxmlformats.org/officeDocument/2006/relationships/hyperlink" Target="http://www.henontech.com/fieldsafety/harzard/harzard_show.php?rid=1731&amp;url=harzardrecs.php" TargetMode="External"/><Relationship Id="rId_hyperlink_55" Type="http://schemas.openxmlformats.org/officeDocument/2006/relationships/hyperlink" Target="http://www.henontech.com/fieldsafety/harzard/harzard_show.php?rid=1732&amp;url=harzardrecs.php" TargetMode="External"/><Relationship Id="rId_hyperlink_56" Type="http://schemas.openxmlformats.org/officeDocument/2006/relationships/hyperlink" Target="http://www.henontech.com/fieldsafety/harzard/harzard_show.php?rid=1733&amp;url=harzardrecs.php" TargetMode="External"/><Relationship Id="rId_hyperlink_57" Type="http://schemas.openxmlformats.org/officeDocument/2006/relationships/hyperlink" Target="http://www.henontech.com/fieldsafety/harzard/harzard_show.php?rid=1734&amp;url=harzardrecs.php" TargetMode="External"/><Relationship Id="rId_hyperlink_58" Type="http://schemas.openxmlformats.org/officeDocument/2006/relationships/hyperlink" Target="http://www.henontech.com/fieldsafety/harzard/harzard_show.php?rid=1735&amp;url=harzardrecs.php" TargetMode="External"/><Relationship Id="rId_hyperlink_59" Type="http://schemas.openxmlformats.org/officeDocument/2006/relationships/hyperlink" Target="http://www.henontech.com/fieldsafety/harzard/harzard_show.php?rid=1736&amp;url=harzardrecs.php" TargetMode="External"/><Relationship Id="rId_hyperlink_60" Type="http://schemas.openxmlformats.org/officeDocument/2006/relationships/hyperlink" Target="http://www.henontech.com/fieldsafety/harzard/harzard_show.php?rid=1737&amp;url=harzardrecs.php" TargetMode="External"/><Relationship Id="rId_hyperlink_61" Type="http://schemas.openxmlformats.org/officeDocument/2006/relationships/hyperlink" Target="http://www.henontech.com/fieldsafety/harzard/harzard_show.php?rid=1740&amp;url=harzardrecs.php" TargetMode="External"/><Relationship Id="rId_hyperlink_62" Type="http://schemas.openxmlformats.org/officeDocument/2006/relationships/hyperlink" Target="http://www.henontech.com/fieldsafety/harzard/harzard_show.php?rid=1742&amp;url=harzardrecs.php" TargetMode="External"/><Relationship Id="rId_hyperlink_63" Type="http://schemas.openxmlformats.org/officeDocument/2006/relationships/hyperlink" Target="http://www.henontech.com/fieldsafety/harzard/harzard_show.php?rid=1743&amp;url=harzardrecs.php" TargetMode="External"/><Relationship Id="rId_hyperlink_64" Type="http://schemas.openxmlformats.org/officeDocument/2006/relationships/hyperlink" Target="http://www.henontech.com/fieldsafety/harzard/harzard_show.php?rid=1744&amp;url=harzardrecs.php" TargetMode="External"/><Relationship Id="rId_hyperlink_65" Type="http://schemas.openxmlformats.org/officeDocument/2006/relationships/hyperlink" Target="http://www.henontech.com/fieldsafety/harzard/harzard_show.php?rid=1745&amp;url=harzardrecs.php" TargetMode="External"/><Relationship Id="rId_hyperlink_66" Type="http://schemas.openxmlformats.org/officeDocument/2006/relationships/hyperlink" Target="http://www.henontech.com/fieldsafety/harzard/harzard_show.php?rid=1746&amp;url=harzardrecs.php" TargetMode="External"/><Relationship Id="rId_hyperlink_67" Type="http://schemas.openxmlformats.org/officeDocument/2006/relationships/hyperlink" Target="http://www.henontech.com/fieldsafety/harzard/harzard_show.php?rid=1748&amp;url=harzardrecs.php" TargetMode="External"/><Relationship Id="rId_hyperlink_68" Type="http://schemas.openxmlformats.org/officeDocument/2006/relationships/hyperlink" Target="http://www.henontech.com/fieldsafety/harzard/harzard_show.php?rid=1749&amp;url=harzardrecs.php" TargetMode="External"/><Relationship Id="rId_hyperlink_69" Type="http://schemas.openxmlformats.org/officeDocument/2006/relationships/hyperlink" Target="http://www.henontech.com/fieldsafety/harzard/harzard_show.php?rid=1750&amp;url=harzardrecs.php" TargetMode="External"/><Relationship Id="rId_hyperlink_70" Type="http://schemas.openxmlformats.org/officeDocument/2006/relationships/hyperlink" Target="http://www.henontech.com/fieldsafety/harzard/harzard_show.php?rid=1751&amp;url=harzardrecs.php" TargetMode="External"/><Relationship Id="rId_hyperlink_71" Type="http://schemas.openxmlformats.org/officeDocument/2006/relationships/hyperlink" Target="http://www.henontech.com/fieldsafety/harzard/harzard_show.php?rid=1753&amp;url=harzardrecs.php" TargetMode="External"/><Relationship Id="rId_hyperlink_72" Type="http://schemas.openxmlformats.org/officeDocument/2006/relationships/hyperlink" Target="http://www.henontech.com/fieldsafety/harzard/harzard_show.php?rid=1754&amp;url=harzardrecs.php" TargetMode="External"/><Relationship Id="rId_hyperlink_73" Type="http://schemas.openxmlformats.org/officeDocument/2006/relationships/hyperlink" Target="http://www.henontech.com/fieldsafety/harzard/harzard_show.php?rid=1755&amp;url=harzardrecs.php" TargetMode="External"/><Relationship Id="rId_hyperlink_74" Type="http://schemas.openxmlformats.org/officeDocument/2006/relationships/hyperlink" Target="http://www.henontech.com/fieldsafety/harzard/harzard_show.php?rid=1756&amp;url=harzardrecs.php" TargetMode="External"/><Relationship Id="rId_hyperlink_75" Type="http://schemas.openxmlformats.org/officeDocument/2006/relationships/hyperlink" Target="http://www.henontech.com/fieldsafety/harzard/harzard_show.php?rid=1757&amp;url=harzardrecs.php" TargetMode="External"/><Relationship Id="rId_hyperlink_76" Type="http://schemas.openxmlformats.org/officeDocument/2006/relationships/hyperlink" Target="http://www.henontech.com/fieldsafety/harzard/harzard_show.php?rid=1758&amp;url=harzardrecs.php" TargetMode="External"/><Relationship Id="rId_hyperlink_77" Type="http://schemas.openxmlformats.org/officeDocument/2006/relationships/hyperlink" Target="http://www.henontech.com/fieldsafety/harzard/harzard_show.php?rid=1759&amp;url=harzardrecs.php" TargetMode="External"/><Relationship Id="rId_hyperlink_78" Type="http://schemas.openxmlformats.org/officeDocument/2006/relationships/hyperlink" Target="http://www.henontech.com/fieldsafety/harzard/harzard_show.php?rid=1763&amp;url=harzardrecs.php" TargetMode="External"/><Relationship Id="rId_hyperlink_79" Type="http://schemas.openxmlformats.org/officeDocument/2006/relationships/hyperlink" Target="http://www.henontech.com/fieldsafety/harzard/harzard_show.php?rid=1764&amp;url=harzardrecs.php" TargetMode="External"/><Relationship Id="rId_hyperlink_80" Type="http://schemas.openxmlformats.org/officeDocument/2006/relationships/hyperlink" Target="http://www.henontech.com/fieldsafety/harzard/harzard_show.php?rid=1765&amp;url=harzardrecs.php" TargetMode="External"/><Relationship Id="rId_hyperlink_81" Type="http://schemas.openxmlformats.org/officeDocument/2006/relationships/hyperlink" Target="http://www.henontech.com/fieldsafety/harzard/harzard_show.php?rid=1766&amp;url=harzardrecs.php" TargetMode="External"/><Relationship Id="rId_hyperlink_82" Type="http://schemas.openxmlformats.org/officeDocument/2006/relationships/hyperlink" Target="http://www.henontech.com/fieldsafety/harzard/harzard_show.php?rid=1767&amp;url=harzardrecs.php" TargetMode="External"/><Relationship Id="rId_hyperlink_83" Type="http://schemas.openxmlformats.org/officeDocument/2006/relationships/hyperlink" Target="http://www.henontech.com/fieldsafety/harzard/harzard_show.php?rid=1768&amp;url=harzardrecs.php" TargetMode="External"/><Relationship Id="rId_hyperlink_84" Type="http://schemas.openxmlformats.org/officeDocument/2006/relationships/hyperlink" Target="http://www.henontech.com/fieldsafety/harzard/harzard_show.php?rid=1771&amp;url=harzardrecs.php" TargetMode="External"/><Relationship Id="rId_hyperlink_85" Type="http://schemas.openxmlformats.org/officeDocument/2006/relationships/hyperlink" Target="http://www.henontech.com/fieldsafety/harzard/harzard_show.php?rid=1772&amp;url=harzardrecs.php" TargetMode="External"/><Relationship Id="rId_hyperlink_86" Type="http://schemas.openxmlformats.org/officeDocument/2006/relationships/hyperlink" Target="http://www.henontech.com/fieldsafety/harzard/harzard_show.php?rid=1775&amp;url=harzardrecs.php" TargetMode="External"/><Relationship Id="rId_hyperlink_87" Type="http://schemas.openxmlformats.org/officeDocument/2006/relationships/hyperlink" Target="http://www.henontech.com/fieldsafety/harzard/harzard_show.php?rid=1776&amp;url=harzardrecs.php" TargetMode="External"/><Relationship Id="rId_hyperlink_88" Type="http://schemas.openxmlformats.org/officeDocument/2006/relationships/hyperlink" Target="http://www.henontech.com/fieldsafety/harzard/harzard_show.php?rid=1777&amp;url=harzardrecs.php" TargetMode="External"/><Relationship Id="rId_hyperlink_89" Type="http://schemas.openxmlformats.org/officeDocument/2006/relationships/hyperlink" Target="http://www.henontech.com/fieldsafety/harzard/harzard_show.php?rid=1778&amp;url=harzardrecs.php" TargetMode="External"/><Relationship Id="rId_hyperlink_90" Type="http://schemas.openxmlformats.org/officeDocument/2006/relationships/hyperlink" Target="http://www.henontech.com/fieldsafety/harzard/harzard_show.php?rid=1779&amp;url=harzardrecs.php" TargetMode="External"/><Relationship Id="rId_hyperlink_91" Type="http://schemas.openxmlformats.org/officeDocument/2006/relationships/hyperlink" Target="http://www.henontech.com/fieldsafety/harzard/harzard_show.php?rid=1780&amp;url=harzardrecs.php" TargetMode="External"/><Relationship Id="rId_hyperlink_92" Type="http://schemas.openxmlformats.org/officeDocument/2006/relationships/hyperlink" Target="http://www.henontech.com/fieldsafety/harzard/harzard_show.php?rid=1781&amp;url=harzardrecs.php" TargetMode="External"/><Relationship Id="rId_hyperlink_93" Type="http://schemas.openxmlformats.org/officeDocument/2006/relationships/hyperlink" Target="http://www.henontech.com/fieldsafety/harzard/harzard_show.php?rid=1783&amp;url=harzardrecs.php" TargetMode="External"/><Relationship Id="rId_hyperlink_94" Type="http://schemas.openxmlformats.org/officeDocument/2006/relationships/hyperlink" Target="http://www.henontech.com/fieldsafety/harzard/harzard_show.php?rid=1785&amp;url=harzardrecs.php" TargetMode="External"/><Relationship Id="rId_hyperlink_95" Type="http://schemas.openxmlformats.org/officeDocument/2006/relationships/hyperlink" Target="http://www.henontech.com/fieldsafety/harzard/harzard_show.php?rid=1786&amp;url=harzardrecs.php" TargetMode="External"/><Relationship Id="rId_hyperlink_96" Type="http://schemas.openxmlformats.org/officeDocument/2006/relationships/hyperlink" Target="http://www.henontech.com/fieldsafety/harzard/harzard_show.php?rid=1789&amp;url=harzardrecs.php" TargetMode="External"/><Relationship Id="rId_hyperlink_97" Type="http://schemas.openxmlformats.org/officeDocument/2006/relationships/hyperlink" Target="http://www.henontech.com/fieldsafety/harzard/harzard_show.php?rid=1790&amp;url=harzardrecs.php" TargetMode="External"/><Relationship Id="rId_hyperlink_98" Type="http://schemas.openxmlformats.org/officeDocument/2006/relationships/hyperlink" Target="http://www.henontech.com/fieldsafety/harzard/harzard_show.php?rid=1791&amp;url=harzardrecs.php" TargetMode="External"/><Relationship Id="rId_hyperlink_99" Type="http://schemas.openxmlformats.org/officeDocument/2006/relationships/hyperlink" Target="http://www.henontech.com/fieldsafety/harzard/harzard_show.php?rid=1792&amp;url=harzardrecs.php" TargetMode="External"/><Relationship Id="rId_hyperlink_100" Type="http://schemas.openxmlformats.org/officeDocument/2006/relationships/hyperlink" Target="http://www.henontech.com/fieldsafety/harzard/harzard_show.php?rid=1793&amp;url=harzardrecs.php" TargetMode="External"/><Relationship Id="rId_hyperlink_101" Type="http://schemas.openxmlformats.org/officeDocument/2006/relationships/hyperlink" Target="http://www.henontech.com/fieldsafety/harzard/harzard_show.php?rid=1794&amp;url=harzardrecs.php" TargetMode="External"/><Relationship Id="rId_hyperlink_102" Type="http://schemas.openxmlformats.org/officeDocument/2006/relationships/hyperlink" Target="http://www.henontech.com/fieldsafety/harzard/harzard_show.php?rid=1795&amp;url=harzardrecs.php" TargetMode="External"/><Relationship Id="rId_hyperlink_103" Type="http://schemas.openxmlformats.org/officeDocument/2006/relationships/hyperlink" Target="http://www.henontech.com/fieldsafety/harzard/harzard_show.php?rid=1797&amp;url=harzardrecs.php" TargetMode="External"/><Relationship Id="rId_hyperlink_104" Type="http://schemas.openxmlformats.org/officeDocument/2006/relationships/hyperlink" Target="http://www.henontech.com/fieldsafety/harzard/harzard_show.php?rid=1798&amp;url=harzardrecs.php" TargetMode="External"/><Relationship Id="rId_hyperlink_105" Type="http://schemas.openxmlformats.org/officeDocument/2006/relationships/hyperlink" Target="http://www.henontech.com/fieldsafety/harzard/harzard_show.php?rid=1799&amp;url=harzardrecs.php" TargetMode="External"/><Relationship Id="rId_hyperlink_106" Type="http://schemas.openxmlformats.org/officeDocument/2006/relationships/hyperlink" Target="http://www.henontech.com/fieldsafety/harzard/harzard_show.php?rid=1801&amp;url=harzardrecs.php" TargetMode="External"/><Relationship Id="rId_hyperlink_107" Type="http://schemas.openxmlformats.org/officeDocument/2006/relationships/hyperlink" Target="http://www.henontech.com/fieldsafety/harzard/harzard_show.php?rid=1802&amp;url=harzardrecs.php" TargetMode="External"/><Relationship Id="rId_hyperlink_108" Type="http://schemas.openxmlformats.org/officeDocument/2006/relationships/hyperlink" Target="http://www.henontech.com/fieldsafety/harzard/harzard_show.php?rid=1803&amp;url=harzardrecs.php" TargetMode="External"/><Relationship Id="rId_hyperlink_109" Type="http://schemas.openxmlformats.org/officeDocument/2006/relationships/hyperlink" Target="http://www.henontech.com/fieldsafety/harzard/harzard_show.php?rid=1804&amp;url=harzardrecs.php" TargetMode="External"/><Relationship Id="rId_hyperlink_110" Type="http://schemas.openxmlformats.org/officeDocument/2006/relationships/hyperlink" Target="http://www.henontech.com/fieldsafety/harzard/harzard_show.php?rid=1805&amp;url=harzardrecs.php" TargetMode="External"/><Relationship Id="rId_hyperlink_111" Type="http://schemas.openxmlformats.org/officeDocument/2006/relationships/hyperlink" Target="http://www.henontech.com/fieldsafety/harzard/harzard_show.php?rid=1806&amp;url=harzardrecs.php" TargetMode="External"/><Relationship Id="rId_hyperlink_112" Type="http://schemas.openxmlformats.org/officeDocument/2006/relationships/hyperlink" Target="http://www.henontech.com/fieldsafety/harzard/harzard_show.php?rid=1807&amp;url=harzardrecs.php" TargetMode="External"/><Relationship Id="rId_hyperlink_113" Type="http://schemas.openxmlformats.org/officeDocument/2006/relationships/hyperlink" Target="http://www.henontech.com/fieldsafety/harzard/harzard_show.php?rid=1808&amp;url=harzardrecs.php" TargetMode="External"/><Relationship Id="rId_hyperlink_114" Type="http://schemas.openxmlformats.org/officeDocument/2006/relationships/hyperlink" Target="http://www.henontech.com/fieldsafety/harzard/harzard_show.php?rid=1812&amp;url=harzardrecs.php" TargetMode="External"/><Relationship Id="rId_hyperlink_115" Type="http://schemas.openxmlformats.org/officeDocument/2006/relationships/hyperlink" Target="http://www.henontech.com/fieldsafety/harzard/harzard_show.php?rid=1813&amp;url=harzardrecs.php" TargetMode="External"/><Relationship Id="rId_hyperlink_116" Type="http://schemas.openxmlformats.org/officeDocument/2006/relationships/hyperlink" Target="http://www.henontech.com/fieldsafety/harzard/harzard_show.php?rid=1815&amp;url=harzardrecs.php" TargetMode="External"/><Relationship Id="rId_hyperlink_117" Type="http://schemas.openxmlformats.org/officeDocument/2006/relationships/hyperlink" Target="http://www.henontech.com/fieldsafety/harzard/harzard_show.php?rid=1817&amp;url=harzardrecs.php" TargetMode="External"/><Relationship Id="rId_hyperlink_118" Type="http://schemas.openxmlformats.org/officeDocument/2006/relationships/hyperlink" Target="http://www.henontech.com/fieldsafety/harzard/harzard_show.php?rid=1818&amp;url=harzardrecs.php" TargetMode="External"/><Relationship Id="rId_hyperlink_119" Type="http://schemas.openxmlformats.org/officeDocument/2006/relationships/hyperlink" Target="http://www.henontech.com/fieldsafety/harzard/harzard_show.php?rid=1819&amp;url=harzardrecs.php" TargetMode="External"/><Relationship Id="rId_hyperlink_120" Type="http://schemas.openxmlformats.org/officeDocument/2006/relationships/hyperlink" Target="http://www.henontech.com/fieldsafety/harzard/harzard_show.php?rid=1820&amp;url=harzardrecs.php" TargetMode="External"/><Relationship Id="rId_hyperlink_121" Type="http://schemas.openxmlformats.org/officeDocument/2006/relationships/hyperlink" Target="http://www.henontech.com/fieldsafety/harzard/harzard_show.php?rid=1821&amp;url=harzardrecs.php" TargetMode="External"/><Relationship Id="rId_hyperlink_122" Type="http://schemas.openxmlformats.org/officeDocument/2006/relationships/hyperlink" Target="http://www.henontech.com/fieldsafety/harzard/harzard_show.php?rid=1822&amp;url=harzardrecs.php" TargetMode="External"/><Relationship Id="rId_hyperlink_123" Type="http://schemas.openxmlformats.org/officeDocument/2006/relationships/hyperlink" Target="http://www.henontech.com/fieldsafety/harzard/harzard_show.php?rid=1823&amp;url=harzardrecs.php" TargetMode="External"/><Relationship Id="rId_hyperlink_124" Type="http://schemas.openxmlformats.org/officeDocument/2006/relationships/hyperlink" Target="http://www.henontech.com/fieldsafety/harzard/harzard_show.php?rid=1824&amp;url=harzardrecs.php" TargetMode="External"/><Relationship Id="rId_hyperlink_125" Type="http://schemas.openxmlformats.org/officeDocument/2006/relationships/hyperlink" Target="http://www.henontech.com/fieldsafety/harzard/harzard_show.php?rid=1825&amp;url=harzardrecs.php" TargetMode="External"/><Relationship Id="rId_hyperlink_126" Type="http://schemas.openxmlformats.org/officeDocument/2006/relationships/hyperlink" Target="http://www.henontech.com/fieldsafety/harzard/harzard_show.php?rid=1826&amp;url=harzardrecs.php" TargetMode="External"/><Relationship Id="rId_hyperlink_127" Type="http://schemas.openxmlformats.org/officeDocument/2006/relationships/hyperlink" Target="http://www.henontech.com/fieldsafety/harzard/harzard_show.php?rid=1827&amp;url=harzardrecs.php" TargetMode="External"/><Relationship Id="rId_hyperlink_128" Type="http://schemas.openxmlformats.org/officeDocument/2006/relationships/hyperlink" Target="http://www.henontech.com/fieldsafety/harzard/harzard_show.php?rid=1829&amp;url=harzardrecs.php" TargetMode="External"/><Relationship Id="rId_hyperlink_129" Type="http://schemas.openxmlformats.org/officeDocument/2006/relationships/hyperlink" Target="http://www.henontech.com/fieldsafety/harzard/harzard_show.php?rid=1833&amp;url=harzardrecs.php" TargetMode="External"/><Relationship Id="rId_hyperlink_130" Type="http://schemas.openxmlformats.org/officeDocument/2006/relationships/hyperlink" Target="http://www.henontech.com/fieldsafety/harzard/harzard_show.php?rid=1834&amp;url=harzardrecs.php" TargetMode="External"/><Relationship Id="rId_hyperlink_131" Type="http://schemas.openxmlformats.org/officeDocument/2006/relationships/hyperlink" Target="http://www.henontech.com/fieldsafety/harzard/harzard_show.php?rid=1834&amp;url=harzardrecs.php" TargetMode="External"/><Relationship Id="rId_hyperlink_132" Type="http://schemas.openxmlformats.org/officeDocument/2006/relationships/hyperlink" Target="http://www.henontech.com/fieldsafety/harzard/harzard_show.php?rid=1835&amp;url=harzardrecs.php" TargetMode="External"/><Relationship Id="rId_hyperlink_133" Type="http://schemas.openxmlformats.org/officeDocument/2006/relationships/hyperlink" Target="http://www.henontech.com/fieldsafety/harzard/harzard_show.php?rid=1836&amp;url=harzardrecs.php" TargetMode="External"/><Relationship Id="rId_hyperlink_134" Type="http://schemas.openxmlformats.org/officeDocument/2006/relationships/hyperlink" Target="http://www.henontech.com/fieldsafety/harzard/harzard_show.php?rid=1838&amp;url=harzardrecs.php" TargetMode="External"/><Relationship Id="rId_hyperlink_135" Type="http://schemas.openxmlformats.org/officeDocument/2006/relationships/hyperlink" Target="http://www.henontech.com/fieldsafety/harzard/harzard_show.php?rid=1839&amp;url=harzardrecs.php" TargetMode="External"/><Relationship Id="rId_hyperlink_136" Type="http://schemas.openxmlformats.org/officeDocument/2006/relationships/hyperlink" Target="http://www.henontech.com/fieldsafety/harzard/harzard_show.php?rid=1842&amp;url=harzardrecs.php" TargetMode="External"/><Relationship Id="rId_hyperlink_137" Type="http://schemas.openxmlformats.org/officeDocument/2006/relationships/hyperlink" Target="http://www.henontech.com/fieldsafety/harzard/harzard_show.php?rid=1843&amp;url=harzardrecs.php" TargetMode="External"/><Relationship Id="rId_hyperlink_138" Type="http://schemas.openxmlformats.org/officeDocument/2006/relationships/hyperlink" Target="http://www.henontech.com/fieldsafety/harzard/harzard_show.php?rid=1845&amp;url=harzardrecs.php" TargetMode="External"/><Relationship Id="rId_hyperlink_139" Type="http://schemas.openxmlformats.org/officeDocument/2006/relationships/hyperlink" Target="http://www.henontech.com/fieldsafety/harzard/harzard_show.php?rid=1846&amp;url=harzardrecs.php" TargetMode="External"/><Relationship Id="rId_hyperlink_140" Type="http://schemas.openxmlformats.org/officeDocument/2006/relationships/hyperlink" Target="http://www.henontech.com/fieldsafety/harzard/harzard_show.php?rid=1847&amp;url=harzardrecs.php" TargetMode="External"/><Relationship Id="rId_hyperlink_141" Type="http://schemas.openxmlformats.org/officeDocument/2006/relationships/hyperlink" Target="http://www.henontech.com/fieldsafety/harzard/harzard_show.php?rid=1848&amp;url=harzardrecs.php" TargetMode="External"/><Relationship Id="rId_hyperlink_142" Type="http://schemas.openxmlformats.org/officeDocument/2006/relationships/hyperlink" Target="http://www.henontech.com/fieldsafety/harzard/harzard_show.php?rid=1849&amp;url=harzardrecs.php" TargetMode="External"/><Relationship Id="rId_hyperlink_143" Type="http://schemas.openxmlformats.org/officeDocument/2006/relationships/hyperlink" Target="http://www.henontech.com/fieldsafety/harzard/harzard_show.php?rid=1850&amp;url=harzardrecs.php" TargetMode="External"/><Relationship Id="rId_hyperlink_144" Type="http://schemas.openxmlformats.org/officeDocument/2006/relationships/hyperlink" Target="http://www.henontech.com/fieldsafety/harzard/harzard_show.php?rid=1851&amp;url=harzardrecs.php" TargetMode="External"/><Relationship Id="rId_hyperlink_145" Type="http://schemas.openxmlformats.org/officeDocument/2006/relationships/hyperlink" Target="http://www.henontech.com/fieldsafety/harzard/harzard_show.php?rid=1852&amp;url=harzardrecs.php" TargetMode="External"/><Relationship Id="rId_hyperlink_146" Type="http://schemas.openxmlformats.org/officeDocument/2006/relationships/hyperlink" Target="http://www.henontech.com/fieldsafety/harzard/harzard_show.php?rid=1853&amp;url=harzardrecs.php" TargetMode="External"/><Relationship Id="rId_hyperlink_147" Type="http://schemas.openxmlformats.org/officeDocument/2006/relationships/hyperlink" Target="http://www.henontech.com/fieldsafety/harzard/harzard_show.php?rid=1854&amp;url=harzardrecs.php" TargetMode="External"/><Relationship Id="rId_hyperlink_148" Type="http://schemas.openxmlformats.org/officeDocument/2006/relationships/hyperlink" Target="http://www.henontech.com/fieldsafety/harzard/harzard_show.php?rid=1855&amp;url=harzardrecs.php" TargetMode="External"/><Relationship Id="rId_hyperlink_149" Type="http://schemas.openxmlformats.org/officeDocument/2006/relationships/hyperlink" Target="http://www.henontech.com/fieldsafety/harzard/harzard_show.php?rid=1856&amp;url=harzardrecs.php" TargetMode="External"/><Relationship Id="rId_hyperlink_150" Type="http://schemas.openxmlformats.org/officeDocument/2006/relationships/hyperlink" Target="http://www.henontech.com/fieldsafety/harzard/harzard_show.php?rid=1858&amp;url=harzardrecs.php" TargetMode="External"/><Relationship Id="rId_hyperlink_151" Type="http://schemas.openxmlformats.org/officeDocument/2006/relationships/hyperlink" Target="http://www.henontech.com/fieldsafety/harzard/harzard_show.php?rid=1859&amp;url=harzardrecs.php" TargetMode="External"/><Relationship Id="rId_hyperlink_152" Type="http://schemas.openxmlformats.org/officeDocument/2006/relationships/hyperlink" Target="http://www.henontech.com/fieldsafety/harzard/harzard_show.php?rid=1860&amp;url=harzardrecs.php" TargetMode="External"/><Relationship Id="rId_hyperlink_153" Type="http://schemas.openxmlformats.org/officeDocument/2006/relationships/hyperlink" Target="http://www.henontech.com/fieldsafety/harzard/harzard_show.php?rid=1861&amp;url=harzardrecs.php" TargetMode="External"/><Relationship Id="rId_hyperlink_154" Type="http://schemas.openxmlformats.org/officeDocument/2006/relationships/hyperlink" Target="http://www.henontech.com/fieldsafety/harzard/harzard_show.php?rid=1862&amp;url=harzardrecs.php" TargetMode="External"/><Relationship Id="rId_hyperlink_155" Type="http://schemas.openxmlformats.org/officeDocument/2006/relationships/hyperlink" Target="http://www.henontech.com/fieldsafety/harzard/harzard_show.php?rid=1863&amp;url=harzardrecs.php" TargetMode="External"/><Relationship Id="rId_hyperlink_156" Type="http://schemas.openxmlformats.org/officeDocument/2006/relationships/hyperlink" Target="http://www.henontech.com/fieldsafety/harzard/harzard_show.php?rid=1864&amp;url=harzardrecs.php" TargetMode="External"/><Relationship Id="rId_hyperlink_157" Type="http://schemas.openxmlformats.org/officeDocument/2006/relationships/hyperlink" Target="http://www.henontech.com/fieldsafety/harzard/harzard_show.php?rid=1866&amp;url=harzardrecs.php" TargetMode="External"/><Relationship Id="rId_hyperlink_158" Type="http://schemas.openxmlformats.org/officeDocument/2006/relationships/hyperlink" Target="http://www.henontech.com/fieldsafety/harzard/harzard_show.php?rid=1867&amp;url=harzardrecs.php" TargetMode="External"/><Relationship Id="rId_hyperlink_159" Type="http://schemas.openxmlformats.org/officeDocument/2006/relationships/hyperlink" Target="http://www.henontech.com/fieldsafety/harzard/harzard_show.php?rid=1868&amp;url=harzardrecs.php" TargetMode="External"/><Relationship Id="rId_hyperlink_160" Type="http://schemas.openxmlformats.org/officeDocument/2006/relationships/hyperlink" Target="http://www.henontech.com/fieldsafety/harzard/harzard_show.php?rid=1869&amp;url=harzardrecs.php" TargetMode="External"/><Relationship Id="rId_hyperlink_161" Type="http://schemas.openxmlformats.org/officeDocument/2006/relationships/hyperlink" Target="http://www.henontech.com/fieldsafety/harzard/harzard_show.php?rid=1870&amp;url=harzardrecs.php" TargetMode="External"/><Relationship Id="rId_hyperlink_162" Type="http://schemas.openxmlformats.org/officeDocument/2006/relationships/hyperlink" Target="http://www.henontech.com/fieldsafety/harzard/harzard_show.php?rid=1871&amp;url=harzardrecs.php" TargetMode="External"/><Relationship Id="rId_hyperlink_163" Type="http://schemas.openxmlformats.org/officeDocument/2006/relationships/hyperlink" Target="http://www.henontech.com/fieldsafety/harzard/harzard_show.php?rid=1873&amp;url=harzardrecs.php" TargetMode="External"/><Relationship Id="rId_hyperlink_164" Type="http://schemas.openxmlformats.org/officeDocument/2006/relationships/hyperlink" Target="http://www.henontech.com/fieldsafety/harzard/harzard_show.php?rid=1874&amp;url=harzardrecs.php" TargetMode="External"/><Relationship Id="rId_hyperlink_165" Type="http://schemas.openxmlformats.org/officeDocument/2006/relationships/hyperlink" Target="http://www.henontech.com/fieldsafety/harzard/harzard_show.php?rid=1875&amp;url=harzardrecs.php" TargetMode="External"/><Relationship Id="rId_hyperlink_166" Type="http://schemas.openxmlformats.org/officeDocument/2006/relationships/hyperlink" Target="http://www.henontech.com/fieldsafety/harzard/harzard_show.php?rid=1876&amp;url=harzardrecs.php" TargetMode="External"/><Relationship Id="rId_hyperlink_167" Type="http://schemas.openxmlformats.org/officeDocument/2006/relationships/hyperlink" Target="http://www.henontech.com/fieldsafety/harzard/harzard_show.php?rid=1877&amp;url=harzardrecs.php" TargetMode="External"/><Relationship Id="rId_hyperlink_168" Type="http://schemas.openxmlformats.org/officeDocument/2006/relationships/hyperlink" Target="http://www.henontech.com/fieldsafety/harzard/harzard_show.php?rid=1878&amp;url=harzardrecs.php" TargetMode="External"/><Relationship Id="rId_hyperlink_169" Type="http://schemas.openxmlformats.org/officeDocument/2006/relationships/hyperlink" Target="http://www.henontech.com/fieldsafety/harzard/harzard_show.php?rid=1879&amp;url=harzardrecs.php" TargetMode="External"/><Relationship Id="rId_hyperlink_170" Type="http://schemas.openxmlformats.org/officeDocument/2006/relationships/hyperlink" Target="http://www.henontech.com/fieldsafety/harzard/harzard_show.php?rid=1880&amp;url=harzardrecs.php" TargetMode="External"/><Relationship Id="rId_hyperlink_171" Type="http://schemas.openxmlformats.org/officeDocument/2006/relationships/hyperlink" Target="http://www.henontech.com/fieldsafety/harzard/harzard_show.php?rid=1881&amp;url=harzardrecs.php" TargetMode="External"/><Relationship Id="rId_hyperlink_172" Type="http://schemas.openxmlformats.org/officeDocument/2006/relationships/hyperlink" Target="http://www.henontech.com/fieldsafety/harzard/harzard_show.php?rid=1882&amp;url=harzardrecs.php" TargetMode="External"/><Relationship Id="rId_hyperlink_173" Type="http://schemas.openxmlformats.org/officeDocument/2006/relationships/hyperlink" Target="http://www.henontech.com/fieldsafety/harzard/harzard_show.php?rid=1883&amp;url=harzardrecs.php" TargetMode="External"/><Relationship Id="rId_hyperlink_174" Type="http://schemas.openxmlformats.org/officeDocument/2006/relationships/hyperlink" Target="http://www.henontech.com/fieldsafety/harzard/harzard_show.php?rid=1884&amp;url=harzardrecs.php" TargetMode="External"/><Relationship Id="rId_hyperlink_175" Type="http://schemas.openxmlformats.org/officeDocument/2006/relationships/hyperlink" Target="http://www.henontech.com/fieldsafety/harzard/harzard_show.php?rid=1885&amp;url=harzardrecs.php" TargetMode="External"/><Relationship Id="rId_hyperlink_176" Type="http://schemas.openxmlformats.org/officeDocument/2006/relationships/hyperlink" Target="http://www.henontech.com/fieldsafety/harzard/harzard_show.php?rid=1887&amp;url=harzardrecs.php" TargetMode="External"/><Relationship Id="rId_hyperlink_177" Type="http://schemas.openxmlformats.org/officeDocument/2006/relationships/hyperlink" Target="http://www.henontech.com/fieldsafety/harzard/harzard_show.php?rid=1889&amp;url=harzardrecs.php" TargetMode="External"/><Relationship Id="rId_hyperlink_178" Type="http://schemas.openxmlformats.org/officeDocument/2006/relationships/hyperlink" Target="http://www.henontech.com/fieldsafety/harzard/harzard_show.php?rid=1890&amp;url=harzardrecs.php" TargetMode="External"/><Relationship Id="rId_hyperlink_179" Type="http://schemas.openxmlformats.org/officeDocument/2006/relationships/hyperlink" Target="http://www.henontech.com/fieldsafety/harzard/harzard_show.php?rid=1892&amp;url=harzardrecs.php" TargetMode="External"/><Relationship Id="rId_hyperlink_180" Type="http://schemas.openxmlformats.org/officeDocument/2006/relationships/hyperlink" Target="http://www.henontech.com/fieldsafety/harzard/harzard_show.php?rid=1895&amp;url=harzardrecs.php" TargetMode="External"/><Relationship Id="rId_hyperlink_181" Type="http://schemas.openxmlformats.org/officeDocument/2006/relationships/hyperlink" Target="http://www.henontech.com/fieldsafety/harzard/harzard_show.php?rid=1897&amp;url=harzardrecs.php" TargetMode="External"/><Relationship Id="rId_hyperlink_182" Type="http://schemas.openxmlformats.org/officeDocument/2006/relationships/hyperlink" Target="http://www.henontech.com/fieldsafety/harzard/harzard_show.php?rid=1898&amp;url=harzardrecs.php" TargetMode="External"/><Relationship Id="rId_hyperlink_183" Type="http://schemas.openxmlformats.org/officeDocument/2006/relationships/hyperlink" Target="http://www.henontech.com/fieldsafety/harzard/harzard_show.php?rid=1899&amp;url=harzardrecs.php" TargetMode="External"/><Relationship Id="rId_hyperlink_184" Type="http://schemas.openxmlformats.org/officeDocument/2006/relationships/hyperlink" Target="http://www.henontech.com/fieldsafety/harzard/harzard_show.php?rid=1900&amp;url=harzardrecs.php" TargetMode="External"/><Relationship Id="rId_hyperlink_185" Type="http://schemas.openxmlformats.org/officeDocument/2006/relationships/hyperlink" Target="http://www.henontech.com/fieldsafety/harzard/harzard_show.php?rid=1901&amp;url=harzardrecs.php" TargetMode="External"/><Relationship Id="rId_hyperlink_186" Type="http://schemas.openxmlformats.org/officeDocument/2006/relationships/hyperlink" Target="http://www.henontech.com/fieldsafety/harzard/harzard_show.php?rid=1903&amp;url=harzardrecs.php" TargetMode="External"/><Relationship Id="rId_hyperlink_187" Type="http://schemas.openxmlformats.org/officeDocument/2006/relationships/hyperlink" Target="http://www.henontech.com/fieldsafety/harzard/harzard_show.php?rid=1904&amp;url=harzardrecs.php" TargetMode="External"/><Relationship Id="rId_hyperlink_188" Type="http://schemas.openxmlformats.org/officeDocument/2006/relationships/hyperlink" Target="http://www.henontech.com/fieldsafety/harzard/harzard_show.php?rid=1907&amp;url=harzardrecs.php" TargetMode="External"/><Relationship Id="rId_hyperlink_189" Type="http://schemas.openxmlformats.org/officeDocument/2006/relationships/hyperlink" Target="http://www.henontech.com/fieldsafety/harzard/harzard_show.php?rid=1909&amp;url=harzardrecs.php" TargetMode="External"/><Relationship Id="rId_hyperlink_190" Type="http://schemas.openxmlformats.org/officeDocument/2006/relationships/hyperlink" Target="http://www.henontech.com/fieldsafety/harzard/harzard_show.php?rid=1910&amp;url=harzardrecs.php" TargetMode="External"/><Relationship Id="rId_hyperlink_191" Type="http://schemas.openxmlformats.org/officeDocument/2006/relationships/hyperlink" Target="http://www.henontech.com/fieldsafety/harzard/harzard_show.php?rid=1911&amp;url=harzardrecs.php" TargetMode="External"/><Relationship Id="rId_hyperlink_192" Type="http://schemas.openxmlformats.org/officeDocument/2006/relationships/hyperlink" Target="http://www.henontech.com/fieldsafety/harzard/harzard_show.php?rid=1915&amp;url=harzardrecs.php" TargetMode="External"/><Relationship Id="rId_hyperlink_193" Type="http://schemas.openxmlformats.org/officeDocument/2006/relationships/hyperlink" Target="http://www.henontech.com/fieldsafety/harzard/harzard_show.php?rid=1916&amp;url=harzardrecs.php" TargetMode="External"/><Relationship Id="rId_hyperlink_194" Type="http://schemas.openxmlformats.org/officeDocument/2006/relationships/hyperlink" Target="http://www.henontech.com/fieldsafety/harzard/harzard_show.php?rid=1917&amp;url=harzardrecs.php" TargetMode="External"/><Relationship Id="rId_hyperlink_195" Type="http://schemas.openxmlformats.org/officeDocument/2006/relationships/hyperlink" Target="http://www.henontech.com/fieldsafety/harzard/harzard_show.php?rid=1918&amp;url=harzardrecs.php" TargetMode="External"/><Relationship Id="rId_hyperlink_196" Type="http://schemas.openxmlformats.org/officeDocument/2006/relationships/hyperlink" Target="http://www.henontech.com/fieldsafety/harzard/harzard_show.php?rid=1919&amp;url=harzardrecs.php" TargetMode="External"/><Relationship Id="rId_hyperlink_197" Type="http://schemas.openxmlformats.org/officeDocument/2006/relationships/hyperlink" Target="http://www.henontech.com/fieldsafety/harzard/harzard_show.php?rid=1923&amp;url=harzardrecs.php" TargetMode="External"/><Relationship Id="rId_hyperlink_198" Type="http://schemas.openxmlformats.org/officeDocument/2006/relationships/hyperlink" Target="http://www.henontech.com/fieldsafety/harzard/harzard_show.php?rid=1924&amp;url=harzardrecs.php" TargetMode="External"/><Relationship Id="rId_hyperlink_199" Type="http://schemas.openxmlformats.org/officeDocument/2006/relationships/hyperlink" Target="http://www.henontech.com/fieldsafety/harzard/harzard_show.php?rid=1926&amp;url=harzardrecs.php" TargetMode="External"/><Relationship Id="rId_hyperlink_200" Type="http://schemas.openxmlformats.org/officeDocument/2006/relationships/hyperlink" Target="http://www.henontech.com/fieldsafety/harzard/harzard_show.php?rid=1927&amp;url=harzardrecs.php" TargetMode="External"/><Relationship Id="rId_hyperlink_201" Type="http://schemas.openxmlformats.org/officeDocument/2006/relationships/hyperlink" Target="http://www.henontech.com/fieldsafety/harzard/harzard_show.php?rid=1928&amp;url=harzardrecs.php" TargetMode="External"/><Relationship Id="rId_hyperlink_202" Type="http://schemas.openxmlformats.org/officeDocument/2006/relationships/hyperlink" Target="http://www.henontech.com/fieldsafety/harzard/harzard_show.php?rid=1930&amp;url=harzardrecs.php" TargetMode="External"/><Relationship Id="rId_hyperlink_203" Type="http://schemas.openxmlformats.org/officeDocument/2006/relationships/hyperlink" Target="http://www.henontech.com/fieldsafety/harzard/harzard_show.php?rid=1931&amp;url=harzardrecs.php" TargetMode="External"/><Relationship Id="rId_hyperlink_204" Type="http://schemas.openxmlformats.org/officeDocument/2006/relationships/hyperlink" Target="http://www.henontech.com/fieldsafety/harzard/harzard_show.php?rid=1932&amp;url=harzardrecs.php" TargetMode="External"/><Relationship Id="rId_hyperlink_205" Type="http://schemas.openxmlformats.org/officeDocument/2006/relationships/hyperlink" Target="http://www.henontech.com/fieldsafety/harzard/harzard_show.php?rid=1933&amp;url=harzardrecs.php" TargetMode="External"/><Relationship Id="rId_hyperlink_206" Type="http://schemas.openxmlformats.org/officeDocument/2006/relationships/hyperlink" Target="http://www.henontech.com/fieldsafety/harzard/harzard_show.php?rid=1934&amp;url=harzardrecs.php" TargetMode="External"/><Relationship Id="rId_hyperlink_207" Type="http://schemas.openxmlformats.org/officeDocument/2006/relationships/hyperlink" Target="http://www.henontech.com/fieldsafety/harzard/harzard_show.php?rid=1937&amp;url=harzardrecs.php" TargetMode="External"/><Relationship Id="rId_hyperlink_208" Type="http://schemas.openxmlformats.org/officeDocument/2006/relationships/hyperlink" Target="http://www.henontech.com/fieldsafety/harzard/harzard_show.php?rid=1939&amp;url=harzardrecs.php" TargetMode="External"/><Relationship Id="rId_hyperlink_209" Type="http://schemas.openxmlformats.org/officeDocument/2006/relationships/hyperlink" Target="http://www.henontech.com/fieldsafety/harzard/harzard_show.php?rid=1940&amp;url=harzardrecs.php" TargetMode="External"/><Relationship Id="rId_hyperlink_210" Type="http://schemas.openxmlformats.org/officeDocument/2006/relationships/hyperlink" Target="http://www.henontech.com/fieldsafety/harzard/harzard_show.php?rid=1941&amp;url=harzardrecs.php" TargetMode="External"/><Relationship Id="rId_hyperlink_211" Type="http://schemas.openxmlformats.org/officeDocument/2006/relationships/hyperlink" Target="http://www.henontech.com/fieldsafety/harzard/harzard_show.php?rid=1942&amp;url=harzardrecs.php" TargetMode="External"/><Relationship Id="rId_hyperlink_212" Type="http://schemas.openxmlformats.org/officeDocument/2006/relationships/hyperlink" Target="http://www.henontech.com/fieldsafety/harzard/harzard_show.php?rid=1943&amp;url=harzardrecs.php" TargetMode="External"/><Relationship Id="rId_hyperlink_213" Type="http://schemas.openxmlformats.org/officeDocument/2006/relationships/hyperlink" Target="http://www.henontech.com/fieldsafety/harzard/harzard_show.php?rid=1944&amp;url=harzardrecs.php" TargetMode="External"/><Relationship Id="rId_hyperlink_214" Type="http://schemas.openxmlformats.org/officeDocument/2006/relationships/hyperlink" Target="http://www.henontech.com/fieldsafety/harzard/harzard_show.php?rid=1952&amp;url=harzardrecs.php" TargetMode="External"/><Relationship Id="rId_hyperlink_215" Type="http://schemas.openxmlformats.org/officeDocument/2006/relationships/hyperlink" Target="http://www.henontech.com/fieldsafety/harzard/harzard_show.php?rid=1953&amp;url=harzardrecs.php" TargetMode="External"/><Relationship Id="rId_hyperlink_216" Type="http://schemas.openxmlformats.org/officeDocument/2006/relationships/hyperlink" Target="http://www.henontech.com/fieldsafety/harzard/harzard_show.php?rid=1954&amp;url=harzardrecs.php" TargetMode="External"/><Relationship Id="rId_hyperlink_217" Type="http://schemas.openxmlformats.org/officeDocument/2006/relationships/hyperlink" Target="http://www.henontech.com/fieldsafety/harzard/harzard_show.php?rid=1955&amp;url=harzardrecs.php" TargetMode="External"/><Relationship Id="rId_hyperlink_218" Type="http://schemas.openxmlformats.org/officeDocument/2006/relationships/hyperlink" Target="http://www.henontech.com/fieldsafety/harzard/harzard_show.php?rid=1956&amp;url=harzardrecs.php" TargetMode="External"/><Relationship Id="rId_hyperlink_219" Type="http://schemas.openxmlformats.org/officeDocument/2006/relationships/hyperlink" Target="http://www.henontech.com/fieldsafety/harzard/harzard_show.php?rid=1957&amp;url=harzardrecs.php" TargetMode="External"/><Relationship Id="rId_hyperlink_220" Type="http://schemas.openxmlformats.org/officeDocument/2006/relationships/hyperlink" Target="http://www.henontech.com/fieldsafety/harzard/harzard_show.php?rid=1958&amp;url=harzardrecs.php" TargetMode="External"/><Relationship Id="rId_hyperlink_221" Type="http://schemas.openxmlformats.org/officeDocument/2006/relationships/hyperlink" Target="http://www.henontech.com/fieldsafety/harzard/harzard_show.php?rid=1960&amp;url=harzardrecs.php" TargetMode="External"/><Relationship Id="rId_hyperlink_222" Type="http://schemas.openxmlformats.org/officeDocument/2006/relationships/hyperlink" Target="http://www.henontech.com/fieldsafety/harzard/harzard_show.php?rid=1961&amp;url=harzardrecs.php" TargetMode="External"/><Relationship Id="rId_hyperlink_223" Type="http://schemas.openxmlformats.org/officeDocument/2006/relationships/hyperlink" Target="http://www.henontech.com/fieldsafety/harzard/harzard_show.php?rid=1962&amp;url=harzardrecs.php" TargetMode="External"/><Relationship Id="rId_hyperlink_224" Type="http://schemas.openxmlformats.org/officeDocument/2006/relationships/hyperlink" Target="http://www.henontech.com/fieldsafety/harzard/harzard_show.php?rid=1963&amp;url=harzardrecs.php" TargetMode="External"/><Relationship Id="rId_hyperlink_225" Type="http://schemas.openxmlformats.org/officeDocument/2006/relationships/hyperlink" Target="http://www.henontech.com/fieldsafety/harzard/harzard_show.php?rid=1964&amp;url=harzardrecs.php" TargetMode="External"/><Relationship Id="rId_hyperlink_226" Type="http://schemas.openxmlformats.org/officeDocument/2006/relationships/hyperlink" Target="http://www.henontech.com/fieldsafety/harzard/harzard_show.php?rid=1965&amp;url=harzardrecs.php" TargetMode="External"/><Relationship Id="rId_hyperlink_227" Type="http://schemas.openxmlformats.org/officeDocument/2006/relationships/hyperlink" Target="http://www.henontech.com/fieldsafety/harzard/harzard_show.php?rid=1966&amp;url=harzardrecs.php" TargetMode="External"/><Relationship Id="rId_hyperlink_228" Type="http://schemas.openxmlformats.org/officeDocument/2006/relationships/hyperlink" Target="http://www.henontech.com/fieldsafety/harzard/harzard_show.php?rid=1967&amp;url=harzardrecs.php" TargetMode="External"/><Relationship Id="rId_hyperlink_229" Type="http://schemas.openxmlformats.org/officeDocument/2006/relationships/hyperlink" Target="http://www.henontech.com/fieldsafety/harzard/harzard_show.php?rid=1968&amp;url=harzardrecs.php" TargetMode="External"/><Relationship Id="rId_hyperlink_230" Type="http://schemas.openxmlformats.org/officeDocument/2006/relationships/hyperlink" Target="http://www.henontech.com/fieldsafety/harzard/harzard_show.php?rid=1970&amp;url=harzardrecs.php" TargetMode="External"/><Relationship Id="rId_hyperlink_231" Type="http://schemas.openxmlformats.org/officeDocument/2006/relationships/hyperlink" Target="http://www.henontech.com/fieldsafety/harzard/harzard_show.php?rid=1971&amp;url=harzardrecs.php" TargetMode="External"/><Relationship Id="rId_hyperlink_232" Type="http://schemas.openxmlformats.org/officeDocument/2006/relationships/hyperlink" Target="http://www.henontech.com/fieldsafety/harzard/harzard_show.php?rid=1972&amp;url=harzardrecs.php" TargetMode="External"/><Relationship Id="rId_hyperlink_233" Type="http://schemas.openxmlformats.org/officeDocument/2006/relationships/hyperlink" Target="http://www.henontech.com/fieldsafety/harzard/harzard_show.php?rid=1976&amp;url=harzardrecs.php" TargetMode="External"/><Relationship Id="rId_hyperlink_234" Type="http://schemas.openxmlformats.org/officeDocument/2006/relationships/hyperlink" Target="http://www.henontech.com/fieldsafety/harzard/harzard_show.php?rid=1977&amp;url=harzardrecs.php" TargetMode="External"/><Relationship Id="rId_hyperlink_235" Type="http://schemas.openxmlformats.org/officeDocument/2006/relationships/hyperlink" Target="http://www.henontech.com/fieldsafety/harzard/harzard_show.php?rid=1978&amp;url=harzardrecs.php" TargetMode="External"/><Relationship Id="rId_hyperlink_236" Type="http://schemas.openxmlformats.org/officeDocument/2006/relationships/hyperlink" Target="http://www.henontech.com/fieldsafety/harzard/harzard_show.php?rid=1979&amp;url=harzardrecs.php" TargetMode="External"/><Relationship Id="rId_hyperlink_237" Type="http://schemas.openxmlformats.org/officeDocument/2006/relationships/hyperlink" Target="http://www.henontech.com/fieldsafety/harzard/harzard_show.php?rid=1980&amp;url=harzardrecs.php" TargetMode="External"/><Relationship Id="rId_hyperlink_238" Type="http://schemas.openxmlformats.org/officeDocument/2006/relationships/hyperlink" Target="http://www.henontech.com/fieldsafety/harzard/harzard_show.php?rid=1981&amp;url=harzardrecs.php" TargetMode="External"/><Relationship Id="rId_hyperlink_239" Type="http://schemas.openxmlformats.org/officeDocument/2006/relationships/hyperlink" Target="http://www.henontech.com/fieldsafety/harzard/harzard_show.php?rid=1985&amp;url=harzardrecs.php" TargetMode="External"/><Relationship Id="rId_hyperlink_240" Type="http://schemas.openxmlformats.org/officeDocument/2006/relationships/hyperlink" Target="http://www.henontech.com/fieldsafety/harzard/harzard_show.php?rid=1986&amp;url=harzardrecs.php" TargetMode="External"/><Relationship Id="rId_hyperlink_241" Type="http://schemas.openxmlformats.org/officeDocument/2006/relationships/hyperlink" Target="http://www.henontech.com/fieldsafety/harzard/harzard_show.php?rid=1987&amp;url=harzardrecs.php" TargetMode="External"/><Relationship Id="rId_hyperlink_242" Type="http://schemas.openxmlformats.org/officeDocument/2006/relationships/hyperlink" Target="http://www.henontech.com/fieldsafety/harzard/harzard_show.php?rid=1992&amp;url=harzardrecs.php" TargetMode="External"/><Relationship Id="rId_hyperlink_243" Type="http://schemas.openxmlformats.org/officeDocument/2006/relationships/hyperlink" Target="http://www.henontech.com/fieldsafety/harzard/harzard_show.php?rid=1994&amp;url=harzardrecs.php" TargetMode="External"/><Relationship Id="rId_hyperlink_244" Type="http://schemas.openxmlformats.org/officeDocument/2006/relationships/hyperlink" Target="http://www.henontech.com/fieldsafety/harzard/harzard_show.php?rid=1996&amp;url=harzardrecs.php" TargetMode="External"/><Relationship Id="rId_hyperlink_245" Type="http://schemas.openxmlformats.org/officeDocument/2006/relationships/hyperlink" Target="http://www.henontech.com/fieldsafety/harzard/harzard_show.php?rid=1997&amp;url=harzardrecs.php" TargetMode="External"/><Relationship Id="rId_hyperlink_246" Type="http://schemas.openxmlformats.org/officeDocument/2006/relationships/hyperlink" Target="http://www.henontech.com/fieldsafety/harzard/harzard_show.php?rid=1998&amp;url=harzardrecs.php" TargetMode="External"/><Relationship Id="rId_hyperlink_247" Type="http://schemas.openxmlformats.org/officeDocument/2006/relationships/hyperlink" Target="http://www.henontech.com/fieldsafety/harzard/harzard_show.php?rid=1999&amp;url=harzardrecs.php" TargetMode="External"/><Relationship Id="rId_hyperlink_248" Type="http://schemas.openxmlformats.org/officeDocument/2006/relationships/hyperlink" Target="http://www.henontech.com/fieldsafety/harzard/harzard_show.php?rid=2000&amp;url=harzardrecs.php" TargetMode="External"/><Relationship Id="rId_hyperlink_249" Type="http://schemas.openxmlformats.org/officeDocument/2006/relationships/hyperlink" Target="http://www.henontech.com/fieldsafety/harzard/harzard_show.php?rid=2001&amp;url=harzardrecs.php" TargetMode="External"/><Relationship Id="rId_hyperlink_250" Type="http://schemas.openxmlformats.org/officeDocument/2006/relationships/hyperlink" Target="http://www.henontech.com/fieldsafety/harzard/harzard_show.php?rid=2002&amp;url=harzardrecs.php" TargetMode="External"/><Relationship Id="rId_hyperlink_251" Type="http://schemas.openxmlformats.org/officeDocument/2006/relationships/hyperlink" Target="http://www.henontech.com/fieldsafety/harzard/harzard_show.php?rid=2003&amp;url=harzardrecs.php" TargetMode="External"/><Relationship Id="rId_hyperlink_252" Type="http://schemas.openxmlformats.org/officeDocument/2006/relationships/hyperlink" Target="http://www.henontech.com/fieldsafety/harzard/harzard_show.php?rid=2004&amp;url=harzardrecs.php" TargetMode="External"/><Relationship Id="rId_hyperlink_253" Type="http://schemas.openxmlformats.org/officeDocument/2006/relationships/hyperlink" Target="http://www.henontech.com/fieldsafety/harzard/harzard_show.php?rid=2005&amp;url=harzardrecs.php" TargetMode="External"/><Relationship Id="rId_hyperlink_254" Type="http://schemas.openxmlformats.org/officeDocument/2006/relationships/hyperlink" Target="http://www.henontech.com/fieldsafety/harzard/harzard_show.php?rid=2006&amp;url=harzardrecs.php" TargetMode="External"/><Relationship Id="rId_hyperlink_255" Type="http://schemas.openxmlformats.org/officeDocument/2006/relationships/hyperlink" Target="http://www.henontech.com/fieldsafety/harzard/harzard_show.php?rid=2007&amp;url=harzardrecs.php" TargetMode="External"/><Relationship Id="rId_hyperlink_256" Type="http://schemas.openxmlformats.org/officeDocument/2006/relationships/hyperlink" Target="http://www.henontech.com/fieldsafety/harzard/harzard_show.php?rid=2008&amp;url=harzardrecs.php" TargetMode="External"/><Relationship Id="rId_hyperlink_257" Type="http://schemas.openxmlformats.org/officeDocument/2006/relationships/hyperlink" Target="http://www.henontech.com/fieldsafety/harzard/harzard_show.php?rid=2009&amp;url=harzardrecs.php" TargetMode="External"/><Relationship Id="rId_hyperlink_258" Type="http://schemas.openxmlformats.org/officeDocument/2006/relationships/hyperlink" Target="http://www.henontech.com/fieldsafety/harzard/harzard_show.php?rid=2010&amp;url=harzardrecs.php" TargetMode="External"/><Relationship Id="rId_hyperlink_259" Type="http://schemas.openxmlformats.org/officeDocument/2006/relationships/hyperlink" Target="http://www.henontech.com/fieldsafety/harzard/harzard_show.php?rid=2011&amp;url=harzardrecs.php" TargetMode="External"/><Relationship Id="rId_hyperlink_260" Type="http://schemas.openxmlformats.org/officeDocument/2006/relationships/hyperlink" Target="http://www.henontech.com/fieldsafety/harzard/harzard_show.php?rid=2012&amp;url=harzardrecs.php" TargetMode="External"/><Relationship Id="rId_hyperlink_261" Type="http://schemas.openxmlformats.org/officeDocument/2006/relationships/hyperlink" Target="http://www.henontech.com/fieldsafety/harzard/harzard_show.php?rid=2013&amp;url=harzardrecs.php" TargetMode="External"/><Relationship Id="rId_hyperlink_262" Type="http://schemas.openxmlformats.org/officeDocument/2006/relationships/hyperlink" Target="http://www.henontech.com/fieldsafety/harzard/harzard_show.php?rid=2014&amp;url=harzardrecs.php" TargetMode="External"/><Relationship Id="rId_hyperlink_263" Type="http://schemas.openxmlformats.org/officeDocument/2006/relationships/hyperlink" Target="http://www.henontech.com/fieldsafety/harzard/harzard_show.php?rid=2015&amp;url=harzardrecs.php" TargetMode="External"/><Relationship Id="rId_hyperlink_264" Type="http://schemas.openxmlformats.org/officeDocument/2006/relationships/hyperlink" Target="http://www.henontech.com/fieldsafety/harzard/harzard_show.php?rid=2673&amp;url=harzardrecs.php" TargetMode="External"/><Relationship Id="rId_hyperlink_265" Type="http://schemas.openxmlformats.org/officeDocument/2006/relationships/hyperlink" Target="http://www.henontech.com/fieldsafety/harzard/harzard_show.php?rid=2690&amp;url=harzardrecs.php" TargetMode="External"/><Relationship Id="rId_hyperlink_266" Type="http://schemas.openxmlformats.org/officeDocument/2006/relationships/hyperlink" Target="http://www.henontech.com/fieldsafety/harzard/harzard_show.php?rid=2909&amp;url=harzardrecs.php" TargetMode="External"/><Relationship Id="rId_hyperlink_267" Type="http://schemas.openxmlformats.org/officeDocument/2006/relationships/hyperlink" Target="http://www.henontech.com/fieldsafety/harzard/harzard_show.php?rid=2987&amp;url=harzardrecs.php" TargetMode="External"/><Relationship Id="rId_hyperlink_268" Type="http://schemas.openxmlformats.org/officeDocument/2006/relationships/hyperlink" Target="http://www.henontech.com/fieldsafety/harzard/harzard_show.php?rid=3216&amp;url=harzardrecs.php" TargetMode="External"/><Relationship Id="rId_hyperlink_269" Type="http://schemas.openxmlformats.org/officeDocument/2006/relationships/hyperlink" Target="http://www.henontech.com/fieldsafety/harzard/harzard_show.php?rid=3232&amp;url=harzardrecs.php" TargetMode="External"/><Relationship Id="rId_hyperlink_270" Type="http://schemas.openxmlformats.org/officeDocument/2006/relationships/hyperlink" Target="http://www.henontech.com/fieldsafety/harzard/harzard_show.php?rid=3322&amp;url=harzardrecs.php" TargetMode="External"/><Relationship Id="rId_hyperlink_271" Type="http://schemas.openxmlformats.org/officeDocument/2006/relationships/hyperlink" Target="http://www.henontech.com/fieldsafety/harzard/harzard_show.php?rid=3551&amp;url=harzardrecs.php" TargetMode="External"/><Relationship Id="rId_hyperlink_272" Type="http://schemas.openxmlformats.org/officeDocument/2006/relationships/hyperlink" Target="http://www.henontech.com/fieldsafety/harzard/harzard_show.php?rid=3552&amp;url=harzardrecs.php" TargetMode="External"/><Relationship Id="rId_hyperlink_273" Type="http://schemas.openxmlformats.org/officeDocument/2006/relationships/hyperlink" Target="http://www.henontech.com/fieldsafety/harzard/harzard_show.php?rid=3555&amp;url=harzardrecs.php" TargetMode="External"/><Relationship Id="rId_hyperlink_274" Type="http://schemas.openxmlformats.org/officeDocument/2006/relationships/hyperlink" Target="http://www.henontech.com/fieldsafety/harzard/harzard_show.php?rid=3559&amp;url=harzardrecs.php" TargetMode="External"/><Relationship Id="rId_hyperlink_275" Type="http://schemas.openxmlformats.org/officeDocument/2006/relationships/hyperlink" Target="http://www.henontech.com/fieldsafety/harzard/harzard_show.php?rid=3579&amp;url=harzardrecs.php" TargetMode="External"/><Relationship Id="rId_hyperlink_276" Type="http://schemas.openxmlformats.org/officeDocument/2006/relationships/hyperlink" Target="http://www.henontech.com/fieldsafety/harzard/harzard_show.php?rid=3587&amp;url=harzardrecs.php" TargetMode="External"/><Relationship Id="rId_hyperlink_277" Type="http://schemas.openxmlformats.org/officeDocument/2006/relationships/hyperlink" Target="http://www.henontech.com/fieldsafety/harzard/harzard_show.php?rid=3626&amp;url=harzardrecs.php" TargetMode="External"/><Relationship Id="rId_hyperlink_278" Type="http://schemas.openxmlformats.org/officeDocument/2006/relationships/hyperlink" Target="http://www.henontech.com/fieldsafety/harzard/harzard_show.php?rid=3627&amp;url=harzardrecs.php" TargetMode="External"/><Relationship Id="rId_hyperlink_279" Type="http://schemas.openxmlformats.org/officeDocument/2006/relationships/hyperlink" Target="http://www.henontech.com/fieldsafety/harzard/harzard_show.php?rid=3675&amp;url=harzardrecs.php" TargetMode="External"/><Relationship Id="rId_hyperlink_280" Type="http://schemas.openxmlformats.org/officeDocument/2006/relationships/hyperlink" Target="http://www.henontech.com/fieldsafety/harzard/harzard_show.php?rid=3696&amp;url=harzardrecs.php" TargetMode="External"/><Relationship Id="rId_hyperlink_281" Type="http://schemas.openxmlformats.org/officeDocument/2006/relationships/hyperlink" Target="http://www.henontech.com/fieldsafety/harzard/harzard_show.php?rid=3803&amp;url=harzardrecs.php" TargetMode="External"/><Relationship Id="rId_hyperlink_282" Type="http://schemas.openxmlformats.org/officeDocument/2006/relationships/hyperlink" Target="http://www.henontech.com/fieldsafety/harzard/harzard_show.php?rid=3898&amp;url=harzardrecs.php" TargetMode="External"/><Relationship Id="rId_hyperlink_283" Type="http://schemas.openxmlformats.org/officeDocument/2006/relationships/hyperlink" Target="http://www.henontech.com/fieldsafety/harzard/harzard_show.php?rid=3985&amp;url=harzardrecs.php" TargetMode="External"/><Relationship Id="rId_hyperlink_284" Type="http://schemas.openxmlformats.org/officeDocument/2006/relationships/hyperlink" Target="http://www.henontech.com/fieldsafety/harzard/harzard_show.php?rid=4050&amp;url=harzardrecs.php" TargetMode="External"/><Relationship Id="rId_hyperlink_285" Type="http://schemas.openxmlformats.org/officeDocument/2006/relationships/hyperlink" Target="http://www.henontech.com/fieldsafety/harzard/harzard_show.php?rid=4270&amp;url=harzardrecs.php" TargetMode="External"/><Relationship Id="rId_hyperlink_286" Type="http://schemas.openxmlformats.org/officeDocument/2006/relationships/hyperlink" Target="http://www.henontech.com/fieldsafety/harzard/harzard_show.php?rid=4279&amp;url=harzardrecs.php" TargetMode="External"/><Relationship Id="rId_hyperlink_287" Type="http://schemas.openxmlformats.org/officeDocument/2006/relationships/hyperlink" Target="http://www.henontech.com/fieldsafety/harzard/harzard_show.php?rid=4284&amp;url=harzardrecs.php" TargetMode="External"/><Relationship Id="rId_hyperlink_288" Type="http://schemas.openxmlformats.org/officeDocument/2006/relationships/hyperlink" Target="http://www.henontech.com/fieldsafety/harzard/harzard_show.php?rid=4296&amp;url=harzardrecs.php" TargetMode="External"/><Relationship Id="rId_hyperlink_289" Type="http://schemas.openxmlformats.org/officeDocument/2006/relationships/hyperlink" Target="http://www.henontech.com/fieldsafety/harzard/harzard_show.php?rid=4379&amp;url=harzardrecs.php" TargetMode="External"/><Relationship Id="rId_hyperlink_290" Type="http://schemas.openxmlformats.org/officeDocument/2006/relationships/hyperlink" Target="http://www.henontech.com/fieldsafety/harzard/harzard_show.php?rid=4412&amp;url=harzardrecs.php" TargetMode="External"/><Relationship Id="rId_hyperlink_291" Type="http://schemas.openxmlformats.org/officeDocument/2006/relationships/hyperlink" Target="http://www.henontech.com/fieldsafety/harzard/harzard_show.php?rid=4430&amp;url=harzardrecs.php" TargetMode="External"/><Relationship Id="rId_hyperlink_292" Type="http://schemas.openxmlformats.org/officeDocument/2006/relationships/hyperlink" Target="http://www.henontech.com/fieldsafety/harzard/harzard_show.php?rid=4471&amp;url=harzardrecs.php" TargetMode="External"/><Relationship Id="rId_hyperlink_293" Type="http://schemas.openxmlformats.org/officeDocument/2006/relationships/hyperlink" Target="http://www.henontech.com/fieldsafety/harzard/harzard_show.php?rid=4477&amp;url=harzardrecs.php" TargetMode="External"/><Relationship Id="rId_hyperlink_294" Type="http://schemas.openxmlformats.org/officeDocument/2006/relationships/hyperlink" Target="http://www.henontech.com/fieldsafety/harzard/harzard_show.php?rid=4490&amp;url=harzardrecs.php" TargetMode="External"/><Relationship Id="rId_hyperlink_295" Type="http://schemas.openxmlformats.org/officeDocument/2006/relationships/hyperlink" Target="http://www.henontech.com/fieldsafety/harzard/harzard_show.php?rid=4497&amp;url=harzardrecs.php" TargetMode="External"/><Relationship Id="rId_hyperlink_296" Type="http://schemas.openxmlformats.org/officeDocument/2006/relationships/hyperlink" Target="http://www.henontech.com/fieldsafety/harzard/harzard_show.php?rid=4501&amp;url=harzardrecs.php" TargetMode="External"/><Relationship Id="rId_hyperlink_297" Type="http://schemas.openxmlformats.org/officeDocument/2006/relationships/hyperlink" Target="http://www.henontech.com/fieldsafety/harzard/harzard_show.php?rid=4517&amp;url=harzardrecs.php" TargetMode="External"/><Relationship Id="rId_hyperlink_298" Type="http://schemas.openxmlformats.org/officeDocument/2006/relationships/hyperlink" Target="http://www.henontech.com/fieldsafety/harzard/harzard_show.php?rid=4518&amp;url=harzardrecs.php" TargetMode="External"/><Relationship Id="rId_hyperlink_299" Type="http://schemas.openxmlformats.org/officeDocument/2006/relationships/hyperlink" Target="http://www.henontech.com/fieldsafety/harzard/harzard_show.php?rid=4521&amp;url=harzardrecs.php" TargetMode="External"/><Relationship Id="rId_hyperlink_300" Type="http://schemas.openxmlformats.org/officeDocument/2006/relationships/hyperlink" Target="http://www.henontech.com/fieldsafety/harzard/harzard_show.php?rid=4525&amp;url=harzardrecs.php" TargetMode="External"/><Relationship Id="rId_hyperlink_301" Type="http://schemas.openxmlformats.org/officeDocument/2006/relationships/hyperlink" Target="http://www.henontech.com/fieldsafety/harzard/harzard_show.php?rid=4530&amp;url=harzardrecs.php" TargetMode="External"/><Relationship Id="rId_hyperlink_302" Type="http://schemas.openxmlformats.org/officeDocument/2006/relationships/hyperlink" Target="http://www.henontech.com/fieldsafety/harzard/harzard_show.php?rid=5344&amp;url=harzardrecs.php" TargetMode="External"/><Relationship Id="rId_hyperlink_303" Type="http://schemas.openxmlformats.org/officeDocument/2006/relationships/hyperlink" Target="http://www.henontech.com/fieldsafety/harzard/harzard_show.php?rid=5468&amp;url=harzardrecs.php" TargetMode="External"/><Relationship Id="rId_hyperlink_304" Type="http://schemas.openxmlformats.org/officeDocument/2006/relationships/hyperlink" Target="http://www.henontech.com/fieldsafety/harzard/harzard_show.php?rid=5501&amp;url=harzardrecs.php" TargetMode="External"/><Relationship Id="rId_hyperlink_305" Type="http://schemas.openxmlformats.org/officeDocument/2006/relationships/hyperlink" Target="http://www.henontech.com/fieldsafety/harzard/harzard_show.php?rid=5508&amp;url=harzardrecs.php" TargetMode="External"/><Relationship Id="rId_hyperlink_306" Type="http://schemas.openxmlformats.org/officeDocument/2006/relationships/hyperlink" Target="http://www.henontech.com/fieldsafety/harzard/harzard_show.php?rid=5559&amp;url=harzardrecs.php" TargetMode="External"/><Relationship Id="rId_hyperlink_307" Type="http://schemas.openxmlformats.org/officeDocument/2006/relationships/hyperlink" Target="http://www.henontech.com/fieldsafety/harzard/harzard_show.php?rid=5560&amp;url=harzardrecs.php" TargetMode="External"/><Relationship Id="rId_hyperlink_308" Type="http://schemas.openxmlformats.org/officeDocument/2006/relationships/hyperlink" Target="http://www.henontech.com/fieldsafety/harzard/harzard_show.php?rid=5572&amp;url=harzardrecs.php" TargetMode="External"/><Relationship Id="rId_hyperlink_309" Type="http://schemas.openxmlformats.org/officeDocument/2006/relationships/hyperlink" Target="http://www.henontech.com/fieldsafety/harzard/harzard_show.php?rid=5579&amp;url=harzardrecs.php" TargetMode="External"/><Relationship Id="rId_hyperlink_310" Type="http://schemas.openxmlformats.org/officeDocument/2006/relationships/hyperlink" Target="http://www.henontech.com/fieldsafety/harzard/harzard_show.php?rid=5580&amp;url=harzardrecs.php" TargetMode="External"/><Relationship Id="rId_hyperlink_311" Type="http://schemas.openxmlformats.org/officeDocument/2006/relationships/hyperlink" Target="http://www.henontech.com/fieldsafety/harzard/harzard_show.php?rid=5622&amp;url=harzardrecs.php" TargetMode="External"/><Relationship Id="rId_hyperlink_312" Type="http://schemas.openxmlformats.org/officeDocument/2006/relationships/hyperlink" Target="http://www.henontech.com/fieldsafety/harzard/harzard_show.php?rid=5626&amp;url=harzardrecs.php" TargetMode="External"/><Relationship Id="rId_hyperlink_313" Type="http://schemas.openxmlformats.org/officeDocument/2006/relationships/hyperlink" Target="http://www.henontech.com/fieldsafety/harzard/harzard_show.php?rid=5640&amp;url=harzardrecs.php" TargetMode="External"/><Relationship Id="rId_hyperlink_314" Type="http://schemas.openxmlformats.org/officeDocument/2006/relationships/hyperlink" Target="http://www.henontech.com/fieldsafety/harzard/harzard_show.php?rid=5668&amp;url=harzardrecs.php" TargetMode="External"/><Relationship Id="rId_hyperlink_315" Type="http://schemas.openxmlformats.org/officeDocument/2006/relationships/hyperlink" Target="http://www.henontech.com/fieldsafety/harzard/harzard_show.php?rid=5759&amp;url=harzardrecs.php" TargetMode="External"/><Relationship Id="rId_hyperlink_316" Type="http://schemas.openxmlformats.org/officeDocument/2006/relationships/hyperlink" Target="http://www.henontech.com/fieldsafety/harzard/harzard_show.php?rid=5816&amp;url=harzardrecs.php" TargetMode="External"/><Relationship Id="rId_hyperlink_317" Type="http://schemas.openxmlformats.org/officeDocument/2006/relationships/hyperlink" Target="http://www.henontech.com/fieldsafety/harzard/harzard_show.php?rid=5977&amp;url=harzardrecs.php" TargetMode="External"/><Relationship Id="rId_hyperlink_318" Type="http://schemas.openxmlformats.org/officeDocument/2006/relationships/hyperlink" Target="http://www.henontech.com/fieldsafety/harzard/harzard_show.php?rid=6041&amp;url=harzardrecs.php" TargetMode="External"/><Relationship Id="rId_hyperlink_319" Type="http://schemas.openxmlformats.org/officeDocument/2006/relationships/hyperlink" Target="http://www.henontech.com/fieldsafety/harzard/harzard_show.php?rid=6043&amp;url=harzardrecs.php" TargetMode="External"/><Relationship Id="rId_hyperlink_320" Type="http://schemas.openxmlformats.org/officeDocument/2006/relationships/hyperlink" Target="http://www.henontech.com/fieldsafety/harzard/harzard_show.php?rid=6057&amp;url=harzardrecs.php" TargetMode="External"/><Relationship Id="rId_hyperlink_321" Type="http://schemas.openxmlformats.org/officeDocument/2006/relationships/hyperlink" Target="http://www.henontech.com/fieldsafety/harzard/harzard_show.php?rid=6080&amp;url=harzardrecs.php" TargetMode="External"/><Relationship Id="rId_hyperlink_322" Type="http://schemas.openxmlformats.org/officeDocument/2006/relationships/hyperlink" Target="http://www.henontech.com/fieldsafety/harzard/harzard_show.php?rid=6124&amp;url=harzardrecs.php" TargetMode="External"/><Relationship Id="rId_hyperlink_323" Type="http://schemas.openxmlformats.org/officeDocument/2006/relationships/hyperlink" Target="http://www.henontech.com/fieldsafety/harzard/harzard_show.php?rid=6229&amp;url=harzardrecs.php" TargetMode="External"/><Relationship Id="rId_hyperlink_324" Type="http://schemas.openxmlformats.org/officeDocument/2006/relationships/hyperlink" Target="http://www.henontech.com/fieldsafety/harzard/harzard_show.php?rid=6249&amp;url=harzardrecs.php" TargetMode="External"/><Relationship Id="rId_hyperlink_325" Type="http://schemas.openxmlformats.org/officeDocument/2006/relationships/hyperlink" Target="http://www.henontech.com/fieldsafety/harzard/harzard_show.php?rid=6304&amp;url=harzardrecs.php" TargetMode="External"/><Relationship Id="rId_hyperlink_326" Type="http://schemas.openxmlformats.org/officeDocument/2006/relationships/hyperlink" Target="http://www.henontech.com/fieldsafety/harzard/harzard_show.php?rid=6317&amp;url=harzardrecs.php" TargetMode="External"/><Relationship Id="rId_hyperlink_327" Type="http://schemas.openxmlformats.org/officeDocument/2006/relationships/hyperlink" Target="http://www.henontech.com/fieldsafety/harzard/harzard_show.php?rid=6325&amp;url=harzardrecs.php" TargetMode="External"/><Relationship Id="rId_hyperlink_328" Type="http://schemas.openxmlformats.org/officeDocument/2006/relationships/hyperlink" Target="http://www.henontech.com/fieldsafety/harzard/harzard_show.php?rid=6332&amp;url=harzardrecs.php" TargetMode="External"/><Relationship Id="rId_hyperlink_329" Type="http://schemas.openxmlformats.org/officeDocument/2006/relationships/hyperlink" Target="http://www.henontech.com/fieldsafety/harzard/harzard_show.php?rid=6346&amp;url=harzardrecs.php" TargetMode="External"/><Relationship Id="rId_hyperlink_330" Type="http://schemas.openxmlformats.org/officeDocument/2006/relationships/hyperlink" Target="http://www.henontech.com/fieldsafety/harzard/harzard_show.php?rid=6353&amp;url=harzardrecs.php" TargetMode="External"/><Relationship Id="rId_hyperlink_331" Type="http://schemas.openxmlformats.org/officeDocument/2006/relationships/hyperlink" Target="http://www.henontech.com/fieldsafety/harzard/harzard_show.php?rid=6373&amp;url=harzardrecs.php" TargetMode="External"/><Relationship Id="rId_hyperlink_332" Type="http://schemas.openxmlformats.org/officeDocument/2006/relationships/hyperlink" Target="http://www.henontech.com/fieldsafety/harzard/harzard_show.php?rid=6401&amp;url=harzardrecs.php" TargetMode="External"/><Relationship Id="rId_hyperlink_333" Type="http://schemas.openxmlformats.org/officeDocument/2006/relationships/hyperlink" Target="http://www.henontech.com/fieldsafety/harzard/harzard_show.php?rid=6436&amp;url=harzardrecs.php" TargetMode="External"/><Relationship Id="rId_hyperlink_334" Type="http://schemas.openxmlformats.org/officeDocument/2006/relationships/hyperlink" Target="http://www.henontech.com/fieldsafety/harzard/harzard_show.php?rid=6486&amp;url=harzardrecs.php" TargetMode="External"/><Relationship Id="rId_hyperlink_335" Type="http://schemas.openxmlformats.org/officeDocument/2006/relationships/hyperlink" Target="http://www.henontech.com/fieldsafety/harzard/harzard_show.php?rid=6514&amp;url=harzardrecs.php" TargetMode="External"/><Relationship Id="rId_hyperlink_336" Type="http://schemas.openxmlformats.org/officeDocument/2006/relationships/hyperlink" Target="http://www.henontech.com/fieldsafety/harzard/harzard_show.php?rid=6516&amp;url=harzardrecs.php" TargetMode="External"/><Relationship Id="rId_hyperlink_337" Type="http://schemas.openxmlformats.org/officeDocument/2006/relationships/hyperlink" Target="http://www.henontech.com/fieldsafety/harzard/harzard_show.php?rid=6523&amp;url=harzardrecs.php" TargetMode="External"/><Relationship Id="rId_hyperlink_338" Type="http://schemas.openxmlformats.org/officeDocument/2006/relationships/hyperlink" Target="http://www.henontech.com/fieldsafety/harzard/harzard_show.php?rid=6569&amp;url=harzardrecs.php" TargetMode="External"/><Relationship Id="rId_hyperlink_339" Type="http://schemas.openxmlformats.org/officeDocument/2006/relationships/hyperlink" Target="http://www.henontech.com/fieldsafety/harzard/harzard_show.php?rid=6604&amp;url=harzardrecs.php" TargetMode="External"/><Relationship Id="rId_hyperlink_340" Type="http://schemas.openxmlformats.org/officeDocument/2006/relationships/hyperlink" Target="http://www.henontech.com/fieldsafety/harzard/harzard_show.php?rid=6655&amp;url=harzardrecs.php" TargetMode="External"/><Relationship Id="rId_hyperlink_341" Type="http://schemas.openxmlformats.org/officeDocument/2006/relationships/hyperlink" Target="http://www.henontech.com/fieldsafety/harzard/harzard_show.php?rid=6817&amp;url=harzardrecs.php" TargetMode="External"/><Relationship Id="rId_hyperlink_342" Type="http://schemas.openxmlformats.org/officeDocument/2006/relationships/hyperlink" Target="http://www.henontech.com/fieldsafety/harzard/harzard_show.php?rid=7321&amp;url=harzardrecs.php" TargetMode="External"/><Relationship Id="rId_hyperlink_343" Type="http://schemas.openxmlformats.org/officeDocument/2006/relationships/hyperlink" Target="http://www.henontech.com/fieldsafety/harzard/harzard_show.php?rid=7328&amp;url=harzardrecs.php" TargetMode="External"/><Relationship Id="rId_hyperlink_344" Type="http://schemas.openxmlformats.org/officeDocument/2006/relationships/hyperlink" Target="http://www.henontech.com/fieldsafety/harzard/harzard_show.php?rid=7766&amp;url=harzardrecs.php" TargetMode="External"/><Relationship Id="rId_hyperlink_345" Type="http://schemas.openxmlformats.org/officeDocument/2006/relationships/hyperlink" Target="http://www.henontech.com/fieldsafety/harzard/harzard_show.php?rid=8895&amp;url=harzardrecs.php" TargetMode="External"/><Relationship Id="rId_hyperlink_346" Type="http://schemas.openxmlformats.org/officeDocument/2006/relationships/hyperlink" Target="http://www.henontech.com/fieldsafety/harzard/harzard_show.php?rid=8962&amp;url=harzardrecs.php" TargetMode="External"/><Relationship Id="rId_hyperlink_347" Type="http://schemas.openxmlformats.org/officeDocument/2006/relationships/hyperlink" Target="http://www.henontech.com/fieldsafety/harzard/harzard_show.php?rid=8981&amp;url=harzardrecs.php" TargetMode="External"/><Relationship Id="rId_hyperlink_348" Type="http://schemas.openxmlformats.org/officeDocument/2006/relationships/hyperlink" Target="http://www.henontech.com/fieldsafety/harzard/harzard_show.php?rid=9691&amp;url=harzardrecs.php" TargetMode="External"/><Relationship Id="rId_hyperlink_349" Type="http://schemas.openxmlformats.org/officeDocument/2006/relationships/hyperlink" Target="http://www.henontech.com/fieldsafety/harzard/harzard_show.php?rid=10057&amp;url=harzardrecs.php" TargetMode="External"/><Relationship Id="rId_hyperlink_350" Type="http://schemas.openxmlformats.org/officeDocument/2006/relationships/hyperlink" Target="http://www.henontech.com/fieldsafety/harzard/harzard_show.php?rid=10108&amp;url=harzardrecs.php" TargetMode="External"/><Relationship Id="rId_hyperlink_351" Type="http://schemas.openxmlformats.org/officeDocument/2006/relationships/hyperlink" Target="http://www.henontech.com/fieldsafety/harzard/harzard_show.php?rid=10128&amp;url=harzardrecs.php" TargetMode="External"/><Relationship Id="rId_hyperlink_352" Type="http://schemas.openxmlformats.org/officeDocument/2006/relationships/hyperlink" Target="http://www.henontech.com/fieldsafety/harzard/harzard_show.php?rid=10129&amp;url=harzardrecs.php" TargetMode="External"/><Relationship Id="rId_hyperlink_353" Type="http://schemas.openxmlformats.org/officeDocument/2006/relationships/hyperlink" Target="http://www.henontech.com/fieldsafety/harzard/harzard_show.php?rid=10227&amp;url=harzardrecs.php" TargetMode="External"/><Relationship Id="rId_hyperlink_354" Type="http://schemas.openxmlformats.org/officeDocument/2006/relationships/hyperlink" Target="http://www.henontech.com/fieldsafety/harzard/harzard_show.php?rid=10253&amp;url=harzardrecs.php" TargetMode="External"/><Relationship Id="rId_hyperlink_355" Type="http://schemas.openxmlformats.org/officeDocument/2006/relationships/hyperlink" Target="http://www.henontech.com/fieldsafety/harzard/harzard_show.php?rid=10298&amp;url=harzardrecs.php" TargetMode="External"/><Relationship Id="rId_hyperlink_356" Type="http://schemas.openxmlformats.org/officeDocument/2006/relationships/hyperlink" Target="http://www.henontech.com/fieldsafety/harzard/harzard_show.php?rid=10363&amp;url=harzardrecs.php" TargetMode="External"/><Relationship Id="rId_hyperlink_357" Type="http://schemas.openxmlformats.org/officeDocument/2006/relationships/hyperlink" Target="http://www.henontech.com/fieldsafety/harzard/harzard_show.php?rid=10366&amp;url=harzardrecs.php" TargetMode="External"/><Relationship Id="rId_hyperlink_358" Type="http://schemas.openxmlformats.org/officeDocument/2006/relationships/hyperlink" Target="http://www.henontech.com/fieldsafety/harzard/harzard_show.php?rid=10378&amp;url=harzardrecs.php" TargetMode="External"/><Relationship Id="rId_hyperlink_359" Type="http://schemas.openxmlformats.org/officeDocument/2006/relationships/hyperlink" Target="http://www.henontech.com/fieldsafety/harzard/harzard_show.php?rid=10486&amp;url=harzardrecs.php" TargetMode="External"/><Relationship Id="rId_hyperlink_360" Type="http://schemas.openxmlformats.org/officeDocument/2006/relationships/hyperlink" Target="http://www.henontech.com/fieldsafety/harzard/harzard_show.php?rid=10512&amp;url=harzardrecs.php" TargetMode="External"/><Relationship Id="rId_hyperlink_361" Type="http://schemas.openxmlformats.org/officeDocument/2006/relationships/hyperlink" Target="http://www.henontech.com/fieldsafety/harzard/harzard_show.php?rid=10620&amp;url=harzardrecs.php" TargetMode="External"/><Relationship Id="rId_hyperlink_362" Type="http://schemas.openxmlformats.org/officeDocument/2006/relationships/hyperlink" Target="http://www.henontech.com/fieldsafety/harzard/harzard_show.php?rid=10779&amp;url=harzardrecs.php" TargetMode="External"/><Relationship Id="rId_hyperlink_363" Type="http://schemas.openxmlformats.org/officeDocument/2006/relationships/hyperlink" Target="http://www.henontech.com/fieldsafety/harzard/harzard_show.php?rid=10806&amp;url=harzardrecs.php" TargetMode="External"/><Relationship Id="rId_hyperlink_364" Type="http://schemas.openxmlformats.org/officeDocument/2006/relationships/hyperlink" Target="http://www.henontech.com/fieldsafety/harzard/harzard_show.php?rid=10807&amp;url=harzardrecs.php" TargetMode="External"/><Relationship Id="rId_hyperlink_365" Type="http://schemas.openxmlformats.org/officeDocument/2006/relationships/hyperlink" Target="http://www.henontech.com/fieldsafety/harzard/harzard_show.php?rid=10994&amp;url=harzardrecs.php" TargetMode="External"/><Relationship Id="rId_hyperlink_366" Type="http://schemas.openxmlformats.org/officeDocument/2006/relationships/hyperlink" Target="http://www.henontech.com/fieldsafety/harzard/harzard_show.php?rid=11092&amp;url=harzardrecs.php" TargetMode="External"/><Relationship Id="rId_hyperlink_367" Type="http://schemas.openxmlformats.org/officeDocument/2006/relationships/hyperlink" Target="http://www.henontech.com/fieldsafety/harzard/harzard_show.php?rid=11131&amp;url=harzardrecs.php" TargetMode="External"/><Relationship Id="rId_hyperlink_368" Type="http://schemas.openxmlformats.org/officeDocument/2006/relationships/hyperlink" Target="http://www.henontech.com/fieldsafety/harzard/harzard_show.php?rid=11132&amp;url=harzardrecs.php" TargetMode="External"/><Relationship Id="rId_hyperlink_369" Type="http://schemas.openxmlformats.org/officeDocument/2006/relationships/hyperlink" Target="http://www.henontech.com/fieldsafety/harzard/harzard_show.php?rid=11133&amp;url=harzardrecs.php" TargetMode="External"/><Relationship Id="rId_hyperlink_370" Type="http://schemas.openxmlformats.org/officeDocument/2006/relationships/hyperlink" Target="http://www.henontech.com/fieldsafety/harzard/harzard_show.php?rid=11239&amp;url=harzardrecs.php" TargetMode="External"/><Relationship Id="rId_hyperlink_371" Type="http://schemas.openxmlformats.org/officeDocument/2006/relationships/hyperlink" Target="http://www.henontech.com/fieldsafety/harzard/harzard_show.php?rid=11271&amp;url=harzardrecs.php" TargetMode="External"/><Relationship Id="rId_hyperlink_372" Type="http://schemas.openxmlformats.org/officeDocument/2006/relationships/hyperlink" Target="http://www.henontech.com/fieldsafety/harzard/harzard_show.php?rid=11311&amp;url=harzardrecs.php" TargetMode="External"/><Relationship Id="rId_hyperlink_373" Type="http://schemas.openxmlformats.org/officeDocument/2006/relationships/hyperlink" Target="http://www.henontech.com/fieldsafety/harzard/harzard_show.php?rid=11378&amp;url=harzardrecs.php" TargetMode="External"/><Relationship Id="rId_hyperlink_374" Type="http://schemas.openxmlformats.org/officeDocument/2006/relationships/hyperlink" Target="http://www.henontech.com/fieldsafety/harzard/harzard_show.php?rid=11408&amp;url=harzardrecs.php" TargetMode="External"/><Relationship Id="rId_hyperlink_375" Type="http://schemas.openxmlformats.org/officeDocument/2006/relationships/hyperlink" Target="http://www.henontech.com/fieldsafety/harzard/harzard_show.php?rid=11581&amp;url=harzardrecs.php" TargetMode="External"/><Relationship Id="rId_hyperlink_376" Type="http://schemas.openxmlformats.org/officeDocument/2006/relationships/hyperlink" Target="http://www.henontech.com/fieldsafety/harzard/harzard_show.php?rid=11584&amp;url=harzardrecs.php" TargetMode="External"/><Relationship Id="rId_hyperlink_377" Type="http://schemas.openxmlformats.org/officeDocument/2006/relationships/hyperlink" Target="http://www.henontech.com/fieldsafety/harzard/harzard_show.php?rid=12288&amp;url=harzardrecs.php" TargetMode="External"/><Relationship Id="rId_hyperlink_378" Type="http://schemas.openxmlformats.org/officeDocument/2006/relationships/hyperlink" Target="http://www.henontech.com/fieldsafety/harzard/harzard_show.php?rid=12303&amp;url=harzardrecs.php" TargetMode="External"/><Relationship Id="rId_hyperlink_379" Type="http://schemas.openxmlformats.org/officeDocument/2006/relationships/hyperlink" Target="http://www.henontech.com/fieldsafety/harzard/harzard_show.php?rid=12329&amp;url=harzardrecs.php" TargetMode="External"/><Relationship Id="rId_hyperlink_380" Type="http://schemas.openxmlformats.org/officeDocument/2006/relationships/hyperlink" Target="http://www.henontech.com/fieldsafety/harzard/harzard_show.php?rid=12530&amp;url=harzardrecs.php" TargetMode="External"/><Relationship Id="rId_hyperlink_381" Type="http://schemas.openxmlformats.org/officeDocument/2006/relationships/hyperlink" Target="http://www.henontech.com/fieldsafety/harzard/harzard_show.php?rid=12792&amp;url=harzardrecs.php" TargetMode="External"/><Relationship Id="rId_hyperlink_382" Type="http://schemas.openxmlformats.org/officeDocument/2006/relationships/hyperlink" Target="http://www.henontech.com/fieldsafety/harzard/harzard_show.php?rid=13284&amp;url=harzardrecs.php" TargetMode="External"/><Relationship Id="rId_hyperlink_383" Type="http://schemas.openxmlformats.org/officeDocument/2006/relationships/hyperlink" Target="http://www.henontech.com/fieldsafety/harzard/harzard_show.php?rid=13336&amp;url=harzardrecs.php" TargetMode="External"/><Relationship Id="rId_hyperlink_384" Type="http://schemas.openxmlformats.org/officeDocument/2006/relationships/hyperlink" Target="http://www.henontech.com/fieldsafety/harzard/harzard_show.php?rid=13837&amp;url=harzardrecs.php" TargetMode="External"/><Relationship Id="rId_hyperlink_385" Type="http://schemas.openxmlformats.org/officeDocument/2006/relationships/hyperlink" Target="http://www.henontech.com/fieldsafety/harzard/harzard_show.php?rid=14268&amp;url=harzardrecs.php" TargetMode="External"/><Relationship Id="rId_hyperlink_386" Type="http://schemas.openxmlformats.org/officeDocument/2006/relationships/hyperlink" Target="http://www.henontech.com/fieldsafety/harzard/harzard_show.php?rid=14764&amp;url=harzardrecs.php" TargetMode="External"/><Relationship Id="rId_hyperlink_387" Type="http://schemas.openxmlformats.org/officeDocument/2006/relationships/hyperlink" Target="http://www.henontech.com/fieldsafety/harzard/harzard_show.php?rid=14850&amp;url=harzardrecs.php" TargetMode="External"/><Relationship Id="rId_hyperlink_388" Type="http://schemas.openxmlformats.org/officeDocument/2006/relationships/hyperlink" Target="http://www.henontech.com/fieldsafety/harzard/harzard_show.php?rid=15187&amp;url=harzardrecs.php" TargetMode="External"/><Relationship Id="rId_hyperlink_389" Type="http://schemas.openxmlformats.org/officeDocument/2006/relationships/hyperlink" Target="http://www.henontech.com/fieldsafety/harzard/harzard_show.php?rid=15188&amp;url=harzardrecs.php" TargetMode="External"/><Relationship Id="rId_hyperlink_390" Type="http://schemas.openxmlformats.org/officeDocument/2006/relationships/hyperlink" Target="http://www.henontech.com/fieldsafety/harzard/harzard_show.php?rid=15567&amp;url=harzardrecs.php" TargetMode="External"/><Relationship Id="rId_hyperlink_391" Type="http://schemas.openxmlformats.org/officeDocument/2006/relationships/hyperlink" Target="http://www.henontech.com/fieldsafety/harzard/harzard_show.php?rid=15672&amp;url=harzardrecs.php" TargetMode="External"/><Relationship Id="rId_hyperlink_392" Type="http://schemas.openxmlformats.org/officeDocument/2006/relationships/hyperlink" Target="http://www.henontech.com/fieldsafety/harzard/harzard_show.php?rid=15796&amp;url=harzardrecs.php" TargetMode="External"/><Relationship Id="rId_hyperlink_393" Type="http://schemas.openxmlformats.org/officeDocument/2006/relationships/hyperlink" Target="http://www.henontech.com/fieldsafety/harzard/harzard_show.php?rid=15855&amp;url=harzardrecs.php" TargetMode="External"/><Relationship Id="rId_hyperlink_394" Type="http://schemas.openxmlformats.org/officeDocument/2006/relationships/hyperlink" Target="http://www.henontech.com/fieldsafety/harzard/harzard_show.php?rid=16001&amp;url=harzardrecs.php" TargetMode="External"/><Relationship Id="rId_hyperlink_395" Type="http://schemas.openxmlformats.org/officeDocument/2006/relationships/hyperlink" Target="http://www.henontech.com/fieldsafety/harzard/harzard_show.php?rid=16038&amp;url=harzardrecs.php" TargetMode="External"/><Relationship Id="rId_hyperlink_396" Type="http://schemas.openxmlformats.org/officeDocument/2006/relationships/hyperlink" Target="http://www.henontech.com/fieldsafety/harzard/harzard_show.php?rid=16052&amp;url=harzardrecs.php" TargetMode="External"/><Relationship Id="rId_hyperlink_397" Type="http://schemas.openxmlformats.org/officeDocument/2006/relationships/hyperlink" Target="http://www.henontech.com/fieldsafety/harzard/harzard_show.php?rid=16187&amp;url=harzardrecs.php" TargetMode="External"/><Relationship Id="rId_hyperlink_398" Type="http://schemas.openxmlformats.org/officeDocument/2006/relationships/hyperlink" Target="http://www.henontech.com/fieldsafety/harzard/harzard_show.php?rid=16196&amp;url=harzardrecs.php" TargetMode="External"/><Relationship Id="rId_hyperlink_399" Type="http://schemas.openxmlformats.org/officeDocument/2006/relationships/hyperlink" Target="http://www.henontech.com/fieldsafety/harzard/harzard_show.php?rid=16220&amp;url=harzardrecs.php" TargetMode="External"/><Relationship Id="rId_hyperlink_400" Type="http://schemas.openxmlformats.org/officeDocument/2006/relationships/hyperlink" Target="http://www.henontech.com/fieldsafety/harzard/harzard_show.php?rid=16239&amp;url=harzardrecs.php" TargetMode="External"/><Relationship Id="rId_hyperlink_401" Type="http://schemas.openxmlformats.org/officeDocument/2006/relationships/hyperlink" Target="http://www.henontech.com/fieldsafety/harzard/harzard_show.php?rid=16240&amp;url=harzardrecs.php" TargetMode="External"/><Relationship Id="rId_hyperlink_402" Type="http://schemas.openxmlformats.org/officeDocument/2006/relationships/hyperlink" Target="http://www.henontech.com/fieldsafety/harzard/harzard_show.php?rid=16241&amp;url=harzardrecs.php" TargetMode="External"/><Relationship Id="rId_hyperlink_403" Type="http://schemas.openxmlformats.org/officeDocument/2006/relationships/hyperlink" Target="http://www.henontech.com/fieldsafety/harzard/harzard_show.php?rid=16242&amp;url=harzardrecs.php" TargetMode="External"/><Relationship Id="rId_hyperlink_404" Type="http://schemas.openxmlformats.org/officeDocument/2006/relationships/hyperlink" Target="http://www.henontech.com/fieldsafety/harzard/harzard_show.php?rid=16243&amp;url=harzardrecs.php" TargetMode="External"/><Relationship Id="rId_hyperlink_405" Type="http://schemas.openxmlformats.org/officeDocument/2006/relationships/hyperlink" Target="http://www.henontech.com/fieldsafety/harzard/harzard_show.php?rid=16285&amp;url=harzardrecs.php" TargetMode="External"/><Relationship Id="rId_hyperlink_406" Type="http://schemas.openxmlformats.org/officeDocument/2006/relationships/hyperlink" Target="http://www.henontech.com/fieldsafety/harzard/harzard_show.php?rid=16294&amp;url=harzardrecs.php" TargetMode="External"/><Relationship Id="rId_hyperlink_407" Type="http://schemas.openxmlformats.org/officeDocument/2006/relationships/hyperlink" Target="http://www.henontech.com/fieldsafety/harzard/harzard_show.php?rid=16311&amp;url=harzardrecs.php" TargetMode="External"/><Relationship Id="rId_hyperlink_408" Type="http://schemas.openxmlformats.org/officeDocument/2006/relationships/hyperlink" Target="http://www.henontech.com/fieldsafety/harzard/harzard_show.php?rid=16378&amp;url=harzardrecs.php" TargetMode="External"/><Relationship Id="rId_hyperlink_409" Type="http://schemas.openxmlformats.org/officeDocument/2006/relationships/hyperlink" Target="http://www.henontech.com/fieldsafety/harzard/harzard_show.php?rid=16478&amp;url=harzardrecs.php" TargetMode="External"/><Relationship Id="rId_hyperlink_410" Type="http://schemas.openxmlformats.org/officeDocument/2006/relationships/hyperlink" Target="http://www.henontech.com/fieldsafety/harzard/harzard_show.php?rid=16492&amp;url=harzardrecs.php" TargetMode="External"/><Relationship Id="rId_hyperlink_411" Type="http://schemas.openxmlformats.org/officeDocument/2006/relationships/hyperlink" Target="http://www.henontech.com/fieldsafety/harzard/harzard_show.php?rid=16499&amp;url=harzardrecs.php" TargetMode="External"/><Relationship Id="rId_hyperlink_412" Type="http://schemas.openxmlformats.org/officeDocument/2006/relationships/hyperlink" Target="http://www.henontech.com/fieldsafety/harzard/harzard_show.php?rid=16532&amp;url=harzardrecs.php" TargetMode="External"/><Relationship Id="rId_hyperlink_413" Type="http://schemas.openxmlformats.org/officeDocument/2006/relationships/hyperlink" Target="http://www.henontech.com/fieldsafety/harzard/harzard_show.php?rid=16636&amp;url=harzardrecs.php" TargetMode="External"/><Relationship Id="rId_hyperlink_414" Type="http://schemas.openxmlformats.org/officeDocument/2006/relationships/hyperlink" Target="http://www.henontech.com/fieldsafety/harzard/harzard_show.php?rid=16722&amp;url=harzardrecs.php" TargetMode="External"/><Relationship Id="rId_hyperlink_415" Type="http://schemas.openxmlformats.org/officeDocument/2006/relationships/hyperlink" Target="http://www.henontech.com/fieldsafety/harzard/harzard_show.php?rid=16744&amp;url=harzardrecs.php" TargetMode="External"/><Relationship Id="rId_hyperlink_416" Type="http://schemas.openxmlformats.org/officeDocument/2006/relationships/hyperlink" Target="http://www.henontech.com/fieldsafety/harzard/harzard_show.php?rid=16776&amp;url=harzardrecs.php" TargetMode="External"/><Relationship Id="rId_hyperlink_417" Type="http://schemas.openxmlformats.org/officeDocument/2006/relationships/hyperlink" Target="http://www.henontech.com/fieldsafety/harzard/harzard_show.php?rid=16813&amp;url=harzardrecs.php" TargetMode="External"/><Relationship Id="rId_hyperlink_418" Type="http://schemas.openxmlformats.org/officeDocument/2006/relationships/hyperlink" Target="http://www.henontech.com/fieldsafety/harzard/harzard_show.php?rid=16832&amp;url=harzardrecs.php" TargetMode="External"/><Relationship Id="rId_hyperlink_419" Type="http://schemas.openxmlformats.org/officeDocument/2006/relationships/hyperlink" Target="http://www.henontech.com/fieldsafety/harzard/harzard_show.php?rid=16873&amp;url=harzardrecs.php" TargetMode="External"/><Relationship Id="rId_hyperlink_420" Type="http://schemas.openxmlformats.org/officeDocument/2006/relationships/hyperlink" Target="http://www.henontech.com/fieldsafety/harzard/harzard_show.php?rid=16887&amp;url=harzardrecs.php" TargetMode="External"/><Relationship Id="rId_hyperlink_421" Type="http://schemas.openxmlformats.org/officeDocument/2006/relationships/hyperlink" Target="http://www.henontech.com/fieldsafety/harzard/harzard_show.php?rid=16893&amp;url=harzardrecs.php" TargetMode="External"/><Relationship Id="rId_hyperlink_422" Type="http://schemas.openxmlformats.org/officeDocument/2006/relationships/hyperlink" Target="http://www.henontech.com/fieldsafety/harzard/harzard_show.php?rid=16894&amp;url=harzardrecs.php" TargetMode="External"/><Relationship Id="rId_hyperlink_423" Type="http://schemas.openxmlformats.org/officeDocument/2006/relationships/hyperlink" Target="http://www.henontech.com/fieldsafety/harzard/harzard_show.php?rid=16899&amp;url=harzardrecs.php" TargetMode="External"/><Relationship Id="rId_hyperlink_424" Type="http://schemas.openxmlformats.org/officeDocument/2006/relationships/hyperlink" Target="http://www.henontech.com/fieldsafety/harzard/harzard_show.php?rid=16905&amp;url=harzardrecs.php" TargetMode="External"/><Relationship Id="rId_hyperlink_425" Type="http://schemas.openxmlformats.org/officeDocument/2006/relationships/hyperlink" Target="http://www.henontech.com/fieldsafety/harzard/harzard_show.php?rid=16907&amp;url=harzardrecs.php" TargetMode="External"/><Relationship Id="rId_hyperlink_426" Type="http://schemas.openxmlformats.org/officeDocument/2006/relationships/hyperlink" Target="http://www.henontech.com/fieldsafety/harzard/harzard_show.php?rid=16912&amp;url=harzardrecs.php" TargetMode="External"/><Relationship Id="rId_hyperlink_427" Type="http://schemas.openxmlformats.org/officeDocument/2006/relationships/hyperlink" Target="http://www.henontech.com/fieldsafety/harzard/harzard_show.php?rid=16916&amp;url=harzardrecs.php" TargetMode="External"/><Relationship Id="rId_hyperlink_428" Type="http://schemas.openxmlformats.org/officeDocument/2006/relationships/hyperlink" Target="http://www.henontech.com/fieldsafety/harzard/harzard_show.php?rid=16964&amp;url=harzardrecs.php" TargetMode="External"/><Relationship Id="rId_hyperlink_429" Type="http://schemas.openxmlformats.org/officeDocument/2006/relationships/hyperlink" Target="http://www.henontech.com/fieldsafety/harzard/harzard_show.php?rid=16975&amp;url=harzardrecs.php" TargetMode="External"/><Relationship Id="rId_hyperlink_430" Type="http://schemas.openxmlformats.org/officeDocument/2006/relationships/hyperlink" Target="http://www.henontech.com/fieldsafety/harzard/harzard_show.php?rid=17030&amp;url=harzardrecs.php" TargetMode="External"/><Relationship Id="rId_hyperlink_431" Type="http://schemas.openxmlformats.org/officeDocument/2006/relationships/hyperlink" Target="http://www.henontech.com/fieldsafety/harzard/harzard_show.php?rid=17081&amp;url=harzardrecs.php" TargetMode="External"/><Relationship Id="rId_hyperlink_432" Type="http://schemas.openxmlformats.org/officeDocument/2006/relationships/hyperlink" Target="http://www.henontech.com/fieldsafety/harzard/harzard_show.php?rid=17211&amp;url=harzardrecs.php" TargetMode="External"/><Relationship Id="rId_hyperlink_433" Type="http://schemas.openxmlformats.org/officeDocument/2006/relationships/hyperlink" Target="http://www.henontech.com/fieldsafety/harzard/harzard_show.php?rid=17232&amp;url=harzardrecs.php" TargetMode="External"/><Relationship Id="rId_hyperlink_434" Type="http://schemas.openxmlformats.org/officeDocument/2006/relationships/hyperlink" Target="http://www.henontech.com/fieldsafety/harzard/harzard_show.php?rid=17246&amp;url=harzardrecs.php" TargetMode="External"/><Relationship Id="rId_hyperlink_435" Type="http://schemas.openxmlformats.org/officeDocument/2006/relationships/hyperlink" Target="http://www.henontech.com/fieldsafety/harzard/harzard_show.php?rid=17269&amp;url=harzardrecs.php" TargetMode="External"/><Relationship Id="rId_hyperlink_436" Type="http://schemas.openxmlformats.org/officeDocument/2006/relationships/hyperlink" Target="http://www.henontech.com/fieldsafety/harzard/harzard_show.php?rid=17324&amp;url=harzardrecs.php" TargetMode="External"/><Relationship Id="rId_hyperlink_437" Type="http://schemas.openxmlformats.org/officeDocument/2006/relationships/hyperlink" Target="http://www.henontech.com/fieldsafety/harzard/harzard_show.php?rid=17335&amp;url=harzardrecs.php" TargetMode="External"/><Relationship Id="rId_hyperlink_438" Type="http://schemas.openxmlformats.org/officeDocument/2006/relationships/hyperlink" Target="http://www.henontech.com/fieldsafety/harzard/harzard_show.php?rid=17338&amp;url=harzardrecs.php" TargetMode="External"/><Relationship Id="rId_hyperlink_439" Type="http://schemas.openxmlformats.org/officeDocument/2006/relationships/hyperlink" Target="http://www.henontech.com/fieldsafety/harzard/harzard_show.php?rid=17340&amp;url=harzardrecs.php" TargetMode="External"/><Relationship Id="rId_hyperlink_440" Type="http://schemas.openxmlformats.org/officeDocument/2006/relationships/hyperlink" Target="http://www.henontech.com/fieldsafety/harzard/harzard_show.php?rid=17364&amp;url=harzardrecs.php" TargetMode="External"/><Relationship Id="rId_hyperlink_441" Type="http://schemas.openxmlformats.org/officeDocument/2006/relationships/hyperlink" Target="http://www.henontech.com/fieldsafety/harzard/harzard_show.php?rid=17367&amp;url=harzardrecs.php" TargetMode="External"/><Relationship Id="rId_hyperlink_442" Type="http://schemas.openxmlformats.org/officeDocument/2006/relationships/hyperlink" Target="http://www.henontech.com/fieldsafety/harzard/harzard_show.php?rid=17368&amp;url=harzardrecs.php" TargetMode="External"/><Relationship Id="rId_hyperlink_443" Type="http://schemas.openxmlformats.org/officeDocument/2006/relationships/hyperlink" Target="http://www.henontech.com/fieldsafety/harzard/harzard_show.php?rid=17369&amp;url=harzardrecs.php" TargetMode="External"/><Relationship Id="rId_hyperlink_444" Type="http://schemas.openxmlformats.org/officeDocument/2006/relationships/hyperlink" Target="http://www.henontech.com/fieldsafety/harzard/harzard_show.php?rid=17373&amp;url=harzardrecs.php" TargetMode="External"/><Relationship Id="rId_hyperlink_445" Type="http://schemas.openxmlformats.org/officeDocument/2006/relationships/hyperlink" Target="http://www.henontech.com/fieldsafety/harzard/harzard_show.php?rid=17374&amp;url=harzardrecs.php" TargetMode="External"/><Relationship Id="rId_hyperlink_446" Type="http://schemas.openxmlformats.org/officeDocument/2006/relationships/hyperlink" Target="http://www.henontech.com/fieldsafety/harzard/harzard_show.php?rid=17380&amp;url=harzardrecs.php" TargetMode="External"/><Relationship Id="rId_hyperlink_447" Type="http://schemas.openxmlformats.org/officeDocument/2006/relationships/hyperlink" Target="http://www.henontech.com/fieldsafety/harzard/harzard_show.php?rid=17386&amp;url=harzardrecs.php" TargetMode="External"/><Relationship Id="rId_hyperlink_448" Type="http://schemas.openxmlformats.org/officeDocument/2006/relationships/hyperlink" Target="http://www.henontech.com/fieldsafety/harzard/harzard_show.php?rid=17399&amp;url=harzardrecs.php" TargetMode="External"/><Relationship Id="rId_hyperlink_449" Type="http://schemas.openxmlformats.org/officeDocument/2006/relationships/hyperlink" Target="http://www.henontech.com/fieldsafety/harzard/harzard_show.php?rid=17402&amp;url=harzardrecs.php" TargetMode="External"/><Relationship Id="rId_hyperlink_450" Type="http://schemas.openxmlformats.org/officeDocument/2006/relationships/hyperlink" Target="http://www.henontech.com/fieldsafety/harzard/harzard_show.php?rid=17409&amp;url=harzardrecs.php" TargetMode="External"/><Relationship Id="rId_hyperlink_451" Type="http://schemas.openxmlformats.org/officeDocument/2006/relationships/hyperlink" Target="http://www.henontech.com/fieldsafety/harzard/harzard_show.php?rid=17418&amp;url=harzardrecs.php" TargetMode="External"/><Relationship Id="rId_hyperlink_452" Type="http://schemas.openxmlformats.org/officeDocument/2006/relationships/hyperlink" Target="http://www.henontech.com/fieldsafety/harzard/harzard_show.php?rid=17473&amp;url=harzardrecs.php" TargetMode="External"/><Relationship Id="rId_hyperlink_453" Type="http://schemas.openxmlformats.org/officeDocument/2006/relationships/hyperlink" Target="http://www.henontech.com/fieldsafety/harzard/harzard_show.php?rid=17477&amp;url=harzardrecs.php" TargetMode="External"/><Relationship Id="rId_hyperlink_454" Type="http://schemas.openxmlformats.org/officeDocument/2006/relationships/hyperlink" Target="http://www.henontech.com/fieldsafety/harzard/harzard_show.php?rid=17494&amp;url=harzardrecs.php" TargetMode="External"/><Relationship Id="rId_hyperlink_455" Type="http://schemas.openxmlformats.org/officeDocument/2006/relationships/hyperlink" Target="http://www.henontech.com/fieldsafety/harzard/harzard_show.php?rid=17495&amp;url=harzardrecs.php" TargetMode="External"/><Relationship Id="rId_hyperlink_456" Type="http://schemas.openxmlformats.org/officeDocument/2006/relationships/hyperlink" Target="http://www.henontech.com/fieldsafety/harzard/harzard_show.php?rid=17517&amp;url=harzardrecs.php" TargetMode="External"/><Relationship Id="rId_hyperlink_457" Type="http://schemas.openxmlformats.org/officeDocument/2006/relationships/hyperlink" Target="http://www.henontech.com/fieldsafety/harzard/harzard_show.php?rid=17526&amp;url=harzardrecs.php" TargetMode="External"/><Relationship Id="rId_hyperlink_458" Type="http://schemas.openxmlformats.org/officeDocument/2006/relationships/hyperlink" Target="http://www.henontech.com/fieldsafety/harzard/harzard_show.php?rid=17635&amp;url=harzardrecs.php" TargetMode="External"/><Relationship Id="rId_hyperlink_459" Type="http://schemas.openxmlformats.org/officeDocument/2006/relationships/hyperlink" Target="http://www.henontech.com/fieldsafety/harzard/harzard_show.php?rid=17652&amp;url=harzardrecs.php" TargetMode="External"/><Relationship Id="rId_hyperlink_460" Type="http://schemas.openxmlformats.org/officeDocument/2006/relationships/hyperlink" Target="http://www.henontech.com/fieldsafety/harzard/harzard_show.php?rid=17661&amp;url=harzardrecs.php" TargetMode="External"/><Relationship Id="rId_hyperlink_461" Type="http://schemas.openxmlformats.org/officeDocument/2006/relationships/hyperlink" Target="http://www.henontech.com/fieldsafety/harzard/harzard_show.php?rid=17687&amp;url=harzardrecs.php" TargetMode="External"/><Relationship Id="rId_hyperlink_462" Type="http://schemas.openxmlformats.org/officeDocument/2006/relationships/hyperlink" Target="http://www.henontech.com/fieldsafety/harzard/harzard_show.php?rid=17708&amp;url=harzardrecs.php" TargetMode="External"/><Relationship Id="rId_hyperlink_463" Type="http://schemas.openxmlformats.org/officeDocument/2006/relationships/hyperlink" Target="http://www.henontech.com/fieldsafety/harzard/harzard_show.php?rid=17716&amp;url=harzardrecs.php" TargetMode="External"/><Relationship Id="rId_hyperlink_464" Type="http://schemas.openxmlformats.org/officeDocument/2006/relationships/hyperlink" Target="http://www.henontech.com/fieldsafety/harzard/harzard_show.php?rid=17717&amp;url=harzardrecs.php" TargetMode="External"/><Relationship Id="rId_hyperlink_465" Type="http://schemas.openxmlformats.org/officeDocument/2006/relationships/hyperlink" Target="http://www.henontech.com/fieldsafety/harzard/harzard_show.php?rid=17726&amp;url=harzardrecs.php" TargetMode="External"/><Relationship Id="rId_hyperlink_466" Type="http://schemas.openxmlformats.org/officeDocument/2006/relationships/hyperlink" Target="http://www.henontech.com/fieldsafety/harzard/harzard_show.php?rid=17763&amp;url=harzardrecs.php" TargetMode="External"/><Relationship Id="rId_hyperlink_467" Type="http://schemas.openxmlformats.org/officeDocument/2006/relationships/hyperlink" Target="http://www.henontech.com/fieldsafety/harzard/harzard_show.php?rid=17781&amp;url=harzardrecs.php" TargetMode="External"/><Relationship Id="rId_hyperlink_468" Type="http://schemas.openxmlformats.org/officeDocument/2006/relationships/hyperlink" Target="http://www.henontech.com/fieldsafety/harzard/harzard_show.php?rid=17782&amp;url=harzardrecs.php" TargetMode="External"/><Relationship Id="rId_hyperlink_469" Type="http://schemas.openxmlformats.org/officeDocument/2006/relationships/hyperlink" Target="http://www.henontech.com/fieldsafety/harzard/harzard_show.php?rid=17787&amp;url=harzardrecs.php" TargetMode="External"/><Relationship Id="rId_hyperlink_470" Type="http://schemas.openxmlformats.org/officeDocument/2006/relationships/hyperlink" Target="http://www.henontech.com/fieldsafety/harzard/harzard_show.php?rid=17854&amp;url=harzardrecs.php" TargetMode="External"/><Relationship Id="rId_hyperlink_471" Type="http://schemas.openxmlformats.org/officeDocument/2006/relationships/hyperlink" Target="http://www.henontech.com/fieldsafety/harzard/harzard_show.php?rid=17909&amp;url=harzardrecs.php" TargetMode="External"/><Relationship Id="rId_hyperlink_472" Type="http://schemas.openxmlformats.org/officeDocument/2006/relationships/hyperlink" Target="http://www.henontech.com/fieldsafety/harzard/harzard_show.php?rid=17956&amp;url=harzardrecs.php" TargetMode="External"/><Relationship Id="rId_hyperlink_473" Type="http://schemas.openxmlformats.org/officeDocument/2006/relationships/hyperlink" Target="http://www.henontech.com/fieldsafety/harzard/harzard_show.php?rid=17995&amp;url=harzardrecs.php" TargetMode="External"/><Relationship Id="rId_hyperlink_474" Type="http://schemas.openxmlformats.org/officeDocument/2006/relationships/hyperlink" Target="http://www.henontech.com/fieldsafety/harzard/harzard_show.php?rid=18041&amp;url=harzardrecs.php" TargetMode="External"/><Relationship Id="rId_hyperlink_475" Type="http://schemas.openxmlformats.org/officeDocument/2006/relationships/hyperlink" Target="http://www.henontech.com/fieldsafety/harzard/harzard_show.php?rid=18061&amp;url=harzardrecs.php" TargetMode="External"/><Relationship Id="rId_hyperlink_476" Type="http://schemas.openxmlformats.org/officeDocument/2006/relationships/hyperlink" Target="http://www.henontech.com/fieldsafety/harzard/harzard_show.php?rid=18062&amp;url=harzardrecs.php" TargetMode="External"/><Relationship Id="rId_hyperlink_477" Type="http://schemas.openxmlformats.org/officeDocument/2006/relationships/hyperlink" Target="http://www.henontech.com/fieldsafety/harzard/harzard_show.php?rid=18070&amp;url=harzardrecs.php" TargetMode="External"/><Relationship Id="rId_hyperlink_478" Type="http://schemas.openxmlformats.org/officeDocument/2006/relationships/hyperlink" Target="http://www.henontech.com/fieldsafety/harzard/harzard_show.php?rid=18071&amp;url=harzardrecs.php" TargetMode="External"/><Relationship Id="rId_hyperlink_479" Type="http://schemas.openxmlformats.org/officeDocument/2006/relationships/hyperlink" Target="http://www.henontech.com/fieldsafety/harzard/harzard_show.php?rid=18091&amp;url=harzardrecs.php" TargetMode="External"/><Relationship Id="rId_hyperlink_480" Type="http://schemas.openxmlformats.org/officeDocument/2006/relationships/hyperlink" Target="http://www.henontech.com/fieldsafety/harzard/harzard_show.php?rid=18105&amp;url=harzardrecs.php" TargetMode="External"/><Relationship Id="rId_hyperlink_481" Type="http://schemas.openxmlformats.org/officeDocument/2006/relationships/hyperlink" Target="http://www.henontech.com/fieldsafety/harzard/harzard_show.php?rid=18152&amp;url=harzardrecs.php" TargetMode="External"/><Relationship Id="rId_hyperlink_482" Type="http://schemas.openxmlformats.org/officeDocument/2006/relationships/hyperlink" Target="http://www.henontech.com/fieldsafety/harzard/harzard_show.php?rid=18153&amp;url=harzardrecs.php" TargetMode="External"/><Relationship Id="rId_hyperlink_483" Type="http://schemas.openxmlformats.org/officeDocument/2006/relationships/hyperlink" Target="http://www.henontech.com/fieldsafety/harzard/harzard_show.php?rid=18162&amp;url=harzardrecs.php" TargetMode="External"/><Relationship Id="rId_hyperlink_484" Type="http://schemas.openxmlformats.org/officeDocument/2006/relationships/hyperlink" Target="http://www.henontech.com/fieldsafety/harzard/harzard_show.php?rid=18163&amp;url=harzardrecs.php" TargetMode="External"/><Relationship Id="rId_hyperlink_485" Type="http://schemas.openxmlformats.org/officeDocument/2006/relationships/hyperlink" Target="http://www.henontech.com/fieldsafety/harzard/harzard_show.php?rid=18203&amp;url=harzardrecs.php" TargetMode="External"/><Relationship Id="rId_hyperlink_486" Type="http://schemas.openxmlformats.org/officeDocument/2006/relationships/hyperlink" Target="http://www.henontech.com/fieldsafety/harzard/harzard_show.php?rid=18204&amp;url=harzardrecs.php" TargetMode="External"/><Relationship Id="rId_hyperlink_487" Type="http://schemas.openxmlformats.org/officeDocument/2006/relationships/hyperlink" Target="http://www.henontech.com/fieldsafety/harzard/harzard_show.php?rid=18217&amp;url=harzardrecs.php" TargetMode="External"/><Relationship Id="rId_hyperlink_488" Type="http://schemas.openxmlformats.org/officeDocument/2006/relationships/hyperlink" Target="http://www.henontech.com/fieldsafety/harzard/harzard_show.php?rid=18250&amp;url=harzardrecs.php" TargetMode="External"/><Relationship Id="rId_hyperlink_489" Type="http://schemas.openxmlformats.org/officeDocument/2006/relationships/hyperlink" Target="http://www.henontech.com/fieldsafety/harzard/harzard_show.php?rid=18277&amp;url=harzardrecs.php" TargetMode="External"/><Relationship Id="rId_hyperlink_490" Type="http://schemas.openxmlformats.org/officeDocument/2006/relationships/hyperlink" Target="http://www.henontech.com/fieldsafety/harzard/harzard_show.php?rid=18307&amp;url=harzardrecs.php" TargetMode="External"/><Relationship Id="rId_hyperlink_491" Type="http://schemas.openxmlformats.org/officeDocument/2006/relationships/hyperlink" Target="http://www.henontech.com/fieldsafety/harzard/harzard_show.php?rid=18319&amp;url=harzardrecs.php" TargetMode="External"/><Relationship Id="rId_hyperlink_492" Type="http://schemas.openxmlformats.org/officeDocument/2006/relationships/hyperlink" Target="http://www.henontech.com/fieldsafety/harzard/harzard_show.php?rid=18359&amp;url=harzardrecs.php" TargetMode="External"/><Relationship Id="rId_hyperlink_493" Type="http://schemas.openxmlformats.org/officeDocument/2006/relationships/hyperlink" Target="http://www.henontech.com/fieldsafety/harzard/harzard_show.php?rid=18380&amp;url=harzardrecs.php" TargetMode="External"/><Relationship Id="rId_hyperlink_494" Type="http://schemas.openxmlformats.org/officeDocument/2006/relationships/hyperlink" Target="http://www.henontech.com/fieldsafety/harzard/harzard_show.php?rid=18422&amp;url=harzardrecs.php" TargetMode="External"/><Relationship Id="rId_hyperlink_495" Type="http://schemas.openxmlformats.org/officeDocument/2006/relationships/hyperlink" Target="http://www.henontech.com/fieldsafety/harzard/harzard_show.php?rid=18447&amp;url=harzardrecs.php" TargetMode="External"/><Relationship Id="rId_hyperlink_496" Type="http://schemas.openxmlformats.org/officeDocument/2006/relationships/hyperlink" Target="http://www.henontech.com/fieldsafety/harzard/harzard_show.php?rid=18484&amp;url=harzardrecs.php" TargetMode="External"/><Relationship Id="rId_hyperlink_497" Type="http://schemas.openxmlformats.org/officeDocument/2006/relationships/hyperlink" Target="http://www.henontech.com/fieldsafety/harzard/harzard_show.php?rid=18491&amp;url=harzardrecs.php" TargetMode="External"/><Relationship Id="rId_hyperlink_498" Type="http://schemas.openxmlformats.org/officeDocument/2006/relationships/hyperlink" Target="http://www.henontech.com/fieldsafety/harzard/harzard_show.php?rid=18519&amp;url=harzardrecs.php" TargetMode="External"/><Relationship Id="rId_hyperlink_499" Type="http://schemas.openxmlformats.org/officeDocument/2006/relationships/hyperlink" Target="http://www.henontech.com/fieldsafety/harzard/harzard_show.php?rid=18540&amp;url=harzardrecs.php" TargetMode="External"/><Relationship Id="rId_hyperlink_500" Type="http://schemas.openxmlformats.org/officeDocument/2006/relationships/hyperlink" Target="http://www.henontech.com/fieldsafety/harzard/harzard_show.php?rid=18591&amp;url=harzardrecs.php" TargetMode="External"/><Relationship Id="rId_hyperlink_501" Type="http://schemas.openxmlformats.org/officeDocument/2006/relationships/hyperlink" Target="http://www.henontech.com/fieldsafety/harzard/harzard_show.php?rid=18602&amp;url=harzardrecs.php" TargetMode="External"/><Relationship Id="rId_hyperlink_502" Type="http://schemas.openxmlformats.org/officeDocument/2006/relationships/hyperlink" Target="http://www.henontech.com/fieldsafety/harzard/harzard_show.php?rid=18616&amp;url=harzardrecs.php" TargetMode="External"/><Relationship Id="rId_hyperlink_503" Type="http://schemas.openxmlformats.org/officeDocument/2006/relationships/hyperlink" Target="http://www.henontech.com/fieldsafety/harzard/harzard_show.php?rid=18629&amp;url=harzardrecs.php" TargetMode="External"/><Relationship Id="rId_hyperlink_504" Type="http://schemas.openxmlformats.org/officeDocument/2006/relationships/hyperlink" Target="http://www.henontech.com/fieldsafety/harzard/harzard_show.php?rid=18638&amp;url=harzardrecs.php" TargetMode="External"/><Relationship Id="rId_hyperlink_505" Type="http://schemas.openxmlformats.org/officeDocument/2006/relationships/hyperlink" Target="http://www.henontech.com/fieldsafety/harzard/harzard_show.php?rid=18640&amp;url=harzardrecs.php" TargetMode="External"/><Relationship Id="rId_hyperlink_506" Type="http://schemas.openxmlformats.org/officeDocument/2006/relationships/hyperlink" Target="http://www.henontech.com/fieldsafety/harzard/harzard_show.php?rid=18641&amp;url=harzardrecs.php" TargetMode="External"/><Relationship Id="rId_hyperlink_507" Type="http://schemas.openxmlformats.org/officeDocument/2006/relationships/hyperlink" Target="http://www.henontech.com/fieldsafety/harzard/harzard_show.php?rid=18678&amp;url=harzardrecs.php" TargetMode="External"/><Relationship Id="rId_hyperlink_508" Type="http://schemas.openxmlformats.org/officeDocument/2006/relationships/hyperlink" Target="http://www.henontech.com/fieldsafety/harzard/harzard_show.php?rid=18689&amp;url=harzardrecs.php" TargetMode="External"/><Relationship Id="rId_hyperlink_509" Type="http://schemas.openxmlformats.org/officeDocument/2006/relationships/hyperlink" Target="http://www.henontech.com/fieldsafety/harzard/harzard_show.php?rid=18696&amp;url=harzardrecs.php" TargetMode="External"/><Relationship Id="rId_hyperlink_510" Type="http://schemas.openxmlformats.org/officeDocument/2006/relationships/hyperlink" Target="http://www.henontech.com/fieldsafety/harzard/harzard_show.php?rid=18720&amp;url=harzardrecs.php" TargetMode="External"/><Relationship Id="rId_hyperlink_511" Type="http://schemas.openxmlformats.org/officeDocument/2006/relationships/hyperlink" Target="http://www.henontech.com/fieldsafety/harzard/harzard_show.php?rid=18724&amp;url=harzardrecs.php" TargetMode="External"/><Relationship Id="rId_hyperlink_512" Type="http://schemas.openxmlformats.org/officeDocument/2006/relationships/hyperlink" Target="http://www.henontech.com/fieldsafety/harzard/harzard_show.php?rid=18726&amp;url=harzardrecs.php" TargetMode="External"/><Relationship Id="rId_hyperlink_513" Type="http://schemas.openxmlformats.org/officeDocument/2006/relationships/hyperlink" Target="http://www.henontech.com/fieldsafety/harzard/harzard_show.php?rid=18727&amp;url=harzardrecs.php" TargetMode="External"/><Relationship Id="rId_hyperlink_514" Type="http://schemas.openxmlformats.org/officeDocument/2006/relationships/hyperlink" Target="http://www.henontech.com/fieldsafety/harzard/harzard_show.php?rid=18728&amp;url=harzardrecs.php" TargetMode="External"/><Relationship Id="rId_hyperlink_515" Type="http://schemas.openxmlformats.org/officeDocument/2006/relationships/hyperlink" Target="http://www.henontech.com/fieldsafety/harzard/harzard_show.php?rid=18729&amp;url=harzardrecs.php" TargetMode="External"/><Relationship Id="rId_hyperlink_516" Type="http://schemas.openxmlformats.org/officeDocument/2006/relationships/hyperlink" Target="http://www.henontech.com/fieldsafety/harzard/harzard_show.php?rid=18733&amp;url=harzardrecs.php" TargetMode="External"/><Relationship Id="rId_hyperlink_517" Type="http://schemas.openxmlformats.org/officeDocument/2006/relationships/hyperlink" Target="http://www.henontech.com/fieldsafety/harzard/harzard_show.php?rid=18734&amp;url=harzardrecs.php" TargetMode="External"/><Relationship Id="rId_hyperlink_518" Type="http://schemas.openxmlformats.org/officeDocument/2006/relationships/hyperlink" Target="http://www.henontech.com/fieldsafety/harzard/harzard_show.php?rid=18741&amp;url=harzardrecs.php" TargetMode="External"/><Relationship Id="rId_hyperlink_519" Type="http://schemas.openxmlformats.org/officeDocument/2006/relationships/hyperlink" Target="http://www.henontech.com/fieldsafety/harzard/harzard_show.php?rid=18767&amp;url=harzardrecs.php" TargetMode="External"/><Relationship Id="rId_hyperlink_520" Type="http://schemas.openxmlformats.org/officeDocument/2006/relationships/hyperlink" Target="http://www.henontech.com/fieldsafety/harzard/harzard_show.php?rid=18773&amp;url=harzardrecs.php" TargetMode="External"/><Relationship Id="rId_hyperlink_521" Type="http://schemas.openxmlformats.org/officeDocument/2006/relationships/hyperlink" Target="http://www.henontech.com/fieldsafety/harzard/harzard_show.php?rid=18790&amp;url=harzardrecs.php" TargetMode="External"/><Relationship Id="rId_hyperlink_522" Type="http://schemas.openxmlformats.org/officeDocument/2006/relationships/hyperlink" Target="http://www.henontech.com/fieldsafety/harzard/harzard_show.php?rid=18821&amp;url=harzardrecs.php" TargetMode="External"/><Relationship Id="rId_hyperlink_523" Type="http://schemas.openxmlformats.org/officeDocument/2006/relationships/hyperlink" Target="http://www.henontech.com/fieldsafety/harzard/harzard_show.php?rid=18840&amp;url=harzardrecs.php" TargetMode="External"/><Relationship Id="rId_hyperlink_524" Type="http://schemas.openxmlformats.org/officeDocument/2006/relationships/hyperlink" Target="http://www.henontech.com/fieldsafety/harzard/harzard_show.php?rid=18847&amp;url=harzardrecs.php" TargetMode="External"/><Relationship Id="rId_hyperlink_525" Type="http://schemas.openxmlformats.org/officeDocument/2006/relationships/hyperlink" Target="http://www.henontech.com/fieldsafety/harzard/harzard_show.php?rid=18855&amp;url=harzardrecs.php" TargetMode="External"/><Relationship Id="rId_hyperlink_526" Type="http://schemas.openxmlformats.org/officeDocument/2006/relationships/hyperlink" Target="http://www.henontech.com/fieldsafety/harzard/harzard_show.php?rid=18856&amp;url=harzardrecs.php" TargetMode="External"/><Relationship Id="rId_hyperlink_527" Type="http://schemas.openxmlformats.org/officeDocument/2006/relationships/hyperlink" Target="http://www.henontech.com/fieldsafety/harzard/harzard_show.php?rid=18858&amp;url=harzardrecs.php" TargetMode="External"/><Relationship Id="rId_hyperlink_528" Type="http://schemas.openxmlformats.org/officeDocument/2006/relationships/hyperlink" Target="http://www.henontech.com/fieldsafety/harzard/harzard_show.php?rid=18860&amp;url=harzardrecs.php" TargetMode="External"/><Relationship Id="rId_hyperlink_529" Type="http://schemas.openxmlformats.org/officeDocument/2006/relationships/hyperlink" Target="http://www.henontech.com/fieldsafety/harzard/harzard_show.php?rid=18861&amp;url=harzardrecs.php" TargetMode="External"/><Relationship Id="rId_hyperlink_530" Type="http://schemas.openxmlformats.org/officeDocument/2006/relationships/hyperlink" Target="http://www.henontech.com/fieldsafety/harzard/harzard_show.php?rid=18862&amp;url=harzardrecs.php" TargetMode="External"/><Relationship Id="rId_hyperlink_531" Type="http://schemas.openxmlformats.org/officeDocument/2006/relationships/hyperlink" Target="http://www.henontech.com/fieldsafety/harzard/harzard_show.php?rid=18875&amp;url=harzardrecs.php" TargetMode="External"/><Relationship Id="rId_hyperlink_532" Type="http://schemas.openxmlformats.org/officeDocument/2006/relationships/hyperlink" Target="http://www.henontech.com/fieldsafety/harzard/harzard_show.php?rid=18876&amp;url=harzardrecs.php" TargetMode="External"/><Relationship Id="rId_hyperlink_533" Type="http://schemas.openxmlformats.org/officeDocument/2006/relationships/hyperlink" Target="http://www.henontech.com/fieldsafety/harzard/harzard_show.php?rid=18881&amp;url=harzardrecs.php" TargetMode="External"/><Relationship Id="rId_hyperlink_534" Type="http://schemas.openxmlformats.org/officeDocument/2006/relationships/hyperlink" Target="http://www.henontech.com/fieldsafety/harzard/harzard_show.php?rid=18884&amp;url=harzardrecs.php" TargetMode="External"/><Relationship Id="rId_hyperlink_535" Type="http://schemas.openxmlformats.org/officeDocument/2006/relationships/hyperlink" Target="http://www.henontech.com/fieldsafety/harzard/harzard_show.php?rid=18922&amp;url=harzardrecs.php" TargetMode="External"/><Relationship Id="rId_hyperlink_536" Type="http://schemas.openxmlformats.org/officeDocument/2006/relationships/hyperlink" Target="http://www.henontech.com/fieldsafety/harzard/harzard_show.php?rid=18926&amp;url=harzardrecs.php" TargetMode="External"/><Relationship Id="rId_hyperlink_537" Type="http://schemas.openxmlformats.org/officeDocument/2006/relationships/hyperlink" Target="http://www.henontech.com/fieldsafety/harzard/harzard_show.php?rid=18932&amp;url=harzardrecs.php" TargetMode="External"/><Relationship Id="rId_hyperlink_538" Type="http://schemas.openxmlformats.org/officeDocument/2006/relationships/hyperlink" Target="http://www.henontech.com/fieldsafety/harzard/harzard_show.php?rid=18988&amp;url=harzardrecs.php" TargetMode="External"/><Relationship Id="rId_hyperlink_539" Type="http://schemas.openxmlformats.org/officeDocument/2006/relationships/hyperlink" Target="http://www.henontech.com/fieldsafety/harzard/harzard_show.php?rid=18999&amp;url=harzardrecs.php" TargetMode="External"/><Relationship Id="rId_hyperlink_540" Type="http://schemas.openxmlformats.org/officeDocument/2006/relationships/hyperlink" Target="http://www.henontech.com/fieldsafety/harzard/harzard_show.php?rid=19050&amp;url=harzardrecs.php" TargetMode="External"/><Relationship Id="rId_hyperlink_541" Type="http://schemas.openxmlformats.org/officeDocument/2006/relationships/hyperlink" Target="http://www.henontech.com/fieldsafety/harzard/harzard_show.php?rid=19051&amp;url=harzardrecs.php" TargetMode="External"/><Relationship Id="rId_hyperlink_542" Type="http://schemas.openxmlformats.org/officeDocument/2006/relationships/hyperlink" Target="http://www.henontech.com/fieldsafety/harzard/harzard_show.php?rid=19060&amp;url=harzardrecs.php" TargetMode="External"/><Relationship Id="rId_hyperlink_543" Type="http://schemas.openxmlformats.org/officeDocument/2006/relationships/hyperlink" Target="http://www.henontech.com/fieldsafety/harzard/harzard_show.php?rid=19062&amp;url=harzardrecs.php" TargetMode="External"/><Relationship Id="rId_hyperlink_544" Type="http://schemas.openxmlformats.org/officeDocument/2006/relationships/hyperlink" Target="http://www.henontech.com/fieldsafety/harzard/harzard_show.php?rid=19069&amp;url=harzardrecs.php" TargetMode="External"/><Relationship Id="rId_hyperlink_545" Type="http://schemas.openxmlformats.org/officeDocument/2006/relationships/hyperlink" Target="http://www.henontech.com/fieldsafety/harzard/harzard_show.php?rid=19133&amp;url=harzardrecs.php" TargetMode="External"/><Relationship Id="rId_hyperlink_546" Type="http://schemas.openxmlformats.org/officeDocument/2006/relationships/hyperlink" Target="http://www.henontech.com/fieldsafety/harzard/harzard_show.php?rid=19233&amp;url=harzardrecs.php" TargetMode="External"/><Relationship Id="rId_hyperlink_547" Type="http://schemas.openxmlformats.org/officeDocument/2006/relationships/hyperlink" Target="http://www.henontech.com/fieldsafety/harzard/harzard_show.php?rid=19252&amp;url=harzardrecs.php" TargetMode="External"/><Relationship Id="rId_hyperlink_548" Type="http://schemas.openxmlformats.org/officeDocument/2006/relationships/hyperlink" Target="http://www.henontech.com/fieldsafety/harzard/harzard_show.php?rid=19257&amp;url=harzardrecs.php" TargetMode="External"/><Relationship Id="rId_hyperlink_549" Type="http://schemas.openxmlformats.org/officeDocument/2006/relationships/hyperlink" Target="http://www.henontech.com/fieldsafety/harzard/harzard_show.php?rid=19445&amp;url=harzardrecs.php" TargetMode="External"/><Relationship Id="rId_hyperlink_550" Type="http://schemas.openxmlformats.org/officeDocument/2006/relationships/hyperlink" Target="http://www.henontech.com/fieldsafety/harzard/harzard_show.php?rid=19448&amp;url=harzardrecs.php" TargetMode="External"/><Relationship Id="rId_hyperlink_551" Type="http://schemas.openxmlformats.org/officeDocument/2006/relationships/hyperlink" Target="http://www.henontech.com/fieldsafety/harzard/harzard_show.php?rid=19449&amp;url=harzardrecs.php" TargetMode="External"/><Relationship Id="rId_hyperlink_552" Type="http://schemas.openxmlformats.org/officeDocument/2006/relationships/hyperlink" Target="http://www.henontech.com/fieldsafety/harzard/harzard_show.php?rid=19452&amp;url=harzardrecs.php" TargetMode="External"/><Relationship Id="rId_hyperlink_553" Type="http://schemas.openxmlformats.org/officeDocument/2006/relationships/hyperlink" Target="http://www.henontech.com/fieldsafety/harzard/harzard_show.php?rid=19455&amp;url=harzardrecs.php" TargetMode="External"/><Relationship Id="rId_hyperlink_554" Type="http://schemas.openxmlformats.org/officeDocument/2006/relationships/hyperlink" Target="http://www.henontech.com/fieldsafety/harzard/harzard_show.php?rid=19456&amp;url=harzardrecs.php" TargetMode="External"/><Relationship Id="rId_hyperlink_555" Type="http://schemas.openxmlformats.org/officeDocument/2006/relationships/hyperlink" Target="http://www.henontech.com/fieldsafety/harzard/harzard_show.php?rid=19530&amp;url=harzardrecs.php" TargetMode="External"/><Relationship Id="rId_hyperlink_556" Type="http://schemas.openxmlformats.org/officeDocument/2006/relationships/hyperlink" Target="http://www.henontech.com/fieldsafety/harzard/harzard_show.php?rid=19536&amp;url=harzardrecs.php" TargetMode="External"/><Relationship Id="rId_hyperlink_557" Type="http://schemas.openxmlformats.org/officeDocument/2006/relationships/hyperlink" Target="http://www.henontech.com/fieldsafety/harzard/harzard_show.php?rid=19570&amp;url=harzardrecs.php" TargetMode="External"/><Relationship Id="rId_hyperlink_558" Type="http://schemas.openxmlformats.org/officeDocument/2006/relationships/hyperlink" Target="http://www.henontech.com/fieldsafety/harzard/harzard_show.php?rid=19588&amp;url=harzardrecs.php" TargetMode="External"/><Relationship Id="rId_hyperlink_559" Type="http://schemas.openxmlformats.org/officeDocument/2006/relationships/hyperlink" Target="http://www.henontech.com/fieldsafety/harzard/harzard_show.php?rid=19589&amp;url=harzardrecs.php" TargetMode="External"/><Relationship Id="rId_hyperlink_560" Type="http://schemas.openxmlformats.org/officeDocument/2006/relationships/hyperlink" Target="http://www.henontech.com/fieldsafety/harzard/harzard_show.php?rid=19590&amp;url=harzardrecs.php" TargetMode="External"/><Relationship Id="rId_hyperlink_561" Type="http://schemas.openxmlformats.org/officeDocument/2006/relationships/hyperlink" Target="http://www.henontech.com/fieldsafety/harzard/harzard_show.php?rid=19591&amp;url=harzardrecs.php" TargetMode="External"/><Relationship Id="rId_hyperlink_562" Type="http://schemas.openxmlformats.org/officeDocument/2006/relationships/hyperlink" Target="http://www.henontech.com/fieldsafety/harzard/harzard_show.php?rid=19592&amp;url=harzardrecs.php" TargetMode="External"/><Relationship Id="rId_hyperlink_563" Type="http://schemas.openxmlformats.org/officeDocument/2006/relationships/hyperlink" Target="http://www.henontech.com/fieldsafety/harzard/harzard_show.php?rid=19594&amp;url=harzardrecs.php" TargetMode="External"/><Relationship Id="rId_hyperlink_564" Type="http://schemas.openxmlformats.org/officeDocument/2006/relationships/hyperlink" Target="http://www.henontech.com/fieldsafety/harzard/harzard_show.php?rid=19603&amp;url=harzardrecs.php" TargetMode="External"/><Relationship Id="rId_hyperlink_565" Type="http://schemas.openxmlformats.org/officeDocument/2006/relationships/hyperlink" Target="http://www.henontech.com/fieldsafety/harzard/harzard_show.php?rid=19626&amp;url=harzardrecs.php" TargetMode="External"/><Relationship Id="rId_hyperlink_566" Type="http://schemas.openxmlformats.org/officeDocument/2006/relationships/hyperlink" Target="http://www.henontech.com/fieldsafety/harzard/harzard_show.php?rid=19667&amp;url=harzardrecs.php" TargetMode="External"/><Relationship Id="rId_hyperlink_567" Type="http://schemas.openxmlformats.org/officeDocument/2006/relationships/hyperlink" Target="http://www.henontech.com/fieldsafety/harzard/harzard_show.php?rid=19697&amp;url=harzardrecs.php" TargetMode="External"/><Relationship Id="rId_hyperlink_568" Type="http://schemas.openxmlformats.org/officeDocument/2006/relationships/hyperlink" Target="http://www.henontech.com/fieldsafety/harzard/harzard_show.php?rid=19716&amp;url=harzardrecs.php" TargetMode="External"/><Relationship Id="rId_hyperlink_569" Type="http://schemas.openxmlformats.org/officeDocument/2006/relationships/hyperlink" Target="http://www.henontech.com/fieldsafety/harzard/harzard_show.php?rid=19720&amp;url=harzardrecs.php" TargetMode="External"/><Relationship Id="rId_hyperlink_570" Type="http://schemas.openxmlformats.org/officeDocument/2006/relationships/hyperlink" Target="http://www.henontech.com/fieldsafety/harzard/harzard_show.php?rid=19725&amp;url=harzardrecs.php" TargetMode="External"/><Relationship Id="rId_hyperlink_571" Type="http://schemas.openxmlformats.org/officeDocument/2006/relationships/hyperlink" Target="http://www.henontech.com/fieldsafety/harzard/harzard_show.php?rid=19733&amp;url=harzardrecs.php" TargetMode="External"/><Relationship Id="rId_hyperlink_572" Type="http://schemas.openxmlformats.org/officeDocument/2006/relationships/hyperlink" Target="http://www.henontech.com/fieldsafety/harzard/harzard_show.php?rid=19741&amp;url=harzardrecs.php" TargetMode="External"/><Relationship Id="rId_hyperlink_573" Type="http://schemas.openxmlformats.org/officeDocument/2006/relationships/hyperlink" Target="http://www.henontech.com/fieldsafety/harzard/harzard_show.php?rid=19751&amp;url=harzardrecs.php" TargetMode="External"/><Relationship Id="rId_hyperlink_574" Type="http://schemas.openxmlformats.org/officeDocument/2006/relationships/hyperlink" Target="http://www.henontech.com/fieldsafety/harzard/harzard_show.php?rid=19757&amp;url=harzardrecs.php" TargetMode="External"/><Relationship Id="rId_hyperlink_575" Type="http://schemas.openxmlformats.org/officeDocument/2006/relationships/hyperlink" Target="http://www.henontech.com/fieldsafety/harzard/harzard_show.php?rid=19817&amp;url=harzardrecs.php" TargetMode="External"/><Relationship Id="rId_hyperlink_576" Type="http://schemas.openxmlformats.org/officeDocument/2006/relationships/hyperlink" Target="http://www.henontech.com/fieldsafety/harzard/harzard_show.php?rid=19839&amp;url=harzardrecs.php" TargetMode="External"/><Relationship Id="rId_hyperlink_577" Type="http://schemas.openxmlformats.org/officeDocument/2006/relationships/hyperlink" Target="http://www.henontech.com/fieldsafety/harzard/harzard_show.php?rid=19869&amp;url=harzardrecs.php" TargetMode="External"/><Relationship Id="rId_hyperlink_578" Type="http://schemas.openxmlformats.org/officeDocument/2006/relationships/hyperlink" Target="http://www.henontech.com/fieldsafety/harzard/harzard_show.php?rid=19873&amp;url=harzardrecs.php" TargetMode="External"/><Relationship Id="rId_hyperlink_579" Type="http://schemas.openxmlformats.org/officeDocument/2006/relationships/hyperlink" Target="http://www.henontech.com/fieldsafety/harzard/harzard_show.php?rid=19880&amp;url=harzardrecs.php" TargetMode="External"/><Relationship Id="rId_hyperlink_580" Type="http://schemas.openxmlformats.org/officeDocument/2006/relationships/hyperlink" Target="http://www.henontech.com/fieldsafety/harzard/harzard_show.php?rid=19902&amp;url=harzardrecs.php" TargetMode="External"/><Relationship Id="rId_hyperlink_581" Type="http://schemas.openxmlformats.org/officeDocument/2006/relationships/hyperlink" Target="http://www.henontech.com/fieldsafety/harzard/harzard_show.php?rid=19913&amp;url=harzardrecs.php" TargetMode="External"/><Relationship Id="rId_hyperlink_582" Type="http://schemas.openxmlformats.org/officeDocument/2006/relationships/hyperlink" Target="http://www.henontech.com/fieldsafety/harzard/harzard_show.php?rid=19929&amp;url=harzardrecs.php" TargetMode="External"/><Relationship Id="rId_hyperlink_583" Type="http://schemas.openxmlformats.org/officeDocument/2006/relationships/hyperlink" Target="http://www.henontech.com/fieldsafety/harzard/harzard_show.php?rid=19936&amp;url=harzardrecs.php" TargetMode="External"/><Relationship Id="rId_hyperlink_584" Type="http://schemas.openxmlformats.org/officeDocument/2006/relationships/hyperlink" Target="http://www.henontech.com/fieldsafety/harzard/harzard_show.php?rid=19957&amp;url=harzardrecs.php" TargetMode="External"/><Relationship Id="rId_hyperlink_585" Type="http://schemas.openxmlformats.org/officeDocument/2006/relationships/hyperlink" Target="http://www.henontech.com/fieldsafety/harzard/harzard_show.php?rid=20000&amp;url=harzardrecs.php" TargetMode="External"/><Relationship Id="rId_hyperlink_586" Type="http://schemas.openxmlformats.org/officeDocument/2006/relationships/hyperlink" Target="http://www.henontech.com/fieldsafety/harzard/harzard_show.php?rid=20025&amp;url=harzardrecs.php" TargetMode="External"/><Relationship Id="rId_hyperlink_587" Type="http://schemas.openxmlformats.org/officeDocument/2006/relationships/hyperlink" Target="http://www.henontech.com/fieldsafety/harzard/harzard_show.php?rid=20026&amp;url=harzardrecs.php" TargetMode="External"/><Relationship Id="rId_hyperlink_588" Type="http://schemas.openxmlformats.org/officeDocument/2006/relationships/hyperlink" Target="http://www.henontech.com/fieldsafety/harzard/harzard_show.php?rid=20040&amp;url=harzardrecs.php" TargetMode="External"/><Relationship Id="rId_hyperlink_589" Type="http://schemas.openxmlformats.org/officeDocument/2006/relationships/hyperlink" Target="http://www.henontech.com/fieldsafety/harzard/harzard_show.php?rid=20101&amp;url=harzardrecs.php" TargetMode="External"/><Relationship Id="rId_hyperlink_590" Type="http://schemas.openxmlformats.org/officeDocument/2006/relationships/hyperlink" Target="http://www.henontech.com/fieldsafety/harzard/harzard_show.php?rid=20155&amp;url=harzardrecs.php" TargetMode="External"/><Relationship Id="rId_hyperlink_591" Type="http://schemas.openxmlformats.org/officeDocument/2006/relationships/hyperlink" Target="http://www.henontech.com/fieldsafety/harzard/harzard_show.php?rid=20182&amp;url=harzardrecs.php" TargetMode="External"/><Relationship Id="rId_hyperlink_592" Type="http://schemas.openxmlformats.org/officeDocument/2006/relationships/hyperlink" Target="http://www.henontech.com/fieldsafety/harzard/harzard_show.php?rid=20189&amp;url=harzardrecs.php" TargetMode="External"/><Relationship Id="rId_hyperlink_593" Type="http://schemas.openxmlformats.org/officeDocument/2006/relationships/hyperlink" Target="http://www.henontech.com/fieldsafety/harzard/harzard_show.php?rid=20241&amp;url=harzardrecs.php" TargetMode="External"/><Relationship Id="rId_hyperlink_594" Type="http://schemas.openxmlformats.org/officeDocument/2006/relationships/hyperlink" Target="http://www.henontech.com/fieldsafety/harzard/harzard_show.php?rid=20384&amp;url=harzardrecs.php" TargetMode="External"/><Relationship Id="rId_hyperlink_595" Type="http://schemas.openxmlformats.org/officeDocument/2006/relationships/hyperlink" Target="http://www.henontech.com/fieldsafety/harzard/harzard_show.php?rid=20399&amp;url=harzardrecs.php" TargetMode="External"/><Relationship Id="rId_hyperlink_596" Type="http://schemas.openxmlformats.org/officeDocument/2006/relationships/hyperlink" Target="http://www.henontech.com/fieldsafety/harzard/harzard_show.php?rid=20401&amp;url=harzardrecs.php" TargetMode="External"/><Relationship Id="rId_hyperlink_597" Type="http://schemas.openxmlformats.org/officeDocument/2006/relationships/hyperlink" Target="http://www.henontech.com/fieldsafety/harzard/harzard_show.php?rid=20412&amp;url=harzardrecs.php" TargetMode="External"/><Relationship Id="rId_hyperlink_598" Type="http://schemas.openxmlformats.org/officeDocument/2006/relationships/hyperlink" Target="http://www.henontech.com/fieldsafety/harzard/harzard_show.php?rid=20413&amp;url=harzardrecs.php" TargetMode="External"/><Relationship Id="rId_hyperlink_599" Type="http://schemas.openxmlformats.org/officeDocument/2006/relationships/hyperlink" Target="http://www.henontech.com/fieldsafety/harzard/harzard_show.php?rid=20419&amp;url=harzardrecs.php" TargetMode="External"/><Relationship Id="rId_hyperlink_600" Type="http://schemas.openxmlformats.org/officeDocument/2006/relationships/hyperlink" Target="http://www.henontech.com/fieldsafety/harzard/harzard_show.php?rid=20422&amp;url=harzardrecs.php" TargetMode="External"/><Relationship Id="rId_hyperlink_601" Type="http://schemas.openxmlformats.org/officeDocument/2006/relationships/hyperlink" Target="http://www.henontech.com/fieldsafety/harzard/harzard_show.php?rid=20423&amp;url=harzardrecs.php" TargetMode="External"/><Relationship Id="rId_hyperlink_602" Type="http://schemas.openxmlformats.org/officeDocument/2006/relationships/hyperlink" Target="http://www.henontech.com/fieldsafety/harzard/harzard_show.php?rid=20510&amp;url=harzardrecs.php" TargetMode="External"/><Relationship Id="rId_hyperlink_603" Type="http://schemas.openxmlformats.org/officeDocument/2006/relationships/hyperlink" Target="http://www.henontech.com/fieldsafety/harzard/harzard_show.php?rid=20546&amp;url=harzardrecs.php" TargetMode="External"/><Relationship Id="rId_hyperlink_604" Type="http://schemas.openxmlformats.org/officeDocument/2006/relationships/hyperlink" Target="http://www.henontech.com/fieldsafety/harzard/harzard_show.php?rid=20660&amp;url=harzardrecs.php" TargetMode="External"/><Relationship Id="rId_hyperlink_605" Type="http://schemas.openxmlformats.org/officeDocument/2006/relationships/hyperlink" Target="http://www.henontech.com/fieldsafety/harzard/harzard_show.php?rid=20666&amp;url=harzardrecs.php" TargetMode="External"/><Relationship Id="rId_hyperlink_606" Type="http://schemas.openxmlformats.org/officeDocument/2006/relationships/hyperlink" Target="http://www.henontech.com/fieldsafety/harzard/harzard_show.php?rid=20688&amp;url=harzardrecs.php" TargetMode="External"/><Relationship Id="rId_hyperlink_607" Type="http://schemas.openxmlformats.org/officeDocument/2006/relationships/hyperlink" Target="http://www.henontech.com/fieldsafety/harzard/harzard_show.php?rid=20699&amp;url=harzardrecs.php" TargetMode="External"/><Relationship Id="rId_hyperlink_608" Type="http://schemas.openxmlformats.org/officeDocument/2006/relationships/hyperlink" Target="http://www.henontech.com/fieldsafety/harzard/harzard_show.php?rid=20716&amp;url=harzardrecs.php" TargetMode="External"/><Relationship Id="rId_hyperlink_609" Type="http://schemas.openxmlformats.org/officeDocument/2006/relationships/hyperlink" Target="http://www.henontech.com/fieldsafety/harzard/harzard_show.php?rid=20721&amp;url=harzardrecs.php" TargetMode="External"/><Relationship Id="rId_hyperlink_610" Type="http://schemas.openxmlformats.org/officeDocument/2006/relationships/hyperlink" Target="http://www.henontech.com/fieldsafety/harzard/harzard_show.php?rid=20725&amp;url=harzardrecs.php" TargetMode="External"/><Relationship Id="rId_hyperlink_611" Type="http://schemas.openxmlformats.org/officeDocument/2006/relationships/hyperlink" Target="http://www.henontech.com/fieldsafety/harzard/harzard_show.php?rid=20726&amp;url=harzardrecs.php" TargetMode="External"/><Relationship Id="rId_hyperlink_612" Type="http://schemas.openxmlformats.org/officeDocument/2006/relationships/hyperlink" Target="http://www.henontech.com/fieldsafety/harzard/harzard_show.php?rid=20727&amp;url=harzardrecs.php" TargetMode="External"/><Relationship Id="rId_hyperlink_613" Type="http://schemas.openxmlformats.org/officeDocument/2006/relationships/hyperlink" Target="http://www.henontech.com/fieldsafety/harzard/harzard_show.php?rid=20738&amp;url=harzardrecs.php" TargetMode="External"/><Relationship Id="rId_hyperlink_614" Type="http://schemas.openxmlformats.org/officeDocument/2006/relationships/hyperlink" Target="http://www.henontech.com/fieldsafety/harzard/harzard_show.php?rid=20773&amp;url=harzardrecs.php" TargetMode="External"/><Relationship Id="rId_hyperlink_615" Type="http://schemas.openxmlformats.org/officeDocument/2006/relationships/hyperlink" Target="http://www.henontech.com/fieldsafety/harzard/harzard_show.php?rid=20774&amp;url=harzardrecs.php" TargetMode="External"/><Relationship Id="rId_hyperlink_616" Type="http://schemas.openxmlformats.org/officeDocument/2006/relationships/hyperlink" Target="http://www.henontech.com/fieldsafety/harzard/harzard_show.php?rid=20775&amp;url=harzardrecs.php" TargetMode="External"/><Relationship Id="rId_hyperlink_617" Type="http://schemas.openxmlformats.org/officeDocument/2006/relationships/hyperlink" Target="http://www.henontech.com/fieldsafety/harzard/harzard_show.php?rid=20776&amp;url=harzardrecs.php" TargetMode="External"/><Relationship Id="rId_hyperlink_618" Type="http://schemas.openxmlformats.org/officeDocument/2006/relationships/hyperlink" Target="http://www.henontech.com/fieldsafety/harzard/harzard_show.php?rid=20781&amp;url=harzardrecs.php" TargetMode="External"/><Relationship Id="rId_hyperlink_619" Type="http://schemas.openxmlformats.org/officeDocument/2006/relationships/hyperlink" Target="http://www.henontech.com/fieldsafety/harzard/harzard_show.php?rid=20839&amp;url=harzardrecs.php" TargetMode="External"/><Relationship Id="rId_hyperlink_620" Type="http://schemas.openxmlformats.org/officeDocument/2006/relationships/hyperlink" Target="http://www.henontech.com/fieldsafety/harzard/harzard_show.php?rid=20843&amp;url=harzardrecs.php" TargetMode="External"/><Relationship Id="rId_hyperlink_621" Type="http://schemas.openxmlformats.org/officeDocument/2006/relationships/hyperlink" Target="http://www.henontech.com/fieldsafety/harzard/harzard_show.php?rid=20863&amp;url=harzardrecs.php" TargetMode="External"/><Relationship Id="rId_hyperlink_622" Type="http://schemas.openxmlformats.org/officeDocument/2006/relationships/hyperlink" Target="http://www.henontech.com/fieldsafety/harzard/harzard_show.php?rid=20882&amp;url=harzardrecs.php" TargetMode="External"/><Relationship Id="rId_hyperlink_623" Type="http://schemas.openxmlformats.org/officeDocument/2006/relationships/hyperlink" Target="http://www.henontech.com/fieldsafety/harzard/harzard_show.php?rid=20931&amp;url=harzardrecs.php" TargetMode="External"/><Relationship Id="rId_hyperlink_624" Type="http://schemas.openxmlformats.org/officeDocument/2006/relationships/hyperlink" Target="http://www.henontech.com/fieldsafety/harzard/harzard_show.php?rid=20940&amp;url=harzardrecs.php" TargetMode="External"/><Relationship Id="rId_hyperlink_625" Type="http://schemas.openxmlformats.org/officeDocument/2006/relationships/hyperlink" Target="http://www.henontech.com/fieldsafety/harzard/harzard_show.php?rid=20943&amp;url=harzardrecs.php" TargetMode="External"/><Relationship Id="rId_hyperlink_626" Type="http://schemas.openxmlformats.org/officeDocument/2006/relationships/hyperlink" Target="http://www.henontech.com/fieldsafety/harzard/harzard_show.php?rid=20945&amp;url=harzardrecs.php" TargetMode="External"/><Relationship Id="rId_hyperlink_627" Type="http://schemas.openxmlformats.org/officeDocument/2006/relationships/hyperlink" Target="http://www.henontech.com/fieldsafety/harzard/harzard_show.php?rid=20946&amp;url=harzardrecs.php" TargetMode="External"/><Relationship Id="rId_hyperlink_628" Type="http://schemas.openxmlformats.org/officeDocument/2006/relationships/hyperlink" Target="http://www.henontech.com/fieldsafety/harzard/harzard_show.php?rid=20947&amp;url=harzardrecs.php" TargetMode="External"/><Relationship Id="rId_hyperlink_629" Type="http://schemas.openxmlformats.org/officeDocument/2006/relationships/hyperlink" Target="http://www.henontech.com/fieldsafety/harzard/harzard_show.php?rid=20980&amp;url=harzardrecs.php" TargetMode="External"/><Relationship Id="rId_hyperlink_630" Type="http://schemas.openxmlformats.org/officeDocument/2006/relationships/hyperlink" Target="http://www.henontech.com/fieldsafety/harzard/harzard_show.php?rid=20991&amp;url=harzardrecs.php" TargetMode="External"/><Relationship Id="rId_hyperlink_631" Type="http://schemas.openxmlformats.org/officeDocument/2006/relationships/hyperlink" Target="http://www.henontech.com/fieldsafety/harzard/harzard_show.php?rid=21023&amp;url=harzardrecs.php" TargetMode="External"/><Relationship Id="rId_hyperlink_632" Type="http://schemas.openxmlformats.org/officeDocument/2006/relationships/hyperlink" Target="http://www.henontech.com/fieldsafety/harzard/harzard_show.php?rid=21026&amp;url=harzardrecs.php" TargetMode="External"/><Relationship Id="rId_hyperlink_633" Type="http://schemas.openxmlformats.org/officeDocument/2006/relationships/hyperlink" Target="http://www.henontech.com/fieldsafety/harzard/harzard_show.php?rid=21034&amp;url=harzardrecs.php" TargetMode="External"/><Relationship Id="rId_hyperlink_634" Type="http://schemas.openxmlformats.org/officeDocument/2006/relationships/hyperlink" Target="http://www.henontech.com/fieldsafety/harzard/harzard_show.php?rid=21035&amp;url=harzardrecs.php" TargetMode="External"/><Relationship Id="rId_hyperlink_635" Type="http://schemas.openxmlformats.org/officeDocument/2006/relationships/hyperlink" Target="http://www.henontech.com/fieldsafety/harzard/harzard_show.php?rid=21036&amp;url=harzardrecs.php" TargetMode="External"/><Relationship Id="rId_hyperlink_636" Type="http://schemas.openxmlformats.org/officeDocument/2006/relationships/hyperlink" Target="http://www.henontech.com/fieldsafety/harzard/harzard_show.php?rid=21042&amp;url=harzardrecs.php" TargetMode="External"/><Relationship Id="rId_hyperlink_637" Type="http://schemas.openxmlformats.org/officeDocument/2006/relationships/hyperlink" Target="http://www.henontech.com/fieldsafety/harzard/harzard_show.php?rid=21046&amp;url=harzardrecs.php" TargetMode="External"/><Relationship Id="rId_hyperlink_638" Type="http://schemas.openxmlformats.org/officeDocument/2006/relationships/hyperlink" Target="http://www.henontech.com/fieldsafety/harzard/harzard_show.php?rid=21047&amp;url=harzardrecs.php" TargetMode="External"/><Relationship Id="rId_hyperlink_639" Type="http://schemas.openxmlformats.org/officeDocument/2006/relationships/hyperlink" Target="http://www.henontech.com/fieldsafety/harzard/harzard_show.php?rid=21053&amp;url=harzardrecs.php" TargetMode="External"/><Relationship Id="rId_hyperlink_640" Type="http://schemas.openxmlformats.org/officeDocument/2006/relationships/hyperlink" Target="http://www.henontech.com/fieldsafety/harzard/harzard_show.php?rid=21056&amp;url=harzardrecs.php" TargetMode="External"/><Relationship Id="rId_hyperlink_641" Type="http://schemas.openxmlformats.org/officeDocument/2006/relationships/hyperlink" Target="http://www.henontech.com/fieldsafety/harzard/harzard_show.php?rid=21059&amp;url=harzardrecs.php" TargetMode="External"/><Relationship Id="rId_hyperlink_642" Type="http://schemas.openxmlformats.org/officeDocument/2006/relationships/hyperlink" Target="http://www.henontech.com/fieldsafety/harzard/harzard_show.php?rid=21081&amp;url=harzardrecs.php" TargetMode="External"/><Relationship Id="rId_hyperlink_643" Type="http://schemas.openxmlformats.org/officeDocument/2006/relationships/hyperlink" Target="http://www.henontech.com/fieldsafety/harzard/harzard_show.php?rid=21083&amp;url=harzardrecs.php" TargetMode="External"/><Relationship Id="rId_hyperlink_644" Type="http://schemas.openxmlformats.org/officeDocument/2006/relationships/hyperlink" Target="http://www.henontech.com/fieldsafety/harzard/harzard_show.php?rid=21084&amp;url=harzardrecs.php" TargetMode="External"/><Relationship Id="rId_hyperlink_645" Type="http://schemas.openxmlformats.org/officeDocument/2006/relationships/hyperlink" Target="http://www.henontech.com/fieldsafety/harzard/harzard_show.php?rid=21108&amp;url=harzardrecs.php" TargetMode="External"/><Relationship Id="rId_hyperlink_646" Type="http://schemas.openxmlformats.org/officeDocument/2006/relationships/hyperlink" Target="http://www.henontech.com/fieldsafety/harzard/harzard_show.php?rid=21138&amp;url=harzardrecs.php" TargetMode="External"/><Relationship Id="rId_hyperlink_647" Type="http://schemas.openxmlformats.org/officeDocument/2006/relationships/hyperlink" Target="http://www.henontech.com/fieldsafety/harzard/harzard_show.php?rid=21139&amp;url=harzardrecs.php" TargetMode="External"/><Relationship Id="rId_hyperlink_648" Type="http://schemas.openxmlformats.org/officeDocument/2006/relationships/hyperlink" Target="http://www.henontech.com/fieldsafety/harzard/harzard_show.php?rid=21154&amp;url=harzardrecs.php" TargetMode="External"/><Relationship Id="rId_hyperlink_649" Type="http://schemas.openxmlformats.org/officeDocument/2006/relationships/hyperlink" Target="http://www.henontech.com/fieldsafety/harzard/harzard_show.php?rid=21167&amp;url=harzardrecs.php" TargetMode="External"/><Relationship Id="rId_hyperlink_650" Type="http://schemas.openxmlformats.org/officeDocument/2006/relationships/hyperlink" Target="http://www.henontech.com/fieldsafety/harzard/harzard_show.php?rid=21168&amp;url=harzardrecs.php" TargetMode="External"/><Relationship Id="rId_hyperlink_651" Type="http://schemas.openxmlformats.org/officeDocument/2006/relationships/hyperlink" Target="http://www.henontech.com/fieldsafety/harzard/harzard_show.php?rid=21169&amp;url=harzardrecs.php" TargetMode="External"/><Relationship Id="rId_hyperlink_652" Type="http://schemas.openxmlformats.org/officeDocument/2006/relationships/hyperlink" Target="http://www.henontech.com/fieldsafety/harzard/harzard_show.php?rid=21181&amp;url=harzardrecs.php" TargetMode="External"/><Relationship Id="rId_hyperlink_653" Type="http://schemas.openxmlformats.org/officeDocument/2006/relationships/hyperlink" Target="http://www.henontech.com/fieldsafety/harzard/harzard_show.php?rid=21182&amp;url=harzardrecs.php" TargetMode="External"/><Relationship Id="rId_hyperlink_654" Type="http://schemas.openxmlformats.org/officeDocument/2006/relationships/hyperlink" Target="http://www.henontech.com/fieldsafety/harzard/harzard_show.php?rid=21186&amp;url=harzardrecs.php" TargetMode="External"/><Relationship Id="rId_hyperlink_655" Type="http://schemas.openxmlformats.org/officeDocument/2006/relationships/hyperlink" Target="http://www.henontech.com/fieldsafety/harzard/harzard_show.php?rid=21205&amp;url=harzardrecs.php" TargetMode="External"/><Relationship Id="rId_hyperlink_656" Type="http://schemas.openxmlformats.org/officeDocument/2006/relationships/hyperlink" Target="http://www.henontech.com/fieldsafety/harzard/harzard_show.php?rid=21206&amp;url=harzardrecs.php" TargetMode="External"/><Relationship Id="rId_hyperlink_657" Type="http://schemas.openxmlformats.org/officeDocument/2006/relationships/hyperlink" Target="http://www.henontech.com/fieldsafety/harzard/harzard_show.php?rid=21252&amp;url=harzardrecs.php" TargetMode="External"/><Relationship Id="rId_hyperlink_658" Type="http://schemas.openxmlformats.org/officeDocument/2006/relationships/hyperlink" Target="http://www.henontech.com/fieldsafety/harzard/harzard_show.php?rid=21270&amp;url=harzardrecs.php" TargetMode="External"/><Relationship Id="rId_hyperlink_659" Type="http://schemas.openxmlformats.org/officeDocument/2006/relationships/hyperlink" Target="http://www.henontech.com/fieldsafety/harzard/harzard_show.php?rid=21292&amp;url=harzardrecs.php" TargetMode="External"/><Relationship Id="rId_hyperlink_660" Type="http://schemas.openxmlformats.org/officeDocument/2006/relationships/hyperlink" Target="http://www.henontech.com/fieldsafety/harzard/harzard_show.php?rid=21297&amp;url=harzardrecs.php" TargetMode="External"/><Relationship Id="rId_hyperlink_661" Type="http://schemas.openxmlformats.org/officeDocument/2006/relationships/hyperlink" Target="http://www.henontech.com/fieldsafety/harzard/harzard_show.php?rid=21391&amp;url=harzardrecs.php" TargetMode="External"/><Relationship Id="rId_hyperlink_662" Type="http://schemas.openxmlformats.org/officeDocument/2006/relationships/hyperlink" Target="http://www.henontech.com/fieldsafety/harzard/harzard_show.php?rid=21502&amp;url=harzardrecs.php" TargetMode="External"/><Relationship Id="rId_hyperlink_663" Type="http://schemas.openxmlformats.org/officeDocument/2006/relationships/hyperlink" Target="http://www.henontech.com/fieldsafety/harzard/harzard_show.php?rid=21509&amp;url=harzardrecs.php" TargetMode="External"/><Relationship Id="rId_hyperlink_664" Type="http://schemas.openxmlformats.org/officeDocument/2006/relationships/hyperlink" Target="http://www.henontech.com/fieldsafety/harzard/harzard_show.php?rid=21582&amp;url=harzardrecs.php" TargetMode="External"/><Relationship Id="rId_hyperlink_665" Type="http://schemas.openxmlformats.org/officeDocument/2006/relationships/hyperlink" Target="http://www.henontech.com/fieldsafety/harzard/harzard_show.php?rid=21636&amp;url=harzardrecs.php" TargetMode="External"/><Relationship Id="rId_hyperlink_666" Type="http://schemas.openxmlformats.org/officeDocument/2006/relationships/hyperlink" Target="http://www.henontech.com/fieldsafety/harzard/harzard_show.php?rid=21642&amp;url=harzardrecs.php" TargetMode="External"/><Relationship Id="rId_hyperlink_667" Type="http://schemas.openxmlformats.org/officeDocument/2006/relationships/hyperlink" Target="http://www.henontech.com/fieldsafety/harzard/harzard_show.php?rid=21652&amp;url=harzardrecs.php" TargetMode="External"/><Relationship Id="rId_hyperlink_668" Type="http://schemas.openxmlformats.org/officeDocument/2006/relationships/hyperlink" Target="http://www.henontech.com/fieldsafety/harzard/harzard_show.php?rid=21669&amp;url=harzardrecs.php" TargetMode="External"/><Relationship Id="rId_hyperlink_669" Type="http://schemas.openxmlformats.org/officeDocument/2006/relationships/hyperlink" Target="http://www.henontech.com/fieldsafety/harzard/harzard_show.php?rid=21733&amp;url=harzardrecs.php" TargetMode="External"/><Relationship Id="rId_hyperlink_670" Type="http://schemas.openxmlformats.org/officeDocument/2006/relationships/hyperlink" Target="http://www.henontech.com/fieldsafety/harzard/harzard_show.php?rid=21766&amp;url=harzardrecs.php" TargetMode="External"/><Relationship Id="rId_hyperlink_671" Type="http://schemas.openxmlformats.org/officeDocument/2006/relationships/hyperlink" Target="http://www.henontech.com/fieldsafety/harzard/harzard_show.php?rid=21780&amp;url=harzardrecs.php" TargetMode="External"/><Relationship Id="rId_hyperlink_672" Type="http://schemas.openxmlformats.org/officeDocument/2006/relationships/hyperlink" Target="http://www.henontech.com/fieldsafety/harzard/harzard_show.php?rid=21781&amp;url=harzardrecs.php" TargetMode="External"/><Relationship Id="rId_hyperlink_673" Type="http://schemas.openxmlformats.org/officeDocument/2006/relationships/hyperlink" Target="http://www.henontech.com/fieldsafety/harzard/harzard_show.php?rid=21783&amp;url=harzardrecs.php" TargetMode="External"/><Relationship Id="rId_hyperlink_674" Type="http://schemas.openxmlformats.org/officeDocument/2006/relationships/hyperlink" Target="http://www.henontech.com/fieldsafety/harzard/harzard_show.php?rid=21788&amp;url=harzardrecs.php" TargetMode="External"/><Relationship Id="rId_hyperlink_675" Type="http://schemas.openxmlformats.org/officeDocument/2006/relationships/hyperlink" Target="http://www.henontech.com/fieldsafety/harzard/harzard_show.php?rid=21789&amp;url=harzardrecs.php" TargetMode="External"/><Relationship Id="rId_hyperlink_676" Type="http://schemas.openxmlformats.org/officeDocument/2006/relationships/hyperlink" Target="http://www.henontech.com/fieldsafety/harzard/harzard_show.php?rid=21881&amp;url=harzardrecs.php" TargetMode="External"/><Relationship Id="rId_hyperlink_677" Type="http://schemas.openxmlformats.org/officeDocument/2006/relationships/hyperlink" Target="http://www.henontech.com/fieldsafety/harzard/harzard_show.php?rid=21900&amp;url=harzardrecs.php" TargetMode="External"/><Relationship Id="rId_hyperlink_678" Type="http://schemas.openxmlformats.org/officeDocument/2006/relationships/hyperlink" Target="http://www.henontech.com/fieldsafety/harzard/harzard_show.php?rid=21906&amp;url=harzardrecs.php" TargetMode="External"/><Relationship Id="rId_hyperlink_679" Type="http://schemas.openxmlformats.org/officeDocument/2006/relationships/hyperlink" Target="http://www.henontech.com/fieldsafety/harzard/harzard_show.php?rid=21966&amp;url=harzardrecs.php" TargetMode="External"/><Relationship Id="rId_hyperlink_680" Type="http://schemas.openxmlformats.org/officeDocument/2006/relationships/hyperlink" Target="http://www.henontech.com/fieldsafety/harzard/harzard_show.php?rid=21980&amp;url=harzardrecs.php" TargetMode="External"/><Relationship Id="rId_hyperlink_681" Type="http://schemas.openxmlformats.org/officeDocument/2006/relationships/hyperlink" Target="http://www.henontech.com/fieldsafety/harzard/harzard_show.php?rid=21992&amp;url=harzardrecs.php" TargetMode="External"/><Relationship Id="rId_hyperlink_682" Type="http://schemas.openxmlformats.org/officeDocument/2006/relationships/hyperlink" Target="http://www.henontech.com/fieldsafety/harzard/harzard_show.php?rid=21993&amp;url=harzardrecs.php" TargetMode="External"/><Relationship Id="rId_hyperlink_683" Type="http://schemas.openxmlformats.org/officeDocument/2006/relationships/hyperlink" Target="http://www.henontech.com/fieldsafety/harzard/harzard_show.php?rid=22000&amp;url=harzardrecs.php" TargetMode="External"/><Relationship Id="rId_hyperlink_684" Type="http://schemas.openxmlformats.org/officeDocument/2006/relationships/hyperlink" Target="http://www.henontech.com/fieldsafety/harzard/harzard_show.php?rid=22007&amp;url=harzardrecs.php" TargetMode="External"/><Relationship Id="rId_hyperlink_685" Type="http://schemas.openxmlformats.org/officeDocument/2006/relationships/hyperlink" Target="http://www.henontech.com/fieldsafety/harzard/harzard_show.php?rid=22016&amp;url=harzardrecs.php" TargetMode="External"/><Relationship Id="rId_hyperlink_686" Type="http://schemas.openxmlformats.org/officeDocument/2006/relationships/hyperlink" Target="http://www.henontech.com/fieldsafety/harzard/harzard_show.php?rid=22017&amp;url=harzardrecs.php" TargetMode="External"/><Relationship Id="rId_hyperlink_687" Type="http://schemas.openxmlformats.org/officeDocument/2006/relationships/hyperlink" Target="http://www.henontech.com/fieldsafety/harzard/harzard_show.php?rid=22018&amp;url=harzardrecs.php" TargetMode="External"/><Relationship Id="rId_hyperlink_688" Type="http://schemas.openxmlformats.org/officeDocument/2006/relationships/hyperlink" Target="http://www.henontech.com/fieldsafety/harzard/harzard_show.php?rid=22019&amp;url=harzardrecs.php" TargetMode="External"/><Relationship Id="rId_hyperlink_689" Type="http://schemas.openxmlformats.org/officeDocument/2006/relationships/hyperlink" Target="http://www.henontech.com/fieldsafety/harzard/harzard_show.php?rid=22103&amp;url=harzardrecs.php" TargetMode="External"/><Relationship Id="rId_hyperlink_690" Type="http://schemas.openxmlformats.org/officeDocument/2006/relationships/hyperlink" Target="http://www.henontech.com/fieldsafety/harzard/harzard_show.php?rid=22152&amp;url=harzardrecs.php" TargetMode="External"/><Relationship Id="rId_hyperlink_691" Type="http://schemas.openxmlformats.org/officeDocument/2006/relationships/hyperlink" Target="http://www.henontech.com/fieldsafety/harzard/harzard_show.php?rid=22165&amp;url=harzardrecs.php" TargetMode="External"/><Relationship Id="rId_hyperlink_692" Type="http://schemas.openxmlformats.org/officeDocument/2006/relationships/hyperlink" Target="http://www.henontech.com/fieldsafety/harzard/harzard_show.php?rid=22230&amp;url=harzardrecs.php" TargetMode="External"/><Relationship Id="rId_hyperlink_693" Type="http://schemas.openxmlformats.org/officeDocument/2006/relationships/hyperlink" Target="http://www.henontech.com/fieldsafety/harzard/harzard_show.php?rid=22381&amp;url=harzardrecs.php" TargetMode="External"/><Relationship Id="rId_hyperlink_694" Type="http://schemas.openxmlformats.org/officeDocument/2006/relationships/hyperlink" Target="http://www.henontech.com/fieldsafety/harzard/harzard_show.php?rid=22427&amp;url=harzardrecs.php" TargetMode="External"/><Relationship Id="rId_hyperlink_695" Type="http://schemas.openxmlformats.org/officeDocument/2006/relationships/hyperlink" Target="http://www.henontech.com/fieldsafety/harzard/harzard_show.php?rid=22439&amp;url=harzardrecs.php" TargetMode="External"/><Relationship Id="rId_hyperlink_696" Type="http://schemas.openxmlformats.org/officeDocument/2006/relationships/hyperlink" Target="http://www.henontech.com/fieldsafety/harzard/harzard_show.php?rid=22505&amp;url=harzardrecs.php" TargetMode="External"/><Relationship Id="rId_hyperlink_697" Type="http://schemas.openxmlformats.org/officeDocument/2006/relationships/hyperlink" Target="http://www.henontech.com/fieldsafety/harzard/harzard_show.php?rid=22538&amp;url=harzardrecs.php" TargetMode="External"/><Relationship Id="rId_hyperlink_698" Type="http://schemas.openxmlformats.org/officeDocument/2006/relationships/hyperlink" Target="http://www.henontech.com/fieldsafety/harzard/harzard_show.php?rid=22540&amp;url=harzardrecs.php" TargetMode="External"/><Relationship Id="rId_hyperlink_699" Type="http://schemas.openxmlformats.org/officeDocument/2006/relationships/hyperlink" Target="http://www.henontech.com/fieldsafety/harzard/harzard_show.php?rid=22567&amp;url=harzardrecs.php" TargetMode="External"/><Relationship Id="rId_hyperlink_700" Type="http://schemas.openxmlformats.org/officeDocument/2006/relationships/hyperlink" Target="http://www.henontech.com/fieldsafety/harzard/harzard_show.php?rid=22585&amp;url=harzardrecs.php" TargetMode="External"/><Relationship Id="rId_hyperlink_701" Type="http://schemas.openxmlformats.org/officeDocument/2006/relationships/hyperlink" Target="http://www.henontech.com/fieldsafety/harzard/harzard_show.php?rid=22606&amp;url=harzardrecs.php" TargetMode="External"/><Relationship Id="rId_hyperlink_702" Type="http://schemas.openxmlformats.org/officeDocument/2006/relationships/hyperlink" Target="http://www.henontech.com/fieldsafety/harzard/harzard_show.php?rid=22640&amp;url=harzardrecs.php" TargetMode="External"/><Relationship Id="rId_hyperlink_703" Type="http://schemas.openxmlformats.org/officeDocument/2006/relationships/hyperlink" Target="http://www.henontech.com/fieldsafety/harzard/harzard_show.php?rid=22684&amp;url=harzardrecs.php" TargetMode="External"/><Relationship Id="rId_hyperlink_704" Type="http://schemas.openxmlformats.org/officeDocument/2006/relationships/hyperlink" Target="http://www.henontech.com/fieldsafety/harzard/harzard_show.php?rid=22685&amp;url=harzardrecs.php" TargetMode="External"/><Relationship Id="rId_hyperlink_705" Type="http://schemas.openxmlformats.org/officeDocument/2006/relationships/hyperlink" Target="http://www.henontech.com/fieldsafety/harzard/harzard_show.php?rid=22686&amp;url=harzardrecs.php" TargetMode="External"/><Relationship Id="rId_hyperlink_706" Type="http://schemas.openxmlformats.org/officeDocument/2006/relationships/hyperlink" Target="http://www.henontech.com/fieldsafety/harzard/harzard_show.php?rid=22693&amp;url=harzardrecs.php" TargetMode="External"/><Relationship Id="rId_hyperlink_707" Type="http://schemas.openxmlformats.org/officeDocument/2006/relationships/hyperlink" Target="http://www.henontech.com/fieldsafety/harzard/harzard_show.php?rid=22701&amp;url=harzardrecs.php"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H712"/>
  <sheetViews>
    <sheetView tabSelected="1" workbookViewId="0" showGridLines="true" showRowColHeaders="1">
      <pane xSplit="4" ySplit="5" topLeftCell="E6" activePane="bottomRight" state="frozen"/>
      <selection pane="topRight"/>
      <selection pane="bottomLeft"/>
      <selection pane="bottomRight" activeCell="E6" sqref="E6"/>
    </sheetView>
  </sheetViews>
  <sheetFormatPr defaultRowHeight="14.4" outlineLevelRow="0" outlineLevelCol="0"/>
  <cols>
    <col min="1" max="1" width="5" customWidth="true" style="0"/>
    <col min="2" max="2" width="9" customWidth="true" style="0"/>
    <col min="4" max="4" width="65" customWidth="true" style="0"/>
    <col min="5" max="5" width="36" customWidth="true" style="0"/>
    <col min="6" max="6" width="9" customWidth="true" style="0"/>
    <col min="9" max="9" width="12" customWidth="true" style="0"/>
    <col min="10" max="10" width="12" customWidth="true" style="0"/>
    <col min="11" max="11" width="12" customWidth="true" style="0"/>
    <col min="12" max="12" width="12" customWidth="true" style="0"/>
    <col min="13" max="13" width="13" customWidth="true" style="0"/>
    <col min="15" max="15" width="13" customWidth="true" style="0"/>
    <col min="18" max="18" width="18" customWidth="true" style="0"/>
    <col min="19" max="19" width="30" customWidth="true" style="0"/>
    <col min="24" max="24" width="16" customWidth="true" style="0"/>
    <col min="25" max="25" width="16" customWidth="true" style="0"/>
    <col min="26" max="26" width="65" customWidth="true" style="0"/>
    <col min="32" max="32" width="50" customWidth="true" style="0"/>
  </cols>
  <sheetData>
    <row r="1" spans="1:34" customHeight="1" ht="30">
      <c r="E1" s="2" t="s">
        <v>0</v>
      </c>
      <c r="F1" s="2"/>
      <c r="G1" s="2"/>
      <c r="H1" s="2"/>
      <c r="I1" s="2"/>
      <c r="J1" s="2"/>
      <c r="K1" s="2"/>
      <c r="L1" s="2"/>
      <c r="M1" s="2"/>
    </row>
    <row r="2" spans="1:34">
      <c r="E2" s="1" t="s">
        <v>1</v>
      </c>
      <c r="F2" s="1"/>
      <c r="G2" s="1"/>
      <c r="H2" s="1"/>
      <c r="I2" s="1"/>
      <c r="J2" s="1"/>
      <c r="K2" s="1"/>
      <c r="L2" s="1"/>
      <c r="M2" s="1"/>
    </row>
    <row r="3" spans="1:34">
      <c r="E3"/>
    </row>
    <row r="4" spans="1:34">
      <c r="A4" s="10" t="s">
        <v>2</v>
      </c>
      <c r="B4" s="11"/>
      <c r="C4" s="11"/>
      <c r="D4" s="11"/>
      <c r="E4" s="11"/>
      <c r="F4" s="11"/>
      <c r="G4" s="12" t="s">
        <v>3</v>
      </c>
      <c r="H4" s="13"/>
      <c r="I4" s="13"/>
      <c r="J4" s="13"/>
      <c r="K4" s="13"/>
      <c r="L4" s="13"/>
      <c r="M4" s="13"/>
      <c r="N4" s="13"/>
      <c r="O4" s="13"/>
      <c r="P4" s="13"/>
      <c r="Q4" s="13"/>
      <c r="R4" s="13"/>
      <c r="S4" s="13"/>
      <c r="T4" s="10" t="s">
        <v>4</v>
      </c>
      <c r="U4" s="11"/>
      <c r="V4" s="11"/>
      <c r="W4" s="11"/>
      <c r="X4" s="14" t="s">
        <v>5</v>
      </c>
      <c r="Y4" s="15"/>
      <c r="Z4" s="16" t="s">
        <v>6</v>
      </c>
      <c r="AA4" s="17"/>
      <c r="AB4" s="17"/>
      <c r="AC4" s="17"/>
      <c r="AD4" s="17"/>
      <c r="AE4" s="17"/>
      <c r="AF4" s="17"/>
      <c r="AG4" s="18"/>
      <c r="AH4" s="18"/>
    </row>
    <row r="5" spans="1:34">
      <c r="A5" s="4" t="s">
        <v>7</v>
      </c>
      <c r="B5" s="4" t="s">
        <v>8</v>
      </c>
      <c r="C5" s="4" t="s">
        <v>9</v>
      </c>
      <c r="D5" s="3" t="s">
        <v>10</v>
      </c>
      <c r="E5" s="3" t="s">
        <v>11</v>
      </c>
      <c r="F5" s="4" t="s">
        <v>12</v>
      </c>
      <c r="G5" s="6" t="s">
        <v>13</v>
      </c>
      <c r="H5" s="6" t="s">
        <v>14</v>
      </c>
      <c r="I5" s="6" t="s">
        <v>15</v>
      </c>
      <c r="J5" s="6" t="s">
        <v>16</v>
      </c>
      <c r="K5" s="6" t="s">
        <v>17</v>
      </c>
      <c r="L5" s="6" t="s">
        <v>18</v>
      </c>
      <c r="M5" s="6" t="s">
        <v>19</v>
      </c>
      <c r="N5" s="6" t="s">
        <v>20</v>
      </c>
      <c r="O5" s="6" t="s">
        <v>21</v>
      </c>
      <c r="P5" s="6" t="s">
        <v>22</v>
      </c>
      <c r="Q5" s="6" t="s">
        <v>23</v>
      </c>
      <c r="R5" s="5" t="s">
        <v>24</v>
      </c>
      <c r="S5" s="5" t="s">
        <v>25</v>
      </c>
      <c r="T5" s="4" t="s">
        <v>26</v>
      </c>
      <c r="U5" s="4" t="s">
        <v>27</v>
      </c>
      <c r="V5" s="4" t="s">
        <v>28</v>
      </c>
      <c r="W5" s="4" t="s">
        <v>29</v>
      </c>
      <c r="X5" s="7" t="s">
        <v>30</v>
      </c>
      <c r="Y5" s="7" t="s">
        <v>31</v>
      </c>
      <c r="Z5" s="8" t="s">
        <v>32</v>
      </c>
      <c r="AA5" s="9" t="s">
        <v>33</v>
      </c>
      <c r="AB5" s="9" t="s">
        <v>34</v>
      </c>
      <c r="AC5" s="9" t="s">
        <v>35</v>
      </c>
      <c r="AD5" s="9" t="s">
        <v>36</v>
      </c>
      <c r="AE5" s="9" t="s">
        <v>37</v>
      </c>
      <c r="AF5" s="8" t="s">
        <v>38</v>
      </c>
    </row>
    <row r="6" spans="1:34">
      <c r="A6" s="19">
        <v>1</v>
      </c>
      <c r="B6" s="19" t="s">
        <v>39</v>
      </c>
      <c r="C6" s="19" t="s">
        <v>40</v>
      </c>
      <c r="D6" s="19" t="str">
        <f>HYPERLINK("http://www.henontech.com/fieldsafety/harzard/harzard_show.php?rid=1018&amp;url=harzardrecs.php","饱和器大母液泵喷洒密封不严，造成煤气泄露，如果操作工巡检不到位，会造成煤气中毒。")</f>
        <v>饱和器大母液泵喷洒密封不严，造成煤气泄露，如果操作工巡检不到位，会造成煤气中毒。</v>
      </c>
      <c r="E6" s="19" t="s">
        <v>41</v>
      </c>
      <c r="F6" s="20" t="s">
        <v>42</v>
      </c>
      <c r="G6" s="21" t="s">
        <v>43</v>
      </c>
      <c r="H6" s="19" t="s">
        <v>44</v>
      </c>
      <c r="I6" s="19" t="s">
        <v>45</v>
      </c>
      <c r="J6" s="19" t="s">
        <v>46</v>
      </c>
      <c r="K6" s="19" t="s">
        <v>47</v>
      </c>
      <c r="L6" s="19"/>
      <c r="M6" s="19" t="s">
        <v>48</v>
      </c>
      <c r="N6" s="19" t="s">
        <v>49</v>
      </c>
      <c r="O6" s="19" t="s">
        <v>48</v>
      </c>
      <c r="P6" s="19" t="s">
        <v>50</v>
      </c>
      <c r="Q6" s="19" t="s">
        <v>51</v>
      </c>
      <c r="R6" s="19" t="s">
        <v>52</v>
      </c>
      <c r="S6" s="19"/>
      <c r="T6" s="19" t="s">
        <v>53</v>
      </c>
      <c r="U6" s="19" t="s">
        <v>54</v>
      </c>
      <c r="V6" s="19" t="s">
        <v>55</v>
      </c>
      <c r="W6" s="19" t="s">
        <v>56</v>
      </c>
      <c r="X6" s="19"/>
      <c r="Y6" s="19"/>
      <c r="Z6" s="19" t="s">
        <v>57</v>
      </c>
      <c r="AA6" s="19">
        <v>1</v>
      </c>
      <c r="AB6" s="19">
        <v>1</v>
      </c>
      <c r="AC6" s="19" t="s">
        <v>58</v>
      </c>
      <c r="AD6" s="19" t="s">
        <v>50</v>
      </c>
      <c r="AE6" s="19" t="s">
        <v>59</v>
      </c>
      <c r="AF6" s="19"/>
    </row>
    <row r="7" spans="1:34">
      <c r="A7" s="19">
        <v>2</v>
      </c>
      <c r="B7" s="19" t="s">
        <v>60</v>
      </c>
      <c r="C7" s="19" t="s">
        <v>61</v>
      </c>
      <c r="D7" s="19" t="str">
        <f>HYPERLINK("http://www.henontech.com/fieldsafety/harzard/harzard_show.php?rid=1316&amp;url=harzardrecs.php","一名操作工未戴面罩在熔硫釜回液窥镜处巡检，如果回液窥镜突然破裂可能把人烫伤")</f>
        <v>一名操作工未戴面罩在熔硫釜回液窥镜处巡检，如果回液窥镜突然破裂可能把人烫伤</v>
      </c>
      <c r="E7" s="19" t="s">
        <v>62</v>
      </c>
      <c r="F7" s="20" t="s">
        <v>42</v>
      </c>
      <c r="G7" s="22" t="s">
        <v>63</v>
      </c>
      <c r="H7" s="19" t="s">
        <v>44</v>
      </c>
      <c r="I7" s="19" t="s">
        <v>45</v>
      </c>
      <c r="J7" s="19" t="s">
        <v>46</v>
      </c>
      <c r="K7" s="19" t="s">
        <v>64</v>
      </c>
      <c r="L7" s="19"/>
      <c r="M7" s="19" t="s">
        <v>48</v>
      </c>
      <c r="N7" s="19" t="s">
        <v>65</v>
      </c>
      <c r="O7" s="19" t="s">
        <v>48</v>
      </c>
      <c r="P7" s="19" t="s">
        <v>50</v>
      </c>
      <c r="Q7" s="19" t="s">
        <v>66</v>
      </c>
      <c r="R7" s="19" t="s">
        <v>67</v>
      </c>
      <c r="S7" s="19" t="s">
        <v>68</v>
      </c>
      <c r="T7" s="19" t="s">
        <v>53</v>
      </c>
      <c r="U7" s="19" t="s">
        <v>54</v>
      </c>
      <c r="V7" s="19" t="s">
        <v>69</v>
      </c>
      <c r="W7" s="19" t="s">
        <v>70</v>
      </c>
      <c r="X7" s="19"/>
      <c r="Y7" s="19"/>
      <c r="Z7" s="19" t="s">
        <v>71</v>
      </c>
      <c r="AA7" s="19">
        <v>1</v>
      </c>
      <c r="AB7" s="19">
        <v>1</v>
      </c>
      <c r="AC7" s="19" t="s">
        <v>58</v>
      </c>
      <c r="AD7" s="19" t="s">
        <v>50</v>
      </c>
      <c r="AE7" s="19" t="s">
        <v>72</v>
      </c>
      <c r="AF7" s="19"/>
    </row>
    <row r="8" spans="1:34" customHeight="1" ht="42">
      <c r="A8" s="19">
        <v>3</v>
      </c>
      <c r="B8" s="19" t="s">
        <v>73</v>
      </c>
      <c r="C8" s="19" t="s">
        <v>74</v>
      </c>
      <c r="D8" s="19" t="str">
        <f>HYPERLINK("http://www.henontech.com/fieldsafety/harzard/harzard_show.php?rid=1320&amp;url=harzardrecs.php","4号溶硫釜蔬水阀漏蒸汽，外协人员放硫磺时有可能被喷出的蒸汽烫伤颈部。")</f>
        <v>4号溶硫釜蔬水阀漏蒸汽，外协人员放硫磺时有可能被喷出的蒸汽烫伤颈部。</v>
      </c>
      <c r="E8" s="19" t="s">
        <v>75</v>
      </c>
      <c r="F8" s="20" t="s">
        <v>42</v>
      </c>
      <c r="G8" s="22" t="s">
        <v>63</v>
      </c>
      <c r="H8" s="19" t="s">
        <v>44</v>
      </c>
      <c r="I8" s="19" t="s">
        <v>45</v>
      </c>
      <c r="J8" s="19" t="s">
        <v>46</v>
      </c>
      <c r="K8" s="19" t="s">
        <v>47</v>
      </c>
      <c r="L8" s="19" t="s">
        <v>76</v>
      </c>
      <c r="M8" s="19" t="s">
        <v>48</v>
      </c>
      <c r="N8" s="19" t="s">
        <v>77</v>
      </c>
      <c r="O8" s="19" t="s">
        <v>48</v>
      </c>
      <c r="P8" s="19" t="s">
        <v>50</v>
      </c>
      <c r="Q8" s="19" t="s">
        <v>66</v>
      </c>
      <c r="R8" s="19" t="s">
        <v>78</v>
      </c>
      <c r="S8" s="19" t="s">
        <v>79</v>
      </c>
      <c r="T8" s="19" t="s">
        <v>53</v>
      </c>
      <c r="U8" s="19" t="s">
        <v>80</v>
      </c>
      <c r="V8" s="19" t="s">
        <v>55</v>
      </c>
      <c r="W8" s="19" t="s">
        <v>81</v>
      </c>
      <c r="X8" s="19"/>
      <c r="Y8" s="19"/>
      <c r="Z8" s="19" t="s">
        <v>82</v>
      </c>
      <c r="AA8" s="19">
        <v>2</v>
      </c>
      <c r="AB8" s="19">
        <v>2</v>
      </c>
      <c r="AC8" s="19" t="s">
        <v>58</v>
      </c>
      <c r="AD8" s="19" t="s">
        <v>50</v>
      </c>
      <c r="AE8" s="19" t="s">
        <v>83</v>
      </c>
      <c r="AF8" s="19"/>
    </row>
    <row r="9" spans="1:34">
      <c r="A9" s="19">
        <v>4</v>
      </c>
      <c r="B9" s="19" t="s">
        <v>84</v>
      </c>
      <c r="C9" s="19" t="s">
        <v>85</v>
      </c>
      <c r="D9" s="19" t="str">
        <f>HYPERLINK("http://www.henontech.com/fieldsafety/harzard/harzard_show.php?rid=1337&amp;url=harzardrecs.php","一名操作工在饱和器二层平台巡检过程中，假如巡检时未发现平台连接处开焊，可能会导致脚部夹在平台中间，造成脚腕擦伤。轻微受伤，继续作业。")</f>
        <v>一名操作工在饱和器二层平台巡检过程中，假如巡检时未发现平台连接处开焊，可能会导致脚部夹在平台中间，造成脚腕擦伤。轻微受伤，继续作业。</v>
      </c>
      <c r="E9" s="19" t="s">
        <v>86</v>
      </c>
      <c r="F9" s="20" t="s">
        <v>42</v>
      </c>
      <c r="G9" s="22" t="s">
        <v>63</v>
      </c>
      <c r="H9" s="19" t="s">
        <v>44</v>
      </c>
      <c r="I9" s="19" t="s">
        <v>45</v>
      </c>
      <c r="J9" s="19" t="s">
        <v>46</v>
      </c>
      <c r="K9" s="19" t="s">
        <v>47</v>
      </c>
      <c r="L9" s="19" t="s">
        <v>76</v>
      </c>
      <c r="M9" s="19" t="s">
        <v>48</v>
      </c>
      <c r="N9" s="19" t="s">
        <v>87</v>
      </c>
      <c r="O9" s="19" t="s">
        <v>48</v>
      </c>
      <c r="P9" s="19" t="s">
        <v>50</v>
      </c>
      <c r="Q9" s="19" t="s">
        <v>88</v>
      </c>
      <c r="R9" s="19" t="s">
        <v>89</v>
      </c>
      <c r="S9" s="19"/>
      <c r="T9" s="19" t="s">
        <v>53</v>
      </c>
      <c r="U9" s="19" t="s">
        <v>54</v>
      </c>
      <c r="V9" s="19" t="s">
        <v>55</v>
      </c>
      <c r="W9" s="19" t="s">
        <v>56</v>
      </c>
      <c r="X9" s="19"/>
      <c r="Y9" s="19"/>
      <c r="Z9" s="19" t="s">
        <v>90</v>
      </c>
      <c r="AA9" s="19">
        <v>1</v>
      </c>
      <c r="AB9" s="19">
        <v>1</v>
      </c>
      <c r="AC9" s="19" t="s">
        <v>58</v>
      </c>
      <c r="AD9" s="19" t="s">
        <v>50</v>
      </c>
      <c r="AE9" s="19" t="s">
        <v>83</v>
      </c>
      <c r="AF9" s="19"/>
    </row>
    <row r="10" spans="1:34">
      <c r="A10" s="19">
        <v>5</v>
      </c>
      <c r="B10" s="19" t="s">
        <v>91</v>
      </c>
      <c r="C10" s="19" t="s">
        <v>92</v>
      </c>
      <c r="D10" s="19" t="str">
        <f>HYPERLINK("http://www.henontech.com/fieldsafety/harzard/harzard_show.php?rid=1388&amp;url=harzardrecs.php","一名操作工巡检至粗苯北系统，因冷凝液管道加固支撑脱落，管道振动频繁断裂，砸到巡检工！")</f>
        <v>一名操作工巡检至粗苯北系统，因冷凝液管道加固支撑脱落，管道振动频繁断裂，砸到巡检工！</v>
      </c>
      <c r="E10" s="19" t="s">
        <v>93</v>
      </c>
      <c r="F10" s="20" t="s">
        <v>42</v>
      </c>
      <c r="G10" s="22" t="s">
        <v>63</v>
      </c>
      <c r="H10" s="19" t="s">
        <v>44</v>
      </c>
      <c r="I10" s="19" t="s">
        <v>45</v>
      </c>
      <c r="J10" s="19" t="s">
        <v>46</v>
      </c>
      <c r="K10" s="19" t="s">
        <v>47</v>
      </c>
      <c r="L10" s="19" t="s">
        <v>76</v>
      </c>
      <c r="M10" s="19" t="s">
        <v>48</v>
      </c>
      <c r="N10" s="19" t="s">
        <v>94</v>
      </c>
      <c r="O10" s="19" t="s">
        <v>48</v>
      </c>
      <c r="P10" s="19" t="s">
        <v>50</v>
      </c>
      <c r="Q10" s="19" t="s">
        <v>95</v>
      </c>
      <c r="R10" s="19" t="s">
        <v>96</v>
      </c>
      <c r="S10" s="19"/>
      <c r="T10" s="19" t="s">
        <v>53</v>
      </c>
      <c r="U10" s="19" t="s">
        <v>54</v>
      </c>
      <c r="V10" s="19" t="s">
        <v>97</v>
      </c>
      <c r="W10" s="19" t="s">
        <v>81</v>
      </c>
      <c r="X10" s="19"/>
      <c r="Y10" s="19"/>
      <c r="Z10" s="19" t="s">
        <v>98</v>
      </c>
      <c r="AA10" s="19">
        <v>1</v>
      </c>
      <c r="AB10" s="19">
        <v>1</v>
      </c>
      <c r="AC10" s="19" t="s">
        <v>58</v>
      </c>
      <c r="AD10" s="19" t="s">
        <v>50</v>
      </c>
      <c r="AE10" s="19" t="s">
        <v>99</v>
      </c>
      <c r="AF10" s="19"/>
    </row>
    <row r="11" spans="1:34">
      <c r="A11" s="19">
        <v>6</v>
      </c>
      <c r="B11" s="19" t="s">
        <v>91</v>
      </c>
      <c r="C11" s="19" t="s">
        <v>100</v>
      </c>
      <c r="D11" s="19" t="str">
        <f>HYPERLINK("http://www.henontech.com/fieldsafety/harzard/harzard_show.php?rid=1392&amp;url=harzardrecs.php","澄清槽平台腐蚀严重，部分平台虽然未腐蚀透但已经无法起到承重作用，操作人员夜间巡检设备时踩到未完全腐蚀表面不明显处，腿部陷落摔伤。")</f>
        <v>澄清槽平台腐蚀严重，部分平台虽然未腐蚀透但已经无法起到承重作用，操作人员夜间巡检设备时踩到未完全腐蚀表面不明显处，腿部陷落摔伤。</v>
      </c>
      <c r="E11" s="19" t="s">
        <v>101</v>
      </c>
      <c r="F11" s="20" t="s">
        <v>42</v>
      </c>
      <c r="G11" s="22" t="s">
        <v>63</v>
      </c>
      <c r="H11" s="19" t="s">
        <v>44</v>
      </c>
      <c r="I11" s="19"/>
      <c r="J11" s="19" t="s">
        <v>46</v>
      </c>
      <c r="K11" s="19" t="s">
        <v>102</v>
      </c>
      <c r="L11" s="19"/>
      <c r="M11" s="19" t="s">
        <v>48</v>
      </c>
      <c r="N11" s="19" t="s">
        <v>103</v>
      </c>
      <c r="O11" s="19" t="s">
        <v>48</v>
      </c>
      <c r="P11" s="19" t="s">
        <v>50</v>
      </c>
      <c r="Q11" s="19" t="s">
        <v>83</v>
      </c>
      <c r="R11" s="19" t="s">
        <v>104</v>
      </c>
      <c r="S11" s="19"/>
      <c r="T11" s="19" t="s">
        <v>53</v>
      </c>
      <c r="U11" s="19" t="s">
        <v>54</v>
      </c>
      <c r="V11" s="19" t="s">
        <v>55</v>
      </c>
      <c r="W11" s="19" t="s">
        <v>56</v>
      </c>
      <c r="X11" s="19"/>
      <c r="Y11" s="19"/>
      <c r="Z11" s="19" t="s">
        <v>105</v>
      </c>
      <c r="AA11" s="19">
        <v>1</v>
      </c>
      <c r="AB11" s="19">
        <v>1</v>
      </c>
      <c r="AC11" s="19" t="s">
        <v>58</v>
      </c>
      <c r="AD11" s="19" t="s">
        <v>50</v>
      </c>
      <c r="AE11" s="19" t="s">
        <v>83</v>
      </c>
      <c r="AF11" s="19"/>
    </row>
    <row r="12" spans="1:34">
      <c r="A12" s="19">
        <v>7</v>
      </c>
      <c r="B12" s="19" t="s">
        <v>106</v>
      </c>
      <c r="C12" s="19" t="s">
        <v>48</v>
      </c>
      <c r="D12" s="19" t="str">
        <f>HYPERLINK("http://www.henontech.com/fieldsafety/harzard/harzard_show.php?rid=1424&amp;url=harzardrecs.php","维修人员在检修作业时未正确使用护目镜，在拆法兰螺栓过程中液体飞溅，一名维修人员物料溅入眼睛，经医务室简单处理后继续上班")</f>
        <v>维修人员在检修作业时未正确使用护目镜，在拆法兰螺栓过程中液体飞溅，一名维修人员物料溅入眼睛，经医务室简单处理后继续上班</v>
      </c>
      <c r="E12" s="19" t="s">
        <v>107</v>
      </c>
      <c r="F12" s="20" t="s">
        <v>42</v>
      </c>
      <c r="G12" s="21" t="s">
        <v>43</v>
      </c>
      <c r="H12" s="19" t="s">
        <v>44</v>
      </c>
      <c r="I12" s="19" t="s">
        <v>108</v>
      </c>
      <c r="J12" s="19" t="s">
        <v>109</v>
      </c>
      <c r="K12" s="19" t="s">
        <v>110</v>
      </c>
      <c r="L12" s="19" t="s">
        <v>76</v>
      </c>
      <c r="M12" s="19" t="s">
        <v>48</v>
      </c>
      <c r="N12" s="19" t="s">
        <v>111</v>
      </c>
      <c r="O12" s="19" t="s">
        <v>48</v>
      </c>
      <c r="P12" s="19" t="s">
        <v>50</v>
      </c>
      <c r="Q12" s="19" t="s">
        <v>112</v>
      </c>
      <c r="R12" s="19" t="s">
        <v>113</v>
      </c>
      <c r="S12" s="19"/>
      <c r="T12" s="19" t="s">
        <v>53</v>
      </c>
      <c r="U12" s="19" t="s">
        <v>54</v>
      </c>
      <c r="V12" s="19" t="s">
        <v>55</v>
      </c>
      <c r="W12" s="19" t="s">
        <v>56</v>
      </c>
      <c r="X12" s="19"/>
      <c r="Y12" s="19"/>
      <c r="Z12" s="19" t="s">
        <v>114</v>
      </c>
      <c r="AA12" s="19">
        <v>1</v>
      </c>
      <c r="AB12" s="19">
        <v>1</v>
      </c>
      <c r="AC12" s="19" t="s">
        <v>58</v>
      </c>
      <c r="AD12" s="19" t="s">
        <v>50</v>
      </c>
      <c r="AE12" s="19" t="s">
        <v>115</v>
      </c>
      <c r="AF12" s="19" t="s">
        <v>116</v>
      </c>
    </row>
    <row r="13" spans="1:34" customHeight="1" ht="42">
      <c r="A13" s="19">
        <v>8</v>
      </c>
      <c r="B13" s="19" t="s">
        <v>117</v>
      </c>
      <c r="C13" s="19" t="s">
        <v>118</v>
      </c>
      <c r="D13" s="19" t="str">
        <f>HYPERLINK("http://www.henontech.com/fieldsafety/harzard/harzard_show.php?rid=1492&amp;url=harzardrecs.php","干熄焦环境除尘爬梯处一电源线散落   若一夜班操作人员在上下爬梯时 被乱线绊倒 导致右膝盖处破皮出血肿胀，去医院检查包扎在家休养五天。")</f>
        <v>干熄焦环境除尘爬梯处一电源线散落   若一夜班操作人员在上下爬梯时 被乱线绊倒 导致右膝盖处破皮出血肿胀，去医院检查包扎在家休养五天。</v>
      </c>
      <c r="E13" s="19" t="s">
        <v>119</v>
      </c>
      <c r="F13" s="20" t="s">
        <v>42</v>
      </c>
      <c r="G13" s="22" t="s">
        <v>63</v>
      </c>
      <c r="H13" s="19" t="s">
        <v>44</v>
      </c>
      <c r="I13" s="19" t="s">
        <v>120</v>
      </c>
      <c r="J13" s="19" t="s">
        <v>109</v>
      </c>
      <c r="K13" s="19" t="s">
        <v>47</v>
      </c>
      <c r="L13" s="19" t="s">
        <v>76</v>
      </c>
      <c r="M13" s="19" t="s">
        <v>121</v>
      </c>
      <c r="N13" s="19" t="s">
        <v>122</v>
      </c>
      <c r="O13" s="19" t="s">
        <v>121</v>
      </c>
      <c r="P13" s="19" t="s">
        <v>123</v>
      </c>
      <c r="Q13" s="19" t="s">
        <v>124</v>
      </c>
      <c r="R13" s="19" t="s">
        <v>125</v>
      </c>
      <c r="S13" s="19"/>
      <c r="T13" s="19" t="s">
        <v>53</v>
      </c>
      <c r="U13" s="19" t="s">
        <v>80</v>
      </c>
      <c r="V13" s="19" t="s">
        <v>97</v>
      </c>
      <c r="W13" s="19" t="s">
        <v>70</v>
      </c>
      <c r="X13" s="19" t="s">
        <v>126</v>
      </c>
      <c r="Y13" s="19" t="s">
        <v>126</v>
      </c>
      <c r="Z13" s="19" t="s">
        <v>127</v>
      </c>
      <c r="AA13" s="19">
        <v>2</v>
      </c>
      <c r="AB13" s="19">
        <v>2</v>
      </c>
      <c r="AC13" s="19" t="s">
        <v>58</v>
      </c>
      <c r="AD13" s="19" t="s">
        <v>123</v>
      </c>
      <c r="AE13" s="19" t="s">
        <v>128</v>
      </c>
      <c r="AF13" s="19"/>
    </row>
    <row r="14" spans="1:34">
      <c r="A14" s="19">
        <v>9</v>
      </c>
      <c r="B14" s="19" t="s">
        <v>129</v>
      </c>
      <c r="C14" s="19" t="s">
        <v>130</v>
      </c>
      <c r="D14" s="19" t="str">
        <f>HYPERLINK("http://www.henontech.com/fieldsafety/harzard/harzard_show.php?rid=1506&amp;url=harzardrecs.php","蒸铵塔再沸器管道堵，检修作业，维修人员未配带安全带不慎踩空滑落，腿部不慎损伤，及时医院治疗，休息三天正常工作。")</f>
        <v>蒸铵塔再沸器管道堵，检修作业，维修人员未配带安全带不慎踩空滑落，腿部不慎损伤，及时医院治疗，休息三天正常工作。</v>
      </c>
      <c r="E14" s="19" t="s">
        <v>131</v>
      </c>
      <c r="F14" s="20" t="s">
        <v>42</v>
      </c>
      <c r="G14" s="22" t="s">
        <v>63</v>
      </c>
      <c r="H14" s="19" t="s">
        <v>44</v>
      </c>
      <c r="I14" s="19" t="s">
        <v>108</v>
      </c>
      <c r="J14" s="19" t="s">
        <v>109</v>
      </c>
      <c r="K14" s="19" t="s">
        <v>132</v>
      </c>
      <c r="L14" s="19"/>
      <c r="M14" s="19" t="s">
        <v>48</v>
      </c>
      <c r="N14" s="19" t="s">
        <v>111</v>
      </c>
      <c r="O14" s="19" t="s">
        <v>48</v>
      </c>
      <c r="P14" s="19" t="s">
        <v>50</v>
      </c>
      <c r="Q14" s="19" t="s">
        <v>72</v>
      </c>
      <c r="R14" s="19" t="s">
        <v>133</v>
      </c>
      <c r="S14" s="19" t="s">
        <v>134</v>
      </c>
      <c r="T14" s="19" t="s">
        <v>53</v>
      </c>
      <c r="U14" s="19" t="s">
        <v>54</v>
      </c>
      <c r="V14" s="19" t="s">
        <v>55</v>
      </c>
      <c r="W14" s="19" t="s">
        <v>56</v>
      </c>
      <c r="X14" s="19"/>
      <c r="Y14" s="19"/>
      <c r="Z14" s="19" t="s">
        <v>135</v>
      </c>
      <c r="AA14" s="19">
        <v>1</v>
      </c>
      <c r="AB14" s="19">
        <v>0</v>
      </c>
      <c r="AC14" s="19" t="s">
        <v>58</v>
      </c>
      <c r="AD14" s="19" t="s">
        <v>50</v>
      </c>
      <c r="AE14" s="19" t="s">
        <v>115</v>
      </c>
      <c r="AF14" s="19"/>
    </row>
    <row r="15" spans="1:34">
      <c r="A15" s="19">
        <v>10</v>
      </c>
      <c r="B15" s="19" t="s">
        <v>136</v>
      </c>
      <c r="C15" s="19" t="s">
        <v>48</v>
      </c>
      <c r="D15" s="19" t="str">
        <f>HYPERLINK("http://www.henontech.com/fieldsafety/harzard/harzard_show.php?rid=1510&amp;url=harzardrecs.php","一名职工夜班在脱硫硫磺室内放硫磺的过程中，由于灯光亮度不够造成硫磺液进去硫磺盒的过程中硫磺液外溢，造成职工脚部轻微烫伤，经医务室简单处理后继续上班")</f>
        <v>一名职工夜班在脱硫硫磺室内放硫磺的过程中，由于灯光亮度不够造成硫磺液进去硫磺盒的过程中硫磺液外溢，造成职工脚部轻微烫伤，经医务室简单处理后继续上班</v>
      </c>
      <c r="E15" s="19" t="s">
        <v>137</v>
      </c>
      <c r="F15" s="20" t="s">
        <v>42</v>
      </c>
      <c r="G15" s="22" t="s">
        <v>63</v>
      </c>
      <c r="H15" s="19" t="s">
        <v>44</v>
      </c>
      <c r="I15" s="19" t="s">
        <v>45</v>
      </c>
      <c r="J15" s="19" t="s">
        <v>46</v>
      </c>
      <c r="K15" s="19" t="s">
        <v>64</v>
      </c>
      <c r="L15" s="19" t="s">
        <v>76</v>
      </c>
      <c r="M15" s="19" t="s">
        <v>48</v>
      </c>
      <c r="N15" s="19" t="s">
        <v>138</v>
      </c>
      <c r="O15" s="19" t="s">
        <v>48</v>
      </c>
      <c r="P15" s="19" t="s">
        <v>50</v>
      </c>
      <c r="Q15" s="19" t="s">
        <v>139</v>
      </c>
      <c r="R15" s="19" t="s">
        <v>61</v>
      </c>
      <c r="S15" s="19"/>
      <c r="T15" s="19" t="s">
        <v>53</v>
      </c>
      <c r="U15" s="19" t="s">
        <v>54</v>
      </c>
      <c r="V15" s="19" t="s">
        <v>55</v>
      </c>
      <c r="W15" s="19" t="s">
        <v>56</v>
      </c>
      <c r="X15" s="19"/>
      <c r="Y15" s="19"/>
      <c r="Z15" s="19" t="s">
        <v>140</v>
      </c>
      <c r="AA15" s="19">
        <v>1</v>
      </c>
      <c r="AB15" s="19">
        <v>1</v>
      </c>
      <c r="AC15" s="19" t="s">
        <v>58</v>
      </c>
      <c r="AD15" s="19" t="s">
        <v>50</v>
      </c>
      <c r="AE15" s="19" t="s">
        <v>83</v>
      </c>
      <c r="AF15" s="19"/>
    </row>
    <row r="16" spans="1:34">
      <c r="A16" s="19">
        <v>11</v>
      </c>
      <c r="B16" s="19" t="s">
        <v>141</v>
      </c>
      <c r="C16" s="19" t="s">
        <v>130</v>
      </c>
      <c r="D16" s="19" t="str">
        <f>HYPERLINK("http://www.henontech.com/fieldsafety/harzard/harzard_show.php?rid=1516&amp;url=harzardrecs.php","一名维修工在南脱硫2#脱硫塔煤气进口处紧固螺栓，现场脚手架踏板两头未固定，如果作业人员不小心踩到踏板一头，造成踏板倾斜，作业人员虽己按规范糸好安全带，也会发生人员坠落碰到下方脚手架造成腿部挫伤，休息五")</f>
        <v>一名维修工在南脱硫2#脱硫塔煤气进口处紧固螺栓，现场脚手架踏板两头未固定，如果作业人员不小心踩到踏板一头，造成踏板倾斜，作业人员虽己按规范糸好安全带，也会发生人员坠落碰到下方脚手架造成腿部挫伤，休息五</v>
      </c>
      <c r="E16" s="19" t="s">
        <v>142</v>
      </c>
      <c r="F16" s="20" t="s">
        <v>42</v>
      </c>
      <c r="G16" s="22" t="s">
        <v>63</v>
      </c>
      <c r="H16" s="19" t="s">
        <v>44</v>
      </c>
      <c r="I16" s="19" t="s">
        <v>45</v>
      </c>
      <c r="J16" s="19" t="s">
        <v>46</v>
      </c>
      <c r="K16" s="19" t="s">
        <v>132</v>
      </c>
      <c r="L16" s="19" t="s">
        <v>76</v>
      </c>
      <c r="M16" s="19" t="s">
        <v>48</v>
      </c>
      <c r="N16" s="19" t="s">
        <v>65</v>
      </c>
      <c r="O16" s="19" t="s">
        <v>48</v>
      </c>
      <c r="P16" s="19" t="s">
        <v>50</v>
      </c>
      <c r="Q16" s="19" t="s">
        <v>143</v>
      </c>
      <c r="R16" s="19" t="s">
        <v>144</v>
      </c>
      <c r="S16" s="19"/>
      <c r="T16" s="19" t="s">
        <v>53</v>
      </c>
      <c r="U16" s="19" t="s">
        <v>80</v>
      </c>
      <c r="V16" s="19" t="s">
        <v>97</v>
      </c>
      <c r="W16" s="19" t="s">
        <v>70</v>
      </c>
      <c r="X16" s="19"/>
      <c r="Y16" s="19"/>
      <c r="Z16" s="19" t="s">
        <v>145</v>
      </c>
      <c r="AA16" s="19">
        <v>1</v>
      </c>
      <c r="AB16" s="19">
        <v>1</v>
      </c>
      <c r="AC16" s="19" t="s">
        <v>58</v>
      </c>
      <c r="AD16" s="19" t="s">
        <v>50</v>
      </c>
      <c r="AE16" s="19" t="s">
        <v>72</v>
      </c>
      <c r="AF16" s="19"/>
    </row>
    <row r="17" spans="1:34">
      <c r="A17" s="19">
        <v>12</v>
      </c>
      <c r="B17" s="19" t="s">
        <v>146</v>
      </c>
      <c r="C17" s="19" t="s">
        <v>147</v>
      </c>
      <c r="D17" s="19" t="str">
        <f>HYPERLINK("http://www.henontech.com/fieldsafety/harzard/harzard_show.php?rid=1524&amp;url=harzardrecs.php","缺氧池爬梯护栏多处开焊，操作工在缺氧池巡检下爬梯时，爬梯护栏开焊，操作工不慎从爬梯上掉下来，摔在下方的池子盖板上，")</f>
        <v>缺氧池爬梯护栏多处开焊，操作工在缺氧池巡检下爬梯时，爬梯护栏开焊，操作工不慎从爬梯上掉下来，摔在下方的池子盖板上，</v>
      </c>
      <c r="E17" s="19" t="s">
        <v>148</v>
      </c>
      <c r="F17" s="20" t="s">
        <v>42</v>
      </c>
      <c r="G17" s="22" t="s">
        <v>63</v>
      </c>
      <c r="H17" s="19" t="s">
        <v>44</v>
      </c>
      <c r="I17" s="19" t="s">
        <v>120</v>
      </c>
      <c r="J17" s="19" t="s">
        <v>109</v>
      </c>
      <c r="K17" s="19" t="s">
        <v>110</v>
      </c>
      <c r="L17" s="19" t="s">
        <v>76</v>
      </c>
      <c r="M17" s="19" t="s">
        <v>149</v>
      </c>
      <c r="N17" s="19" t="s">
        <v>150</v>
      </c>
      <c r="O17" s="19" t="s">
        <v>149</v>
      </c>
      <c r="P17" s="19" t="s">
        <v>151</v>
      </c>
      <c r="Q17" s="19" t="s">
        <v>59</v>
      </c>
      <c r="R17" s="19" t="s">
        <v>152</v>
      </c>
      <c r="S17" s="19" t="s">
        <v>153</v>
      </c>
      <c r="T17" s="19" t="s">
        <v>53</v>
      </c>
      <c r="U17" s="19" t="s">
        <v>80</v>
      </c>
      <c r="V17" s="19" t="s">
        <v>97</v>
      </c>
      <c r="W17" s="19" t="s">
        <v>70</v>
      </c>
      <c r="X17" s="19" t="s">
        <v>154</v>
      </c>
      <c r="Y17" s="19" t="s">
        <v>154</v>
      </c>
      <c r="Z17" s="19" t="s">
        <v>155</v>
      </c>
      <c r="AA17" s="19">
        <v>1</v>
      </c>
      <c r="AB17" s="19">
        <v>1</v>
      </c>
      <c r="AC17" s="19" t="s">
        <v>58</v>
      </c>
      <c r="AD17" s="19" t="s">
        <v>151</v>
      </c>
      <c r="AE17" s="19" t="s">
        <v>156</v>
      </c>
      <c r="AF17" s="19" t="s">
        <v>157</v>
      </c>
    </row>
    <row r="18" spans="1:34">
      <c r="A18" s="19">
        <v>13</v>
      </c>
      <c r="B18" s="19" t="s">
        <v>146</v>
      </c>
      <c r="C18" s="19" t="s">
        <v>74</v>
      </c>
      <c r="D18" s="19" t="str">
        <f>HYPERLINK("http://www.henontech.com/fieldsafety/harzard/harzard_show.php?rid=1527&amp;url=harzardrecs.php","4号熔硫釜回流管线法兰处漏蒸汽，人员巡检时有可能被滴落的冷凝液烫伤。")</f>
        <v>4号熔硫釜回流管线法兰处漏蒸汽，人员巡检时有可能被滴落的冷凝液烫伤。</v>
      </c>
      <c r="E18" s="19" t="s">
        <v>62</v>
      </c>
      <c r="F18" s="20" t="s">
        <v>42</v>
      </c>
      <c r="G18" s="22" t="s">
        <v>63</v>
      </c>
      <c r="H18" s="19" t="s">
        <v>44</v>
      </c>
      <c r="I18" s="19" t="s">
        <v>108</v>
      </c>
      <c r="J18" s="19" t="s">
        <v>46</v>
      </c>
      <c r="K18" s="19" t="s">
        <v>110</v>
      </c>
      <c r="L18" s="19" t="s">
        <v>76</v>
      </c>
      <c r="M18" s="19" t="s">
        <v>48</v>
      </c>
      <c r="N18" s="19" t="s">
        <v>77</v>
      </c>
      <c r="O18" s="19" t="s">
        <v>48</v>
      </c>
      <c r="P18" s="19" t="s">
        <v>50</v>
      </c>
      <c r="Q18" s="19" t="s">
        <v>158</v>
      </c>
      <c r="R18" s="19" t="s">
        <v>159</v>
      </c>
      <c r="S18" s="19"/>
      <c r="T18" s="19" t="s">
        <v>53</v>
      </c>
      <c r="U18" s="19" t="s">
        <v>54</v>
      </c>
      <c r="V18" s="19" t="s">
        <v>55</v>
      </c>
      <c r="W18" s="19" t="s">
        <v>56</v>
      </c>
      <c r="X18" s="19"/>
      <c r="Y18" s="19"/>
      <c r="Z18" s="19" t="s">
        <v>160</v>
      </c>
      <c r="AA18" s="19">
        <v>1</v>
      </c>
      <c r="AB18" s="19">
        <v>1</v>
      </c>
      <c r="AC18" s="19" t="s">
        <v>58</v>
      </c>
      <c r="AD18" s="19" t="s">
        <v>50</v>
      </c>
      <c r="AE18" s="19" t="s">
        <v>83</v>
      </c>
      <c r="AF18" s="19"/>
    </row>
    <row r="19" spans="1:34">
      <c r="A19" s="19">
        <v>14</v>
      </c>
      <c r="B19" s="19" t="s">
        <v>161</v>
      </c>
      <c r="C19" s="19" t="s">
        <v>130</v>
      </c>
      <c r="D19" s="19" t="str">
        <f>HYPERLINK("http://www.henontech.com/fieldsafety/harzard/harzard_show.php?rid=1546&amp;url=harzardrecs.php","北脱硫换热器处竖梯底部腐蚀严重，操作人员在爬爬梯时会发生晃动，如果一名操作人员上下爬梯开关阀门时，爬梯晃动厉害，操作人员从爬梯摔落至地面，会造成操作人员左小腿骨折，送医治疗三个月后康复。")</f>
        <v>北脱硫换热器处竖梯底部腐蚀严重，操作人员在爬爬梯时会发生晃动，如果一名操作人员上下爬梯开关阀门时，爬梯晃动厉害，操作人员从爬梯摔落至地面，会造成操作人员左小腿骨折，送医治疗三个月后康复。</v>
      </c>
      <c r="E19" s="19" t="s">
        <v>162</v>
      </c>
      <c r="F19" s="20" t="s">
        <v>42</v>
      </c>
      <c r="G19" s="22" t="s">
        <v>63</v>
      </c>
      <c r="H19" s="19" t="s">
        <v>44</v>
      </c>
      <c r="I19" s="19" t="s">
        <v>120</v>
      </c>
      <c r="J19" s="19" t="s">
        <v>46</v>
      </c>
      <c r="K19" s="19" t="s">
        <v>47</v>
      </c>
      <c r="L19" s="19" t="s">
        <v>76</v>
      </c>
      <c r="M19" s="19" t="s">
        <v>48</v>
      </c>
      <c r="N19" s="19" t="s">
        <v>163</v>
      </c>
      <c r="O19" s="19" t="s">
        <v>48</v>
      </c>
      <c r="P19" s="19" t="s">
        <v>50</v>
      </c>
      <c r="Q19" s="19" t="s">
        <v>164</v>
      </c>
      <c r="R19" s="19" t="s">
        <v>165</v>
      </c>
      <c r="S19" s="19"/>
      <c r="T19" s="19" t="s">
        <v>53</v>
      </c>
      <c r="U19" s="19" t="s">
        <v>80</v>
      </c>
      <c r="V19" s="19" t="s">
        <v>97</v>
      </c>
      <c r="W19" s="19" t="s">
        <v>70</v>
      </c>
      <c r="X19" s="19"/>
      <c r="Y19" s="19"/>
      <c r="Z19" s="19" t="s">
        <v>166</v>
      </c>
      <c r="AA19" s="19">
        <v>1</v>
      </c>
      <c r="AB19" s="19">
        <v>1</v>
      </c>
      <c r="AC19" s="19" t="s">
        <v>58</v>
      </c>
      <c r="AD19" s="19" t="s">
        <v>50</v>
      </c>
      <c r="AE19" s="19" t="s">
        <v>59</v>
      </c>
      <c r="AF19" s="19"/>
    </row>
    <row r="20" spans="1:34" customHeight="1" ht="42">
      <c r="A20" s="19">
        <v>15</v>
      </c>
      <c r="B20" s="19" t="s">
        <v>167</v>
      </c>
      <c r="C20" s="19" t="s">
        <v>168</v>
      </c>
      <c r="D20" s="19" t="str">
        <f>HYPERLINK("http://www.henontech.com/fieldsafety/harzard/harzard_show.php?rid=1558&amp;url=harzardrecs.php","一维修人员检修煤气管电动执行器时，失足跌入水沟，扭伤脚裸，住院治疗。")</f>
        <v>一维修人员检修煤气管电动执行器时，失足跌入水沟，扭伤脚裸，住院治疗。</v>
      </c>
      <c r="E20" s="19" t="s">
        <v>169</v>
      </c>
      <c r="F20" s="20" t="s">
        <v>42</v>
      </c>
      <c r="G20" s="22" t="s">
        <v>63</v>
      </c>
      <c r="H20" s="19" t="s">
        <v>44</v>
      </c>
      <c r="I20" s="19" t="s">
        <v>45</v>
      </c>
      <c r="J20" s="19" t="s">
        <v>46</v>
      </c>
      <c r="K20" s="19" t="s">
        <v>64</v>
      </c>
      <c r="L20" s="19" t="s">
        <v>170</v>
      </c>
      <c r="M20" s="19" t="s">
        <v>121</v>
      </c>
      <c r="N20" s="19" t="s">
        <v>171</v>
      </c>
      <c r="O20" s="19" t="s">
        <v>121</v>
      </c>
      <c r="P20" s="19" t="s">
        <v>172</v>
      </c>
      <c r="Q20" s="19" t="s">
        <v>173</v>
      </c>
      <c r="R20" s="19" t="s">
        <v>174</v>
      </c>
      <c r="S20" s="19"/>
      <c r="T20" s="19" t="s">
        <v>53</v>
      </c>
      <c r="U20" s="19" t="s">
        <v>54</v>
      </c>
      <c r="V20" s="19" t="s">
        <v>97</v>
      </c>
      <c r="W20" s="19" t="s">
        <v>81</v>
      </c>
      <c r="X20" s="19" t="s">
        <v>126</v>
      </c>
      <c r="Y20" s="19" t="s">
        <v>126</v>
      </c>
      <c r="Z20" s="19" t="s">
        <v>175</v>
      </c>
      <c r="AA20" s="19">
        <v>2</v>
      </c>
      <c r="AB20" s="19">
        <v>2</v>
      </c>
      <c r="AC20" s="19" t="s">
        <v>58</v>
      </c>
      <c r="AD20" s="19" t="s">
        <v>172</v>
      </c>
      <c r="AE20" s="19" t="s">
        <v>128</v>
      </c>
      <c r="AF20" s="19"/>
    </row>
    <row r="21" spans="1:34">
      <c r="A21" s="19">
        <v>16</v>
      </c>
      <c r="B21" s="19" t="s">
        <v>88</v>
      </c>
      <c r="C21" s="19" t="s">
        <v>74</v>
      </c>
      <c r="D21" s="19" t="str">
        <f>HYPERLINK("http://www.henontech.com/fieldsafety/harzard/harzard_show.php?rid=1571&amp;url=harzardrecs.php","彩钢房顶因长时间雨水跟环境的影响造成腐蚀，假如一名操作工在巡查岗位时，部分腐蚀的碎片掉落下来，肩部轻微造成伤害。")</f>
        <v>彩钢房顶因长时间雨水跟环境的影响造成腐蚀，假如一名操作工在巡查岗位时，部分腐蚀的碎片掉落下来，肩部轻微造成伤害。</v>
      </c>
      <c r="E21" s="19" t="s">
        <v>176</v>
      </c>
      <c r="F21" s="20" t="s">
        <v>42</v>
      </c>
      <c r="G21" s="22" t="s">
        <v>63</v>
      </c>
      <c r="H21" s="19" t="s">
        <v>44</v>
      </c>
      <c r="I21" s="19" t="s">
        <v>45</v>
      </c>
      <c r="J21" s="19"/>
      <c r="K21" s="19" t="s">
        <v>102</v>
      </c>
      <c r="L21" s="19" t="s">
        <v>76</v>
      </c>
      <c r="M21" s="19" t="s">
        <v>48</v>
      </c>
      <c r="N21" s="19" t="s">
        <v>177</v>
      </c>
      <c r="O21" s="19" t="s">
        <v>48</v>
      </c>
      <c r="P21" s="19" t="s">
        <v>50</v>
      </c>
      <c r="Q21" s="19" t="s">
        <v>173</v>
      </c>
      <c r="R21" s="19" t="s">
        <v>178</v>
      </c>
      <c r="S21" s="19"/>
      <c r="T21" s="19" t="s">
        <v>53</v>
      </c>
      <c r="U21" s="19" t="s">
        <v>80</v>
      </c>
      <c r="V21" s="19" t="s">
        <v>55</v>
      </c>
      <c r="W21" s="19" t="s">
        <v>81</v>
      </c>
      <c r="X21" s="19"/>
      <c r="Y21" s="19"/>
      <c r="Z21" s="19" t="s">
        <v>179</v>
      </c>
      <c r="AA21" s="19">
        <v>1</v>
      </c>
      <c r="AB21" s="19">
        <v>1</v>
      </c>
      <c r="AC21" s="19" t="s">
        <v>58</v>
      </c>
      <c r="AD21" s="19" t="s">
        <v>50</v>
      </c>
      <c r="AE21" s="19" t="s">
        <v>180</v>
      </c>
      <c r="AF21" s="19"/>
    </row>
    <row r="22" spans="1:34" customHeight="1" ht="42">
      <c r="A22" s="19">
        <v>17</v>
      </c>
      <c r="B22" s="19" t="s">
        <v>181</v>
      </c>
      <c r="C22" s="19" t="s">
        <v>182</v>
      </c>
      <c r="D22" s="19" t="str">
        <f>HYPERLINK("http://www.henontech.com/fieldsafety/harzard/harzard_show.php?rid=1581&amp;url=harzardrecs.php","1号提升机挂钩监控处灯光缺失，夜间焦罐提升时监控画面不清晰，焦罐挂耳处看不清，提升机提升时一侧挂钩未挂在挂耳中，因无灯光监控画面不清晰，主控室人员未能及时发现，造成设备损坏，耽误生产八小时。")</f>
        <v>1号提升机挂钩监控处灯光缺失，夜间焦罐提升时监控画面不清晰，焦罐挂耳处看不清，提升机提升时一侧挂钩未挂在挂耳中，因无灯光监控画面不清晰，主控室人员未能及时发现，造成设备损坏，耽误生产八小时。</v>
      </c>
      <c r="E22" s="19" t="s">
        <v>183</v>
      </c>
      <c r="F22" s="20" t="s">
        <v>42</v>
      </c>
      <c r="G22" s="22" t="s">
        <v>63</v>
      </c>
      <c r="H22" s="19" t="s">
        <v>44</v>
      </c>
      <c r="I22" s="19" t="s">
        <v>184</v>
      </c>
      <c r="J22" s="19" t="s">
        <v>46</v>
      </c>
      <c r="K22" s="19"/>
      <c r="L22" s="19"/>
      <c r="M22" s="19" t="s">
        <v>121</v>
      </c>
      <c r="N22" s="19" t="s">
        <v>185</v>
      </c>
      <c r="O22" s="19" t="s">
        <v>121</v>
      </c>
      <c r="P22" s="19" t="s">
        <v>123</v>
      </c>
      <c r="Q22" s="19" t="s">
        <v>186</v>
      </c>
      <c r="R22" s="19" t="s">
        <v>187</v>
      </c>
      <c r="S22" s="19" t="s">
        <v>188</v>
      </c>
      <c r="T22" s="19" t="s">
        <v>189</v>
      </c>
      <c r="U22" s="19" t="s">
        <v>80</v>
      </c>
      <c r="V22" s="19" t="s">
        <v>69</v>
      </c>
      <c r="W22" s="19" t="s">
        <v>190</v>
      </c>
      <c r="X22" s="19" t="s">
        <v>191</v>
      </c>
      <c r="Y22" s="19" t="s">
        <v>191</v>
      </c>
      <c r="Z22" s="19" t="s">
        <v>192</v>
      </c>
      <c r="AA22" s="19">
        <v>2</v>
      </c>
      <c r="AB22" s="19">
        <v>2</v>
      </c>
      <c r="AC22" s="19" t="s">
        <v>58</v>
      </c>
      <c r="AD22" s="19" t="s">
        <v>123</v>
      </c>
      <c r="AE22" s="19" t="s">
        <v>128</v>
      </c>
      <c r="AF22" s="19"/>
    </row>
    <row r="23" spans="1:34">
      <c r="A23" s="19">
        <v>18</v>
      </c>
      <c r="B23" s="19" t="s">
        <v>193</v>
      </c>
      <c r="C23" s="19" t="s">
        <v>194</v>
      </c>
      <c r="D23" s="19" t="str">
        <f>HYPERLINK("http://www.henontech.com/fieldsafety/harzard/harzard_show.php?rid=1588&amp;url=harzardrecs.php","粗苯计量槽围沿内有一口积水坑没有盖板、没有警示标识。如果一名操作工夜间进入围沿内打扫卫生时不注意，可能迈入坑内造成腿部轻微擦伤，到医务室处理后继续正常工作。")</f>
        <v>粗苯计量槽围沿内有一口积水坑没有盖板、没有警示标识。如果一名操作工夜间进入围沿内打扫卫生时不注意，可能迈入坑内造成腿部轻微擦伤，到医务室处理后继续正常工作。</v>
      </c>
      <c r="E23" s="19" t="s">
        <v>195</v>
      </c>
      <c r="F23" s="20" t="s">
        <v>42</v>
      </c>
      <c r="G23" s="22" t="s">
        <v>63</v>
      </c>
      <c r="H23" s="19" t="s">
        <v>44</v>
      </c>
      <c r="I23" s="19"/>
      <c r="J23" s="19" t="s">
        <v>109</v>
      </c>
      <c r="K23" s="19" t="s">
        <v>47</v>
      </c>
      <c r="L23" s="19"/>
      <c r="M23" s="19" t="s">
        <v>48</v>
      </c>
      <c r="N23" s="19" t="s">
        <v>196</v>
      </c>
      <c r="O23" s="19" t="s">
        <v>48</v>
      </c>
      <c r="P23" s="19" t="s">
        <v>50</v>
      </c>
      <c r="Q23" s="19" t="s">
        <v>186</v>
      </c>
      <c r="R23" s="19" t="s">
        <v>197</v>
      </c>
      <c r="S23" s="19"/>
      <c r="T23" s="19" t="s">
        <v>53</v>
      </c>
      <c r="U23" s="19" t="s">
        <v>54</v>
      </c>
      <c r="V23" s="19" t="s">
        <v>55</v>
      </c>
      <c r="W23" s="19" t="s">
        <v>56</v>
      </c>
      <c r="X23" s="19"/>
      <c r="Y23" s="19"/>
      <c r="Z23" s="19" t="s">
        <v>198</v>
      </c>
      <c r="AA23" s="19">
        <v>1</v>
      </c>
      <c r="AB23" s="19">
        <v>1</v>
      </c>
      <c r="AC23" s="19" t="s">
        <v>58</v>
      </c>
      <c r="AD23" s="19" t="s">
        <v>50</v>
      </c>
      <c r="AE23" s="19" t="s">
        <v>186</v>
      </c>
      <c r="AF23" s="19"/>
    </row>
    <row r="24" spans="1:34">
      <c r="A24" s="19">
        <v>19</v>
      </c>
      <c r="B24" s="19" t="s">
        <v>181</v>
      </c>
      <c r="C24" s="19" t="s">
        <v>194</v>
      </c>
      <c r="D24" s="19" t="str">
        <f>HYPERLINK("http://www.henontech.com/fieldsafety/harzard/harzard_show.php?rid=1591&amp;url=harzardrecs.php","粗苯紧急切断阀穿线管断裂，线路裸露，日晒雨淋导致线路老化、断裂，紧急切断阀失去控制信号不起作用，自动关闭无法打开")</f>
        <v>粗苯紧急切断阀穿线管断裂，线路裸露，日晒雨淋导致线路老化、断裂，紧急切断阀失去控制信号不起作用，自动关闭无法打开</v>
      </c>
      <c r="E24" s="19" t="s">
        <v>199</v>
      </c>
      <c r="F24" s="20" t="s">
        <v>42</v>
      </c>
      <c r="G24" s="21" t="s">
        <v>43</v>
      </c>
      <c r="H24" s="19" t="s">
        <v>44</v>
      </c>
      <c r="I24" s="19" t="s">
        <v>108</v>
      </c>
      <c r="J24" s="19" t="s">
        <v>46</v>
      </c>
      <c r="K24" s="19" t="s">
        <v>47</v>
      </c>
      <c r="L24" s="19" t="s">
        <v>76</v>
      </c>
      <c r="M24" s="19" t="s">
        <v>48</v>
      </c>
      <c r="N24" s="19" t="s">
        <v>200</v>
      </c>
      <c r="O24" s="19" t="s">
        <v>48</v>
      </c>
      <c r="P24" s="19" t="s">
        <v>50</v>
      </c>
      <c r="Q24" s="19" t="s">
        <v>186</v>
      </c>
      <c r="R24" s="19" t="s">
        <v>201</v>
      </c>
      <c r="S24" s="19"/>
      <c r="T24" s="19" t="s">
        <v>189</v>
      </c>
      <c r="U24" s="19" t="s">
        <v>202</v>
      </c>
      <c r="V24" s="19" t="s">
        <v>203</v>
      </c>
      <c r="W24" s="19" t="s">
        <v>56</v>
      </c>
      <c r="X24" s="19"/>
      <c r="Y24" s="19"/>
      <c r="Z24" s="19" t="s">
        <v>204</v>
      </c>
      <c r="AA24" s="19">
        <v>1</v>
      </c>
      <c r="AB24" s="19">
        <v>1</v>
      </c>
      <c r="AC24" s="19" t="s">
        <v>58</v>
      </c>
      <c r="AD24" s="19" t="s">
        <v>50</v>
      </c>
      <c r="AE24" s="19" t="s">
        <v>83</v>
      </c>
      <c r="AF24" s="19"/>
    </row>
    <row r="25" spans="1:34">
      <c r="A25" s="19">
        <v>20</v>
      </c>
      <c r="B25" s="19" t="s">
        <v>181</v>
      </c>
      <c r="C25" s="19" t="s">
        <v>194</v>
      </c>
      <c r="D25" s="19" t="str">
        <f>HYPERLINK("http://www.henontech.com/fieldsafety/harzard/harzard_show.php?rid=1593&amp;url=harzardrecs.php","粗苯操作室内一名操作工值守，使用非防爆型大功率电器，短路跳闸导致监控设备损坏！")</f>
        <v>粗苯操作室内一名操作工值守，使用非防爆型大功率电器，短路跳闸导致监控设备损坏！</v>
      </c>
      <c r="E25" s="19" t="s">
        <v>205</v>
      </c>
      <c r="F25" s="20" t="s">
        <v>42</v>
      </c>
      <c r="G25" s="22" t="s">
        <v>63</v>
      </c>
      <c r="H25" s="19" t="s">
        <v>44</v>
      </c>
      <c r="I25" s="19" t="s">
        <v>45</v>
      </c>
      <c r="J25" s="19" t="s">
        <v>46</v>
      </c>
      <c r="K25" s="19" t="s">
        <v>64</v>
      </c>
      <c r="L25" s="19" t="s">
        <v>76</v>
      </c>
      <c r="M25" s="19" t="s">
        <v>48</v>
      </c>
      <c r="N25" s="19" t="s">
        <v>94</v>
      </c>
      <c r="O25" s="19" t="s">
        <v>48</v>
      </c>
      <c r="P25" s="19" t="s">
        <v>50</v>
      </c>
      <c r="Q25" s="19" t="s">
        <v>186</v>
      </c>
      <c r="R25" s="19" t="s">
        <v>206</v>
      </c>
      <c r="S25" s="19"/>
      <c r="T25" s="19" t="s">
        <v>189</v>
      </c>
      <c r="U25" s="19" t="s">
        <v>202</v>
      </c>
      <c r="V25" s="19" t="s">
        <v>97</v>
      </c>
      <c r="W25" s="19" t="s">
        <v>56</v>
      </c>
      <c r="X25" s="19"/>
      <c r="Y25" s="19"/>
      <c r="Z25" s="19" t="s">
        <v>207</v>
      </c>
      <c r="AA25" s="19">
        <v>1</v>
      </c>
      <c r="AB25" s="19">
        <v>1</v>
      </c>
      <c r="AC25" s="19" t="s">
        <v>58</v>
      </c>
      <c r="AD25" s="19" t="s">
        <v>50</v>
      </c>
      <c r="AE25" s="19" t="s">
        <v>99</v>
      </c>
      <c r="AF25" s="19"/>
    </row>
    <row r="26" spans="1:34">
      <c r="A26" s="19">
        <v>21</v>
      </c>
      <c r="B26" s="19" t="s">
        <v>181</v>
      </c>
      <c r="C26" s="19" t="s">
        <v>208</v>
      </c>
      <c r="D26" s="19" t="str">
        <f>HYPERLINK("http://www.henontech.com/fieldsafety/harzard/harzard_show.php?rid=1595&amp;url=harzardrecs.php","超滤排水沟盖板缺失，中夜班视线差，来回巡检不慎踩空")</f>
        <v>超滤排水沟盖板缺失，中夜班视线差，来回巡检不慎踩空</v>
      </c>
      <c r="E26" s="19" t="s">
        <v>209</v>
      </c>
      <c r="F26" s="20" t="s">
        <v>42</v>
      </c>
      <c r="G26" s="22" t="s">
        <v>63</v>
      </c>
      <c r="H26" s="19" t="s">
        <v>44</v>
      </c>
      <c r="I26" s="19" t="s">
        <v>45</v>
      </c>
      <c r="J26" s="19" t="s">
        <v>109</v>
      </c>
      <c r="K26" s="19" t="s">
        <v>64</v>
      </c>
      <c r="L26" s="19" t="s">
        <v>76</v>
      </c>
      <c r="M26" s="19" t="s">
        <v>149</v>
      </c>
      <c r="N26" s="19" t="s">
        <v>210</v>
      </c>
      <c r="O26" s="19" t="s">
        <v>149</v>
      </c>
      <c r="P26" s="19" t="s">
        <v>211</v>
      </c>
      <c r="Q26" s="19" t="s">
        <v>115</v>
      </c>
      <c r="R26" s="19" t="s">
        <v>212</v>
      </c>
      <c r="S26" s="19"/>
      <c r="T26" s="19" t="s">
        <v>53</v>
      </c>
      <c r="U26" s="19" t="s">
        <v>80</v>
      </c>
      <c r="V26" s="19" t="s">
        <v>97</v>
      </c>
      <c r="W26" s="19" t="s">
        <v>70</v>
      </c>
      <c r="X26" s="19" t="s">
        <v>154</v>
      </c>
      <c r="Y26" s="19" t="s">
        <v>154</v>
      </c>
      <c r="Z26" s="19" t="s">
        <v>213</v>
      </c>
      <c r="AA26" s="19">
        <v>1</v>
      </c>
      <c r="AB26" s="19">
        <v>1</v>
      </c>
      <c r="AC26" s="19" t="s">
        <v>58</v>
      </c>
      <c r="AD26" s="19" t="s">
        <v>211</v>
      </c>
      <c r="AE26" s="19" t="s">
        <v>156</v>
      </c>
      <c r="AF26" s="19" t="s">
        <v>157</v>
      </c>
    </row>
    <row r="27" spans="1:34">
      <c r="A27" s="19">
        <v>22</v>
      </c>
      <c r="B27" s="19" t="s">
        <v>214</v>
      </c>
      <c r="C27" s="19" t="s">
        <v>215</v>
      </c>
      <c r="D27" s="19" t="str">
        <f>HYPERLINK("http://www.henontech.com/fieldsafety/harzard/harzard_show.php?rid=1607&amp;url=harzardrecs.php","压缩机房2#空压机接地线断裂，假如操作工在开停机的作业活动中，一旦接地线失去作用，集聚的静电可能导致操作工触电。操作工会身体颤动，休息十分钟，继续工作。")</f>
        <v>压缩机房2#空压机接地线断裂，假如操作工在开停机的作业活动中，一旦接地线失去作用，集聚的静电可能导致操作工触电。操作工会身体颤动，休息十分钟，继续工作。</v>
      </c>
      <c r="E27" s="19" t="s">
        <v>216</v>
      </c>
      <c r="F27" s="20" t="s">
        <v>42</v>
      </c>
      <c r="G27" s="22" t="s">
        <v>63</v>
      </c>
      <c r="H27" s="19" t="s">
        <v>44</v>
      </c>
      <c r="I27" s="19"/>
      <c r="J27" s="19" t="s">
        <v>46</v>
      </c>
      <c r="K27" s="19" t="s">
        <v>64</v>
      </c>
      <c r="L27" s="19" t="s">
        <v>76</v>
      </c>
      <c r="M27" s="19" t="s">
        <v>48</v>
      </c>
      <c r="N27" s="19" t="s">
        <v>217</v>
      </c>
      <c r="O27" s="19" t="s">
        <v>48</v>
      </c>
      <c r="P27" s="19" t="s">
        <v>50</v>
      </c>
      <c r="Q27" s="19" t="s">
        <v>218</v>
      </c>
      <c r="R27" s="19" t="s">
        <v>219</v>
      </c>
      <c r="S27" s="19"/>
      <c r="T27" s="19" t="s">
        <v>53</v>
      </c>
      <c r="U27" s="19" t="s">
        <v>202</v>
      </c>
      <c r="V27" s="19" t="s">
        <v>55</v>
      </c>
      <c r="W27" s="19" t="s">
        <v>56</v>
      </c>
      <c r="X27" s="19"/>
      <c r="Y27" s="19"/>
      <c r="Z27" s="19" t="s">
        <v>220</v>
      </c>
      <c r="AA27" s="19">
        <v>1</v>
      </c>
      <c r="AB27" s="19">
        <v>1</v>
      </c>
      <c r="AC27" s="19" t="s">
        <v>58</v>
      </c>
      <c r="AD27" s="19" t="s">
        <v>50</v>
      </c>
      <c r="AE27" s="19" t="s">
        <v>221</v>
      </c>
      <c r="AF27" s="19"/>
    </row>
    <row r="28" spans="1:34">
      <c r="A28" s="19">
        <v>23</v>
      </c>
      <c r="B28" s="19" t="s">
        <v>95</v>
      </c>
      <c r="C28" s="19" t="s">
        <v>222</v>
      </c>
      <c r="D28" s="19" t="str">
        <f>HYPERLINK("http://www.henontech.com/fieldsafety/harzard/harzard_show.php?rid=1627&amp;url=harzardrecs.php","泡沫泵处泡沫回收小井无盖板，当维修人员修泵时，一人掉入小井，造成成腿部扭伤。")</f>
        <v>泡沫泵处泡沫回收小井无盖板，当维修人员修泵时，一人掉入小井，造成成腿部扭伤。</v>
      </c>
      <c r="E28" s="19" t="s">
        <v>223</v>
      </c>
      <c r="F28" s="20" t="s">
        <v>42</v>
      </c>
      <c r="G28" s="22" t="s">
        <v>63</v>
      </c>
      <c r="H28" s="19" t="s">
        <v>44</v>
      </c>
      <c r="I28" s="19" t="s">
        <v>108</v>
      </c>
      <c r="J28" s="19" t="s">
        <v>46</v>
      </c>
      <c r="K28" s="19" t="s">
        <v>47</v>
      </c>
      <c r="L28" s="19" t="s">
        <v>76</v>
      </c>
      <c r="M28" s="19" t="s">
        <v>224</v>
      </c>
      <c r="N28" s="19" t="s">
        <v>225</v>
      </c>
      <c r="O28" s="19" t="s">
        <v>224</v>
      </c>
      <c r="P28" s="19" t="s">
        <v>226</v>
      </c>
      <c r="Q28" s="19" t="s">
        <v>180</v>
      </c>
      <c r="R28" s="19" t="s">
        <v>227</v>
      </c>
      <c r="S28" s="19"/>
      <c r="T28" s="19" t="s">
        <v>53</v>
      </c>
      <c r="U28" s="19" t="s">
        <v>80</v>
      </c>
      <c r="V28" s="19" t="s">
        <v>55</v>
      </c>
      <c r="W28" s="19" t="s">
        <v>81</v>
      </c>
      <c r="X28" s="19" t="s">
        <v>228</v>
      </c>
      <c r="Y28" s="19" t="s">
        <v>228</v>
      </c>
      <c r="Z28" s="19" t="s">
        <v>229</v>
      </c>
      <c r="AA28" s="19">
        <v>1</v>
      </c>
      <c r="AB28" s="19">
        <v>1</v>
      </c>
      <c r="AC28" s="19" t="s">
        <v>58</v>
      </c>
      <c r="AD28" s="19" t="s">
        <v>226</v>
      </c>
      <c r="AE28" s="19" t="s">
        <v>124</v>
      </c>
      <c r="AF28" s="19"/>
    </row>
    <row r="29" spans="1:34" customHeight="1" ht="42">
      <c r="A29" s="19">
        <v>24</v>
      </c>
      <c r="B29" s="19" t="s">
        <v>95</v>
      </c>
      <c r="C29" s="19" t="s">
        <v>230</v>
      </c>
      <c r="D29" s="19" t="str">
        <f>HYPERLINK("http://www.henontech.com/fieldsafety/harzard/harzard_show.php?rid=1636&amp;url=harzardrecs.php","在环境除尘顶部，更换5号灰仓布袋，操作工扶北侧护栏，由于护栏开焊，不慎掉到二层平台，约10米高，造成人员当场死亡。")</f>
        <v>在环境除尘顶部，更换5号灰仓布袋，操作工扶北侧护栏，由于护栏开焊，不慎掉到二层平台，约10米高，造成人员当场死亡。</v>
      </c>
      <c r="E29" s="19" t="s">
        <v>231</v>
      </c>
      <c r="F29" s="20" t="s">
        <v>42</v>
      </c>
      <c r="G29" s="22" t="s">
        <v>63</v>
      </c>
      <c r="H29" s="19" t="s">
        <v>232</v>
      </c>
      <c r="I29" s="19" t="s">
        <v>184</v>
      </c>
      <c r="J29" s="19" t="s">
        <v>46</v>
      </c>
      <c r="K29" s="19" t="s">
        <v>47</v>
      </c>
      <c r="L29" s="19" t="s">
        <v>76</v>
      </c>
      <c r="M29" s="19" t="s">
        <v>121</v>
      </c>
      <c r="N29" s="19" t="s">
        <v>233</v>
      </c>
      <c r="O29" s="19" t="s">
        <v>121</v>
      </c>
      <c r="P29" s="19" t="s">
        <v>123</v>
      </c>
      <c r="Q29" s="19" t="s">
        <v>234</v>
      </c>
      <c r="R29" s="19" t="s">
        <v>235</v>
      </c>
      <c r="S29" s="19"/>
      <c r="T29" s="19" t="s">
        <v>53</v>
      </c>
      <c r="U29" s="19" t="s">
        <v>236</v>
      </c>
      <c r="V29" s="19" t="s">
        <v>97</v>
      </c>
      <c r="W29" s="19" t="s">
        <v>190</v>
      </c>
      <c r="X29" s="19" t="s">
        <v>126</v>
      </c>
      <c r="Y29" s="19" t="s">
        <v>126</v>
      </c>
      <c r="Z29" s="19" t="s">
        <v>237</v>
      </c>
      <c r="AA29" s="19">
        <v>2</v>
      </c>
      <c r="AB29" s="19">
        <v>2</v>
      </c>
      <c r="AC29" s="19" t="s">
        <v>58</v>
      </c>
      <c r="AD29" s="19" t="s">
        <v>123</v>
      </c>
      <c r="AE29" s="19" t="s">
        <v>128</v>
      </c>
      <c r="AF29" s="19"/>
    </row>
    <row r="30" spans="1:34">
      <c r="A30" s="19">
        <v>25</v>
      </c>
      <c r="B30" s="19" t="s">
        <v>238</v>
      </c>
      <c r="C30" s="19" t="s">
        <v>239</v>
      </c>
      <c r="D30" s="19" t="str">
        <f>HYPERLINK("http://www.henontech.com/fieldsafety/harzard/harzard_show.php?rid=1642&amp;url=harzardrecs.php","保运维修班西侧地沟盖板断裂，假如中夜班期间，巡检人员未带手电筒从此处经过，可能会脚部踩空造成小腿轻微擦伤，简单处理后复工，不影响生产。")</f>
        <v>保运维修班西侧地沟盖板断裂，假如中夜班期间，巡检人员未带手电筒从此处经过，可能会脚部踩空造成小腿轻微擦伤，简单处理后复工，不影响生产。</v>
      </c>
      <c r="E30" s="19" t="s">
        <v>240</v>
      </c>
      <c r="F30" s="20" t="s">
        <v>42</v>
      </c>
      <c r="G30" s="22" t="s">
        <v>63</v>
      </c>
      <c r="H30" s="19" t="s">
        <v>44</v>
      </c>
      <c r="I30" s="19" t="s">
        <v>45</v>
      </c>
      <c r="J30" s="19" t="s">
        <v>46</v>
      </c>
      <c r="K30" s="19" t="s">
        <v>110</v>
      </c>
      <c r="L30" s="19" t="s">
        <v>76</v>
      </c>
      <c r="M30" s="19" t="s">
        <v>48</v>
      </c>
      <c r="N30" s="19" t="s">
        <v>241</v>
      </c>
      <c r="O30" s="19" t="s">
        <v>48</v>
      </c>
      <c r="P30" s="19" t="s">
        <v>50</v>
      </c>
      <c r="Q30" s="19" t="s">
        <v>242</v>
      </c>
      <c r="R30" s="19" t="s">
        <v>243</v>
      </c>
      <c r="S30" s="19"/>
      <c r="T30" s="19" t="s">
        <v>53</v>
      </c>
      <c r="U30" s="19" t="s">
        <v>54</v>
      </c>
      <c r="V30" s="19" t="s">
        <v>55</v>
      </c>
      <c r="W30" s="19" t="s">
        <v>56</v>
      </c>
      <c r="X30" s="19"/>
      <c r="Y30" s="19"/>
      <c r="Z30" s="19" t="s">
        <v>213</v>
      </c>
      <c r="AA30" s="19">
        <v>1</v>
      </c>
      <c r="AB30" s="19">
        <v>1</v>
      </c>
      <c r="AC30" s="19" t="s">
        <v>58</v>
      </c>
      <c r="AD30" s="19" t="s">
        <v>50</v>
      </c>
      <c r="AE30" s="19" t="s">
        <v>72</v>
      </c>
      <c r="AF30" s="19"/>
    </row>
    <row r="31" spans="1:34" customHeight="1" ht="42">
      <c r="A31" s="19">
        <v>26</v>
      </c>
      <c r="B31" s="19" t="s">
        <v>244</v>
      </c>
      <c r="C31" s="19" t="s">
        <v>245</v>
      </c>
      <c r="D31" s="19" t="str">
        <f>HYPERLINK("http://www.henontech.com/fieldsafety/harzard/harzard_show.php?rid=1658&amp;url=harzardrecs.php","循环水泵房内1号循环水泵轴流风扇电缆线铺设不规范，一名员工巡检至此时，不慎绊倒，膝盖破皮，去医务室简单处理。")</f>
        <v>循环水泵房内1号循环水泵轴流风扇电缆线铺设不规范，一名员工巡检至此时，不慎绊倒，膝盖破皮，去医务室简单处理。</v>
      </c>
      <c r="E31" s="19" t="s">
        <v>246</v>
      </c>
      <c r="F31" s="20" t="s">
        <v>42</v>
      </c>
      <c r="G31" s="22" t="s">
        <v>63</v>
      </c>
      <c r="H31" s="19" t="s">
        <v>44</v>
      </c>
      <c r="I31" s="19"/>
      <c r="J31" s="19" t="s">
        <v>46</v>
      </c>
      <c r="K31" s="19"/>
      <c r="L31" s="19"/>
      <c r="M31" s="19" t="s">
        <v>121</v>
      </c>
      <c r="N31" s="19" t="s">
        <v>247</v>
      </c>
      <c r="O31" s="19" t="s">
        <v>121</v>
      </c>
      <c r="P31" s="19" t="s">
        <v>123</v>
      </c>
      <c r="Q31" s="19" t="s">
        <v>248</v>
      </c>
      <c r="R31" s="19" t="s">
        <v>249</v>
      </c>
      <c r="S31" s="19"/>
      <c r="T31" s="19" t="s">
        <v>53</v>
      </c>
      <c r="U31" s="19" t="s">
        <v>54</v>
      </c>
      <c r="V31" s="19" t="s">
        <v>97</v>
      </c>
      <c r="W31" s="19" t="s">
        <v>81</v>
      </c>
      <c r="X31" s="19" t="s">
        <v>126</v>
      </c>
      <c r="Y31" s="19" t="s">
        <v>126</v>
      </c>
      <c r="Z31" s="19" t="s">
        <v>250</v>
      </c>
      <c r="AA31" s="19">
        <v>2</v>
      </c>
      <c r="AB31" s="19">
        <v>2</v>
      </c>
      <c r="AC31" s="19" t="s">
        <v>58</v>
      </c>
      <c r="AD31" s="19" t="s">
        <v>123</v>
      </c>
      <c r="AE31" s="19" t="s">
        <v>128</v>
      </c>
      <c r="AF31" s="19"/>
    </row>
    <row r="32" spans="1:34">
      <c r="A32" s="19">
        <v>27</v>
      </c>
      <c r="B32" s="19" t="s">
        <v>251</v>
      </c>
      <c r="C32" s="19" t="s">
        <v>252</v>
      </c>
      <c r="D32" s="19" t="str">
        <f>HYPERLINK("http://www.henontech.com/fieldsafety/harzard/harzard_show.php?rid=1665&amp;url=harzardrecs.php","干熄焦地下室冷焦带护栏检修后末按装恢复，一巡检人员巡检时，右手不慎碰触到旋转的托辊，右手手背被托辊和冷焦带挤伤，经简单抱扎后正常工作。")</f>
        <v>干熄焦地下室冷焦带护栏检修后末按装恢复，一巡检人员巡检时，右手不慎碰触到旋转的托辊，右手手背被托辊和冷焦带挤伤，经简单抱扎后正常工作。</v>
      </c>
      <c r="E32" s="19" t="s">
        <v>253</v>
      </c>
      <c r="F32" s="20" t="s">
        <v>42</v>
      </c>
      <c r="G32" s="22" t="s">
        <v>63</v>
      </c>
      <c r="H32" s="19" t="s">
        <v>44</v>
      </c>
      <c r="I32" s="19"/>
      <c r="J32" s="19" t="s">
        <v>109</v>
      </c>
      <c r="K32" s="19"/>
      <c r="L32" s="19"/>
      <c r="M32" s="19" t="s">
        <v>121</v>
      </c>
      <c r="N32" s="19" t="s">
        <v>254</v>
      </c>
      <c r="O32" s="19" t="s">
        <v>121</v>
      </c>
      <c r="P32" s="19" t="s">
        <v>123</v>
      </c>
      <c r="Q32" s="19" t="s">
        <v>99</v>
      </c>
      <c r="R32" s="19" t="s">
        <v>255</v>
      </c>
      <c r="S32" s="19" t="s">
        <v>256</v>
      </c>
      <c r="T32" s="19" t="s">
        <v>53</v>
      </c>
      <c r="U32" s="19" t="s">
        <v>54</v>
      </c>
      <c r="V32" s="19" t="s">
        <v>55</v>
      </c>
      <c r="W32" s="19" t="s">
        <v>56</v>
      </c>
      <c r="X32" s="19" t="s">
        <v>257</v>
      </c>
      <c r="Y32" s="19" t="s">
        <v>258</v>
      </c>
      <c r="Z32" s="19" t="s">
        <v>259</v>
      </c>
      <c r="AA32" s="19">
        <v>1</v>
      </c>
      <c r="AB32" s="19">
        <v>1</v>
      </c>
      <c r="AC32" s="19" t="s">
        <v>58</v>
      </c>
      <c r="AD32" s="19" t="s">
        <v>123</v>
      </c>
      <c r="AE32" s="19" t="s">
        <v>128</v>
      </c>
      <c r="AF32" s="19"/>
    </row>
    <row r="33" spans="1:34" customHeight="1" ht="42">
      <c r="A33" s="19">
        <v>28</v>
      </c>
      <c r="B33" s="19" t="s">
        <v>251</v>
      </c>
      <c r="C33" s="19" t="s">
        <v>260</v>
      </c>
      <c r="D33" s="19" t="str">
        <f>HYPERLINK("http://www.henontech.com/fieldsafety/harzard/harzard_show.php?rid=1676&amp;url=harzardrecs.php","预处理污泥泵房，污泥泵防护罩未在有效位置，室内管线混乱，操作人员在巡检时由于地面湿滑，导致仰面跌倒，手肘着地，造成右手尺骨骨折，损工44天。")</f>
        <v>预处理污泥泵房，污泥泵防护罩未在有效位置，室内管线混乱，操作人员在巡检时由于地面湿滑，导致仰面跌倒，手肘着地，造成右手尺骨骨折，损工44天。</v>
      </c>
      <c r="E33" s="19" t="s">
        <v>261</v>
      </c>
      <c r="F33" s="20" t="s">
        <v>42</v>
      </c>
      <c r="G33" s="22" t="s">
        <v>63</v>
      </c>
      <c r="H33" s="19" t="s">
        <v>44</v>
      </c>
      <c r="I33" s="19" t="s">
        <v>45</v>
      </c>
      <c r="J33" s="19" t="s">
        <v>46</v>
      </c>
      <c r="K33" s="19" t="s">
        <v>64</v>
      </c>
      <c r="L33" s="19" t="s">
        <v>76</v>
      </c>
      <c r="M33" s="19" t="s">
        <v>149</v>
      </c>
      <c r="N33" s="19" t="s">
        <v>262</v>
      </c>
      <c r="O33" s="19" t="s">
        <v>149</v>
      </c>
      <c r="P33" s="19" t="s">
        <v>211</v>
      </c>
      <c r="Q33" s="19" t="s">
        <v>263</v>
      </c>
      <c r="R33" s="19" t="s">
        <v>264</v>
      </c>
      <c r="S33" s="19"/>
      <c r="T33" s="19" t="s">
        <v>53</v>
      </c>
      <c r="U33" s="19" t="s">
        <v>80</v>
      </c>
      <c r="V33" s="19" t="s">
        <v>97</v>
      </c>
      <c r="W33" s="19" t="s">
        <v>70</v>
      </c>
      <c r="X33" s="19" t="s">
        <v>154</v>
      </c>
      <c r="Y33" s="19" t="s">
        <v>154</v>
      </c>
      <c r="Z33" s="19" t="s">
        <v>265</v>
      </c>
      <c r="AA33" s="19">
        <v>2</v>
      </c>
      <c r="AB33" s="19">
        <v>2</v>
      </c>
      <c r="AC33" s="19" t="s">
        <v>58</v>
      </c>
      <c r="AD33" s="19" t="s">
        <v>211</v>
      </c>
      <c r="AE33" s="19" t="s">
        <v>266</v>
      </c>
      <c r="AF33" s="19" t="s">
        <v>157</v>
      </c>
    </row>
    <row r="34" spans="1:34">
      <c r="A34" s="19">
        <v>29</v>
      </c>
      <c r="B34" s="19" t="s">
        <v>267</v>
      </c>
      <c r="C34" s="19" t="s">
        <v>260</v>
      </c>
      <c r="D34" s="19" t="str">
        <f>HYPERLINK("http://www.henontech.com/fieldsafety/harzard/harzard_show.php?rid=1681&amp;url=harzardrecs.php","酸碱罐围堰深一米半，无爬梯，操作工进池内巡检设备，打扫卫生，攀爬围堰时不慎跌倒，造成:脚腕扭伤，需休息一天的误工损伤事故")</f>
        <v>酸碱罐围堰深一米半，无爬梯，操作工进池内巡检设备，打扫卫生，攀爬围堰时不慎跌倒，造成:脚腕扭伤，需休息一天的误工损伤事故</v>
      </c>
      <c r="E34" s="19" t="s">
        <v>268</v>
      </c>
      <c r="F34" s="20" t="s">
        <v>42</v>
      </c>
      <c r="G34" s="22" t="s">
        <v>63</v>
      </c>
      <c r="H34" s="19" t="s">
        <v>44</v>
      </c>
      <c r="I34" s="19" t="s">
        <v>120</v>
      </c>
      <c r="J34" s="19" t="s">
        <v>46</v>
      </c>
      <c r="K34" s="19" t="s">
        <v>110</v>
      </c>
      <c r="L34" s="19" t="s">
        <v>76</v>
      </c>
      <c r="M34" s="19" t="s">
        <v>149</v>
      </c>
      <c r="N34" s="19" t="s">
        <v>269</v>
      </c>
      <c r="O34" s="19" t="s">
        <v>149</v>
      </c>
      <c r="P34" s="19" t="s">
        <v>151</v>
      </c>
      <c r="Q34" s="19" t="s">
        <v>270</v>
      </c>
      <c r="R34" s="19" t="s">
        <v>271</v>
      </c>
      <c r="S34" s="19"/>
      <c r="T34" s="19" t="s">
        <v>53</v>
      </c>
      <c r="U34" s="19" t="s">
        <v>54</v>
      </c>
      <c r="V34" s="19" t="s">
        <v>97</v>
      </c>
      <c r="W34" s="19" t="s">
        <v>81</v>
      </c>
      <c r="X34" s="19" t="s">
        <v>154</v>
      </c>
      <c r="Y34" s="19" t="s">
        <v>154</v>
      </c>
      <c r="Z34" s="19" t="s">
        <v>272</v>
      </c>
      <c r="AA34" s="19">
        <v>1</v>
      </c>
      <c r="AB34" s="19">
        <v>1</v>
      </c>
      <c r="AC34" s="19" t="s">
        <v>58</v>
      </c>
      <c r="AD34" s="19" t="s">
        <v>151</v>
      </c>
      <c r="AE34" s="19" t="s">
        <v>128</v>
      </c>
      <c r="AF34" s="19" t="s">
        <v>157</v>
      </c>
    </row>
    <row r="35" spans="1:34">
      <c r="A35" s="19">
        <v>30</v>
      </c>
      <c r="B35" s="19" t="s">
        <v>267</v>
      </c>
      <c r="C35" s="19" t="s">
        <v>273</v>
      </c>
      <c r="D35" s="19" t="str">
        <f>HYPERLINK("http://www.henontech.com/fieldsafety/harzard/harzard_show.php?rid=1683&amp;url=harzardrecs.php","1万m³气柜水槽溢水口水渠盖板缺失，夜间视线差，巡检工开阀门时，右脚踩空扭伤脚踝，休假3天。")</f>
        <v>1万m³气柜水槽溢水口水渠盖板缺失，夜间视线差，巡检工开阀门时，右脚踩空扭伤脚踝，休假3天。</v>
      </c>
      <c r="E35" s="19" t="s">
        <v>274</v>
      </c>
      <c r="F35" s="20" t="s">
        <v>42</v>
      </c>
      <c r="G35" s="22" t="s">
        <v>63</v>
      </c>
      <c r="H35" s="19" t="s">
        <v>44</v>
      </c>
      <c r="I35" s="19"/>
      <c r="J35" s="19" t="s">
        <v>46</v>
      </c>
      <c r="K35" s="19" t="s">
        <v>47</v>
      </c>
      <c r="L35" s="19"/>
      <c r="M35" s="19" t="s">
        <v>224</v>
      </c>
      <c r="N35" s="19" t="s">
        <v>275</v>
      </c>
      <c r="O35" s="19" t="s">
        <v>224</v>
      </c>
      <c r="P35" s="19" t="s">
        <v>226</v>
      </c>
      <c r="Q35" s="19" t="s">
        <v>83</v>
      </c>
      <c r="R35" s="19" t="s">
        <v>276</v>
      </c>
      <c r="S35" s="19"/>
      <c r="T35" s="19" t="s">
        <v>53</v>
      </c>
      <c r="U35" s="19" t="s">
        <v>80</v>
      </c>
      <c r="V35" s="19" t="s">
        <v>97</v>
      </c>
      <c r="W35" s="19" t="s">
        <v>70</v>
      </c>
      <c r="X35" s="19"/>
      <c r="Y35" s="19"/>
      <c r="Z35" s="19" t="s">
        <v>277</v>
      </c>
      <c r="AA35" s="19">
        <v>1</v>
      </c>
      <c r="AB35" s="19">
        <v>1</v>
      </c>
      <c r="AC35" s="19" t="s">
        <v>58</v>
      </c>
      <c r="AD35" s="19" t="s">
        <v>226</v>
      </c>
      <c r="AE35" s="19" t="s">
        <v>128</v>
      </c>
      <c r="AF35" s="19"/>
    </row>
    <row r="36" spans="1:34">
      <c r="A36" s="19">
        <v>31</v>
      </c>
      <c r="B36" s="19" t="s">
        <v>278</v>
      </c>
      <c r="C36" s="19" t="s">
        <v>279</v>
      </c>
      <c r="D36" s="19" t="str">
        <f>HYPERLINK("http://www.henontech.com/fieldsafety/harzard/harzard_show.php?rid=1684&amp;url=harzardrecs.php","化工厂压缩岗位北管架支撑处有钢绞线掉落，如果行人经过此处因钢绞线细不易发现，容易被刮伤。")</f>
        <v>化工厂压缩岗位北管架支撑处有钢绞线掉落，如果行人经过此处因钢绞线细不易发现，容易被刮伤。</v>
      </c>
      <c r="E36" s="19" t="s">
        <v>280</v>
      </c>
      <c r="F36" s="20" t="s">
        <v>42</v>
      </c>
      <c r="G36" s="22" t="s">
        <v>63</v>
      </c>
      <c r="H36" s="19" t="s">
        <v>44</v>
      </c>
      <c r="I36" s="19" t="s">
        <v>108</v>
      </c>
      <c r="J36" s="19" t="s">
        <v>46</v>
      </c>
      <c r="K36" s="19" t="s">
        <v>102</v>
      </c>
      <c r="L36" s="19" t="s">
        <v>76</v>
      </c>
      <c r="M36" s="19" t="s">
        <v>224</v>
      </c>
      <c r="N36" s="19" t="s">
        <v>281</v>
      </c>
      <c r="O36" s="19" t="s">
        <v>224</v>
      </c>
      <c r="P36" s="19" t="s">
        <v>282</v>
      </c>
      <c r="Q36" s="19" t="s">
        <v>270</v>
      </c>
      <c r="R36" s="19" t="s">
        <v>283</v>
      </c>
      <c r="S36" s="19"/>
      <c r="T36" s="19" t="s">
        <v>53</v>
      </c>
      <c r="U36" s="19" t="s">
        <v>54</v>
      </c>
      <c r="V36" s="19" t="s">
        <v>55</v>
      </c>
      <c r="W36" s="19" t="s">
        <v>56</v>
      </c>
      <c r="X36" s="19" t="s">
        <v>126</v>
      </c>
      <c r="Y36" s="19" t="s">
        <v>126</v>
      </c>
      <c r="Z36" s="19" t="s">
        <v>284</v>
      </c>
      <c r="AA36" s="19">
        <v>1</v>
      </c>
      <c r="AB36" s="19">
        <v>1</v>
      </c>
      <c r="AC36" s="19" t="s">
        <v>58</v>
      </c>
      <c r="AD36" s="19" t="s">
        <v>282</v>
      </c>
      <c r="AE36" s="19" t="s">
        <v>158</v>
      </c>
      <c r="AF36" s="19" t="s">
        <v>285</v>
      </c>
    </row>
    <row r="37" spans="1:34">
      <c r="A37" s="19">
        <v>32</v>
      </c>
      <c r="B37" s="19" t="s">
        <v>286</v>
      </c>
      <c r="C37" s="19" t="s">
        <v>252</v>
      </c>
      <c r="D37" s="19" t="str">
        <f>HYPERLINK("http://www.henontech.com/fieldsafety/harzard/harzard_show.php?rid=1697&amp;url=harzardrecs.php","照明灯固定螺丝松动已向下倾斜，照明灯的底座支架腐蚀严重，一名巡检人员从此处通过检查焦罐衬板，如果固定照明灯螺丝断，掉落砸伤人员后背，去医务室简单包扎后上班。")</f>
        <v>照明灯固定螺丝松动已向下倾斜，照明灯的底座支架腐蚀严重，一名巡检人员从此处通过检查焦罐衬板，如果固定照明灯螺丝断，掉落砸伤人员后背，去医务室简单包扎后上班。</v>
      </c>
      <c r="E37" s="19" t="s">
        <v>287</v>
      </c>
      <c r="F37" s="20" t="s">
        <v>42</v>
      </c>
      <c r="G37" s="22" t="s">
        <v>63</v>
      </c>
      <c r="H37" s="19" t="s">
        <v>44</v>
      </c>
      <c r="I37" s="19" t="s">
        <v>108</v>
      </c>
      <c r="J37" s="19" t="s">
        <v>46</v>
      </c>
      <c r="K37" s="19" t="s">
        <v>47</v>
      </c>
      <c r="L37" s="19"/>
      <c r="M37" s="19" t="s">
        <v>121</v>
      </c>
      <c r="N37" s="19" t="s">
        <v>288</v>
      </c>
      <c r="O37" s="19" t="s">
        <v>121</v>
      </c>
      <c r="P37" s="19" t="s">
        <v>289</v>
      </c>
      <c r="Q37" s="19" t="s">
        <v>290</v>
      </c>
      <c r="R37" s="19" t="s">
        <v>291</v>
      </c>
      <c r="S37" s="19" t="s">
        <v>292</v>
      </c>
      <c r="T37" s="19" t="s">
        <v>53</v>
      </c>
      <c r="U37" s="19" t="s">
        <v>54</v>
      </c>
      <c r="V37" s="19" t="s">
        <v>55</v>
      </c>
      <c r="W37" s="19" t="s">
        <v>56</v>
      </c>
      <c r="X37" s="19" t="s">
        <v>258</v>
      </c>
      <c r="Y37" s="19" t="s">
        <v>258</v>
      </c>
      <c r="Z37" s="19" t="s">
        <v>293</v>
      </c>
      <c r="AA37" s="19">
        <v>1</v>
      </c>
      <c r="AB37" s="19">
        <v>1</v>
      </c>
      <c r="AC37" s="19" t="s">
        <v>58</v>
      </c>
      <c r="AD37" s="19" t="s">
        <v>289</v>
      </c>
      <c r="AE37" s="19" t="s">
        <v>186</v>
      </c>
      <c r="AF37" s="19" t="s">
        <v>294</v>
      </c>
    </row>
    <row r="38" spans="1:34">
      <c r="A38" s="19">
        <v>33</v>
      </c>
      <c r="B38" s="19" t="s">
        <v>295</v>
      </c>
      <c r="C38" s="19" t="s">
        <v>296</v>
      </c>
      <c r="D38" s="19" t="str">
        <f>HYPERLINK("http://www.henontech.com/fieldsafety/harzard/harzard_show.php?rid=1698&amp;url=harzardrecs.php","5#电解水处理器有故障，保运人员拆卸后，经确认不能短时间内修复，维修用支架没有及时撤走，一名操作工巡检时拨巡检指针，不慎被地面支架座绊倒，左胳膊脱臼，入院治疗，休息五日，无损工。")</f>
        <v>5#电解水处理器有故障，保运人员拆卸后，经确认不能短时间内修复，维修用支架没有及时撤走，一名操作工巡检时拨巡检指针，不慎被地面支架座绊倒，左胳膊脱臼，入院治疗，休息五日，无损工。</v>
      </c>
      <c r="E38" s="19" t="s">
        <v>297</v>
      </c>
      <c r="F38" s="20" t="s">
        <v>42</v>
      </c>
      <c r="G38" s="22" t="s">
        <v>63</v>
      </c>
      <c r="H38" s="19" t="s">
        <v>44</v>
      </c>
      <c r="I38" s="19" t="s">
        <v>108</v>
      </c>
      <c r="J38" s="19" t="s">
        <v>46</v>
      </c>
      <c r="K38" s="19" t="s">
        <v>110</v>
      </c>
      <c r="L38" s="19" t="s">
        <v>76</v>
      </c>
      <c r="M38" s="19" t="s">
        <v>48</v>
      </c>
      <c r="N38" s="19" t="s">
        <v>298</v>
      </c>
      <c r="O38" s="19" t="s">
        <v>48</v>
      </c>
      <c r="P38" s="19" t="s">
        <v>50</v>
      </c>
      <c r="Q38" s="19" t="s">
        <v>299</v>
      </c>
      <c r="R38" s="19" t="s">
        <v>300</v>
      </c>
      <c r="S38" s="19"/>
      <c r="T38" s="19" t="s">
        <v>53</v>
      </c>
      <c r="U38" s="19" t="s">
        <v>80</v>
      </c>
      <c r="V38" s="19" t="s">
        <v>55</v>
      </c>
      <c r="W38" s="19" t="s">
        <v>81</v>
      </c>
      <c r="X38" s="19"/>
      <c r="Y38" s="19"/>
      <c r="Z38" s="19" t="s">
        <v>301</v>
      </c>
      <c r="AA38" s="19">
        <v>1</v>
      </c>
      <c r="AB38" s="19">
        <v>1</v>
      </c>
      <c r="AC38" s="19" t="s">
        <v>58</v>
      </c>
      <c r="AD38" s="19" t="s">
        <v>50</v>
      </c>
      <c r="AE38" s="19" t="s">
        <v>59</v>
      </c>
      <c r="AF38" s="19"/>
    </row>
    <row r="39" spans="1:34">
      <c r="A39" s="19">
        <v>34</v>
      </c>
      <c r="B39" s="19" t="s">
        <v>295</v>
      </c>
      <c r="C39" s="19" t="s">
        <v>302</v>
      </c>
      <c r="D39" s="19" t="str">
        <f>HYPERLINK("http://www.henontech.com/fieldsafety/harzard/harzard_show.php?rid=1699&amp;url=harzardrecs.php","射水箱爬梯无护笼，箱顶距地面3米，一员工巡检至水箱顶部反身下爬梯时，双手未抓牢跌落，臀部着地，造成尾椎骨骨折，损工三个月。")</f>
        <v>射水箱爬梯无护笼，箱顶距地面3米，一员工巡检至水箱顶部反身下爬梯时，双手未抓牢跌落，臀部着地，造成尾椎骨骨折，损工三个月。</v>
      </c>
      <c r="E39" s="19" t="s">
        <v>303</v>
      </c>
      <c r="F39" s="23" t="s">
        <v>304</v>
      </c>
      <c r="G39" s="22" t="s">
        <v>63</v>
      </c>
      <c r="H39" s="19" t="s">
        <v>44</v>
      </c>
      <c r="I39" s="19" t="s">
        <v>45</v>
      </c>
      <c r="J39" s="19" t="s">
        <v>109</v>
      </c>
      <c r="K39" s="19" t="s">
        <v>132</v>
      </c>
      <c r="L39" s="19"/>
      <c r="M39" s="19" t="s">
        <v>121</v>
      </c>
      <c r="N39" s="19" t="s">
        <v>305</v>
      </c>
      <c r="O39" s="19"/>
      <c r="P39" s="19"/>
      <c r="Q39" s="19"/>
      <c r="R39" s="19" t="s">
        <v>306</v>
      </c>
      <c r="S39" s="19" t="s">
        <v>307</v>
      </c>
      <c r="T39" s="19" t="s">
        <v>53</v>
      </c>
      <c r="U39" s="19" t="s">
        <v>80</v>
      </c>
      <c r="V39" s="19" t="s">
        <v>55</v>
      </c>
      <c r="W39" s="19" t="s">
        <v>81</v>
      </c>
      <c r="X39" s="19"/>
      <c r="Y39" s="19"/>
      <c r="Z39" s="19"/>
      <c r="AA39" s="19">
        <v>0</v>
      </c>
      <c r="AB39" s="19"/>
      <c r="AC39" s="19" t="s">
        <v>308</v>
      </c>
      <c r="AD39" s="19"/>
      <c r="AE39" s="19"/>
      <c r="AF39" s="19"/>
    </row>
    <row r="40" spans="1:34">
      <c r="A40" s="19">
        <v>35</v>
      </c>
      <c r="B40" s="19" t="s">
        <v>295</v>
      </c>
      <c r="C40" s="19" t="s">
        <v>309</v>
      </c>
      <c r="D40" s="19" t="str">
        <f>HYPERLINK("http://www.henontech.com/fieldsafety/harzard/harzard_show.php?rid=1700&amp;url=harzardrecs.php","1号厂变室内轴流风扇控制线电缆破损电压为380伏，一名人员在未断开电源时违章操作擦拭轴流风扇造成触电死亡")</f>
        <v>1号厂变室内轴流风扇控制线电缆破损电压为380伏，一名人员在未断开电源时违章操作擦拭轴流风扇造成触电死亡</v>
      </c>
      <c r="E40" s="19" t="s">
        <v>310</v>
      </c>
      <c r="F40" s="23" t="s">
        <v>304</v>
      </c>
      <c r="G40" s="22" t="s">
        <v>63</v>
      </c>
      <c r="H40" s="19" t="s">
        <v>44</v>
      </c>
      <c r="I40" s="19" t="s">
        <v>45</v>
      </c>
      <c r="J40" s="19" t="s">
        <v>311</v>
      </c>
      <c r="K40" s="19"/>
      <c r="L40" s="19"/>
      <c r="M40" s="19" t="s">
        <v>121</v>
      </c>
      <c r="N40" s="19" t="s">
        <v>312</v>
      </c>
      <c r="O40" s="19"/>
      <c r="P40" s="19"/>
      <c r="Q40" s="19"/>
      <c r="R40" s="19" t="s">
        <v>313</v>
      </c>
      <c r="S40" s="19" t="s">
        <v>307</v>
      </c>
      <c r="T40" s="19" t="s">
        <v>53</v>
      </c>
      <c r="U40" s="19" t="s">
        <v>236</v>
      </c>
      <c r="V40" s="19" t="s">
        <v>55</v>
      </c>
      <c r="W40" s="19" t="s">
        <v>70</v>
      </c>
      <c r="X40" s="19"/>
      <c r="Y40" s="19"/>
      <c r="Z40" s="19"/>
      <c r="AA40" s="19">
        <v>0</v>
      </c>
      <c r="AB40" s="19"/>
      <c r="AC40" s="19" t="s">
        <v>308</v>
      </c>
      <c r="AD40" s="19"/>
      <c r="AE40" s="19"/>
      <c r="AF40" s="19"/>
    </row>
    <row r="41" spans="1:34">
      <c r="A41" s="19">
        <v>36</v>
      </c>
      <c r="B41" s="19" t="s">
        <v>295</v>
      </c>
      <c r="C41" s="19" t="s">
        <v>252</v>
      </c>
      <c r="D41" s="19" t="str">
        <f>HYPERLINK("http://www.henontech.com/fieldsafety/harzard/harzard_show.php?rid=1703&amp;url=harzardrecs.php","地下室潜水泵电源线裸露，一名员工在冲洗地下室，水溅起喷落到裸露电线处导致连电，造成人员腿部处被电击穿，住院治疗，损工二个月。")</f>
        <v>地下室潜水泵电源线裸露，一名员工在冲洗地下室，水溅起喷落到裸露电线处导致连电，造成人员腿部处被电击穿，住院治疗，损工二个月。</v>
      </c>
      <c r="E41" s="19" t="s">
        <v>314</v>
      </c>
      <c r="F41" s="20" t="s">
        <v>42</v>
      </c>
      <c r="G41" s="22" t="s">
        <v>63</v>
      </c>
      <c r="H41" s="19" t="s">
        <v>44</v>
      </c>
      <c r="I41" s="19" t="s">
        <v>120</v>
      </c>
      <c r="J41" s="19" t="s">
        <v>46</v>
      </c>
      <c r="K41" s="19"/>
      <c r="L41" s="19"/>
      <c r="M41" s="19" t="s">
        <v>121</v>
      </c>
      <c r="N41" s="19" t="s">
        <v>315</v>
      </c>
      <c r="O41" s="19" t="s">
        <v>121</v>
      </c>
      <c r="P41" s="19" t="s">
        <v>316</v>
      </c>
      <c r="Q41" s="19" t="s">
        <v>290</v>
      </c>
      <c r="R41" s="19" t="s">
        <v>255</v>
      </c>
      <c r="S41" s="19" t="s">
        <v>317</v>
      </c>
      <c r="T41" s="19" t="s">
        <v>53</v>
      </c>
      <c r="U41" s="19" t="s">
        <v>80</v>
      </c>
      <c r="V41" s="19" t="s">
        <v>97</v>
      </c>
      <c r="W41" s="19" t="s">
        <v>70</v>
      </c>
      <c r="X41" s="19" t="s">
        <v>154</v>
      </c>
      <c r="Y41" s="19"/>
      <c r="Z41" s="19" t="s">
        <v>318</v>
      </c>
      <c r="AA41" s="19">
        <v>1</v>
      </c>
      <c r="AB41" s="19">
        <v>1</v>
      </c>
      <c r="AC41" s="19" t="s">
        <v>58</v>
      </c>
      <c r="AD41" s="19" t="s">
        <v>316</v>
      </c>
      <c r="AE41" s="19" t="s">
        <v>319</v>
      </c>
      <c r="AF41" s="19"/>
    </row>
    <row r="42" spans="1:34" customHeight="1" ht="42">
      <c r="A42" s="19">
        <v>37</v>
      </c>
      <c r="B42" s="19" t="s">
        <v>295</v>
      </c>
      <c r="C42" s="19" t="s">
        <v>320</v>
      </c>
      <c r="D42" s="19" t="str">
        <f>HYPERLINK("http://www.henontech.com/fieldsafety/harzard/harzard_show.php?rid=1704&amp;url=harzardrecs.php","维修冰机时，一人未佩戴防护面具，如有氨气泄露，易刺激口、鼻、眼")</f>
        <v>维修冰机时，一人未佩戴防护面具，如有氨气泄露，易刺激口、鼻、眼</v>
      </c>
      <c r="E42" s="19" t="s">
        <v>321</v>
      </c>
      <c r="F42" s="20" t="s">
        <v>42</v>
      </c>
      <c r="G42" s="24" t="s">
        <v>322</v>
      </c>
      <c r="H42" s="19" t="s">
        <v>44</v>
      </c>
      <c r="I42" s="19" t="s">
        <v>120</v>
      </c>
      <c r="J42" s="19" t="s">
        <v>109</v>
      </c>
      <c r="K42" s="19" t="s">
        <v>64</v>
      </c>
      <c r="L42" s="19" t="s">
        <v>323</v>
      </c>
      <c r="M42" s="19" t="s">
        <v>224</v>
      </c>
      <c r="N42" s="19" t="s">
        <v>324</v>
      </c>
      <c r="O42" s="19" t="s">
        <v>224</v>
      </c>
      <c r="P42" s="19" t="s">
        <v>282</v>
      </c>
      <c r="Q42" s="19" t="s">
        <v>325</v>
      </c>
      <c r="R42" s="19" t="s">
        <v>326</v>
      </c>
      <c r="S42" s="19"/>
      <c r="T42" s="19" t="s">
        <v>53</v>
      </c>
      <c r="U42" s="19" t="s">
        <v>202</v>
      </c>
      <c r="V42" s="19" t="s">
        <v>69</v>
      </c>
      <c r="W42" s="19" t="s">
        <v>56</v>
      </c>
      <c r="X42" s="19" t="s">
        <v>126</v>
      </c>
      <c r="Y42" s="19" t="s">
        <v>126</v>
      </c>
      <c r="Z42" s="19" t="s">
        <v>327</v>
      </c>
      <c r="AA42" s="19">
        <v>2</v>
      </c>
      <c r="AB42" s="19">
        <v>2</v>
      </c>
      <c r="AC42" s="19" t="s">
        <v>58</v>
      </c>
      <c r="AD42" s="19" t="s">
        <v>282</v>
      </c>
      <c r="AE42" s="19" t="s">
        <v>158</v>
      </c>
      <c r="AF42" s="19" t="s">
        <v>328</v>
      </c>
    </row>
    <row r="43" spans="1:34">
      <c r="A43" s="19">
        <v>38</v>
      </c>
      <c r="B43" s="19" t="s">
        <v>295</v>
      </c>
      <c r="C43" s="19" t="s">
        <v>329</v>
      </c>
      <c r="D43" s="19" t="str">
        <f>HYPERLINK("http://www.henontech.com/fieldsafety/harzard/harzard_show.php?rid=1705&amp;url=harzardrecs.php","初冷器平台3号初冷器接地线翘起，一名操作工在夜间冲洗初冷器经过此处时，不慎绊倒，造成操作工左手腕扭伤，在家休班一天的损工事故")</f>
        <v>初冷器平台3号初冷器接地线翘起，一名操作工在夜间冲洗初冷器经过此处时，不慎绊倒，造成操作工左手腕扭伤，在家休班一天的损工事故</v>
      </c>
      <c r="E43" s="19" t="s">
        <v>330</v>
      </c>
      <c r="F43" s="20" t="s">
        <v>42</v>
      </c>
      <c r="G43" s="22" t="s">
        <v>63</v>
      </c>
      <c r="H43" s="19" t="s">
        <v>44</v>
      </c>
      <c r="I43" s="19"/>
      <c r="J43" s="19" t="s">
        <v>46</v>
      </c>
      <c r="K43" s="19" t="s">
        <v>47</v>
      </c>
      <c r="L43" s="19" t="s">
        <v>76</v>
      </c>
      <c r="M43" s="19" t="s">
        <v>48</v>
      </c>
      <c r="N43" s="19" t="s">
        <v>331</v>
      </c>
      <c r="O43" s="19" t="s">
        <v>48</v>
      </c>
      <c r="P43" s="19" t="s">
        <v>50</v>
      </c>
      <c r="Q43" s="19" t="s">
        <v>299</v>
      </c>
      <c r="R43" s="19" t="s">
        <v>332</v>
      </c>
      <c r="S43" s="19"/>
      <c r="T43" s="19" t="s">
        <v>53</v>
      </c>
      <c r="U43" s="19" t="s">
        <v>80</v>
      </c>
      <c r="V43" s="19" t="s">
        <v>97</v>
      </c>
      <c r="W43" s="19" t="s">
        <v>70</v>
      </c>
      <c r="X43" s="19"/>
      <c r="Y43" s="19"/>
      <c r="Z43" s="19" t="s">
        <v>333</v>
      </c>
      <c r="AA43" s="19">
        <v>1</v>
      </c>
      <c r="AB43" s="19">
        <v>1</v>
      </c>
      <c r="AC43" s="19" t="s">
        <v>58</v>
      </c>
      <c r="AD43" s="19" t="s">
        <v>50</v>
      </c>
      <c r="AE43" s="19" t="s">
        <v>72</v>
      </c>
      <c r="AF43" s="19"/>
    </row>
    <row r="44" spans="1:34">
      <c r="A44" s="19">
        <v>39</v>
      </c>
      <c r="B44" s="19" t="s">
        <v>295</v>
      </c>
      <c r="C44" s="19" t="s">
        <v>273</v>
      </c>
      <c r="D44" s="19" t="str">
        <f>HYPERLINK("http://www.henontech.com/fieldsafety/harzard/harzard_show.php?rid=1709&amp;url=harzardrecs.php","三万气柜入口一个置换阀门法兰处螺丝松动漏气，一名操作人员巡检路过时中毒晕倒")</f>
        <v>三万气柜入口一个置换阀门法兰处螺丝松动漏气，一名操作人员巡检路过时中毒晕倒</v>
      </c>
      <c r="E44" s="19" t="s">
        <v>334</v>
      </c>
      <c r="F44" s="20" t="s">
        <v>42</v>
      </c>
      <c r="G44" s="22" t="s">
        <v>63</v>
      </c>
      <c r="H44" s="19" t="s">
        <v>44</v>
      </c>
      <c r="I44" s="19" t="s">
        <v>45</v>
      </c>
      <c r="J44" s="19" t="s">
        <v>46</v>
      </c>
      <c r="K44" s="19" t="s">
        <v>110</v>
      </c>
      <c r="L44" s="19" t="s">
        <v>76</v>
      </c>
      <c r="M44" s="19" t="s">
        <v>224</v>
      </c>
      <c r="N44" s="19" t="s">
        <v>335</v>
      </c>
      <c r="O44" s="19" t="s">
        <v>224</v>
      </c>
      <c r="P44" s="19" t="s">
        <v>336</v>
      </c>
      <c r="Q44" s="19" t="s">
        <v>83</v>
      </c>
      <c r="R44" s="19" t="s">
        <v>337</v>
      </c>
      <c r="S44" s="19"/>
      <c r="T44" s="19" t="s">
        <v>53</v>
      </c>
      <c r="U44" s="19" t="s">
        <v>80</v>
      </c>
      <c r="V44" s="19" t="s">
        <v>69</v>
      </c>
      <c r="W44" s="19" t="s">
        <v>190</v>
      </c>
      <c r="X44" s="19" t="s">
        <v>257</v>
      </c>
      <c r="Y44" s="19" t="s">
        <v>338</v>
      </c>
      <c r="Z44" s="19" t="s">
        <v>339</v>
      </c>
      <c r="AA44" s="19">
        <v>1</v>
      </c>
      <c r="AB44" s="19">
        <v>1</v>
      </c>
      <c r="AC44" s="19" t="s">
        <v>58</v>
      </c>
      <c r="AD44" s="19" t="s">
        <v>336</v>
      </c>
      <c r="AE44" s="19" t="s">
        <v>266</v>
      </c>
      <c r="AF44" s="19" t="s">
        <v>340</v>
      </c>
    </row>
    <row r="45" spans="1:34">
      <c r="A45" s="19">
        <v>40</v>
      </c>
      <c r="B45" s="19" t="s">
        <v>295</v>
      </c>
      <c r="C45" s="19" t="s">
        <v>309</v>
      </c>
      <c r="D45" s="19" t="str">
        <f>HYPERLINK("http://www.henontech.com/fieldsafety/harzard/harzard_show.php?rid=1710&amp;url=harzardrecs.php","脱硫泡沫泵操作伐附近地面一废槽钢高出地面约五厘米，当操作人员去操作伐门时不慎绊倒，造成右手腕轻微损伤。")</f>
        <v>脱硫泡沫泵操作伐附近地面一废槽钢高出地面约五厘米，当操作人员去操作伐门时不慎绊倒，造成右手腕轻微损伤。</v>
      </c>
      <c r="E45" s="19" t="s">
        <v>341</v>
      </c>
      <c r="F45" s="23" t="s">
        <v>304</v>
      </c>
      <c r="G45" s="22" t="s">
        <v>63</v>
      </c>
      <c r="H45" s="19" t="s">
        <v>44</v>
      </c>
      <c r="I45" s="19" t="s">
        <v>45</v>
      </c>
      <c r="J45" s="19"/>
      <c r="K45" s="19" t="s">
        <v>64</v>
      </c>
      <c r="L45" s="19" t="s">
        <v>76</v>
      </c>
      <c r="M45" s="19" t="s">
        <v>224</v>
      </c>
      <c r="N45" s="19" t="s">
        <v>342</v>
      </c>
      <c r="O45" s="19"/>
      <c r="P45" s="19"/>
      <c r="Q45" s="19"/>
      <c r="R45" s="19" t="s">
        <v>222</v>
      </c>
      <c r="S45" s="19" t="s">
        <v>343</v>
      </c>
      <c r="T45" s="19" t="s">
        <v>53</v>
      </c>
      <c r="U45" s="19" t="s">
        <v>54</v>
      </c>
      <c r="V45" s="19" t="s">
        <v>69</v>
      </c>
      <c r="W45" s="19" t="s">
        <v>70</v>
      </c>
      <c r="X45" s="19"/>
      <c r="Y45" s="19"/>
      <c r="Z45" s="19"/>
      <c r="AA45" s="19">
        <v>0</v>
      </c>
      <c r="AB45" s="19"/>
      <c r="AC45" s="19" t="s">
        <v>308</v>
      </c>
      <c r="AD45" s="19"/>
      <c r="AE45" s="19"/>
      <c r="AF45" s="19"/>
    </row>
    <row r="46" spans="1:34">
      <c r="A46" s="19">
        <v>41</v>
      </c>
      <c r="B46" s="19" t="s">
        <v>295</v>
      </c>
      <c r="C46" s="19" t="s">
        <v>130</v>
      </c>
      <c r="D46" s="19" t="str">
        <f>HYPERLINK("http://www.henontech.com/fieldsafety/harzard/harzard_show.php?rid=1711&amp;url=harzardrecs.php","北脱硫工段循环槽附近雨水收集坑未盖好盖板，假如一名操作人员夜间巡检因光线不好从此处经过时，操作人员不慎掉入雨水收集坑，造成脚腕扭伤，经简单处理后不影响工作。")</f>
        <v>北脱硫工段循环槽附近雨水收集坑未盖好盖板，假如一名操作人员夜间巡检因光线不好从此处经过时，操作人员不慎掉入雨水收集坑，造成脚腕扭伤，经简单处理后不影响工作。</v>
      </c>
      <c r="E46" s="19" t="s">
        <v>344</v>
      </c>
      <c r="F46" s="20" t="s">
        <v>42</v>
      </c>
      <c r="G46" s="22" t="s">
        <v>63</v>
      </c>
      <c r="H46" s="19" t="s">
        <v>44</v>
      </c>
      <c r="I46" s="19"/>
      <c r="J46" s="19" t="s">
        <v>46</v>
      </c>
      <c r="K46" s="19" t="s">
        <v>47</v>
      </c>
      <c r="L46" s="19"/>
      <c r="M46" s="19" t="s">
        <v>48</v>
      </c>
      <c r="N46" s="19" t="s">
        <v>345</v>
      </c>
      <c r="O46" s="19" t="s">
        <v>48</v>
      </c>
      <c r="P46" s="19" t="s">
        <v>50</v>
      </c>
      <c r="Q46" s="19" t="s">
        <v>299</v>
      </c>
      <c r="R46" s="19" t="s">
        <v>346</v>
      </c>
      <c r="S46" s="19"/>
      <c r="T46" s="19" t="s">
        <v>53</v>
      </c>
      <c r="U46" s="19" t="s">
        <v>54</v>
      </c>
      <c r="V46" s="19" t="s">
        <v>55</v>
      </c>
      <c r="W46" s="19" t="s">
        <v>56</v>
      </c>
      <c r="X46" s="19"/>
      <c r="Y46" s="19"/>
      <c r="Z46" s="19" t="s">
        <v>347</v>
      </c>
      <c r="AA46" s="19">
        <v>1</v>
      </c>
      <c r="AB46" s="19">
        <v>1</v>
      </c>
      <c r="AC46" s="19" t="s">
        <v>58</v>
      </c>
      <c r="AD46" s="19" t="s">
        <v>50</v>
      </c>
      <c r="AE46" s="19" t="s">
        <v>164</v>
      </c>
      <c r="AF46" s="19"/>
    </row>
    <row r="47" spans="1:34" customHeight="1" ht="42">
      <c r="A47" s="19">
        <v>42</v>
      </c>
      <c r="B47" s="19" t="s">
        <v>156</v>
      </c>
      <c r="C47" s="19" t="s">
        <v>168</v>
      </c>
      <c r="D47" s="19" t="str">
        <f>HYPERLINK("http://www.henontech.com/fieldsafety/harzard/harzard_show.php?rid=1712&amp;url=harzardrecs.php","焦三通廊入口旁有铁板，如果一名巡检工在巡检时不慎被铁板所拌，身体前倾，会造成脸部碰地擦伤，送医疗养四天后出院上班。")</f>
        <v>焦三通廊入口旁有铁板，如果一名巡检工在巡检时不慎被铁板所拌，身体前倾，会造成脸部碰地擦伤，送医疗养四天后出院上班。</v>
      </c>
      <c r="E47" s="19" t="s">
        <v>348</v>
      </c>
      <c r="F47" s="20" t="s">
        <v>42</v>
      </c>
      <c r="G47" s="22" t="s">
        <v>63</v>
      </c>
      <c r="H47" s="19" t="s">
        <v>44</v>
      </c>
      <c r="I47" s="19" t="s">
        <v>120</v>
      </c>
      <c r="J47" s="19" t="s">
        <v>349</v>
      </c>
      <c r="K47" s="19" t="s">
        <v>47</v>
      </c>
      <c r="L47" s="19"/>
      <c r="M47" s="19" t="s">
        <v>350</v>
      </c>
      <c r="N47" s="19" t="s">
        <v>351</v>
      </c>
      <c r="O47" s="19" t="s">
        <v>121</v>
      </c>
      <c r="P47" s="19" t="s">
        <v>352</v>
      </c>
      <c r="Q47" s="19" t="s">
        <v>353</v>
      </c>
      <c r="R47" s="19" t="s">
        <v>354</v>
      </c>
      <c r="S47" s="19"/>
      <c r="T47" s="19" t="s">
        <v>53</v>
      </c>
      <c r="U47" s="19" t="s">
        <v>80</v>
      </c>
      <c r="V47" s="19" t="s">
        <v>97</v>
      </c>
      <c r="W47" s="19" t="s">
        <v>70</v>
      </c>
      <c r="X47" s="19" t="s">
        <v>126</v>
      </c>
      <c r="Y47" s="19" t="s">
        <v>126</v>
      </c>
      <c r="Z47" s="19" t="s">
        <v>355</v>
      </c>
      <c r="AA47" s="19">
        <v>2</v>
      </c>
      <c r="AB47" s="19">
        <v>2</v>
      </c>
      <c r="AC47" s="19" t="s">
        <v>58</v>
      </c>
      <c r="AD47" s="19" t="s">
        <v>352</v>
      </c>
      <c r="AE47" s="19" t="s">
        <v>72</v>
      </c>
      <c r="AF47" s="19"/>
    </row>
    <row r="48" spans="1:34">
      <c r="A48" s="19">
        <v>43</v>
      </c>
      <c r="B48" s="19" t="s">
        <v>156</v>
      </c>
      <c r="C48" s="19" t="s">
        <v>356</v>
      </c>
      <c r="D48" s="19" t="str">
        <f>HYPERLINK("http://www.henontech.com/fieldsafety/harzard/harzard_show.php?rid=1713&amp;url=harzardrecs.php","打氧化剂泵子电机无接地线，接线套管未符合规定，操作人员在正常巡检设备运转情况时，因电机外壳漏电，操作人员在未带防护手套的情况下，导致右手手掌灼伤，右手手臂麻木无力，限工一天后复工")</f>
        <v>打氧化剂泵子电机无接地线，接线套管未符合规定，操作人员在正常巡检设备运转情况时，因电机外壳漏电，操作人员在未带防护手套的情况下，导致右手手掌灼伤，右手手臂麻木无力，限工一天后复工</v>
      </c>
      <c r="E48" s="19" t="s">
        <v>357</v>
      </c>
      <c r="F48" s="20" t="s">
        <v>42</v>
      </c>
      <c r="G48" s="22" t="s">
        <v>63</v>
      </c>
      <c r="H48" s="19" t="s">
        <v>44</v>
      </c>
      <c r="I48" s="19" t="s">
        <v>358</v>
      </c>
      <c r="J48" s="19" t="s">
        <v>311</v>
      </c>
      <c r="K48" s="19" t="s">
        <v>47</v>
      </c>
      <c r="L48" s="19"/>
      <c r="M48" s="19" t="s">
        <v>149</v>
      </c>
      <c r="N48" s="19" t="s">
        <v>359</v>
      </c>
      <c r="O48" s="19" t="s">
        <v>149</v>
      </c>
      <c r="P48" s="19" t="s">
        <v>151</v>
      </c>
      <c r="Q48" s="19" t="s">
        <v>270</v>
      </c>
      <c r="R48" s="19" t="s">
        <v>208</v>
      </c>
      <c r="S48" s="19"/>
      <c r="T48" s="19" t="s">
        <v>53</v>
      </c>
      <c r="U48" s="19" t="s">
        <v>80</v>
      </c>
      <c r="V48" s="19" t="s">
        <v>55</v>
      </c>
      <c r="W48" s="19" t="s">
        <v>81</v>
      </c>
      <c r="X48" s="19" t="s">
        <v>154</v>
      </c>
      <c r="Y48" s="19" t="s">
        <v>154</v>
      </c>
      <c r="Z48" s="19" t="s">
        <v>360</v>
      </c>
      <c r="AA48" s="19">
        <v>1</v>
      </c>
      <c r="AB48" s="19">
        <v>1</v>
      </c>
      <c r="AC48" s="19" t="s">
        <v>58</v>
      </c>
      <c r="AD48" s="19" t="s">
        <v>151</v>
      </c>
      <c r="AE48" s="19" t="s">
        <v>266</v>
      </c>
      <c r="AF48" s="19" t="s">
        <v>157</v>
      </c>
    </row>
    <row r="49" spans="1:34">
      <c r="A49" s="19">
        <v>44</v>
      </c>
      <c r="B49" s="19" t="s">
        <v>156</v>
      </c>
      <c r="C49" s="19" t="s">
        <v>361</v>
      </c>
      <c r="D49" s="19" t="str">
        <f>HYPERLINK("http://www.henontech.com/fieldsafety/harzard/harzard_show.php?rid=1714&amp;url=harzardrecs.php","掺配站皮带电机护罩破损，操作人员进行掺配作业时，因用力过猛将手深入破损窟窿内，被电机叶轮打伤手部，致使右手食指和中指骨折，住院治疗一个月，在家休养三个员，造成一人损工事故")</f>
        <v>掺配站皮带电机护罩破损，操作人员进行掺配作业时，因用力过猛将手深入破损窟窿内，被电机叶轮打伤手部，致使右手食指和中指骨折，住院治疗一个月，在家休养三个员，造成一人损工事故</v>
      </c>
      <c r="E49" s="19" t="s">
        <v>362</v>
      </c>
      <c r="F49" s="20" t="s">
        <v>42</v>
      </c>
      <c r="G49" s="22" t="s">
        <v>63</v>
      </c>
      <c r="H49" s="19" t="s">
        <v>44</v>
      </c>
      <c r="I49" s="19" t="s">
        <v>120</v>
      </c>
      <c r="J49" s="19" t="s">
        <v>109</v>
      </c>
      <c r="K49" s="19" t="s">
        <v>64</v>
      </c>
      <c r="L49" s="19"/>
      <c r="M49" s="19" t="s">
        <v>350</v>
      </c>
      <c r="N49" s="19" t="s">
        <v>363</v>
      </c>
      <c r="O49" s="19" t="s">
        <v>364</v>
      </c>
      <c r="P49" s="19" t="s">
        <v>365</v>
      </c>
      <c r="Q49" s="19" t="s">
        <v>139</v>
      </c>
      <c r="R49" s="19" t="s">
        <v>366</v>
      </c>
      <c r="S49" s="19"/>
      <c r="T49" s="19" t="s">
        <v>53</v>
      </c>
      <c r="U49" s="19" t="s">
        <v>80</v>
      </c>
      <c r="V49" s="19" t="s">
        <v>97</v>
      </c>
      <c r="W49" s="19" t="s">
        <v>70</v>
      </c>
      <c r="X49" s="19"/>
      <c r="Y49" s="19"/>
      <c r="Z49" s="19" t="s">
        <v>367</v>
      </c>
      <c r="AA49" s="19">
        <v>1</v>
      </c>
      <c r="AB49" s="19">
        <v>1</v>
      </c>
      <c r="AC49" s="19" t="s">
        <v>58</v>
      </c>
      <c r="AD49" s="19" t="s">
        <v>365</v>
      </c>
      <c r="AE49" s="19" t="s">
        <v>72</v>
      </c>
      <c r="AF49" s="19" t="s">
        <v>368</v>
      </c>
    </row>
    <row r="50" spans="1:34">
      <c r="A50" s="19">
        <v>45</v>
      </c>
      <c r="B50" s="19" t="s">
        <v>156</v>
      </c>
      <c r="C50" s="19" t="s">
        <v>369</v>
      </c>
      <c r="D50" s="19" t="str">
        <f>HYPERLINK("http://www.henontech.com/fieldsafety/harzard/harzard_show.php?rid=1718&amp;url=harzardrecs.php","操作人员在巡检中被高压氨水泵降温的轴流风扇触电，被岗位人员及时发现，迅速切断电源使伤者尽快脱离电源，操作人员在未带防护情况下手臂被击伤，住院治疗，损工一个月。")</f>
        <v>操作人员在巡检中被高压氨水泵降温的轴流风扇触电，被岗位人员及时发现，迅速切断电源使伤者尽快脱离电源，操作人员在未带防护情况下手臂被击伤，住院治疗，损工一个月。</v>
      </c>
      <c r="E50" s="19" t="s">
        <v>370</v>
      </c>
      <c r="F50" s="23" t="s">
        <v>304</v>
      </c>
      <c r="G50" s="22" t="s">
        <v>63</v>
      </c>
      <c r="H50" s="19" t="s">
        <v>44</v>
      </c>
      <c r="I50" s="19" t="s">
        <v>45</v>
      </c>
      <c r="J50" s="19" t="s">
        <v>311</v>
      </c>
      <c r="K50" s="19" t="s">
        <v>64</v>
      </c>
      <c r="L50" s="19"/>
      <c r="M50" s="19" t="s">
        <v>48</v>
      </c>
      <c r="N50" s="19" t="s">
        <v>371</v>
      </c>
      <c r="O50" s="19"/>
      <c r="P50" s="19"/>
      <c r="Q50" s="19"/>
      <c r="R50" s="19" t="s">
        <v>372</v>
      </c>
      <c r="S50" s="19" t="s">
        <v>373</v>
      </c>
      <c r="T50" s="19" t="s">
        <v>53</v>
      </c>
      <c r="U50" s="19" t="s">
        <v>54</v>
      </c>
      <c r="V50" s="19" t="s">
        <v>55</v>
      </c>
      <c r="W50" s="19" t="s">
        <v>56</v>
      </c>
      <c r="X50" s="19"/>
      <c r="Y50" s="19"/>
      <c r="Z50" s="19"/>
      <c r="AA50" s="19">
        <v>0</v>
      </c>
      <c r="AB50" s="19"/>
      <c r="AC50" s="19" t="s">
        <v>308</v>
      </c>
      <c r="AD50" s="19"/>
      <c r="AE50" s="19"/>
      <c r="AF50" s="19"/>
    </row>
    <row r="51" spans="1:34">
      <c r="A51" s="19">
        <v>46</v>
      </c>
      <c r="B51" s="19" t="s">
        <v>124</v>
      </c>
      <c r="C51" s="19" t="s">
        <v>374</v>
      </c>
      <c r="D51" s="19" t="str">
        <f>HYPERLINK("http://www.henontech.com/fieldsafety/harzard/harzard_show.php?rid=1719&amp;url=harzardrecs.php","地磅改造后，电缆地槽盖板未及时加装，一名员工在清理地磅周围卫生时不慎右脚踩空跌倒，送往医院检查为右脚腕脱臼，经医生将脱臼处复位后回家休养一周后复工")</f>
        <v>地磅改造后，电缆地槽盖板未及时加装，一名员工在清理地磅周围卫生时不慎右脚踩空跌倒，送往医院检查为右脚腕脱臼，经医生将脱臼处复位后回家休养一周后复工</v>
      </c>
      <c r="E51" s="19" t="s">
        <v>375</v>
      </c>
      <c r="F51" s="20" t="s">
        <v>42</v>
      </c>
      <c r="G51" s="21" t="s">
        <v>43</v>
      </c>
      <c r="H51" s="19" t="s">
        <v>44</v>
      </c>
      <c r="I51" s="19" t="s">
        <v>45</v>
      </c>
      <c r="J51" s="19" t="s">
        <v>46</v>
      </c>
      <c r="K51" s="19" t="s">
        <v>47</v>
      </c>
      <c r="L51" s="19"/>
      <c r="M51" s="19" t="s">
        <v>364</v>
      </c>
      <c r="N51" s="19" t="s">
        <v>376</v>
      </c>
      <c r="O51" s="19" t="s">
        <v>364</v>
      </c>
      <c r="P51" s="19" t="s">
        <v>377</v>
      </c>
      <c r="Q51" s="19" t="s">
        <v>72</v>
      </c>
      <c r="R51" s="19" t="s">
        <v>378</v>
      </c>
      <c r="S51" s="19"/>
      <c r="T51" s="19" t="s">
        <v>53</v>
      </c>
      <c r="U51" s="19" t="s">
        <v>54</v>
      </c>
      <c r="V51" s="19" t="s">
        <v>97</v>
      </c>
      <c r="W51" s="19" t="s">
        <v>81</v>
      </c>
      <c r="X51" s="19" t="s">
        <v>258</v>
      </c>
      <c r="Y51" s="19" t="s">
        <v>258</v>
      </c>
      <c r="Z51" s="19" t="s">
        <v>379</v>
      </c>
      <c r="AA51" s="19">
        <v>1</v>
      </c>
      <c r="AB51" s="19">
        <v>1</v>
      </c>
      <c r="AC51" s="19" t="s">
        <v>58</v>
      </c>
      <c r="AD51" s="19" t="s">
        <v>377</v>
      </c>
      <c r="AE51" s="19" t="s">
        <v>72</v>
      </c>
      <c r="AF51" s="19"/>
    </row>
    <row r="52" spans="1:34">
      <c r="A52" s="19">
        <v>47</v>
      </c>
      <c r="B52" s="19" t="s">
        <v>124</v>
      </c>
      <c r="C52" s="19" t="s">
        <v>147</v>
      </c>
      <c r="D52" s="19" t="str">
        <f>HYPERLINK("http://www.henontech.com/fieldsafety/harzard/harzard_show.php?rid=1720&amp;url=harzardrecs.php","加药间废弃的阀门太低，外来人来卸药时需要用清水，进去开阀门时由于空间太窄正好被废弃的阀门碰到头，造成头部磕伤")</f>
        <v>加药间废弃的阀门太低，外来人来卸药时需要用清水，进去开阀门时由于空间太窄正好被废弃的阀门碰到头，造成头部磕伤</v>
      </c>
      <c r="E52" s="19" t="s">
        <v>380</v>
      </c>
      <c r="F52" s="20" t="s">
        <v>42</v>
      </c>
      <c r="G52" s="22" t="s">
        <v>63</v>
      </c>
      <c r="H52" s="19" t="s">
        <v>44</v>
      </c>
      <c r="I52" s="19" t="s">
        <v>45</v>
      </c>
      <c r="J52" s="19" t="s">
        <v>349</v>
      </c>
      <c r="K52" s="19" t="s">
        <v>64</v>
      </c>
      <c r="L52" s="19" t="s">
        <v>76</v>
      </c>
      <c r="M52" s="19" t="s">
        <v>149</v>
      </c>
      <c r="N52" s="19" t="s">
        <v>150</v>
      </c>
      <c r="O52" s="19" t="s">
        <v>149</v>
      </c>
      <c r="P52" s="19" t="s">
        <v>151</v>
      </c>
      <c r="Q52" s="19" t="s">
        <v>353</v>
      </c>
      <c r="R52" s="19" t="s">
        <v>381</v>
      </c>
      <c r="S52" s="19"/>
      <c r="T52" s="19" t="s">
        <v>53</v>
      </c>
      <c r="U52" s="19" t="s">
        <v>202</v>
      </c>
      <c r="V52" s="19" t="s">
        <v>69</v>
      </c>
      <c r="W52" s="19" t="s">
        <v>56</v>
      </c>
      <c r="X52" s="19" t="s">
        <v>154</v>
      </c>
      <c r="Y52" s="19" t="s">
        <v>154</v>
      </c>
      <c r="Z52" s="19" t="s">
        <v>382</v>
      </c>
      <c r="AA52" s="19">
        <v>1</v>
      </c>
      <c r="AB52" s="19">
        <v>1</v>
      </c>
      <c r="AC52" s="19" t="s">
        <v>58</v>
      </c>
      <c r="AD52" s="19" t="s">
        <v>151</v>
      </c>
      <c r="AE52" s="19" t="s">
        <v>383</v>
      </c>
      <c r="AF52" s="19"/>
    </row>
    <row r="53" spans="1:34">
      <c r="A53" s="19">
        <v>48</v>
      </c>
      <c r="B53" s="19" t="s">
        <v>266</v>
      </c>
      <c r="C53" s="19" t="s">
        <v>384</v>
      </c>
      <c r="D53" s="19" t="str">
        <f>HYPERLINK("http://www.henontech.com/fieldsafety/harzard/harzard_show.php?rid=1721&amp;url=harzardrecs.php","在离地面2.5米的风机下液管阀门处，爬梯无警示标志，如果一名操作工在上下爬梯作业时未抓牢，不慎踩空跌落，造成左腿骨折，住院治疗一个月出院。")</f>
        <v>在离地面2.5米的风机下液管阀门处，爬梯无警示标志，如果一名操作工在上下爬梯作业时未抓牢，不慎踩空跌落，造成左腿骨折，住院治疗一个月出院。</v>
      </c>
      <c r="E53" s="19" t="s">
        <v>385</v>
      </c>
      <c r="F53" s="20" t="s">
        <v>42</v>
      </c>
      <c r="G53" s="22" t="s">
        <v>63</v>
      </c>
      <c r="H53" s="19" t="s">
        <v>44</v>
      </c>
      <c r="I53" s="19"/>
      <c r="J53" s="19" t="s">
        <v>386</v>
      </c>
      <c r="K53" s="19" t="s">
        <v>110</v>
      </c>
      <c r="L53" s="19" t="s">
        <v>76</v>
      </c>
      <c r="M53" s="19" t="s">
        <v>48</v>
      </c>
      <c r="N53" s="19" t="s">
        <v>387</v>
      </c>
      <c r="O53" s="19" t="s">
        <v>48</v>
      </c>
      <c r="P53" s="19" t="s">
        <v>50</v>
      </c>
      <c r="Q53" s="19" t="s">
        <v>353</v>
      </c>
      <c r="R53" s="19" t="s">
        <v>388</v>
      </c>
      <c r="S53" s="19"/>
      <c r="T53" s="19" t="s">
        <v>53</v>
      </c>
      <c r="U53" s="19" t="s">
        <v>80</v>
      </c>
      <c r="V53" s="19" t="s">
        <v>97</v>
      </c>
      <c r="W53" s="19" t="s">
        <v>70</v>
      </c>
      <c r="X53" s="19"/>
      <c r="Y53" s="19"/>
      <c r="Z53" s="19" t="s">
        <v>389</v>
      </c>
      <c r="AA53" s="19">
        <v>1</v>
      </c>
      <c r="AB53" s="19">
        <v>1</v>
      </c>
      <c r="AC53" s="19" t="s">
        <v>58</v>
      </c>
      <c r="AD53" s="19" t="s">
        <v>50</v>
      </c>
      <c r="AE53" s="19" t="s">
        <v>143</v>
      </c>
      <c r="AF53" s="19"/>
    </row>
    <row r="54" spans="1:34">
      <c r="A54" s="19">
        <v>49</v>
      </c>
      <c r="B54" s="19" t="s">
        <v>266</v>
      </c>
      <c r="C54" s="19" t="s">
        <v>61</v>
      </c>
      <c r="D54" s="19" t="str">
        <f>HYPERLINK("http://www.henontech.com/fieldsafety/harzard/harzard_show.php?rid=1723&amp;url=harzardrecs.php","一名操作工，巡检过程中发现打药管线与支架脱离，管线长12m。如果长时间发现不了会造成管道法兰与阀门脱离，药剂喷出，造成环保事故。")</f>
        <v>一名操作工，巡检过程中发现打药管线与支架脱离，管线长12m。如果长时间发现不了会造成管道法兰与阀门脱离，药剂喷出，造成环保事故。</v>
      </c>
      <c r="E54" s="19" t="s">
        <v>390</v>
      </c>
      <c r="F54" s="20" t="s">
        <v>42</v>
      </c>
      <c r="G54" s="22" t="s">
        <v>63</v>
      </c>
      <c r="H54" s="19" t="s">
        <v>44</v>
      </c>
      <c r="I54" s="19" t="s">
        <v>45</v>
      </c>
      <c r="J54" s="19" t="s">
        <v>109</v>
      </c>
      <c r="K54" s="19" t="s">
        <v>47</v>
      </c>
      <c r="L54" s="19"/>
      <c r="M54" s="19" t="s">
        <v>48</v>
      </c>
      <c r="N54" s="19" t="s">
        <v>391</v>
      </c>
      <c r="O54" s="19" t="s">
        <v>48</v>
      </c>
      <c r="P54" s="19" t="s">
        <v>50</v>
      </c>
      <c r="Q54" s="19" t="s">
        <v>290</v>
      </c>
      <c r="R54" s="19" t="s">
        <v>392</v>
      </c>
      <c r="S54" s="19"/>
      <c r="T54" s="19" t="s">
        <v>393</v>
      </c>
      <c r="U54" s="19" t="s">
        <v>202</v>
      </c>
      <c r="V54" s="19" t="s">
        <v>203</v>
      </c>
      <c r="W54" s="19" t="s">
        <v>56</v>
      </c>
      <c r="X54" s="19"/>
      <c r="Y54" s="19"/>
      <c r="Z54" s="19" t="s">
        <v>394</v>
      </c>
      <c r="AA54" s="19">
        <v>1</v>
      </c>
      <c r="AB54" s="19">
        <v>1</v>
      </c>
      <c r="AC54" s="19" t="s">
        <v>58</v>
      </c>
      <c r="AD54" s="19" t="s">
        <v>50</v>
      </c>
      <c r="AE54" s="19" t="s">
        <v>72</v>
      </c>
      <c r="AF54" s="19"/>
    </row>
    <row r="55" spans="1:34">
      <c r="A55" s="19">
        <v>50</v>
      </c>
      <c r="B55" s="19" t="s">
        <v>266</v>
      </c>
      <c r="C55" s="19" t="s">
        <v>194</v>
      </c>
      <c r="D55" s="19" t="str">
        <f>HYPERLINK("http://www.henontech.com/fieldsafety/harzard/harzard_show.php?rid=1725&amp;url=harzardrecs.php","蒸汽管道放空阀缺失螺栓一枚，一名操作工在蒸汽放空的过程中，被蒸汽烫伤腿部，送往医院治疗，一周后康复出院。")</f>
        <v>蒸汽管道放空阀缺失螺栓一枚，一名操作工在蒸汽放空的过程中，被蒸汽烫伤腿部，送往医院治疗，一周后康复出院。</v>
      </c>
      <c r="E55" s="19" t="s">
        <v>395</v>
      </c>
      <c r="F55" s="20" t="s">
        <v>42</v>
      </c>
      <c r="G55" s="22" t="s">
        <v>63</v>
      </c>
      <c r="H55" s="19" t="s">
        <v>44</v>
      </c>
      <c r="I55" s="19" t="s">
        <v>45</v>
      </c>
      <c r="J55" s="19" t="s">
        <v>46</v>
      </c>
      <c r="K55" s="19" t="s">
        <v>110</v>
      </c>
      <c r="L55" s="19" t="s">
        <v>76</v>
      </c>
      <c r="M55" s="19" t="s">
        <v>48</v>
      </c>
      <c r="N55" s="19" t="s">
        <v>396</v>
      </c>
      <c r="O55" s="19" t="s">
        <v>48</v>
      </c>
      <c r="P55" s="19" t="s">
        <v>50</v>
      </c>
      <c r="Q55" s="19" t="s">
        <v>290</v>
      </c>
      <c r="R55" s="19" t="s">
        <v>397</v>
      </c>
      <c r="S55" s="19"/>
      <c r="T55" s="19" t="s">
        <v>53</v>
      </c>
      <c r="U55" s="19" t="s">
        <v>80</v>
      </c>
      <c r="V55" s="19" t="s">
        <v>97</v>
      </c>
      <c r="W55" s="19" t="s">
        <v>70</v>
      </c>
      <c r="X55" s="19"/>
      <c r="Y55" s="19"/>
      <c r="Z55" s="19" t="s">
        <v>398</v>
      </c>
      <c r="AA55" s="19">
        <v>1</v>
      </c>
      <c r="AB55" s="19">
        <v>1</v>
      </c>
      <c r="AC55" s="19" t="s">
        <v>58</v>
      </c>
      <c r="AD55" s="19" t="s">
        <v>50</v>
      </c>
      <c r="AE55" s="19" t="s">
        <v>72</v>
      </c>
      <c r="AF55" s="19"/>
    </row>
    <row r="56" spans="1:34">
      <c r="A56" s="19">
        <v>51</v>
      </c>
      <c r="B56" s="19" t="s">
        <v>266</v>
      </c>
      <c r="C56" s="19" t="s">
        <v>399</v>
      </c>
      <c r="D56" s="19" t="str">
        <f>HYPERLINK("http://www.henontech.com/fieldsafety/harzard/harzard_show.php?rid=1727&amp;url=harzardrecs.php","东硫铵二楼成品料仓人孔盖未封堵，假如一操作人员巡检时经管道绊倒掉入料仓内，导致右腿骨折，住院治疗一月后出院，在家休养三个月康复，造成一人损工事故。")</f>
        <v>东硫铵二楼成品料仓人孔盖未封堵，假如一操作人员巡检时经管道绊倒掉入料仓内，导致右腿骨折，住院治疗一月后出院，在家休养三个月康复，造成一人损工事故。</v>
      </c>
      <c r="E56" s="19" t="s">
        <v>400</v>
      </c>
      <c r="F56" s="20" t="s">
        <v>42</v>
      </c>
      <c r="G56" s="22" t="s">
        <v>63</v>
      </c>
      <c r="H56" s="19" t="s">
        <v>44</v>
      </c>
      <c r="I56" s="19" t="s">
        <v>45</v>
      </c>
      <c r="J56" s="19" t="s">
        <v>46</v>
      </c>
      <c r="K56" s="19" t="s">
        <v>64</v>
      </c>
      <c r="L56" s="19"/>
      <c r="M56" s="19" t="s">
        <v>48</v>
      </c>
      <c r="N56" s="19" t="s">
        <v>401</v>
      </c>
      <c r="O56" s="19" t="s">
        <v>48</v>
      </c>
      <c r="P56" s="19" t="s">
        <v>50</v>
      </c>
      <c r="Q56" s="19" t="s">
        <v>290</v>
      </c>
      <c r="R56" s="19" t="s">
        <v>402</v>
      </c>
      <c r="S56" s="19"/>
      <c r="T56" s="19" t="s">
        <v>53</v>
      </c>
      <c r="U56" s="19" t="s">
        <v>80</v>
      </c>
      <c r="V56" s="19" t="s">
        <v>97</v>
      </c>
      <c r="W56" s="19" t="s">
        <v>70</v>
      </c>
      <c r="X56" s="19"/>
      <c r="Y56" s="19"/>
      <c r="Z56" s="19" t="s">
        <v>403</v>
      </c>
      <c r="AA56" s="19">
        <v>1</v>
      </c>
      <c r="AB56" s="19">
        <v>1</v>
      </c>
      <c r="AC56" s="19" t="s">
        <v>58</v>
      </c>
      <c r="AD56" s="19" t="s">
        <v>50</v>
      </c>
      <c r="AE56" s="19" t="s">
        <v>72</v>
      </c>
      <c r="AF56" s="19"/>
    </row>
    <row r="57" spans="1:34">
      <c r="A57" s="19">
        <v>52</v>
      </c>
      <c r="B57" s="19" t="s">
        <v>266</v>
      </c>
      <c r="C57" s="19" t="s">
        <v>369</v>
      </c>
      <c r="D57" s="19" t="str">
        <f>HYPERLINK("http://www.henontech.com/fieldsafety/harzard/harzard_show.php?rid=1728&amp;url=harzardrecs.php","南冷凝罐群内管道没有设立便于行走的安全平台，如果岗位操作人员在工作时不小心被管道绊倒造成腿部受伤，经过处理后没有影响工作。")</f>
        <v>南冷凝罐群内管道没有设立便于行走的安全平台，如果岗位操作人员在工作时不小心被管道绊倒造成腿部受伤，经过处理后没有影响工作。</v>
      </c>
      <c r="E57" s="19" t="s">
        <v>404</v>
      </c>
      <c r="F57" s="20" t="s">
        <v>42</v>
      </c>
      <c r="G57" s="22" t="s">
        <v>63</v>
      </c>
      <c r="H57" s="19" t="s">
        <v>44</v>
      </c>
      <c r="I57" s="19"/>
      <c r="J57" s="19" t="s">
        <v>46</v>
      </c>
      <c r="K57" s="19" t="s">
        <v>47</v>
      </c>
      <c r="L57" s="19"/>
      <c r="M57" s="19" t="s">
        <v>48</v>
      </c>
      <c r="N57" s="19" t="s">
        <v>405</v>
      </c>
      <c r="O57" s="19" t="s">
        <v>48</v>
      </c>
      <c r="P57" s="19" t="s">
        <v>50</v>
      </c>
      <c r="Q57" s="19" t="s">
        <v>290</v>
      </c>
      <c r="R57" s="19" t="s">
        <v>406</v>
      </c>
      <c r="S57" s="19"/>
      <c r="T57" s="19" t="s">
        <v>53</v>
      </c>
      <c r="U57" s="19" t="s">
        <v>54</v>
      </c>
      <c r="V57" s="19" t="s">
        <v>55</v>
      </c>
      <c r="W57" s="19" t="s">
        <v>56</v>
      </c>
      <c r="X57" s="19"/>
      <c r="Y57" s="19"/>
      <c r="Z57" s="19" t="s">
        <v>407</v>
      </c>
      <c r="AA57" s="19">
        <v>1</v>
      </c>
      <c r="AB57" s="19">
        <v>1</v>
      </c>
      <c r="AC57" s="19" t="s">
        <v>58</v>
      </c>
      <c r="AD57" s="19" t="s">
        <v>50</v>
      </c>
      <c r="AE57" s="19" t="s">
        <v>59</v>
      </c>
      <c r="AF57" s="19"/>
    </row>
    <row r="58" spans="1:34">
      <c r="A58" s="19">
        <v>53</v>
      </c>
      <c r="B58" s="19" t="s">
        <v>72</v>
      </c>
      <c r="C58" s="19" t="s">
        <v>408</v>
      </c>
      <c r="D58" s="19" t="str">
        <f>HYPERLINK("http://www.henontech.com/fieldsafety/harzard/harzard_show.php?rid=1729&amp;url=harzardrecs.php","一名操作工在脱硫塔处爬梯平台上开阀门，因爬梯上未挂上下爬梯注意安全警示标识，易造成人员思想上麻痹大意。操作人员在上下爬梯时不注意，可能会造成踩蹭滑落摔伤右腿脚踝。")</f>
        <v>一名操作工在脱硫塔处爬梯平台上开阀门，因爬梯上未挂上下爬梯注意安全警示标识，易造成人员思想上麻痹大意。操作人员在上下爬梯时不注意，可能会造成踩蹭滑落摔伤右腿脚踝。</v>
      </c>
      <c r="E58" s="19" t="s">
        <v>409</v>
      </c>
      <c r="F58" s="20" t="s">
        <v>42</v>
      </c>
      <c r="G58" s="22" t="s">
        <v>63</v>
      </c>
      <c r="H58" s="19" t="s">
        <v>44</v>
      </c>
      <c r="I58" s="19" t="s">
        <v>45</v>
      </c>
      <c r="J58" s="19" t="s">
        <v>386</v>
      </c>
      <c r="K58" s="19" t="s">
        <v>132</v>
      </c>
      <c r="L58" s="19" t="s">
        <v>76</v>
      </c>
      <c r="M58" s="19" t="s">
        <v>48</v>
      </c>
      <c r="N58" s="19" t="s">
        <v>65</v>
      </c>
      <c r="O58" s="19" t="s">
        <v>48</v>
      </c>
      <c r="P58" s="19" t="s">
        <v>50</v>
      </c>
      <c r="Q58" s="19" t="s">
        <v>290</v>
      </c>
      <c r="R58" s="19" t="s">
        <v>410</v>
      </c>
      <c r="S58" s="19"/>
      <c r="T58" s="19" t="s">
        <v>53</v>
      </c>
      <c r="U58" s="19" t="s">
        <v>80</v>
      </c>
      <c r="V58" s="19" t="s">
        <v>97</v>
      </c>
      <c r="W58" s="19" t="s">
        <v>70</v>
      </c>
      <c r="X58" s="19"/>
      <c r="Y58" s="19"/>
      <c r="Z58" s="19" t="s">
        <v>411</v>
      </c>
      <c r="AA58" s="19">
        <v>1</v>
      </c>
      <c r="AB58" s="19">
        <v>1</v>
      </c>
      <c r="AC58" s="19" t="s">
        <v>58</v>
      </c>
      <c r="AD58" s="19" t="s">
        <v>50</v>
      </c>
      <c r="AE58" s="19" t="s">
        <v>72</v>
      </c>
      <c r="AF58" s="19"/>
    </row>
    <row r="59" spans="1:34">
      <c r="A59" s="19">
        <v>54</v>
      </c>
      <c r="B59" s="19" t="s">
        <v>72</v>
      </c>
      <c r="C59" s="19" t="s">
        <v>408</v>
      </c>
      <c r="D59" s="19" t="str">
        <f>HYPERLINK("http://www.henontech.com/fieldsafety/harzard/harzard_show.php?rid=1731&amp;url=harzardrecs.php","缓冲槽小井无盖板一名操作工假设在巡检时掉入小井造成脚踝扭伤化产车间路明")</f>
        <v>缓冲槽小井无盖板一名操作工假设在巡检时掉入小井造成脚踝扭伤化产车间路明</v>
      </c>
      <c r="E59" s="19" t="s">
        <v>412</v>
      </c>
      <c r="F59" s="23" t="s">
        <v>304</v>
      </c>
      <c r="G59" s="22" t="s">
        <v>63</v>
      </c>
      <c r="H59" s="19" t="s">
        <v>44</v>
      </c>
      <c r="I59" s="19" t="s">
        <v>108</v>
      </c>
      <c r="J59" s="19" t="s">
        <v>46</v>
      </c>
      <c r="K59" s="19" t="s">
        <v>47</v>
      </c>
      <c r="L59" s="19"/>
      <c r="M59" s="19" t="s">
        <v>48</v>
      </c>
      <c r="N59" s="19" t="s">
        <v>413</v>
      </c>
      <c r="O59" s="19"/>
      <c r="P59" s="19"/>
      <c r="Q59" s="19"/>
      <c r="R59" s="19" t="s">
        <v>414</v>
      </c>
      <c r="S59" s="19" t="s">
        <v>415</v>
      </c>
      <c r="T59" s="19" t="s">
        <v>53</v>
      </c>
      <c r="U59" s="19" t="s">
        <v>54</v>
      </c>
      <c r="V59" s="19" t="s">
        <v>203</v>
      </c>
      <c r="W59" s="19" t="s">
        <v>56</v>
      </c>
      <c r="X59" s="19"/>
      <c r="Y59" s="19"/>
      <c r="Z59" s="19"/>
      <c r="AA59" s="19">
        <v>0</v>
      </c>
      <c r="AB59" s="19"/>
      <c r="AC59" s="19" t="s">
        <v>308</v>
      </c>
      <c r="AD59" s="19"/>
      <c r="AE59" s="19"/>
      <c r="AF59" s="19"/>
    </row>
    <row r="60" spans="1:34">
      <c r="A60" s="19">
        <v>55</v>
      </c>
      <c r="B60" s="19" t="s">
        <v>72</v>
      </c>
      <c r="C60" s="19" t="s">
        <v>416</v>
      </c>
      <c r="D60" s="19" t="str">
        <f>HYPERLINK("http://www.henontech.com/fieldsafety/harzard/harzard_show.php?rid=1732&amp;url=harzardrecs.php","脱硫再生塔爬梯有木板等杂物，一操作工巡检时路过被杂物绊倒摔伤右手前手臂，住院治疗一月休息两月损工三个月。")</f>
        <v>脱硫再生塔爬梯有木板等杂物，一操作工巡检时路过被杂物绊倒摔伤右手前手臂，住院治疗一月休息两月损工三个月。</v>
      </c>
      <c r="E60" s="19" t="s">
        <v>417</v>
      </c>
      <c r="F60" s="20" t="s">
        <v>42</v>
      </c>
      <c r="G60" s="22" t="s">
        <v>63</v>
      </c>
      <c r="H60" s="19" t="s">
        <v>44</v>
      </c>
      <c r="I60" s="19" t="s">
        <v>45</v>
      </c>
      <c r="J60" s="19"/>
      <c r="K60" s="19" t="s">
        <v>47</v>
      </c>
      <c r="L60" s="19" t="s">
        <v>76</v>
      </c>
      <c r="M60" s="19" t="s">
        <v>48</v>
      </c>
      <c r="N60" s="19" t="s">
        <v>418</v>
      </c>
      <c r="O60" s="19" t="s">
        <v>48</v>
      </c>
      <c r="P60" s="19" t="s">
        <v>50</v>
      </c>
      <c r="Q60" s="19" t="s">
        <v>419</v>
      </c>
      <c r="R60" s="19" t="s">
        <v>420</v>
      </c>
      <c r="S60" s="19"/>
      <c r="T60" s="19" t="s">
        <v>53</v>
      </c>
      <c r="U60" s="19" t="s">
        <v>80</v>
      </c>
      <c r="V60" s="19" t="s">
        <v>97</v>
      </c>
      <c r="W60" s="19" t="s">
        <v>70</v>
      </c>
      <c r="X60" s="19"/>
      <c r="Y60" s="19"/>
      <c r="Z60" s="19" t="s">
        <v>421</v>
      </c>
      <c r="AA60" s="19">
        <v>1</v>
      </c>
      <c r="AB60" s="19">
        <v>1</v>
      </c>
      <c r="AC60" s="19" t="s">
        <v>58</v>
      </c>
      <c r="AD60" s="19" t="s">
        <v>50</v>
      </c>
      <c r="AE60" s="19" t="s">
        <v>59</v>
      </c>
      <c r="AF60" s="19"/>
    </row>
    <row r="61" spans="1:34" customHeight="1" ht="42">
      <c r="A61" s="19">
        <v>56</v>
      </c>
      <c r="B61" s="19" t="s">
        <v>72</v>
      </c>
      <c r="C61" s="19" t="s">
        <v>422</v>
      </c>
      <c r="D61" s="19" t="str">
        <f>HYPERLINK("http://www.henontech.com/fieldsafety/harzard/harzard_show.php?rid=1733&amp;url=harzardrecs.php","东四机头有一护栏未安装到位，一巡检人员在清理滚筒时，不慎手臂卷入滚筒，幸停车及时，造成手臂骨折，住院一个月，在家休养三个月。")</f>
        <v>东四机头有一护栏未安装到位，一巡检人员在清理滚筒时，不慎手臂卷入滚筒，幸停车及时，造成手臂骨折，住院一个月，在家休养三个月。</v>
      </c>
      <c r="E61" s="19" t="s">
        <v>423</v>
      </c>
      <c r="F61" s="20" t="s">
        <v>42</v>
      </c>
      <c r="G61" s="21" t="s">
        <v>43</v>
      </c>
      <c r="H61" s="19" t="s">
        <v>44</v>
      </c>
      <c r="I61" s="19" t="s">
        <v>108</v>
      </c>
      <c r="J61" s="19" t="s">
        <v>349</v>
      </c>
      <c r="K61" s="19" t="s">
        <v>110</v>
      </c>
      <c r="L61" s="19" t="s">
        <v>76</v>
      </c>
      <c r="M61" s="19" t="s">
        <v>364</v>
      </c>
      <c r="N61" s="19" t="s">
        <v>424</v>
      </c>
      <c r="O61" s="19" t="s">
        <v>364</v>
      </c>
      <c r="P61" s="19" t="s">
        <v>425</v>
      </c>
      <c r="Q61" s="19" t="s">
        <v>426</v>
      </c>
      <c r="R61" s="19" t="s">
        <v>427</v>
      </c>
      <c r="S61" s="19" t="s">
        <v>428</v>
      </c>
      <c r="T61" s="19" t="s">
        <v>53</v>
      </c>
      <c r="U61" s="19" t="s">
        <v>80</v>
      </c>
      <c r="V61" s="19" t="s">
        <v>55</v>
      </c>
      <c r="W61" s="19" t="s">
        <v>81</v>
      </c>
      <c r="X61" s="19" t="s">
        <v>154</v>
      </c>
      <c r="Y61" s="19" t="s">
        <v>154</v>
      </c>
      <c r="Z61" s="19" t="s">
        <v>429</v>
      </c>
      <c r="AA61" s="19">
        <v>2</v>
      </c>
      <c r="AB61" s="19">
        <v>2</v>
      </c>
      <c r="AC61" s="19" t="s">
        <v>58</v>
      </c>
      <c r="AD61" s="19" t="s">
        <v>425</v>
      </c>
      <c r="AE61" s="19" t="s">
        <v>139</v>
      </c>
      <c r="AF61" s="19" t="s">
        <v>430</v>
      </c>
    </row>
    <row r="62" spans="1:34" customHeight="1" ht="42">
      <c r="A62" s="19">
        <v>57</v>
      </c>
      <c r="B62" s="19" t="s">
        <v>72</v>
      </c>
      <c r="C62" s="19" t="s">
        <v>422</v>
      </c>
      <c r="D62" s="19" t="str">
        <f>HYPERLINK("http://www.henontech.com/fieldsafety/harzard/harzard_show.php?rid=1734&amp;url=harzardrecs.php","班长在巡检时，发现一维修人员在切割铁皮作业时，未戴护目镜，切割残渣溅入眼中，造成眼部受伤，住院治疗。")</f>
        <v>班长在巡检时，发现一维修人员在切割铁皮作业时，未戴护目镜，切割残渣溅入眼中，造成眼部受伤，住院治疗。</v>
      </c>
      <c r="E62" s="19" t="s">
        <v>431</v>
      </c>
      <c r="F62" s="20" t="s">
        <v>42</v>
      </c>
      <c r="G62" s="24" t="s">
        <v>322</v>
      </c>
      <c r="H62" s="19" t="s">
        <v>44</v>
      </c>
      <c r="I62" s="19" t="s">
        <v>108</v>
      </c>
      <c r="J62" s="19" t="s">
        <v>349</v>
      </c>
      <c r="K62" s="19" t="s">
        <v>110</v>
      </c>
      <c r="L62" s="19" t="s">
        <v>76</v>
      </c>
      <c r="M62" s="19" t="s">
        <v>364</v>
      </c>
      <c r="N62" s="19" t="s">
        <v>432</v>
      </c>
      <c r="O62" s="19" t="s">
        <v>364</v>
      </c>
      <c r="P62" s="19" t="s">
        <v>425</v>
      </c>
      <c r="Q62" s="19" t="s">
        <v>426</v>
      </c>
      <c r="R62" s="19" t="s">
        <v>239</v>
      </c>
      <c r="S62" s="19" t="s">
        <v>433</v>
      </c>
      <c r="T62" s="19" t="s">
        <v>53</v>
      </c>
      <c r="U62" s="19" t="s">
        <v>54</v>
      </c>
      <c r="V62" s="19" t="s">
        <v>55</v>
      </c>
      <c r="W62" s="19" t="s">
        <v>56</v>
      </c>
      <c r="X62" s="19" t="s">
        <v>434</v>
      </c>
      <c r="Y62" s="19" t="s">
        <v>434</v>
      </c>
      <c r="Z62" s="19" t="s">
        <v>435</v>
      </c>
      <c r="AA62" s="19">
        <v>2</v>
      </c>
      <c r="AB62" s="19">
        <v>2</v>
      </c>
      <c r="AC62" s="19" t="s">
        <v>58</v>
      </c>
      <c r="AD62" s="19" t="s">
        <v>425</v>
      </c>
      <c r="AE62" s="19" t="s">
        <v>139</v>
      </c>
      <c r="AF62" s="19" t="s">
        <v>436</v>
      </c>
    </row>
    <row r="63" spans="1:34">
      <c r="A63" s="19">
        <v>58</v>
      </c>
      <c r="B63" s="19" t="s">
        <v>72</v>
      </c>
      <c r="C63" s="19" t="s">
        <v>437</v>
      </c>
      <c r="D63" s="19" t="str">
        <f>HYPERLINK("http://www.henontech.com/fieldsafety/harzard/harzard_show.php?rid=1735&amp;url=harzardrecs.php","西硫铵母液储槽上部，捕酸器回流管保温铝皮脱落，如果在大风天气一名操作工在巡检时经过此处，可能被掉落的铝皮轻微划伤手臂，送医务室简单包扎后能正常工作。")</f>
        <v>西硫铵母液储槽上部，捕酸器回流管保温铝皮脱落，如果在大风天气一名操作工在巡检时经过此处，可能被掉落的铝皮轻微划伤手臂，送医务室简单包扎后能正常工作。</v>
      </c>
      <c r="E63" s="19" t="s">
        <v>438</v>
      </c>
      <c r="F63" s="20" t="s">
        <v>42</v>
      </c>
      <c r="G63" s="22" t="s">
        <v>63</v>
      </c>
      <c r="H63" s="19" t="s">
        <v>44</v>
      </c>
      <c r="I63" s="19" t="s">
        <v>45</v>
      </c>
      <c r="J63" s="19" t="s">
        <v>46</v>
      </c>
      <c r="K63" s="19" t="s">
        <v>47</v>
      </c>
      <c r="L63" s="19" t="s">
        <v>76</v>
      </c>
      <c r="M63" s="19" t="s">
        <v>48</v>
      </c>
      <c r="N63" s="19" t="s">
        <v>439</v>
      </c>
      <c r="O63" s="19" t="s">
        <v>48</v>
      </c>
      <c r="P63" s="19" t="s">
        <v>50</v>
      </c>
      <c r="Q63" s="19" t="s">
        <v>419</v>
      </c>
      <c r="R63" s="19" t="s">
        <v>440</v>
      </c>
      <c r="S63" s="19"/>
      <c r="T63" s="19" t="s">
        <v>53</v>
      </c>
      <c r="U63" s="19" t="s">
        <v>54</v>
      </c>
      <c r="V63" s="19" t="s">
        <v>55</v>
      </c>
      <c r="W63" s="19" t="s">
        <v>56</v>
      </c>
      <c r="X63" s="19"/>
      <c r="Y63" s="19"/>
      <c r="Z63" s="19" t="s">
        <v>441</v>
      </c>
      <c r="AA63" s="19">
        <v>1</v>
      </c>
      <c r="AB63" s="19">
        <v>1</v>
      </c>
      <c r="AC63" s="19" t="s">
        <v>58</v>
      </c>
      <c r="AD63" s="19" t="s">
        <v>50</v>
      </c>
      <c r="AE63" s="19" t="s">
        <v>180</v>
      </c>
      <c r="AF63" s="19"/>
    </row>
    <row r="64" spans="1:34">
      <c r="A64" s="19">
        <v>59</v>
      </c>
      <c r="B64" s="19" t="s">
        <v>139</v>
      </c>
      <c r="C64" s="19" t="s">
        <v>442</v>
      </c>
      <c r="D64" s="19" t="str">
        <f>HYPERLINK("http://www.henontech.com/fieldsafety/harzard/harzard_show.php?rid=1736&amp;url=harzardrecs.php","一名操作工在1米高处平台操作时，因斜梯和平台没有护栏，在操作过程中因右脚用力踩空，从平台坠落右脚歪伤送往医院救治经诊断右脚骨折，经住院6个月治疗")</f>
        <v>一名操作工在1米高处平台操作时，因斜梯和平台没有护栏，在操作过程中因右脚用力踩空，从平台坠落右脚歪伤送往医院救治经诊断右脚骨折，经住院6个月治疗</v>
      </c>
      <c r="E64" s="19" t="s">
        <v>443</v>
      </c>
      <c r="F64" s="20" t="s">
        <v>42</v>
      </c>
      <c r="G64" s="22" t="s">
        <v>63</v>
      </c>
      <c r="H64" s="19" t="s">
        <v>44</v>
      </c>
      <c r="I64" s="19" t="s">
        <v>120</v>
      </c>
      <c r="J64" s="19" t="s">
        <v>46</v>
      </c>
      <c r="K64" s="19" t="s">
        <v>47</v>
      </c>
      <c r="L64" s="19" t="s">
        <v>76</v>
      </c>
      <c r="M64" s="19" t="s">
        <v>48</v>
      </c>
      <c r="N64" s="19" t="s">
        <v>444</v>
      </c>
      <c r="O64" s="19" t="s">
        <v>48</v>
      </c>
      <c r="P64" s="19" t="s">
        <v>50</v>
      </c>
      <c r="Q64" s="19" t="s">
        <v>419</v>
      </c>
      <c r="R64" s="19" t="s">
        <v>445</v>
      </c>
      <c r="S64" s="19"/>
      <c r="T64" s="19" t="s">
        <v>53</v>
      </c>
      <c r="U64" s="19" t="s">
        <v>80</v>
      </c>
      <c r="V64" s="19" t="s">
        <v>55</v>
      </c>
      <c r="W64" s="19" t="s">
        <v>81</v>
      </c>
      <c r="X64" s="19"/>
      <c r="Y64" s="19"/>
      <c r="Z64" s="19" t="s">
        <v>446</v>
      </c>
      <c r="AA64" s="19">
        <v>1</v>
      </c>
      <c r="AB64" s="19">
        <v>1</v>
      </c>
      <c r="AC64" s="19" t="s">
        <v>58</v>
      </c>
      <c r="AD64" s="19" t="s">
        <v>50</v>
      </c>
      <c r="AE64" s="19" t="s">
        <v>447</v>
      </c>
      <c r="AF64" s="19"/>
    </row>
    <row r="65" spans="1:34">
      <c r="A65" s="19">
        <v>60</v>
      </c>
      <c r="B65" s="19" t="s">
        <v>139</v>
      </c>
      <c r="C65" s="19" t="s">
        <v>408</v>
      </c>
      <c r="D65" s="19" t="str">
        <f>HYPERLINK("http://www.henontech.com/fieldsafety/harzard/harzard_show.php?rid=1737&amp;url=harzardrecs.php","深度脱硫西一号泡沫泵压力表阀门关不严，仪表工关上阀门换压力表时，喷出的泡沫有可能溅到眼中，造成角膜轻微灼伤。")</f>
        <v>深度脱硫西一号泡沫泵压力表阀门关不严，仪表工关上阀门换压力表时，喷出的泡沫有可能溅到眼中，造成角膜轻微灼伤。</v>
      </c>
      <c r="E65" s="19" t="s">
        <v>448</v>
      </c>
      <c r="F65" s="20" t="s">
        <v>42</v>
      </c>
      <c r="G65" s="22" t="s">
        <v>63</v>
      </c>
      <c r="H65" s="19" t="s">
        <v>44</v>
      </c>
      <c r="I65" s="19" t="s">
        <v>120</v>
      </c>
      <c r="J65" s="19" t="s">
        <v>46</v>
      </c>
      <c r="K65" s="19" t="s">
        <v>110</v>
      </c>
      <c r="L65" s="19" t="s">
        <v>76</v>
      </c>
      <c r="M65" s="19" t="s">
        <v>48</v>
      </c>
      <c r="N65" s="19" t="s">
        <v>77</v>
      </c>
      <c r="O65" s="19" t="s">
        <v>48</v>
      </c>
      <c r="P65" s="19" t="s">
        <v>50</v>
      </c>
      <c r="Q65" s="19" t="s">
        <v>419</v>
      </c>
      <c r="R65" s="19" t="s">
        <v>449</v>
      </c>
      <c r="S65" s="19"/>
      <c r="T65" s="19" t="s">
        <v>53</v>
      </c>
      <c r="U65" s="19" t="s">
        <v>80</v>
      </c>
      <c r="V65" s="19" t="s">
        <v>55</v>
      </c>
      <c r="W65" s="19" t="s">
        <v>81</v>
      </c>
      <c r="X65" s="19"/>
      <c r="Y65" s="19"/>
      <c r="Z65" s="19" t="s">
        <v>450</v>
      </c>
      <c r="AA65" s="19">
        <v>1</v>
      </c>
      <c r="AB65" s="19">
        <v>0</v>
      </c>
      <c r="AC65" s="19" t="s">
        <v>58</v>
      </c>
      <c r="AD65" s="19" t="s">
        <v>50</v>
      </c>
      <c r="AE65" s="19" t="s">
        <v>383</v>
      </c>
      <c r="AF65" s="19"/>
    </row>
    <row r="66" spans="1:34">
      <c r="A66" s="19">
        <v>61</v>
      </c>
      <c r="B66" s="19" t="s">
        <v>139</v>
      </c>
      <c r="C66" s="19" t="s">
        <v>437</v>
      </c>
      <c r="D66" s="19" t="str">
        <f>HYPERLINK("http://www.henontech.com/fieldsafety/harzard/harzard_show.php?rid=1740&amp;url=harzardrecs.php","西硫铵中加酸配液期间，因回流管法兰垫破损，造成母液少量泄露，操作人员巡检时及时发现，立即清理，未造成不良后果。")</f>
        <v>西硫铵中加酸配液期间，因回流管法兰垫破损，造成母液少量泄露，操作人员巡检时及时发现，立即清理，未造成不良后果。</v>
      </c>
      <c r="E66" s="19" t="s">
        <v>451</v>
      </c>
      <c r="F66" s="20" t="s">
        <v>42</v>
      </c>
      <c r="G66" s="22" t="s">
        <v>63</v>
      </c>
      <c r="H66" s="19" t="s">
        <v>44</v>
      </c>
      <c r="I66" s="19"/>
      <c r="J66" s="19" t="s">
        <v>46</v>
      </c>
      <c r="K66" s="19"/>
      <c r="L66" s="19" t="s">
        <v>76</v>
      </c>
      <c r="M66" s="19" t="s">
        <v>48</v>
      </c>
      <c r="N66" s="19" t="s">
        <v>452</v>
      </c>
      <c r="O66" s="19" t="s">
        <v>48</v>
      </c>
      <c r="P66" s="19" t="s">
        <v>50</v>
      </c>
      <c r="Q66" s="19" t="s">
        <v>419</v>
      </c>
      <c r="R66" s="19" t="s">
        <v>453</v>
      </c>
      <c r="S66" s="19"/>
      <c r="T66" s="19" t="s">
        <v>393</v>
      </c>
      <c r="U66" s="19" t="s">
        <v>202</v>
      </c>
      <c r="V66" s="19" t="s">
        <v>97</v>
      </c>
      <c r="W66" s="19" t="s">
        <v>56</v>
      </c>
      <c r="X66" s="19"/>
      <c r="Y66" s="19"/>
      <c r="Z66" s="19" t="s">
        <v>454</v>
      </c>
      <c r="AA66" s="19">
        <v>1</v>
      </c>
      <c r="AB66" s="19">
        <v>1</v>
      </c>
      <c r="AC66" s="19" t="s">
        <v>58</v>
      </c>
      <c r="AD66" s="19" t="s">
        <v>50</v>
      </c>
      <c r="AE66" s="19" t="s">
        <v>158</v>
      </c>
      <c r="AF66" s="19"/>
    </row>
    <row r="67" spans="1:34">
      <c r="A67" s="19">
        <v>62</v>
      </c>
      <c r="B67" s="19" t="s">
        <v>139</v>
      </c>
      <c r="C67" s="19" t="s">
        <v>437</v>
      </c>
      <c r="D67" s="19" t="str">
        <f>HYPERLINK("http://www.henontech.com/fieldsafety/harzard/harzard_show.php?rid=1742&amp;url=harzardrecs.php","两名操作人员清理堵塞的下液管，冲通时大量萘连同水一起流出，假如一名操作人员未戴防护面罩，躲闪不及不慎溅入眼内，立即冲洗后无碍。")</f>
        <v>两名操作人员清理堵塞的下液管，冲通时大量萘连同水一起流出，假如一名操作人员未戴防护面罩，躲闪不及不慎溅入眼内，立即冲洗后无碍。</v>
      </c>
      <c r="E67" s="19" t="s">
        <v>455</v>
      </c>
      <c r="F67" s="20" t="s">
        <v>42</v>
      </c>
      <c r="G67" s="22" t="s">
        <v>63</v>
      </c>
      <c r="H67" s="19" t="s">
        <v>44</v>
      </c>
      <c r="I67" s="19" t="s">
        <v>45</v>
      </c>
      <c r="J67" s="19" t="s">
        <v>109</v>
      </c>
      <c r="K67" s="19" t="s">
        <v>47</v>
      </c>
      <c r="L67" s="19" t="s">
        <v>76</v>
      </c>
      <c r="M67" s="19" t="s">
        <v>48</v>
      </c>
      <c r="N67" s="19" t="s">
        <v>49</v>
      </c>
      <c r="O67" s="19" t="s">
        <v>48</v>
      </c>
      <c r="P67" s="19" t="s">
        <v>50</v>
      </c>
      <c r="Q67" s="19" t="s">
        <v>419</v>
      </c>
      <c r="R67" s="19" t="s">
        <v>456</v>
      </c>
      <c r="S67" s="19"/>
      <c r="T67" s="19" t="s">
        <v>53</v>
      </c>
      <c r="U67" s="19" t="s">
        <v>54</v>
      </c>
      <c r="V67" s="19" t="s">
        <v>55</v>
      </c>
      <c r="W67" s="19" t="s">
        <v>56</v>
      </c>
      <c r="X67" s="19"/>
      <c r="Y67" s="19"/>
      <c r="Z67" s="19" t="s">
        <v>457</v>
      </c>
      <c r="AA67" s="19">
        <v>1</v>
      </c>
      <c r="AB67" s="19">
        <v>1</v>
      </c>
      <c r="AC67" s="19" t="s">
        <v>58</v>
      </c>
      <c r="AD67" s="19" t="s">
        <v>50</v>
      </c>
      <c r="AE67" s="19" t="s">
        <v>143</v>
      </c>
      <c r="AF67" s="19"/>
    </row>
    <row r="68" spans="1:34">
      <c r="A68" s="19">
        <v>63</v>
      </c>
      <c r="B68" s="19" t="s">
        <v>139</v>
      </c>
      <c r="C68" s="19" t="s">
        <v>458</v>
      </c>
      <c r="D68" s="19" t="str">
        <f>HYPERLINK("http://www.henontech.com/fieldsafety/harzard/harzard_show.php?rid=1743&amp;url=harzardrecs.php","一名巡检人员在初冷器平台巡检，一蒸汽阀门突然破损，若精神不集中就会躲闪不及，可能造成巡检人员左脸轻微烫伤，去医务室敷药后继续上班。")</f>
        <v>一名巡检人员在初冷器平台巡检，一蒸汽阀门突然破损，若精神不集中就会躲闪不及，可能造成巡检人员左脸轻微烫伤，去医务室敷药后继续上班。</v>
      </c>
      <c r="E68" s="19" t="s">
        <v>459</v>
      </c>
      <c r="F68" s="20" t="s">
        <v>42</v>
      </c>
      <c r="G68" s="22" t="s">
        <v>63</v>
      </c>
      <c r="H68" s="19" t="s">
        <v>44</v>
      </c>
      <c r="I68" s="19" t="s">
        <v>460</v>
      </c>
      <c r="J68" s="19"/>
      <c r="K68" s="19" t="s">
        <v>47</v>
      </c>
      <c r="L68" s="19" t="s">
        <v>76</v>
      </c>
      <c r="M68" s="19" t="s">
        <v>48</v>
      </c>
      <c r="N68" s="19" t="s">
        <v>87</v>
      </c>
      <c r="O68" s="19" t="s">
        <v>48</v>
      </c>
      <c r="P68" s="19" t="s">
        <v>50</v>
      </c>
      <c r="Q68" s="19" t="s">
        <v>419</v>
      </c>
      <c r="R68" s="19" t="s">
        <v>461</v>
      </c>
      <c r="S68" s="19"/>
      <c r="T68" s="19" t="s">
        <v>53</v>
      </c>
      <c r="U68" s="19" t="s">
        <v>54</v>
      </c>
      <c r="V68" s="19" t="s">
        <v>55</v>
      </c>
      <c r="W68" s="19" t="s">
        <v>56</v>
      </c>
      <c r="X68" s="19"/>
      <c r="Y68" s="19"/>
      <c r="Z68" s="19" t="s">
        <v>462</v>
      </c>
      <c r="AA68" s="19">
        <v>1</v>
      </c>
      <c r="AB68" s="19">
        <v>1</v>
      </c>
      <c r="AC68" s="19" t="s">
        <v>58</v>
      </c>
      <c r="AD68" s="19" t="s">
        <v>50</v>
      </c>
      <c r="AE68" s="19" t="s">
        <v>353</v>
      </c>
      <c r="AF68" s="19"/>
    </row>
    <row r="69" spans="1:34">
      <c r="A69" s="19">
        <v>64</v>
      </c>
      <c r="B69" s="19" t="s">
        <v>139</v>
      </c>
      <c r="C69" s="19" t="s">
        <v>437</v>
      </c>
      <c r="D69" s="19" t="str">
        <f>HYPERLINK("http://www.henontech.com/fieldsafety/harzard/harzard_show.php?rid=1744&amp;url=harzardrecs.php","西硫铵卸酸槽北边废弃洗眼器底座未处理。在上夜班时，由于光线不好，一名操作工在巡检时经过此处不小心可能被绊倒，造成手臂擦伤，送医务室检查并简单包扎后正常上班。")</f>
        <v>西硫铵卸酸槽北边废弃洗眼器底座未处理。在上夜班时，由于光线不好，一名操作工在巡检时经过此处不小心可能被绊倒，造成手臂擦伤，送医务室检查并简单包扎后正常上班。</v>
      </c>
      <c r="E69" s="19" t="s">
        <v>463</v>
      </c>
      <c r="F69" s="20" t="s">
        <v>42</v>
      </c>
      <c r="G69" s="22" t="s">
        <v>63</v>
      </c>
      <c r="H69" s="19" t="s">
        <v>44</v>
      </c>
      <c r="I69" s="19" t="s">
        <v>45</v>
      </c>
      <c r="J69" s="19" t="s">
        <v>349</v>
      </c>
      <c r="K69" s="19" t="s">
        <v>47</v>
      </c>
      <c r="L69" s="19" t="s">
        <v>76</v>
      </c>
      <c r="M69" s="19" t="s">
        <v>48</v>
      </c>
      <c r="N69" s="19" t="s">
        <v>464</v>
      </c>
      <c r="O69" s="19" t="s">
        <v>48</v>
      </c>
      <c r="P69" s="19" t="s">
        <v>50</v>
      </c>
      <c r="Q69" s="19" t="s">
        <v>419</v>
      </c>
      <c r="R69" s="19" t="s">
        <v>465</v>
      </c>
      <c r="S69" s="19"/>
      <c r="T69" s="19" t="s">
        <v>53</v>
      </c>
      <c r="U69" s="19" t="s">
        <v>54</v>
      </c>
      <c r="V69" s="19" t="s">
        <v>55</v>
      </c>
      <c r="W69" s="19" t="s">
        <v>56</v>
      </c>
      <c r="X69" s="19"/>
      <c r="Y69" s="19"/>
      <c r="Z69" s="19" t="s">
        <v>466</v>
      </c>
      <c r="AA69" s="19">
        <v>1</v>
      </c>
      <c r="AB69" s="19">
        <v>1</v>
      </c>
      <c r="AC69" s="19" t="s">
        <v>58</v>
      </c>
      <c r="AD69" s="19" t="s">
        <v>50</v>
      </c>
      <c r="AE69" s="19" t="s">
        <v>180</v>
      </c>
      <c r="AF69" s="19"/>
    </row>
    <row r="70" spans="1:34">
      <c r="A70" s="19">
        <v>65</v>
      </c>
      <c r="B70" s="19" t="s">
        <v>139</v>
      </c>
      <c r="C70" s="19" t="s">
        <v>384</v>
      </c>
      <c r="D70" s="19" t="str">
        <f>HYPERLINK("http://www.henontech.com/fieldsafety/harzard/harzard_show.php?rid=1745&amp;url=harzardrecs.php","南风机2#电捕高压发生器进线口电缆线裸露，如果与铁壳长期磨擦造成绝缘层破损可能引起短路，引发电器火灾烧坏电捕高压发生器和控制柜")</f>
        <v>南风机2#电捕高压发生器进线口电缆线裸露，如果与铁壳长期磨擦造成绝缘层破损可能引起短路，引发电器火灾烧坏电捕高压发生器和控制柜</v>
      </c>
      <c r="E70" s="19" t="s">
        <v>467</v>
      </c>
      <c r="F70" s="20" t="s">
        <v>42</v>
      </c>
      <c r="G70" s="22" t="s">
        <v>63</v>
      </c>
      <c r="H70" s="19" t="s">
        <v>44</v>
      </c>
      <c r="I70" s="19"/>
      <c r="J70" s="19" t="s">
        <v>109</v>
      </c>
      <c r="K70" s="19"/>
      <c r="L70" s="19"/>
      <c r="M70" s="19" t="s">
        <v>48</v>
      </c>
      <c r="N70" s="19" t="s">
        <v>468</v>
      </c>
      <c r="O70" s="19" t="s">
        <v>48</v>
      </c>
      <c r="P70" s="19" t="s">
        <v>50</v>
      </c>
      <c r="Q70" s="19" t="s">
        <v>419</v>
      </c>
      <c r="R70" s="19" t="s">
        <v>469</v>
      </c>
      <c r="S70" s="19"/>
      <c r="T70" s="19" t="s">
        <v>189</v>
      </c>
      <c r="U70" s="19" t="s">
        <v>202</v>
      </c>
      <c r="V70" s="19" t="s">
        <v>55</v>
      </c>
      <c r="W70" s="19" t="s">
        <v>56</v>
      </c>
      <c r="X70" s="19"/>
      <c r="Y70" s="19"/>
      <c r="Z70" s="19" t="s">
        <v>470</v>
      </c>
      <c r="AA70" s="19">
        <v>1</v>
      </c>
      <c r="AB70" s="19">
        <v>1</v>
      </c>
      <c r="AC70" s="19" t="s">
        <v>58</v>
      </c>
      <c r="AD70" s="19" t="s">
        <v>50</v>
      </c>
      <c r="AE70" s="19" t="s">
        <v>290</v>
      </c>
      <c r="AF70" s="19"/>
    </row>
    <row r="71" spans="1:34">
      <c r="A71" s="19">
        <v>66</v>
      </c>
      <c r="B71" s="19" t="s">
        <v>143</v>
      </c>
      <c r="C71" s="19" t="s">
        <v>408</v>
      </c>
      <c r="D71" s="19" t="str">
        <f>HYPERLINK("http://www.henontech.com/fieldsafety/harzard/harzard_show.php?rid=1746&amp;url=harzardrecs.php","一名操作工在巡检时假如掉入小井造成脚踝扭伤")</f>
        <v>一名操作工在巡检时假如掉入小井造成脚踝扭伤</v>
      </c>
      <c r="E71" s="19" t="s">
        <v>471</v>
      </c>
      <c r="F71" s="20" t="s">
        <v>42</v>
      </c>
      <c r="G71" s="22" t="s">
        <v>63</v>
      </c>
      <c r="H71" s="19" t="s">
        <v>44</v>
      </c>
      <c r="I71" s="19" t="s">
        <v>108</v>
      </c>
      <c r="J71" s="19" t="s">
        <v>46</v>
      </c>
      <c r="K71" s="19" t="s">
        <v>47</v>
      </c>
      <c r="L71" s="19" t="s">
        <v>76</v>
      </c>
      <c r="M71" s="19" t="s">
        <v>48</v>
      </c>
      <c r="N71" s="19" t="s">
        <v>413</v>
      </c>
      <c r="O71" s="19" t="s">
        <v>48</v>
      </c>
      <c r="P71" s="19" t="s">
        <v>50</v>
      </c>
      <c r="Q71" s="19" t="s">
        <v>419</v>
      </c>
      <c r="R71" s="19" t="s">
        <v>472</v>
      </c>
      <c r="S71" s="19"/>
      <c r="T71" s="19" t="s">
        <v>53</v>
      </c>
      <c r="U71" s="19" t="s">
        <v>80</v>
      </c>
      <c r="V71" s="19" t="s">
        <v>55</v>
      </c>
      <c r="W71" s="19" t="s">
        <v>81</v>
      </c>
      <c r="X71" s="19"/>
      <c r="Y71" s="19"/>
      <c r="Z71" s="19" t="s">
        <v>473</v>
      </c>
      <c r="AA71" s="19">
        <v>1</v>
      </c>
      <c r="AB71" s="19">
        <v>1</v>
      </c>
      <c r="AC71" s="19" t="s">
        <v>58</v>
      </c>
      <c r="AD71" s="19" t="s">
        <v>50</v>
      </c>
      <c r="AE71" s="19" t="s">
        <v>474</v>
      </c>
      <c r="AF71" s="19"/>
    </row>
    <row r="72" spans="1:34">
      <c r="A72" s="19">
        <v>67</v>
      </c>
      <c r="B72" s="19" t="s">
        <v>143</v>
      </c>
      <c r="C72" s="19" t="s">
        <v>369</v>
      </c>
      <c r="D72" s="19" t="str">
        <f>HYPERLINK("http://www.henontech.com/fieldsafety/harzard/harzard_show.php?rid=1748&amp;url=harzardrecs.php","高压氨水泵轴流风扇无接地线操作人员在巡检中被高压氨水泵降温的轴流风扇触电，被岗位人员及时发现，迅速切断电源使伤者脱离电源，操作人员在未带防护情况下手臂被击伤，住院治疗一个月，损工一个月。")</f>
        <v>高压氨水泵轴流风扇无接地线操作人员在巡检中被高压氨水泵降温的轴流风扇触电，被岗位人员及时发现，迅速切断电源使伤者脱离电源，操作人员在未带防护情况下手臂被击伤，住院治疗一个月，损工一个月。</v>
      </c>
      <c r="E72" s="19" t="s">
        <v>475</v>
      </c>
      <c r="F72" s="20" t="s">
        <v>42</v>
      </c>
      <c r="G72" s="22" t="s">
        <v>63</v>
      </c>
      <c r="H72" s="19" t="s">
        <v>44</v>
      </c>
      <c r="I72" s="19" t="s">
        <v>45</v>
      </c>
      <c r="J72" s="19" t="s">
        <v>311</v>
      </c>
      <c r="K72" s="19" t="s">
        <v>64</v>
      </c>
      <c r="L72" s="19" t="s">
        <v>76</v>
      </c>
      <c r="M72" s="19" t="s">
        <v>48</v>
      </c>
      <c r="N72" s="19" t="s">
        <v>371</v>
      </c>
      <c r="O72" s="19" t="s">
        <v>48</v>
      </c>
      <c r="P72" s="19" t="s">
        <v>50</v>
      </c>
      <c r="Q72" s="19" t="s">
        <v>476</v>
      </c>
      <c r="R72" s="19" t="s">
        <v>477</v>
      </c>
      <c r="S72" s="19"/>
      <c r="T72" s="19" t="s">
        <v>53</v>
      </c>
      <c r="U72" s="19" t="s">
        <v>80</v>
      </c>
      <c r="V72" s="19" t="s">
        <v>55</v>
      </c>
      <c r="W72" s="19" t="s">
        <v>81</v>
      </c>
      <c r="X72" s="19"/>
      <c r="Y72" s="19"/>
      <c r="Z72" s="19" t="s">
        <v>478</v>
      </c>
      <c r="AA72" s="19">
        <v>1</v>
      </c>
      <c r="AB72" s="19">
        <v>1</v>
      </c>
      <c r="AC72" s="19" t="s">
        <v>58</v>
      </c>
      <c r="AD72" s="19" t="s">
        <v>50</v>
      </c>
      <c r="AE72" s="19" t="s">
        <v>164</v>
      </c>
      <c r="AF72" s="19"/>
    </row>
    <row r="73" spans="1:34">
      <c r="A73" s="19">
        <v>68</v>
      </c>
      <c r="B73" s="19" t="s">
        <v>143</v>
      </c>
      <c r="C73" s="19" t="s">
        <v>369</v>
      </c>
      <c r="D73" s="19" t="str">
        <f>HYPERLINK("http://www.henontech.com/fieldsafety/harzard/harzard_show.php?rid=1749&amp;url=harzardrecs.php","高压氨水泵轴流风扇无接地线，操作人员在巡检中被高压氨水泵降温的轴流风扇触电，岗位人员及时发现，迅速切断电源使伤者脱离电源，操作人员在未带防护情况下手臂被击伤，住院治疗一个月，损工一个月。")</f>
        <v>高压氨水泵轴流风扇无接地线，操作人员在巡检中被高压氨水泵降温的轴流风扇触电，岗位人员及时发现，迅速切断电源使伤者脱离电源，操作人员在未带防护情况下手臂被击伤，住院治疗一个月，损工一个月。</v>
      </c>
      <c r="E73" s="19" t="s">
        <v>479</v>
      </c>
      <c r="F73" s="23" t="s">
        <v>304</v>
      </c>
      <c r="G73" s="22" t="s">
        <v>63</v>
      </c>
      <c r="H73" s="19" t="s">
        <v>44</v>
      </c>
      <c r="I73" s="19" t="s">
        <v>45</v>
      </c>
      <c r="J73" s="19" t="s">
        <v>311</v>
      </c>
      <c r="K73" s="19" t="s">
        <v>64</v>
      </c>
      <c r="L73" s="19" t="s">
        <v>76</v>
      </c>
      <c r="M73" s="19" t="s">
        <v>48</v>
      </c>
      <c r="N73" s="19" t="s">
        <v>371</v>
      </c>
      <c r="O73" s="19"/>
      <c r="P73" s="19"/>
      <c r="Q73" s="19"/>
      <c r="R73" s="19" t="s">
        <v>477</v>
      </c>
      <c r="S73" s="19" t="s">
        <v>480</v>
      </c>
      <c r="T73" s="19" t="s">
        <v>53</v>
      </c>
      <c r="U73" s="19" t="s">
        <v>80</v>
      </c>
      <c r="V73" s="19" t="s">
        <v>55</v>
      </c>
      <c r="W73" s="19" t="s">
        <v>81</v>
      </c>
      <c r="X73" s="19"/>
      <c r="Y73" s="19"/>
      <c r="Z73" s="19"/>
      <c r="AA73" s="19">
        <v>0</v>
      </c>
      <c r="AB73" s="19"/>
      <c r="AC73" s="19" t="s">
        <v>308</v>
      </c>
      <c r="AD73" s="19"/>
      <c r="AE73" s="19"/>
      <c r="AF73" s="19"/>
    </row>
    <row r="74" spans="1:34">
      <c r="A74" s="19">
        <v>69</v>
      </c>
      <c r="B74" s="19" t="s">
        <v>143</v>
      </c>
      <c r="C74" s="19" t="s">
        <v>100</v>
      </c>
      <c r="D74" s="19" t="str">
        <f>HYPERLINK("http://www.henontech.com/fieldsafety/harzard/harzard_show.php?rid=1750&amp;url=harzardrecs.php","西澄清槽上部人孔盖检修完未及时给人孔盖盖，如果操作工在夜间巡检过程中，不慎掉入澄清槽内，造成左大腿腿部骨折，住院治疗3个月，在家休养3个月后能正常工作。")</f>
        <v>西澄清槽上部人孔盖检修完未及时给人孔盖盖，如果操作工在夜间巡检过程中，不慎掉入澄清槽内，造成左大腿腿部骨折，住院治疗3个月，在家休养3个月后能正常工作。</v>
      </c>
      <c r="E74" s="19" t="s">
        <v>481</v>
      </c>
      <c r="F74" s="20" t="s">
        <v>42</v>
      </c>
      <c r="G74" s="22" t="s">
        <v>63</v>
      </c>
      <c r="H74" s="19" t="s">
        <v>482</v>
      </c>
      <c r="I74" s="19" t="s">
        <v>120</v>
      </c>
      <c r="J74" s="19" t="s">
        <v>46</v>
      </c>
      <c r="K74" s="19" t="s">
        <v>47</v>
      </c>
      <c r="L74" s="19" t="s">
        <v>76</v>
      </c>
      <c r="M74" s="19" t="s">
        <v>48</v>
      </c>
      <c r="N74" s="19" t="s">
        <v>483</v>
      </c>
      <c r="O74" s="19" t="s">
        <v>48</v>
      </c>
      <c r="P74" s="19" t="s">
        <v>50</v>
      </c>
      <c r="Q74" s="19" t="s">
        <v>476</v>
      </c>
      <c r="R74" s="19" t="s">
        <v>484</v>
      </c>
      <c r="S74" s="19"/>
      <c r="T74" s="19" t="s">
        <v>53</v>
      </c>
      <c r="U74" s="19" t="s">
        <v>80</v>
      </c>
      <c r="V74" s="19" t="s">
        <v>55</v>
      </c>
      <c r="W74" s="19" t="s">
        <v>81</v>
      </c>
      <c r="X74" s="19"/>
      <c r="Y74" s="19"/>
      <c r="Z74" s="19" t="s">
        <v>485</v>
      </c>
      <c r="AA74" s="19">
        <v>1</v>
      </c>
      <c r="AB74" s="19">
        <v>1</v>
      </c>
      <c r="AC74" s="19" t="s">
        <v>58</v>
      </c>
      <c r="AD74" s="19" t="s">
        <v>50</v>
      </c>
      <c r="AE74" s="19" t="s">
        <v>59</v>
      </c>
      <c r="AF74" s="19"/>
    </row>
    <row r="75" spans="1:34">
      <c r="A75" s="19">
        <v>70</v>
      </c>
      <c r="B75" s="19" t="s">
        <v>143</v>
      </c>
      <c r="C75" s="19" t="s">
        <v>369</v>
      </c>
      <c r="D75" s="19" t="str">
        <f>HYPERLINK("http://www.henontech.com/fieldsafety/harzard/harzard_show.php?rid=1751&amp;url=harzardrecs.php","高压氨水泵轴流风扇无接地线操作工在巡检中，被高压氨水泵降温的轴流风扇触电。岗位人员及时发现，迅速切短电源使伤者 脱离电源，操作人员在未带防护情况下手臂被击伤。住院治疗一个月，损工一个月。")</f>
        <v>高压氨水泵轴流风扇无接地线操作工在巡检中，被高压氨水泵降温的轴流风扇触电。岗位人员及时发现，迅速切短电源使伤者 脱离电源，操作人员在未带防护情况下手臂被击伤。住院治疗一个月，损工一个月。</v>
      </c>
      <c r="E75" s="19" t="s">
        <v>479</v>
      </c>
      <c r="F75" s="23" t="s">
        <v>304</v>
      </c>
      <c r="G75" s="22" t="s">
        <v>63</v>
      </c>
      <c r="H75" s="19" t="s">
        <v>44</v>
      </c>
      <c r="I75" s="19" t="s">
        <v>45</v>
      </c>
      <c r="J75" s="19" t="s">
        <v>311</v>
      </c>
      <c r="K75" s="19" t="s">
        <v>64</v>
      </c>
      <c r="L75" s="19" t="s">
        <v>76</v>
      </c>
      <c r="M75" s="19" t="s">
        <v>48</v>
      </c>
      <c r="N75" s="19" t="s">
        <v>483</v>
      </c>
      <c r="O75" s="19"/>
      <c r="P75" s="19"/>
      <c r="Q75" s="19"/>
      <c r="R75" s="19" t="s">
        <v>477</v>
      </c>
      <c r="S75" s="19" t="s">
        <v>486</v>
      </c>
      <c r="T75" s="19" t="s">
        <v>53</v>
      </c>
      <c r="U75" s="19" t="s">
        <v>80</v>
      </c>
      <c r="V75" s="19" t="s">
        <v>55</v>
      </c>
      <c r="W75" s="19" t="s">
        <v>81</v>
      </c>
      <c r="X75" s="19"/>
      <c r="Y75" s="19"/>
      <c r="Z75" s="19"/>
      <c r="AA75" s="19">
        <v>0</v>
      </c>
      <c r="AB75" s="19"/>
      <c r="AC75" s="19" t="s">
        <v>308</v>
      </c>
      <c r="AD75" s="19"/>
      <c r="AE75" s="19"/>
      <c r="AF75" s="19"/>
    </row>
    <row r="76" spans="1:34" customHeight="1" ht="42">
      <c r="A76" s="19">
        <v>71</v>
      </c>
      <c r="B76" s="19" t="s">
        <v>143</v>
      </c>
      <c r="C76" s="19" t="s">
        <v>487</v>
      </c>
      <c r="D76" s="19" t="str">
        <f>HYPERLINK("http://www.henontech.com/fieldsafety/harzard/harzard_show.php?rid=1753&amp;url=harzardrecs.php","一名工人在结束对引风机维护保养后，跳下引风机电机的平台，站立不稳，造成左脚受伤")</f>
        <v>一名工人在结束对引风机维护保养后，跳下引风机电机的平台，站立不稳，造成左脚受伤</v>
      </c>
      <c r="E76" s="19" t="s">
        <v>488</v>
      </c>
      <c r="F76" s="20" t="s">
        <v>42</v>
      </c>
      <c r="G76" s="22" t="s">
        <v>63</v>
      </c>
      <c r="H76" s="19" t="s">
        <v>44</v>
      </c>
      <c r="I76" s="19" t="s">
        <v>108</v>
      </c>
      <c r="J76" s="19" t="s">
        <v>46</v>
      </c>
      <c r="K76" s="19" t="s">
        <v>110</v>
      </c>
      <c r="L76" s="19" t="s">
        <v>76</v>
      </c>
      <c r="M76" s="19" t="s">
        <v>121</v>
      </c>
      <c r="N76" s="19" t="s">
        <v>489</v>
      </c>
      <c r="O76" s="19" t="s">
        <v>121</v>
      </c>
      <c r="P76" s="19" t="s">
        <v>352</v>
      </c>
      <c r="Q76" s="19" t="s">
        <v>476</v>
      </c>
      <c r="R76" s="19" t="s">
        <v>490</v>
      </c>
      <c r="S76" s="19"/>
      <c r="T76" s="19" t="s">
        <v>53</v>
      </c>
      <c r="U76" s="19" t="s">
        <v>80</v>
      </c>
      <c r="V76" s="19" t="s">
        <v>97</v>
      </c>
      <c r="W76" s="19" t="s">
        <v>70</v>
      </c>
      <c r="X76" s="19" t="s">
        <v>126</v>
      </c>
      <c r="Y76" s="19" t="s">
        <v>126</v>
      </c>
      <c r="Z76" s="19" t="s">
        <v>491</v>
      </c>
      <c r="AA76" s="19">
        <v>2</v>
      </c>
      <c r="AB76" s="19">
        <v>0</v>
      </c>
      <c r="AC76" s="19" t="s">
        <v>58</v>
      </c>
      <c r="AD76" s="19" t="s">
        <v>352</v>
      </c>
      <c r="AE76" s="19" t="s">
        <v>492</v>
      </c>
      <c r="AF76" s="19" t="s">
        <v>493</v>
      </c>
    </row>
    <row r="77" spans="1:34" customHeight="1" ht="42">
      <c r="A77" s="19">
        <v>72</v>
      </c>
      <c r="B77" s="19" t="s">
        <v>143</v>
      </c>
      <c r="C77" s="19" t="s">
        <v>494</v>
      </c>
      <c r="D77" s="19" t="str">
        <f>HYPERLINK("http://www.henontech.com/fieldsafety/harzard/harzard_show.php?rid=1754&amp;url=harzardrecs.php","5.5米炉顶导烟车电动葫芦操作手柄因高温烤化变形破损，内部金属接线片裸露，一员工在未佩戴绝缘防护情况下操作电动葫芦更换水封盖，手掌与接线片接触发生触电，送医抢救无效死亡。")</f>
        <v>5.5米炉顶导烟车电动葫芦操作手柄因高温烤化变形破损，内部金属接线片裸露，一员工在未佩戴绝缘防护情况下操作电动葫芦更换水封盖，手掌与接线片接触发生触电，送医抢救无效死亡。</v>
      </c>
      <c r="E77" s="19" t="s">
        <v>495</v>
      </c>
      <c r="F77" s="20" t="s">
        <v>42</v>
      </c>
      <c r="G77" s="21" t="s">
        <v>43</v>
      </c>
      <c r="H77" s="19" t="s">
        <v>44</v>
      </c>
      <c r="I77" s="19" t="s">
        <v>120</v>
      </c>
      <c r="J77" s="19" t="s">
        <v>311</v>
      </c>
      <c r="K77" s="19"/>
      <c r="L77" s="19"/>
      <c r="M77" s="19" t="s">
        <v>121</v>
      </c>
      <c r="N77" s="19" t="s">
        <v>172</v>
      </c>
      <c r="O77" s="19" t="s">
        <v>121</v>
      </c>
      <c r="P77" s="19" t="s">
        <v>316</v>
      </c>
      <c r="Q77" s="19" t="s">
        <v>476</v>
      </c>
      <c r="R77" s="19" t="s">
        <v>496</v>
      </c>
      <c r="S77" s="19"/>
      <c r="T77" s="19" t="s">
        <v>53</v>
      </c>
      <c r="U77" s="19" t="s">
        <v>236</v>
      </c>
      <c r="V77" s="19" t="s">
        <v>97</v>
      </c>
      <c r="W77" s="19" t="s">
        <v>190</v>
      </c>
      <c r="X77" s="19" t="s">
        <v>191</v>
      </c>
      <c r="Y77" s="19"/>
      <c r="Z77" s="19" t="s">
        <v>497</v>
      </c>
      <c r="AA77" s="19">
        <v>2</v>
      </c>
      <c r="AB77" s="19">
        <v>2</v>
      </c>
      <c r="AC77" s="19" t="s">
        <v>58</v>
      </c>
      <c r="AD77" s="19" t="s">
        <v>316</v>
      </c>
      <c r="AE77" s="19" t="s">
        <v>319</v>
      </c>
      <c r="AF77" s="19"/>
    </row>
    <row r="78" spans="1:34">
      <c r="A78" s="19">
        <v>73</v>
      </c>
      <c r="B78" s="19" t="s">
        <v>143</v>
      </c>
      <c r="C78" s="19" t="s">
        <v>408</v>
      </c>
      <c r="D78" s="19" t="str">
        <f>HYPERLINK("http://www.henontech.com/fieldsafety/harzard/harzard_show.php?rid=1755&amp;url=harzardrecs.php","2#水封煤气冷凝液出口管道腐蚀严重，如果发现不及时，管道腐蚀破裂，冷凝液泄漏，造成环保事故")</f>
        <v>2#水封煤气冷凝液出口管道腐蚀严重，如果发现不及时，管道腐蚀破裂，冷凝液泄漏，造成环保事故</v>
      </c>
      <c r="E78" s="19" t="s">
        <v>498</v>
      </c>
      <c r="F78" s="20" t="s">
        <v>42</v>
      </c>
      <c r="G78" s="22" t="s">
        <v>63</v>
      </c>
      <c r="H78" s="19" t="s">
        <v>44</v>
      </c>
      <c r="I78" s="19" t="s">
        <v>120</v>
      </c>
      <c r="J78" s="19" t="s">
        <v>46</v>
      </c>
      <c r="K78" s="19" t="s">
        <v>110</v>
      </c>
      <c r="L78" s="19" t="s">
        <v>76</v>
      </c>
      <c r="M78" s="19" t="s">
        <v>48</v>
      </c>
      <c r="N78" s="19" t="s">
        <v>499</v>
      </c>
      <c r="O78" s="19" t="s">
        <v>48</v>
      </c>
      <c r="P78" s="19" t="s">
        <v>50</v>
      </c>
      <c r="Q78" s="19" t="s">
        <v>476</v>
      </c>
      <c r="R78" s="19" t="s">
        <v>500</v>
      </c>
      <c r="S78" s="19"/>
      <c r="T78" s="19" t="s">
        <v>393</v>
      </c>
      <c r="U78" s="19" t="s">
        <v>202</v>
      </c>
      <c r="V78" s="19" t="s">
        <v>55</v>
      </c>
      <c r="W78" s="19" t="s">
        <v>56</v>
      </c>
      <c r="X78" s="19"/>
      <c r="Y78" s="19"/>
      <c r="Z78" s="19" t="s">
        <v>501</v>
      </c>
      <c r="AA78" s="19">
        <v>1</v>
      </c>
      <c r="AB78" s="19">
        <v>1</v>
      </c>
      <c r="AC78" s="19" t="s">
        <v>58</v>
      </c>
      <c r="AD78" s="19" t="s">
        <v>50</v>
      </c>
      <c r="AE78" s="19" t="s">
        <v>59</v>
      </c>
      <c r="AF78" s="19" t="s">
        <v>502</v>
      </c>
    </row>
    <row r="79" spans="1:34">
      <c r="A79" s="19">
        <v>74</v>
      </c>
      <c r="B79" s="19" t="s">
        <v>143</v>
      </c>
      <c r="C79" s="19" t="s">
        <v>329</v>
      </c>
      <c r="D79" s="19" t="str">
        <f>HYPERLINK("http://www.henontech.com/fieldsafety/harzard/harzard_show.php?rid=1756&amp;url=harzardrecs.php","北风机岗位电捕上部一处操作平台铁板腐蚀严重，基本上不能支撑高重力，并且铁板缝隙逐渐扩大，假如操作人员从此处经过，有可能使铁板缝隙瞬间扩大人员踩空，导致人员腿部轻微擦伤，伤口处理后继续工作。")</f>
        <v>北风机岗位电捕上部一处操作平台铁板腐蚀严重，基本上不能支撑高重力，并且铁板缝隙逐渐扩大，假如操作人员从此处经过，有可能使铁板缝隙瞬间扩大人员踩空，导致人员腿部轻微擦伤，伤口处理后继续工作。</v>
      </c>
      <c r="E79" s="19" t="s">
        <v>503</v>
      </c>
      <c r="F79" s="20" t="s">
        <v>42</v>
      </c>
      <c r="G79" s="22" t="s">
        <v>63</v>
      </c>
      <c r="H79" s="19" t="s">
        <v>44</v>
      </c>
      <c r="I79" s="19" t="s">
        <v>45</v>
      </c>
      <c r="J79" s="19" t="s">
        <v>109</v>
      </c>
      <c r="K79" s="19" t="s">
        <v>47</v>
      </c>
      <c r="L79" s="19" t="s">
        <v>76</v>
      </c>
      <c r="M79" s="19" t="s">
        <v>48</v>
      </c>
      <c r="N79" s="19" t="s">
        <v>504</v>
      </c>
      <c r="O79" s="19" t="s">
        <v>48</v>
      </c>
      <c r="P79" s="19" t="s">
        <v>50</v>
      </c>
      <c r="Q79" s="19" t="s">
        <v>476</v>
      </c>
      <c r="R79" s="19" t="s">
        <v>505</v>
      </c>
      <c r="S79" s="19"/>
      <c r="T79" s="19" t="s">
        <v>53</v>
      </c>
      <c r="U79" s="19" t="s">
        <v>54</v>
      </c>
      <c r="V79" s="19" t="s">
        <v>55</v>
      </c>
      <c r="W79" s="19" t="s">
        <v>56</v>
      </c>
      <c r="X79" s="19"/>
      <c r="Y79" s="19"/>
      <c r="Z79" s="19" t="s">
        <v>506</v>
      </c>
      <c r="AA79" s="19">
        <v>1</v>
      </c>
      <c r="AB79" s="19">
        <v>1</v>
      </c>
      <c r="AC79" s="19" t="s">
        <v>58</v>
      </c>
      <c r="AD79" s="19" t="s">
        <v>50</v>
      </c>
      <c r="AE79" s="19" t="s">
        <v>234</v>
      </c>
      <c r="AF79" s="19"/>
    </row>
    <row r="80" spans="1:34">
      <c r="A80" s="19">
        <v>75</v>
      </c>
      <c r="B80" s="19" t="s">
        <v>143</v>
      </c>
      <c r="C80" s="19" t="s">
        <v>507</v>
      </c>
      <c r="D80" s="19" t="str">
        <f>HYPERLINK("http://www.henontech.com/fieldsafety/harzard/harzard_show.php?rid=1757&amp;url=harzardrecs.php","电缆桥架盖板未固定紧实，被大风吹起，掉落砸中路过人员，造成擦伤。")</f>
        <v>电缆桥架盖板未固定紧实，被大风吹起，掉落砸中路过人员，造成擦伤。</v>
      </c>
      <c r="E80" s="19" t="s">
        <v>508</v>
      </c>
      <c r="F80" s="20" t="s">
        <v>42</v>
      </c>
      <c r="G80" s="21" t="s">
        <v>43</v>
      </c>
      <c r="H80" s="19" t="s">
        <v>44</v>
      </c>
      <c r="I80" s="19" t="s">
        <v>108</v>
      </c>
      <c r="J80" s="19" t="s">
        <v>109</v>
      </c>
      <c r="K80" s="19" t="s">
        <v>110</v>
      </c>
      <c r="L80" s="19" t="s">
        <v>76</v>
      </c>
      <c r="M80" s="19" t="s">
        <v>224</v>
      </c>
      <c r="N80" s="19" t="s">
        <v>509</v>
      </c>
      <c r="O80" s="19" t="s">
        <v>224</v>
      </c>
      <c r="P80" s="19" t="s">
        <v>282</v>
      </c>
      <c r="Q80" s="19" t="s">
        <v>510</v>
      </c>
      <c r="R80" s="19" t="s">
        <v>511</v>
      </c>
      <c r="S80" s="19"/>
      <c r="T80" s="19" t="s">
        <v>53</v>
      </c>
      <c r="U80" s="19" t="s">
        <v>54</v>
      </c>
      <c r="V80" s="19" t="s">
        <v>97</v>
      </c>
      <c r="W80" s="19" t="s">
        <v>81</v>
      </c>
      <c r="X80" s="19" t="s">
        <v>434</v>
      </c>
      <c r="Y80" s="19" t="s">
        <v>434</v>
      </c>
      <c r="Z80" s="19" t="s">
        <v>512</v>
      </c>
      <c r="AA80" s="19">
        <v>1</v>
      </c>
      <c r="AB80" s="19">
        <v>1</v>
      </c>
      <c r="AC80" s="19" t="s">
        <v>58</v>
      </c>
      <c r="AD80" s="19" t="s">
        <v>282</v>
      </c>
      <c r="AE80" s="19" t="s">
        <v>513</v>
      </c>
      <c r="AF80" s="19"/>
    </row>
    <row r="81" spans="1:34" customHeight="1" ht="42">
      <c r="A81" s="19">
        <v>76</v>
      </c>
      <c r="B81" s="19" t="s">
        <v>143</v>
      </c>
      <c r="C81" s="19" t="s">
        <v>514</v>
      </c>
      <c r="D81" s="19" t="str">
        <f>HYPERLINK("http://www.henontech.com/fieldsafety/harzard/harzard_show.php?rid=1758&amp;url=harzardrecs.php","5.5米焦炉凉焦台南头管道高于地面15厘米，夜间灯光昏暗，操作工夜间巡检时不慎被此管道绊倒。造成右臂受伤，入院治疗")</f>
        <v>5.5米焦炉凉焦台南头管道高于地面15厘米，夜间灯光昏暗，操作工夜间巡检时不慎被此管道绊倒。造成右臂受伤，入院治疗</v>
      </c>
      <c r="E81" s="19" t="s">
        <v>515</v>
      </c>
      <c r="F81" s="20" t="s">
        <v>42</v>
      </c>
      <c r="G81" s="21" t="s">
        <v>43</v>
      </c>
      <c r="H81" s="19" t="s">
        <v>44</v>
      </c>
      <c r="I81" s="19" t="s">
        <v>120</v>
      </c>
      <c r="J81" s="19" t="s">
        <v>46</v>
      </c>
      <c r="K81" s="19" t="s">
        <v>47</v>
      </c>
      <c r="L81" s="19" t="s">
        <v>76</v>
      </c>
      <c r="M81" s="19" t="s">
        <v>121</v>
      </c>
      <c r="N81" s="19" t="s">
        <v>516</v>
      </c>
      <c r="O81" s="19" t="s">
        <v>121</v>
      </c>
      <c r="P81" s="19" t="s">
        <v>172</v>
      </c>
      <c r="Q81" s="19" t="s">
        <v>476</v>
      </c>
      <c r="R81" s="19" t="s">
        <v>517</v>
      </c>
      <c r="S81" s="19"/>
      <c r="T81" s="19" t="s">
        <v>53</v>
      </c>
      <c r="U81" s="19" t="s">
        <v>80</v>
      </c>
      <c r="V81" s="19" t="s">
        <v>97</v>
      </c>
      <c r="W81" s="19" t="s">
        <v>70</v>
      </c>
      <c r="X81" s="19" t="s">
        <v>191</v>
      </c>
      <c r="Y81" s="19"/>
      <c r="Z81" s="19" t="s">
        <v>518</v>
      </c>
      <c r="AA81" s="19">
        <v>2</v>
      </c>
      <c r="AB81" s="19">
        <v>2</v>
      </c>
      <c r="AC81" s="19" t="s">
        <v>58</v>
      </c>
      <c r="AD81" s="19" t="s">
        <v>172</v>
      </c>
      <c r="AE81" s="19" t="s">
        <v>128</v>
      </c>
      <c r="AF81" s="19"/>
    </row>
    <row r="82" spans="1:34" customHeight="1" ht="42">
      <c r="A82" s="19">
        <v>77</v>
      </c>
      <c r="B82" s="19" t="s">
        <v>143</v>
      </c>
      <c r="C82" s="19" t="s">
        <v>519</v>
      </c>
      <c r="D82" s="19" t="str">
        <f>HYPERLINK("http://www.henontech.com/fieldsafety/harzard/harzard_show.php?rid=1759&amp;url=harzardrecs.php","5.5米推焦车行走至9号碳化室处时，由于滑块雨搭开焊下垂，造成滑块连电起火烧毁")</f>
        <v>5.5米推焦车行走至9号碳化室处时，由于滑块雨搭开焊下垂，造成滑块连电起火烧毁</v>
      </c>
      <c r="E82" s="19" t="s">
        <v>520</v>
      </c>
      <c r="F82" s="20" t="s">
        <v>42</v>
      </c>
      <c r="G82" s="21" t="s">
        <v>43</v>
      </c>
      <c r="H82" s="19" t="s">
        <v>44</v>
      </c>
      <c r="I82" s="19" t="s">
        <v>108</v>
      </c>
      <c r="J82" s="19" t="s">
        <v>46</v>
      </c>
      <c r="K82" s="19" t="s">
        <v>110</v>
      </c>
      <c r="L82" s="19" t="s">
        <v>76</v>
      </c>
      <c r="M82" s="19" t="s">
        <v>121</v>
      </c>
      <c r="N82" s="19" t="s">
        <v>521</v>
      </c>
      <c r="O82" s="19" t="s">
        <v>121</v>
      </c>
      <c r="P82" s="19" t="s">
        <v>316</v>
      </c>
      <c r="Q82" s="19" t="s">
        <v>476</v>
      </c>
      <c r="R82" s="19" t="s">
        <v>522</v>
      </c>
      <c r="S82" s="19"/>
      <c r="T82" s="19" t="s">
        <v>189</v>
      </c>
      <c r="U82" s="19" t="s">
        <v>54</v>
      </c>
      <c r="V82" s="19" t="s">
        <v>69</v>
      </c>
      <c r="W82" s="19" t="s">
        <v>70</v>
      </c>
      <c r="X82" s="19" t="s">
        <v>257</v>
      </c>
      <c r="Y82" s="19"/>
      <c r="Z82" s="19" t="s">
        <v>523</v>
      </c>
      <c r="AA82" s="19">
        <v>2</v>
      </c>
      <c r="AB82" s="19">
        <v>2</v>
      </c>
      <c r="AC82" s="19" t="s">
        <v>58</v>
      </c>
      <c r="AD82" s="19" t="s">
        <v>316</v>
      </c>
      <c r="AE82" s="19" t="s">
        <v>492</v>
      </c>
      <c r="AF82" s="19"/>
    </row>
    <row r="83" spans="1:34" customHeight="1" ht="42">
      <c r="A83" s="19">
        <v>78</v>
      </c>
      <c r="B83" s="19" t="s">
        <v>524</v>
      </c>
      <c r="C83" s="19" t="s">
        <v>437</v>
      </c>
      <c r="D83" s="19" t="str">
        <f>HYPERLINK("http://www.henontech.com/fieldsafety/harzard/harzard_show.php?rid=1763&amp;url=harzardrecs.php","在开关终冷器煤气出口阀门时，由于阀门销子坏，用20至30厘米割角料充当，一名操作工若注意力不集中造成轻微划伤未影响工作")</f>
        <v>在开关终冷器煤气出口阀门时，由于阀门销子坏，用20至30厘米割角料充当，一名操作工若注意力不集中造成轻微划伤未影响工作</v>
      </c>
      <c r="E83" s="19" t="s">
        <v>525</v>
      </c>
      <c r="F83" s="20" t="s">
        <v>42</v>
      </c>
      <c r="G83" s="22" t="s">
        <v>63</v>
      </c>
      <c r="H83" s="19" t="s">
        <v>44</v>
      </c>
      <c r="I83" s="19"/>
      <c r="J83" s="19" t="s">
        <v>46</v>
      </c>
      <c r="K83" s="19" t="s">
        <v>47</v>
      </c>
      <c r="L83" s="19" t="s">
        <v>76</v>
      </c>
      <c r="M83" s="19" t="s">
        <v>48</v>
      </c>
      <c r="N83" s="19" t="s">
        <v>526</v>
      </c>
      <c r="O83" s="19" t="s">
        <v>48</v>
      </c>
      <c r="P83" s="19" t="s">
        <v>50</v>
      </c>
      <c r="Q83" s="19" t="s">
        <v>476</v>
      </c>
      <c r="R83" s="19" t="s">
        <v>527</v>
      </c>
      <c r="S83" s="19"/>
      <c r="T83" s="19" t="s">
        <v>53</v>
      </c>
      <c r="U83" s="19" t="s">
        <v>54</v>
      </c>
      <c r="V83" s="19" t="s">
        <v>55</v>
      </c>
      <c r="W83" s="19" t="s">
        <v>56</v>
      </c>
      <c r="X83" s="19"/>
      <c r="Y83" s="19"/>
      <c r="Z83" s="19" t="s">
        <v>528</v>
      </c>
      <c r="AA83" s="19">
        <v>2</v>
      </c>
      <c r="AB83" s="19">
        <v>2</v>
      </c>
      <c r="AC83" s="19" t="s">
        <v>58</v>
      </c>
      <c r="AD83" s="19" t="s">
        <v>50</v>
      </c>
      <c r="AE83" s="19" t="s">
        <v>83</v>
      </c>
      <c r="AF83" s="19"/>
    </row>
    <row r="84" spans="1:34">
      <c r="A84" s="19">
        <v>79</v>
      </c>
      <c r="B84" s="19" t="s">
        <v>59</v>
      </c>
      <c r="C84" s="19" t="s">
        <v>529</v>
      </c>
      <c r="D84" s="19" t="str">
        <f>HYPERLINK("http://www.henontech.com/fieldsafety/harzard/harzard_show.php?rid=1764&amp;url=harzardrecs.php","生化工段操作工在巡检设备时发现液碱围堰外加药泵漏液，待仔细检查泄露部位时，因未正确佩戴护目镜，在泵子机封转动情况下甩液溅入一名操作工右眼内，导致右眼眼角膜损坏，右眼失明致残，损工半年后复工。")</f>
        <v>生化工段操作工在巡检设备时发现液碱围堰外加药泵漏液，待仔细检查泄露部位时，因未正确佩戴护目镜，在泵子机封转动情况下甩液溅入一名操作工右眼内，导致右眼眼角膜损坏，右眼失明致残，损工半年后复工。</v>
      </c>
      <c r="E84" s="19" t="s">
        <v>530</v>
      </c>
      <c r="F84" s="20" t="s">
        <v>42</v>
      </c>
      <c r="G84" s="22" t="s">
        <v>63</v>
      </c>
      <c r="H84" s="19" t="s">
        <v>44</v>
      </c>
      <c r="I84" s="19" t="s">
        <v>358</v>
      </c>
      <c r="J84" s="19" t="s">
        <v>531</v>
      </c>
      <c r="K84" s="19" t="s">
        <v>47</v>
      </c>
      <c r="L84" s="19"/>
      <c r="M84" s="19" t="s">
        <v>149</v>
      </c>
      <c r="N84" s="19" t="s">
        <v>359</v>
      </c>
      <c r="O84" s="19" t="s">
        <v>149</v>
      </c>
      <c r="P84" s="19" t="s">
        <v>151</v>
      </c>
      <c r="Q84" s="19" t="s">
        <v>476</v>
      </c>
      <c r="R84" s="19" t="s">
        <v>532</v>
      </c>
      <c r="S84" s="19"/>
      <c r="T84" s="19" t="s">
        <v>53</v>
      </c>
      <c r="U84" s="19" t="s">
        <v>80</v>
      </c>
      <c r="V84" s="19" t="s">
        <v>97</v>
      </c>
      <c r="W84" s="19" t="s">
        <v>70</v>
      </c>
      <c r="X84" s="19" t="s">
        <v>154</v>
      </c>
      <c r="Y84" s="19" t="s">
        <v>154</v>
      </c>
      <c r="Z84" s="19" t="s">
        <v>533</v>
      </c>
      <c r="AA84" s="19">
        <v>1</v>
      </c>
      <c r="AB84" s="19">
        <v>1</v>
      </c>
      <c r="AC84" s="19" t="s">
        <v>58</v>
      </c>
      <c r="AD84" s="19" t="s">
        <v>151</v>
      </c>
      <c r="AE84" s="19" t="s">
        <v>72</v>
      </c>
      <c r="AF84" s="19" t="s">
        <v>157</v>
      </c>
    </row>
    <row r="85" spans="1:34">
      <c r="A85" s="19">
        <v>80</v>
      </c>
      <c r="B85" s="19" t="s">
        <v>59</v>
      </c>
      <c r="C85" s="19" t="s">
        <v>329</v>
      </c>
      <c r="D85" s="19" t="str">
        <f>HYPERLINK("http://www.henontech.com/fieldsafety/harzard/harzard_show.php?rid=1765&amp;url=harzardrecs.php","一名操作工到4米高的初冷器水封上部给螺栓注油，因平台中间地带护栏缺失，在作业过程中该操作工不慎坠落到地面，造成小腿骨折，送医院救治3个月后恢复出院，损工3个月。")</f>
        <v>一名操作工到4米高的初冷器水封上部给螺栓注油，因平台中间地带护栏缺失，在作业过程中该操作工不慎坠落到地面，造成小腿骨折，送医院救治3个月后恢复出院，损工3个月。</v>
      </c>
      <c r="E85" s="19" t="s">
        <v>534</v>
      </c>
      <c r="F85" s="20" t="s">
        <v>42</v>
      </c>
      <c r="G85" s="22" t="s">
        <v>63</v>
      </c>
      <c r="H85" s="19" t="s">
        <v>44</v>
      </c>
      <c r="I85" s="19" t="s">
        <v>45</v>
      </c>
      <c r="J85" s="19" t="s">
        <v>46</v>
      </c>
      <c r="K85" s="19" t="s">
        <v>47</v>
      </c>
      <c r="L85" s="19" t="s">
        <v>76</v>
      </c>
      <c r="M85" s="19" t="s">
        <v>48</v>
      </c>
      <c r="N85" s="19" t="s">
        <v>535</v>
      </c>
      <c r="O85" s="19" t="s">
        <v>48</v>
      </c>
      <c r="P85" s="19" t="s">
        <v>50</v>
      </c>
      <c r="Q85" s="19" t="s">
        <v>536</v>
      </c>
      <c r="R85" s="19" t="s">
        <v>458</v>
      </c>
      <c r="S85" s="19"/>
      <c r="T85" s="19" t="s">
        <v>53</v>
      </c>
      <c r="U85" s="19" t="s">
        <v>80</v>
      </c>
      <c r="V85" s="19" t="s">
        <v>97</v>
      </c>
      <c r="W85" s="19" t="s">
        <v>70</v>
      </c>
      <c r="X85" s="19"/>
      <c r="Y85" s="19"/>
      <c r="Z85" s="19" t="s">
        <v>537</v>
      </c>
      <c r="AA85" s="19">
        <v>1</v>
      </c>
      <c r="AB85" s="19">
        <v>1</v>
      </c>
      <c r="AC85" s="19" t="s">
        <v>58</v>
      </c>
      <c r="AD85" s="19" t="s">
        <v>50</v>
      </c>
      <c r="AE85" s="19" t="s">
        <v>538</v>
      </c>
      <c r="AF85" s="19"/>
    </row>
    <row r="86" spans="1:34">
      <c r="A86" s="19">
        <v>81</v>
      </c>
      <c r="B86" s="19" t="s">
        <v>59</v>
      </c>
      <c r="C86" s="19" t="s">
        <v>399</v>
      </c>
      <c r="D86" s="19" t="str">
        <f>HYPERLINK("http://www.henontech.com/fieldsafety/harzard/harzard_show.php?rid=1766&amp;url=harzardrecs.php","一名维修人员在捕酸器底部紧固阀门螺铨时，未佩戴防护手套，若稍有不慎容易造成手部受伤！")</f>
        <v>一名维修人员在捕酸器底部紧固阀门螺铨时，未佩戴防护手套，若稍有不慎容易造成手部受伤！</v>
      </c>
      <c r="E86" s="19" t="s">
        <v>539</v>
      </c>
      <c r="F86" s="20" t="s">
        <v>42</v>
      </c>
      <c r="G86" s="22" t="s">
        <v>63</v>
      </c>
      <c r="H86" s="19" t="s">
        <v>44</v>
      </c>
      <c r="I86" s="19" t="s">
        <v>108</v>
      </c>
      <c r="J86" s="19" t="s">
        <v>109</v>
      </c>
      <c r="K86" s="19" t="s">
        <v>110</v>
      </c>
      <c r="L86" s="19" t="s">
        <v>76</v>
      </c>
      <c r="M86" s="19" t="s">
        <v>48</v>
      </c>
      <c r="N86" s="19" t="s">
        <v>540</v>
      </c>
      <c r="O86" s="19" t="s">
        <v>48</v>
      </c>
      <c r="P86" s="19" t="s">
        <v>50</v>
      </c>
      <c r="Q86" s="19" t="s">
        <v>476</v>
      </c>
      <c r="R86" s="19" t="s">
        <v>541</v>
      </c>
      <c r="S86" s="19" t="s">
        <v>542</v>
      </c>
      <c r="T86" s="19" t="s">
        <v>53</v>
      </c>
      <c r="U86" s="19" t="s">
        <v>54</v>
      </c>
      <c r="V86" s="19" t="s">
        <v>97</v>
      </c>
      <c r="W86" s="19" t="s">
        <v>81</v>
      </c>
      <c r="X86" s="19"/>
      <c r="Y86" s="19"/>
      <c r="Z86" s="19" t="s">
        <v>543</v>
      </c>
      <c r="AA86" s="19">
        <v>1</v>
      </c>
      <c r="AB86" s="19">
        <v>1</v>
      </c>
      <c r="AC86" s="19" t="s">
        <v>58</v>
      </c>
      <c r="AD86" s="19" t="s">
        <v>50</v>
      </c>
      <c r="AE86" s="19" t="s">
        <v>59</v>
      </c>
      <c r="AF86" s="19"/>
    </row>
    <row r="87" spans="1:34" customHeight="1" ht="42">
      <c r="A87" s="19">
        <v>82</v>
      </c>
      <c r="B87" s="19" t="s">
        <v>59</v>
      </c>
      <c r="C87" s="19" t="s">
        <v>544</v>
      </c>
      <c r="D87" s="19" t="str">
        <f>HYPERLINK("http://www.henontech.com/fieldsafety/harzard/harzard_show.php?rid=1767&amp;url=harzardrecs.php","一名操作工在靠近护栏时，不慎跌落至炉顶面，且头部先着地，造成重伤，随即送医，抢救无效死亡")</f>
        <v>一名操作工在靠近护栏时，不慎跌落至炉顶面，且头部先着地，造成重伤，随即送医，抢救无效死亡</v>
      </c>
      <c r="E87" s="19" t="s">
        <v>545</v>
      </c>
      <c r="F87" s="20" t="s">
        <v>42</v>
      </c>
      <c r="G87" s="22" t="s">
        <v>63</v>
      </c>
      <c r="H87" s="19" t="s">
        <v>44</v>
      </c>
      <c r="I87" s="19" t="s">
        <v>108</v>
      </c>
      <c r="J87" s="19" t="s">
        <v>46</v>
      </c>
      <c r="K87" s="19" t="s">
        <v>47</v>
      </c>
      <c r="L87" s="19" t="s">
        <v>76</v>
      </c>
      <c r="M87" s="19" t="s">
        <v>121</v>
      </c>
      <c r="N87" s="19" t="s">
        <v>546</v>
      </c>
      <c r="O87" s="19" t="s">
        <v>121</v>
      </c>
      <c r="P87" s="19" t="s">
        <v>316</v>
      </c>
      <c r="Q87" s="19" t="s">
        <v>476</v>
      </c>
      <c r="R87" s="19" t="s">
        <v>547</v>
      </c>
      <c r="S87" s="19"/>
      <c r="T87" s="19" t="s">
        <v>53</v>
      </c>
      <c r="U87" s="19" t="s">
        <v>236</v>
      </c>
      <c r="V87" s="19" t="s">
        <v>97</v>
      </c>
      <c r="W87" s="19" t="s">
        <v>190</v>
      </c>
      <c r="X87" s="19"/>
      <c r="Y87" s="19"/>
      <c r="Z87" s="19" t="s">
        <v>548</v>
      </c>
      <c r="AA87" s="19">
        <v>2</v>
      </c>
      <c r="AB87" s="19">
        <v>2</v>
      </c>
      <c r="AC87" s="19" t="s">
        <v>58</v>
      </c>
      <c r="AD87" s="19" t="s">
        <v>316</v>
      </c>
      <c r="AE87" s="19" t="s">
        <v>319</v>
      </c>
      <c r="AF87" s="19"/>
    </row>
    <row r="88" spans="1:34" customHeight="1" ht="42">
      <c r="A88" s="19">
        <v>83</v>
      </c>
      <c r="B88" s="19" t="s">
        <v>59</v>
      </c>
      <c r="C88" s="19" t="s">
        <v>544</v>
      </c>
      <c r="D88" s="19" t="str">
        <f>HYPERLINK("http://www.henontech.com/fieldsafety/harzard/harzard_show.php?rid=1768&amp;url=harzardrecs.php","一名操作工在平台堵烟时，由于平台腐蚀严重，不堪人体重力，致使人员跌落，造成重伤，紧急送医，抢救无效死亡")</f>
        <v>一名操作工在平台堵烟时，由于平台腐蚀严重，不堪人体重力，致使人员跌落，造成重伤，紧急送医，抢救无效死亡</v>
      </c>
      <c r="E88" s="19" t="s">
        <v>545</v>
      </c>
      <c r="F88" s="20" t="s">
        <v>42</v>
      </c>
      <c r="G88" s="21" t="s">
        <v>43</v>
      </c>
      <c r="H88" s="19" t="s">
        <v>44</v>
      </c>
      <c r="I88" s="19" t="s">
        <v>108</v>
      </c>
      <c r="J88" s="19" t="s">
        <v>46</v>
      </c>
      <c r="K88" s="19" t="s">
        <v>47</v>
      </c>
      <c r="L88" s="19" t="s">
        <v>76</v>
      </c>
      <c r="M88" s="19" t="s">
        <v>121</v>
      </c>
      <c r="N88" s="19" t="s">
        <v>549</v>
      </c>
      <c r="O88" s="19" t="s">
        <v>121</v>
      </c>
      <c r="P88" s="19" t="s">
        <v>316</v>
      </c>
      <c r="Q88" s="19" t="s">
        <v>476</v>
      </c>
      <c r="R88" s="19" t="s">
        <v>550</v>
      </c>
      <c r="S88" s="19"/>
      <c r="T88" s="19" t="s">
        <v>53</v>
      </c>
      <c r="U88" s="19" t="s">
        <v>236</v>
      </c>
      <c r="V88" s="19" t="s">
        <v>97</v>
      </c>
      <c r="W88" s="19" t="s">
        <v>190</v>
      </c>
      <c r="X88" s="19"/>
      <c r="Y88" s="19"/>
      <c r="Z88" s="19" t="s">
        <v>551</v>
      </c>
      <c r="AA88" s="19">
        <v>2</v>
      </c>
      <c r="AB88" s="19">
        <v>2</v>
      </c>
      <c r="AC88" s="19" t="s">
        <v>58</v>
      </c>
      <c r="AD88" s="19" t="s">
        <v>316</v>
      </c>
      <c r="AE88" s="19" t="s">
        <v>492</v>
      </c>
      <c r="AF88" s="19"/>
    </row>
    <row r="89" spans="1:34">
      <c r="A89" s="19">
        <v>84</v>
      </c>
      <c r="B89" s="19" t="s">
        <v>59</v>
      </c>
      <c r="C89" s="19" t="s">
        <v>194</v>
      </c>
      <c r="D89" s="19" t="str">
        <f>HYPERLINK("http://www.henontech.com/fieldsafety/harzard/harzard_show.php?rid=1771&amp;url=harzardrecs.php","粗苯终冷器东水封液下泵电机接线盒绝缘胶布与穿线软管脱落，进水连电，一名操作工在巡检过程中发现电机冒烟，立即用手触摸，可能造成当场触电身亡")</f>
        <v>粗苯终冷器东水封液下泵电机接线盒绝缘胶布与穿线软管脱落，进水连电，一名操作工在巡检过程中发现电机冒烟，立即用手触摸，可能造成当场触电身亡</v>
      </c>
      <c r="E89" s="19" t="s">
        <v>552</v>
      </c>
      <c r="F89" s="20" t="s">
        <v>42</v>
      </c>
      <c r="G89" s="21" t="s">
        <v>43</v>
      </c>
      <c r="H89" s="19" t="s">
        <v>44</v>
      </c>
      <c r="I89" s="19" t="s">
        <v>45</v>
      </c>
      <c r="J89" s="19" t="s">
        <v>311</v>
      </c>
      <c r="K89" s="19" t="s">
        <v>47</v>
      </c>
      <c r="L89" s="19" t="s">
        <v>76</v>
      </c>
      <c r="M89" s="19" t="s">
        <v>48</v>
      </c>
      <c r="N89" s="19" t="s">
        <v>553</v>
      </c>
      <c r="O89" s="19" t="s">
        <v>48</v>
      </c>
      <c r="P89" s="19" t="s">
        <v>50</v>
      </c>
      <c r="Q89" s="19" t="s">
        <v>510</v>
      </c>
      <c r="R89" s="19" t="s">
        <v>554</v>
      </c>
      <c r="S89" s="19"/>
      <c r="T89" s="19" t="s">
        <v>53</v>
      </c>
      <c r="U89" s="19" t="s">
        <v>236</v>
      </c>
      <c r="V89" s="19" t="s">
        <v>97</v>
      </c>
      <c r="W89" s="19" t="s">
        <v>190</v>
      </c>
      <c r="X89" s="19"/>
      <c r="Y89" s="19"/>
      <c r="Z89" s="19" t="s">
        <v>555</v>
      </c>
      <c r="AA89" s="19">
        <v>1</v>
      </c>
      <c r="AB89" s="19">
        <v>1</v>
      </c>
      <c r="AC89" s="19" t="s">
        <v>58</v>
      </c>
      <c r="AD89" s="19" t="s">
        <v>50</v>
      </c>
      <c r="AE89" s="19" t="s">
        <v>383</v>
      </c>
      <c r="AF89" s="19"/>
    </row>
    <row r="90" spans="1:34">
      <c r="A90" s="19">
        <v>85</v>
      </c>
      <c r="B90" s="19" t="s">
        <v>158</v>
      </c>
      <c r="C90" s="19" t="s">
        <v>556</v>
      </c>
      <c r="D90" s="19" t="str">
        <f>HYPERLINK("http://www.henontech.com/fieldsafety/harzard/harzard_show.php?rid=1772&amp;url=harzardrecs.php","一名操作工在蒸氨塔底放空焦油时，由于蒸汽管道破裂，假如操作工躲闪不及，会造成蒸汽烫伤，去医务室敷药后在家休养两天复工。")</f>
        <v>一名操作工在蒸氨塔底放空焦油时，由于蒸汽管道破裂，假如操作工躲闪不及，会造成蒸汽烫伤，去医务室敷药后在家休养两天复工。</v>
      </c>
      <c r="E90" s="19" t="s">
        <v>557</v>
      </c>
      <c r="F90" s="20" t="s">
        <v>42</v>
      </c>
      <c r="G90" s="22" t="s">
        <v>63</v>
      </c>
      <c r="H90" s="19" t="s">
        <v>44</v>
      </c>
      <c r="I90" s="19" t="s">
        <v>45</v>
      </c>
      <c r="J90" s="19" t="s">
        <v>46</v>
      </c>
      <c r="K90" s="19" t="s">
        <v>47</v>
      </c>
      <c r="L90" s="19" t="s">
        <v>76</v>
      </c>
      <c r="M90" s="19" t="s">
        <v>48</v>
      </c>
      <c r="N90" s="19" t="s">
        <v>558</v>
      </c>
      <c r="O90" s="19" t="s">
        <v>48</v>
      </c>
      <c r="P90" s="19" t="s">
        <v>50</v>
      </c>
      <c r="Q90" s="19" t="s">
        <v>510</v>
      </c>
      <c r="R90" s="19" t="s">
        <v>559</v>
      </c>
      <c r="S90" s="19"/>
      <c r="T90" s="19" t="s">
        <v>53</v>
      </c>
      <c r="U90" s="19" t="s">
        <v>80</v>
      </c>
      <c r="V90" s="19" t="s">
        <v>97</v>
      </c>
      <c r="W90" s="19" t="s">
        <v>70</v>
      </c>
      <c r="X90" s="19"/>
      <c r="Y90" s="19"/>
      <c r="Z90" s="19" t="s">
        <v>560</v>
      </c>
      <c r="AA90" s="19">
        <v>1</v>
      </c>
      <c r="AB90" s="19">
        <v>1</v>
      </c>
      <c r="AC90" s="19" t="s">
        <v>58</v>
      </c>
      <c r="AD90" s="19" t="s">
        <v>50</v>
      </c>
      <c r="AE90" s="19" t="s">
        <v>561</v>
      </c>
      <c r="AF90" s="19"/>
    </row>
    <row r="91" spans="1:34">
      <c r="A91" s="19">
        <v>86</v>
      </c>
      <c r="B91" s="19" t="s">
        <v>158</v>
      </c>
      <c r="C91" s="19" t="s">
        <v>130</v>
      </c>
      <c r="D91" s="19" t="str">
        <f>HYPERLINK("http://www.henontech.com/fieldsafety/harzard/harzard_show.php?rid=1775&amp;url=harzardrecs.php","泡沫槽中间有一废弃仪表线落至地面，如果操作人员夜间巡检至此处时，不慎被此处仪表线绊倒，造成右腿擦伤，上医务室敷药治疗后，休息一周后复工。")</f>
        <v>泡沫槽中间有一废弃仪表线落至地面，如果操作人员夜间巡检至此处时，不慎被此处仪表线绊倒，造成右腿擦伤，上医务室敷药治疗后，休息一周后复工。</v>
      </c>
      <c r="E91" s="19" t="s">
        <v>562</v>
      </c>
      <c r="F91" s="20" t="s">
        <v>42</v>
      </c>
      <c r="G91" s="22" t="s">
        <v>63</v>
      </c>
      <c r="H91" s="19" t="s">
        <v>44</v>
      </c>
      <c r="I91" s="19" t="s">
        <v>108</v>
      </c>
      <c r="J91" s="19" t="s">
        <v>46</v>
      </c>
      <c r="K91" s="19" t="s">
        <v>47</v>
      </c>
      <c r="L91" s="19"/>
      <c r="M91" s="19" t="s">
        <v>48</v>
      </c>
      <c r="N91" s="19" t="s">
        <v>163</v>
      </c>
      <c r="O91" s="19" t="s">
        <v>48</v>
      </c>
      <c r="P91" s="19" t="s">
        <v>50</v>
      </c>
      <c r="Q91" s="19" t="s">
        <v>563</v>
      </c>
      <c r="R91" s="19" t="s">
        <v>564</v>
      </c>
      <c r="S91" s="19"/>
      <c r="T91" s="19" t="s">
        <v>53</v>
      </c>
      <c r="U91" s="19" t="s">
        <v>80</v>
      </c>
      <c r="V91" s="19" t="s">
        <v>55</v>
      </c>
      <c r="W91" s="19" t="s">
        <v>81</v>
      </c>
      <c r="X91" s="19"/>
      <c r="Y91" s="19"/>
      <c r="Z91" s="19" t="s">
        <v>565</v>
      </c>
      <c r="AA91" s="19">
        <v>1</v>
      </c>
      <c r="AB91" s="19">
        <v>1</v>
      </c>
      <c r="AC91" s="19" t="s">
        <v>58</v>
      </c>
      <c r="AD91" s="19" t="s">
        <v>50</v>
      </c>
      <c r="AE91" s="19" t="s">
        <v>221</v>
      </c>
      <c r="AF91" s="19"/>
    </row>
    <row r="92" spans="1:34" customHeight="1" ht="42">
      <c r="A92" s="19">
        <v>87</v>
      </c>
      <c r="B92" s="19" t="s">
        <v>158</v>
      </c>
      <c r="C92" s="19" t="s">
        <v>566</v>
      </c>
      <c r="D92" s="19" t="str">
        <f>HYPERLINK("http://www.henontech.com/fieldsafety/harzard/harzard_show.php?rid=1776&amp;url=harzardrecs.php","除尘风机底座上部无护栏造成人员跌落")</f>
        <v>除尘风机底座上部无护栏造成人员跌落</v>
      </c>
      <c r="E92" s="19" t="s">
        <v>567</v>
      </c>
      <c r="F92" s="20" t="s">
        <v>42</v>
      </c>
      <c r="G92" s="22" t="s">
        <v>63</v>
      </c>
      <c r="H92" s="19" t="s">
        <v>44</v>
      </c>
      <c r="I92" s="19" t="s">
        <v>108</v>
      </c>
      <c r="J92" s="19" t="s">
        <v>109</v>
      </c>
      <c r="K92" s="19" t="s">
        <v>110</v>
      </c>
      <c r="L92" s="19" t="s">
        <v>323</v>
      </c>
      <c r="M92" s="19" t="s">
        <v>121</v>
      </c>
      <c r="N92" s="19" t="s">
        <v>568</v>
      </c>
      <c r="O92" s="19" t="s">
        <v>121</v>
      </c>
      <c r="P92" s="19" t="s">
        <v>568</v>
      </c>
      <c r="Q92" s="19" t="s">
        <v>569</v>
      </c>
      <c r="R92" s="19" t="s">
        <v>570</v>
      </c>
      <c r="S92" s="19"/>
      <c r="T92" s="19" t="s">
        <v>53</v>
      </c>
      <c r="U92" s="19" t="s">
        <v>80</v>
      </c>
      <c r="V92" s="19" t="s">
        <v>97</v>
      </c>
      <c r="W92" s="19" t="s">
        <v>70</v>
      </c>
      <c r="X92" s="19" t="s">
        <v>126</v>
      </c>
      <c r="Y92" s="19" t="s">
        <v>126</v>
      </c>
      <c r="Z92" s="19" t="s">
        <v>571</v>
      </c>
      <c r="AA92" s="19">
        <v>2</v>
      </c>
      <c r="AB92" s="19">
        <v>0</v>
      </c>
      <c r="AC92" s="19" t="s">
        <v>58</v>
      </c>
      <c r="AD92" s="19" t="s">
        <v>568</v>
      </c>
      <c r="AE92" s="19" t="s">
        <v>572</v>
      </c>
      <c r="AF92" s="19" t="s">
        <v>573</v>
      </c>
    </row>
    <row r="93" spans="1:34">
      <c r="A93" s="19">
        <v>88</v>
      </c>
      <c r="B93" s="19" t="s">
        <v>158</v>
      </c>
      <c r="C93" s="19" t="s">
        <v>574</v>
      </c>
      <c r="D93" s="19" t="str">
        <f>HYPERLINK("http://www.henontech.com/fieldsafety/harzard/harzard_show.php?rid=1777&amp;url=harzardrecs.php","到达风机底座的巡检爬梯采用简易漏空式且没有固定易造成滑跌事故")</f>
        <v>到达风机底座的巡检爬梯采用简易漏空式且没有固定易造成滑跌事故</v>
      </c>
      <c r="E93" s="19" t="s">
        <v>575</v>
      </c>
      <c r="F93" s="23" t="s">
        <v>304</v>
      </c>
      <c r="G93" s="22" t="s">
        <v>63</v>
      </c>
      <c r="H93" s="19" t="s">
        <v>44</v>
      </c>
      <c r="I93" s="19" t="s">
        <v>108</v>
      </c>
      <c r="J93" s="19" t="s">
        <v>46</v>
      </c>
      <c r="K93" s="19" t="s">
        <v>132</v>
      </c>
      <c r="L93" s="19" t="s">
        <v>76</v>
      </c>
      <c r="M93" s="19" t="s">
        <v>121</v>
      </c>
      <c r="N93" s="19" t="s">
        <v>576</v>
      </c>
      <c r="O93" s="19"/>
      <c r="P93" s="19"/>
      <c r="Q93" s="19"/>
      <c r="R93" s="19" t="s">
        <v>577</v>
      </c>
      <c r="S93" s="19" t="s">
        <v>578</v>
      </c>
      <c r="T93" s="19" t="s">
        <v>53</v>
      </c>
      <c r="U93" s="19" t="s">
        <v>80</v>
      </c>
      <c r="V93" s="19" t="s">
        <v>97</v>
      </c>
      <c r="W93" s="19" t="s">
        <v>70</v>
      </c>
      <c r="X93" s="19"/>
      <c r="Y93" s="19"/>
      <c r="Z93" s="19"/>
      <c r="AA93" s="19">
        <v>0</v>
      </c>
      <c r="AB93" s="19"/>
      <c r="AC93" s="19" t="s">
        <v>308</v>
      </c>
      <c r="AD93" s="19"/>
      <c r="AE93" s="19"/>
      <c r="AF93" s="19"/>
    </row>
    <row r="94" spans="1:34">
      <c r="A94" s="19">
        <v>89</v>
      </c>
      <c r="B94" s="19" t="s">
        <v>158</v>
      </c>
      <c r="C94" s="19" t="s">
        <v>437</v>
      </c>
      <c r="D94" s="19" t="str">
        <f>HYPERLINK("http://www.henontech.com/fieldsafety/harzard/harzard_show.php?rid=1778&amp;url=harzardrecs.php","一名巡检人员在满流槽下方巡检时，由于管道晃动加之大风天气，回流管上方的废旧铁板掉落，所幸巡检人员及时躲避，未造成伤害。")</f>
        <v>一名巡检人员在满流槽下方巡检时，由于管道晃动加之大风天气，回流管上方的废旧铁板掉落，所幸巡检人员及时躲避，未造成伤害。</v>
      </c>
      <c r="E94" s="19" t="s">
        <v>579</v>
      </c>
      <c r="F94" s="20" t="s">
        <v>42</v>
      </c>
      <c r="G94" s="22" t="s">
        <v>63</v>
      </c>
      <c r="H94" s="19" t="s">
        <v>44</v>
      </c>
      <c r="I94" s="19" t="s">
        <v>45</v>
      </c>
      <c r="J94" s="19" t="s">
        <v>580</v>
      </c>
      <c r="K94" s="19" t="s">
        <v>47</v>
      </c>
      <c r="L94" s="19" t="s">
        <v>76</v>
      </c>
      <c r="M94" s="19" t="s">
        <v>48</v>
      </c>
      <c r="N94" s="19" t="s">
        <v>581</v>
      </c>
      <c r="O94" s="19" t="s">
        <v>48</v>
      </c>
      <c r="P94" s="19" t="s">
        <v>50</v>
      </c>
      <c r="Q94" s="19" t="s">
        <v>510</v>
      </c>
      <c r="R94" s="19" t="s">
        <v>582</v>
      </c>
      <c r="S94" s="19"/>
      <c r="T94" s="19" t="s">
        <v>53</v>
      </c>
      <c r="U94" s="19" t="s">
        <v>202</v>
      </c>
      <c r="V94" s="19" t="s">
        <v>97</v>
      </c>
      <c r="W94" s="19" t="s">
        <v>56</v>
      </c>
      <c r="X94" s="19"/>
      <c r="Y94" s="19"/>
      <c r="Z94" s="19" t="s">
        <v>583</v>
      </c>
      <c r="AA94" s="19">
        <v>1</v>
      </c>
      <c r="AB94" s="19">
        <v>1</v>
      </c>
      <c r="AC94" s="19" t="s">
        <v>58</v>
      </c>
      <c r="AD94" s="19" t="s">
        <v>50</v>
      </c>
      <c r="AE94" s="19" t="s">
        <v>164</v>
      </c>
      <c r="AF94" s="19"/>
    </row>
    <row r="95" spans="1:34">
      <c r="A95" s="19">
        <v>90</v>
      </c>
      <c r="B95" s="19" t="s">
        <v>158</v>
      </c>
      <c r="C95" s="19" t="s">
        <v>92</v>
      </c>
      <c r="D95" s="19" t="str">
        <f>HYPERLINK("http://www.henontech.com/fieldsafety/harzard/harzard_show.php?rid=1779&amp;url=harzardrecs.php","换热器群南侧小井无盖板无警示标志，如果一名操作人员巡检时因夜间视线不好的情况下，左腿掉入小井内造成左腿小腿轻微擦伤，去医务室处理包扎后上班继续工作")</f>
        <v>换热器群南侧小井无盖板无警示标志，如果一名操作人员巡检时因夜间视线不好的情况下，左腿掉入小井内造成左腿小腿轻微擦伤，去医务室处理包扎后上班继续工作</v>
      </c>
      <c r="E95" s="19" t="s">
        <v>584</v>
      </c>
      <c r="F95" s="20" t="s">
        <v>42</v>
      </c>
      <c r="G95" s="22" t="s">
        <v>63</v>
      </c>
      <c r="H95" s="19" t="s">
        <v>44</v>
      </c>
      <c r="I95" s="19" t="s">
        <v>108</v>
      </c>
      <c r="J95" s="19" t="s">
        <v>46</v>
      </c>
      <c r="K95" s="19" t="s">
        <v>47</v>
      </c>
      <c r="L95" s="19" t="s">
        <v>76</v>
      </c>
      <c r="M95" s="19" t="s">
        <v>48</v>
      </c>
      <c r="N95" s="19" t="s">
        <v>585</v>
      </c>
      <c r="O95" s="19" t="s">
        <v>48</v>
      </c>
      <c r="P95" s="19" t="s">
        <v>50</v>
      </c>
      <c r="Q95" s="19" t="s">
        <v>563</v>
      </c>
      <c r="R95" s="19" t="s">
        <v>586</v>
      </c>
      <c r="S95" s="19"/>
      <c r="T95" s="19" t="s">
        <v>53</v>
      </c>
      <c r="U95" s="19" t="s">
        <v>54</v>
      </c>
      <c r="V95" s="19" t="s">
        <v>55</v>
      </c>
      <c r="W95" s="19" t="s">
        <v>56</v>
      </c>
      <c r="X95" s="19"/>
      <c r="Y95" s="19"/>
      <c r="Z95" s="19" t="s">
        <v>587</v>
      </c>
      <c r="AA95" s="19">
        <v>1</v>
      </c>
      <c r="AB95" s="19">
        <v>1</v>
      </c>
      <c r="AC95" s="19" t="s">
        <v>58</v>
      </c>
      <c r="AD95" s="19" t="s">
        <v>50</v>
      </c>
      <c r="AE95" s="19" t="s">
        <v>164</v>
      </c>
      <c r="AF95" s="19"/>
    </row>
    <row r="96" spans="1:34">
      <c r="A96" s="19">
        <v>91</v>
      </c>
      <c r="B96" s="19" t="s">
        <v>158</v>
      </c>
      <c r="C96" s="19" t="s">
        <v>147</v>
      </c>
      <c r="D96" s="19" t="str">
        <f>HYPERLINK("http://www.henontech.com/fieldsafety/harzard/harzard_show.php?rid=1780&amp;url=harzardrecs.php","好氧池溶解氧仪器电缆穿线管破损，电缆老化漏电，操作工在巡检经过时踩在电缆上触电")</f>
        <v>好氧池溶解氧仪器电缆穿线管破损，电缆老化漏电，操作工在巡检经过时踩在电缆上触电</v>
      </c>
      <c r="E96" s="19" t="s">
        <v>588</v>
      </c>
      <c r="F96" s="20" t="s">
        <v>42</v>
      </c>
      <c r="G96" s="22" t="s">
        <v>63</v>
      </c>
      <c r="H96" s="19" t="s">
        <v>44</v>
      </c>
      <c r="I96" s="19" t="s">
        <v>108</v>
      </c>
      <c r="J96" s="19" t="s">
        <v>311</v>
      </c>
      <c r="K96" s="19" t="s">
        <v>47</v>
      </c>
      <c r="L96" s="19" t="s">
        <v>76</v>
      </c>
      <c r="M96" s="19" t="s">
        <v>149</v>
      </c>
      <c r="N96" s="19" t="s">
        <v>150</v>
      </c>
      <c r="O96" s="19" t="s">
        <v>149</v>
      </c>
      <c r="P96" s="19" t="s">
        <v>151</v>
      </c>
      <c r="Q96" s="19" t="s">
        <v>589</v>
      </c>
      <c r="R96" s="19" t="s">
        <v>590</v>
      </c>
      <c r="S96" s="19"/>
      <c r="T96" s="19" t="s">
        <v>53</v>
      </c>
      <c r="U96" s="19" t="s">
        <v>80</v>
      </c>
      <c r="V96" s="19" t="s">
        <v>69</v>
      </c>
      <c r="W96" s="19" t="s">
        <v>190</v>
      </c>
      <c r="X96" s="19" t="s">
        <v>154</v>
      </c>
      <c r="Y96" s="19" t="s">
        <v>154</v>
      </c>
      <c r="Z96" s="19" t="s">
        <v>591</v>
      </c>
      <c r="AA96" s="19">
        <v>1</v>
      </c>
      <c r="AB96" s="19">
        <v>1</v>
      </c>
      <c r="AC96" s="19" t="s">
        <v>58</v>
      </c>
      <c r="AD96" s="19" t="s">
        <v>151</v>
      </c>
      <c r="AE96" s="19" t="s">
        <v>592</v>
      </c>
      <c r="AF96" s="19"/>
    </row>
    <row r="97" spans="1:34">
      <c r="A97" s="19">
        <v>92</v>
      </c>
      <c r="B97" s="19" t="s">
        <v>474</v>
      </c>
      <c r="C97" s="19" t="s">
        <v>194</v>
      </c>
      <c r="D97" s="19" t="str">
        <f>HYPERLINK("http://www.henontech.com/fieldsafety/harzard/harzard_show.php?rid=1781&amp;url=harzardrecs.php","蒸汽管线脱离管架，一巡检人员在经过此处巡检时，管线突然掉落，砸伤其肩部，造成骨折，住院三天，在家休养半个月。")</f>
        <v>蒸汽管线脱离管架，一巡检人员在经过此处巡检时，管线突然掉落，砸伤其肩部，造成骨折，住院三天，在家休养半个月。</v>
      </c>
      <c r="E97" s="19" t="s">
        <v>593</v>
      </c>
      <c r="F97" s="20" t="s">
        <v>42</v>
      </c>
      <c r="G97" s="22" t="s">
        <v>63</v>
      </c>
      <c r="H97" s="19" t="s">
        <v>44</v>
      </c>
      <c r="I97" s="19" t="s">
        <v>108</v>
      </c>
      <c r="J97" s="19" t="s">
        <v>349</v>
      </c>
      <c r="K97" s="19" t="s">
        <v>110</v>
      </c>
      <c r="L97" s="19" t="s">
        <v>76</v>
      </c>
      <c r="M97" s="19" t="s">
        <v>48</v>
      </c>
      <c r="N97" s="19" t="s">
        <v>594</v>
      </c>
      <c r="O97" s="19" t="s">
        <v>48</v>
      </c>
      <c r="P97" s="19" t="s">
        <v>50</v>
      </c>
      <c r="Q97" s="19" t="s">
        <v>563</v>
      </c>
      <c r="R97" s="19" t="s">
        <v>595</v>
      </c>
      <c r="S97" s="19" t="s">
        <v>596</v>
      </c>
      <c r="T97" s="19" t="s">
        <v>53</v>
      </c>
      <c r="U97" s="19" t="s">
        <v>80</v>
      </c>
      <c r="V97" s="19" t="s">
        <v>55</v>
      </c>
      <c r="W97" s="19" t="s">
        <v>81</v>
      </c>
      <c r="X97" s="19"/>
      <c r="Y97" s="19"/>
      <c r="Z97" s="19" t="s">
        <v>597</v>
      </c>
      <c r="AA97" s="19">
        <v>1</v>
      </c>
      <c r="AB97" s="19">
        <v>1</v>
      </c>
      <c r="AC97" s="19" t="s">
        <v>58</v>
      </c>
      <c r="AD97" s="19" t="s">
        <v>50</v>
      </c>
      <c r="AE97" s="19" t="s">
        <v>474</v>
      </c>
      <c r="AF97" s="19"/>
    </row>
    <row r="98" spans="1:34">
      <c r="A98" s="19">
        <v>93</v>
      </c>
      <c r="B98" s="19" t="s">
        <v>474</v>
      </c>
      <c r="C98" s="19" t="s">
        <v>273</v>
      </c>
      <c r="D98" s="19" t="str">
        <f>HYPERLINK("http://www.henontech.com/fieldsafety/harzard/harzard_show.php?rid=1783&amp;url=harzardrecs.php","10000立方米气柜东侧消防炮底座挖坑待检修，施工人员撤离未设置安全措施，夜间光线不好一名巡检人员一脚踏入水坑，左脚腕部扭伤，医院检查后回家休息一周。")</f>
        <v>10000立方米气柜东侧消防炮底座挖坑待检修，施工人员撤离未设置安全措施，夜间光线不好一名巡检人员一脚踏入水坑，左脚腕部扭伤，医院检查后回家休息一周。</v>
      </c>
      <c r="E98" s="19" t="s">
        <v>598</v>
      </c>
      <c r="F98" s="20" t="s">
        <v>42</v>
      </c>
      <c r="G98" s="22" t="s">
        <v>63</v>
      </c>
      <c r="H98" s="19" t="s">
        <v>44</v>
      </c>
      <c r="I98" s="19" t="s">
        <v>45</v>
      </c>
      <c r="J98" s="19" t="s">
        <v>109</v>
      </c>
      <c r="K98" s="19" t="s">
        <v>47</v>
      </c>
      <c r="L98" s="19" t="s">
        <v>599</v>
      </c>
      <c r="M98" s="19" t="s">
        <v>224</v>
      </c>
      <c r="N98" s="19" t="s">
        <v>600</v>
      </c>
      <c r="O98" s="19" t="s">
        <v>224</v>
      </c>
      <c r="P98" s="19" t="s">
        <v>226</v>
      </c>
      <c r="Q98" s="19" t="s">
        <v>601</v>
      </c>
      <c r="R98" s="19" t="s">
        <v>602</v>
      </c>
      <c r="S98" s="19"/>
      <c r="T98" s="19" t="s">
        <v>53</v>
      </c>
      <c r="U98" s="19" t="s">
        <v>80</v>
      </c>
      <c r="V98" s="19" t="s">
        <v>97</v>
      </c>
      <c r="W98" s="19" t="s">
        <v>70</v>
      </c>
      <c r="X98" s="19" t="s">
        <v>338</v>
      </c>
      <c r="Y98" s="19" t="s">
        <v>434</v>
      </c>
      <c r="Z98" s="19" t="s">
        <v>603</v>
      </c>
      <c r="AA98" s="19">
        <v>1</v>
      </c>
      <c r="AB98" s="19">
        <v>1</v>
      </c>
      <c r="AC98" s="19" t="s">
        <v>58</v>
      </c>
      <c r="AD98" s="19" t="s">
        <v>226</v>
      </c>
      <c r="AE98" s="19" t="s">
        <v>99</v>
      </c>
      <c r="AF98" s="19"/>
    </row>
    <row r="99" spans="1:34">
      <c r="A99" s="19">
        <v>94</v>
      </c>
      <c r="B99" s="19" t="s">
        <v>128</v>
      </c>
      <c r="C99" s="19" t="s">
        <v>384</v>
      </c>
      <c r="D99" s="19" t="str">
        <f>HYPERLINK("http://www.henontech.com/fieldsafety/harzard/harzard_show.php?rid=1785&amp;url=harzardrecs.php","一名操作工在巡检过程中，由于平台腐蚀严重，可能不慎造成脚腕扭伤，经简单处理不影响工作")</f>
        <v>一名操作工在巡检过程中，由于平台腐蚀严重，可能不慎造成脚腕扭伤，经简单处理不影响工作</v>
      </c>
      <c r="E99" s="19" t="s">
        <v>604</v>
      </c>
      <c r="F99" s="20" t="s">
        <v>42</v>
      </c>
      <c r="G99" s="22" t="s">
        <v>63</v>
      </c>
      <c r="H99" s="19" t="s">
        <v>44</v>
      </c>
      <c r="I99" s="19" t="s">
        <v>45</v>
      </c>
      <c r="J99" s="19" t="s">
        <v>46</v>
      </c>
      <c r="K99" s="19" t="s">
        <v>47</v>
      </c>
      <c r="L99" s="19"/>
      <c r="M99" s="19" t="s">
        <v>48</v>
      </c>
      <c r="N99" s="19" t="s">
        <v>605</v>
      </c>
      <c r="O99" s="19" t="s">
        <v>48</v>
      </c>
      <c r="P99" s="19" t="s">
        <v>50</v>
      </c>
      <c r="Q99" s="19" t="s">
        <v>606</v>
      </c>
      <c r="R99" s="19" t="s">
        <v>607</v>
      </c>
      <c r="S99" s="19"/>
      <c r="T99" s="19" t="s">
        <v>53</v>
      </c>
      <c r="U99" s="19" t="s">
        <v>54</v>
      </c>
      <c r="V99" s="19" t="s">
        <v>55</v>
      </c>
      <c r="W99" s="19" t="s">
        <v>56</v>
      </c>
      <c r="X99" s="19"/>
      <c r="Y99" s="19"/>
      <c r="Z99" s="19" t="s">
        <v>608</v>
      </c>
      <c r="AA99" s="19">
        <v>1</v>
      </c>
      <c r="AB99" s="19">
        <v>1</v>
      </c>
      <c r="AC99" s="19" t="s">
        <v>58</v>
      </c>
      <c r="AD99" s="19" t="s">
        <v>50</v>
      </c>
      <c r="AE99" s="19" t="s">
        <v>538</v>
      </c>
      <c r="AF99" s="19"/>
    </row>
    <row r="100" spans="1:34">
      <c r="A100" s="19">
        <v>95</v>
      </c>
      <c r="B100" s="19" t="s">
        <v>128</v>
      </c>
      <c r="C100" s="19" t="s">
        <v>279</v>
      </c>
      <c r="D100" s="19" t="str">
        <f>HYPERLINK("http://www.henontech.com/fieldsafety/harzard/harzard_show.php?rid=1786&amp;url=harzardrecs.php","压缩岗位北侧地沟盖板因外协施工人员清理废料，没及时回复且没设警示标识，夜间一名巡检工在巡检过程中因夜间照明不足，不慎踩到小井处，造成腿部擦伤脚腕扭伤。")</f>
        <v>压缩岗位北侧地沟盖板因外协施工人员清理废料，没及时回复且没设警示标识，夜间一名巡检工在巡检过程中因夜间照明不足，不慎踩到小井处，造成腿部擦伤脚腕扭伤。</v>
      </c>
      <c r="E100" s="19" t="s">
        <v>609</v>
      </c>
      <c r="F100" s="20" t="s">
        <v>42</v>
      </c>
      <c r="G100" s="22" t="s">
        <v>63</v>
      </c>
      <c r="H100" s="19" t="s">
        <v>44</v>
      </c>
      <c r="I100" s="19" t="s">
        <v>120</v>
      </c>
      <c r="J100" s="19" t="s">
        <v>46</v>
      </c>
      <c r="K100" s="19" t="s">
        <v>47</v>
      </c>
      <c r="L100" s="19"/>
      <c r="M100" s="19" t="s">
        <v>224</v>
      </c>
      <c r="N100" s="19" t="s">
        <v>226</v>
      </c>
      <c r="O100" s="19" t="s">
        <v>224</v>
      </c>
      <c r="P100" s="19" t="s">
        <v>226</v>
      </c>
      <c r="Q100" s="19" t="s">
        <v>270</v>
      </c>
      <c r="R100" s="19" t="s">
        <v>610</v>
      </c>
      <c r="S100" s="19"/>
      <c r="T100" s="19" t="s">
        <v>53</v>
      </c>
      <c r="U100" s="19" t="s">
        <v>80</v>
      </c>
      <c r="V100" s="19" t="s">
        <v>97</v>
      </c>
      <c r="W100" s="19" t="s">
        <v>70</v>
      </c>
      <c r="X100" s="19" t="s">
        <v>191</v>
      </c>
      <c r="Y100" s="19" t="s">
        <v>191</v>
      </c>
      <c r="Z100" s="19" t="s">
        <v>611</v>
      </c>
      <c r="AA100" s="19">
        <v>1</v>
      </c>
      <c r="AB100" s="19">
        <v>1</v>
      </c>
      <c r="AC100" s="19" t="s">
        <v>58</v>
      </c>
      <c r="AD100" s="19" t="s">
        <v>226</v>
      </c>
      <c r="AE100" s="19" t="s">
        <v>270</v>
      </c>
      <c r="AF100" s="19"/>
    </row>
    <row r="101" spans="1:34">
      <c r="A101" s="19">
        <v>96</v>
      </c>
      <c r="B101" s="19" t="s">
        <v>128</v>
      </c>
      <c r="C101" s="19" t="s">
        <v>408</v>
      </c>
      <c r="D101" s="19" t="str">
        <f>HYPERLINK("http://www.henontech.com/fieldsafety/harzard/harzard_show.php?rid=1789&amp;url=harzardrecs.php","南脱硫脱硫塔底煤气报警器的护线管破裂，当遇到阴雨天气时，雨水就有可能沿着护线管流到煤气报警器中，造成报警器短路而损坏。")</f>
        <v>南脱硫脱硫塔底煤气报警器的护线管破裂，当遇到阴雨天气时，雨水就有可能沿着护线管流到煤气报警器中，造成报警器短路而损坏。</v>
      </c>
      <c r="E101" s="19" t="s">
        <v>612</v>
      </c>
      <c r="F101" s="20" t="s">
        <v>42</v>
      </c>
      <c r="G101" s="22" t="s">
        <v>63</v>
      </c>
      <c r="H101" s="19" t="s">
        <v>44</v>
      </c>
      <c r="I101" s="19" t="s">
        <v>108</v>
      </c>
      <c r="J101" s="19" t="s">
        <v>46</v>
      </c>
      <c r="K101" s="19" t="s">
        <v>47</v>
      </c>
      <c r="L101" s="19" t="s">
        <v>76</v>
      </c>
      <c r="M101" s="19" t="s">
        <v>48</v>
      </c>
      <c r="N101" s="19" t="s">
        <v>613</v>
      </c>
      <c r="O101" s="19" t="s">
        <v>48</v>
      </c>
      <c r="P101" s="19" t="s">
        <v>50</v>
      </c>
      <c r="Q101" s="19" t="s">
        <v>606</v>
      </c>
      <c r="R101" s="19" t="s">
        <v>614</v>
      </c>
      <c r="S101" s="19"/>
      <c r="T101" s="19" t="s">
        <v>189</v>
      </c>
      <c r="U101" s="19" t="s">
        <v>202</v>
      </c>
      <c r="V101" s="19" t="s">
        <v>55</v>
      </c>
      <c r="W101" s="19" t="s">
        <v>56</v>
      </c>
      <c r="X101" s="19"/>
      <c r="Y101" s="19"/>
      <c r="Z101" s="19" t="s">
        <v>591</v>
      </c>
      <c r="AA101" s="19">
        <v>1</v>
      </c>
      <c r="AB101" s="19">
        <v>1</v>
      </c>
      <c r="AC101" s="19" t="s">
        <v>58</v>
      </c>
      <c r="AD101" s="19" t="s">
        <v>50</v>
      </c>
      <c r="AE101" s="19" t="s">
        <v>615</v>
      </c>
      <c r="AF101" s="19"/>
    </row>
    <row r="102" spans="1:34">
      <c r="A102" s="19">
        <v>97</v>
      </c>
      <c r="B102" s="19" t="s">
        <v>164</v>
      </c>
      <c r="C102" s="19" t="s">
        <v>168</v>
      </c>
      <c r="D102" s="19" t="str">
        <f>HYPERLINK("http://www.henontech.com/fieldsafety/harzard/harzard_show.php?rid=1790&amp;url=harzardrecs.php","5米5脱硫脱硝电闸盒子没有防雨措施，一夜班人员操作时，触电倒地抢救无效死亡。")</f>
        <v>5米5脱硫脱硝电闸盒子没有防雨措施，一夜班人员操作时，触电倒地抢救无效死亡。</v>
      </c>
      <c r="E102" s="19" t="s">
        <v>616</v>
      </c>
      <c r="F102" s="23" t="s">
        <v>304</v>
      </c>
      <c r="G102" s="22" t="s">
        <v>63</v>
      </c>
      <c r="H102" s="19" t="s">
        <v>44</v>
      </c>
      <c r="I102" s="19" t="s">
        <v>120</v>
      </c>
      <c r="J102" s="19" t="s">
        <v>109</v>
      </c>
      <c r="K102" s="19" t="s">
        <v>47</v>
      </c>
      <c r="L102" s="19" t="s">
        <v>170</v>
      </c>
      <c r="M102" s="19" t="s">
        <v>121</v>
      </c>
      <c r="N102" s="19" t="s">
        <v>171</v>
      </c>
      <c r="O102" s="19"/>
      <c r="P102" s="19"/>
      <c r="Q102" s="19"/>
      <c r="R102" s="19" t="s">
        <v>617</v>
      </c>
      <c r="S102" s="19" t="s">
        <v>618</v>
      </c>
      <c r="T102" s="19" t="s">
        <v>53</v>
      </c>
      <c r="U102" s="19" t="s">
        <v>236</v>
      </c>
      <c r="V102" s="19" t="s">
        <v>69</v>
      </c>
      <c r="W102" s="19" t="s">
        <v>190</v>
      </c>
      <c r="X102" s="19"/>
      <c r="Y102" s="19"/>
      <c r="Z102" s="19"/>
      <c r="AA102" s="19">
        <v>0</v>
      </c>
      <c r="AB102" s="19"/>
      <c r="AC102" s="19" t="s">
        <v>308</v>
      </c>
      <c r="AD102" s="19"/>
      <c r="AE102" s="19"/>
      <c r="AF102" s="19"/>
    </row>
    <row r="103" spans="1:34">
      <c r="A103" s="19">
        <v>98</v>
      </c>
      <c r="B103" s="19" t="s">
        <v>164</v>
      </c>
      <c r="C103" s="19" t="s">
        <v>168</v>
      </c>
      <c r="D103" s="19" t="str">
        <f>HYPERLINK("http://www.henontech.com/fieldsafety/harzard/harzard_show.php?rid=1791&amp;url=harzardrecs.php","4米3脱硫脱硝高压风机联轴器，没有防护措施，操作人员在巡检时，衣服被联轴器螺栓勾住，甩出两米多高的电机平台，头部着地抢救无效死亡。")</f>
        <v>4米3脱硫脱硝高压风机联轴器，没有防护措施，操作人员在巡检时，衣服被联轴器螺栓勾住，甩出两米多高的电机平台，头部着地抢救无效死亡。</v>
      </c>
      <c r="E103" s="19" t="s">
        <v>619</v>
      </c>
      <c r="F103" s="23" t="s">
        <v>304</v>
      </c>
      <c r="G103" s="22" t="s">
        <v>63</v>
      </c>
      <c r="H103" s="19" t="s">
        <v>44</v>
      </c>
      <c r="I103" s="19" t="s">
        <v>120</v>
      </c>
      <c r="J103" s="19" t="s">
        <v>109</v>
      </c>
      <c r="K103" s="19" t="s">
        <v>47</v>
      </c>
      <c r="L103" s="19" t="s">
        <v>599</v>
      </c>
      <c r="M103" s="19" t="s">
        <v>121</v>
      </c>
      <c r="N103" s="19" t="s">
        <v>620</v>
      </c>
      <c r="O103" s="19"/>
      <c r="P103" s="19"/>
      <c r="Q103" s="19"/>
      <c r="R103" s="19" t="s">
        <v>621</v>
      </c>
      <c r="S103" s="19" t="s">
        <v>622</v>
      </c>
      <c r="T103" s="19" t="s">
        <v>53</v>
      </c>
      <c r="U103" s="19" t="s">
        <v>236</v>
      </c>
      <c r="V103" s="19" t="s">
        <v>69</v>
      </c>
      <c r="W103" s="19" t="s">
        <v>190</v>
      </c>
      <c r="X103" s="19"/>
      <c r="Y103" s="19"/>
      <c r="Z103" s="19"/>
      <c r="AA103" s="19">
        <v>0</v>
      </c>
      <c r="AB103" s="19"/>
      <c r="AC103" s="19" t="s">
        <v>308</v>
      </c>
      <c r="AD103" s="19"/>
      <c r="AE103" s="19"/>
      <c r="AF103" s="19"/>
    </row>
    <row r="104" spans="1:34">
      <c r="A104" s="19">
        <v>99</v>
      </c>
      <c r="B104" s="19" t="s">
        <v>164</v>
      </c>
      <c r="C104" s="19" t="s">
        <v>623</v>
      </c>
      <c r="D104" s="19" t="str">
        <f>HYPERLINK("http://www.henontech.com/fieldsafety/harzard/harzard_show.php?rid=1792&amp;url=harzardrecs.php","吸氨岗位氨水槽处爬梯未及时撤离，无固定措施，当操作工在巡检过程中爬梯倒下，操作工不慎砸伤，经包扎立即复工。")</f>
        <v>吸氨岗位氨水槽处爬梯未及时撤离，无固定措施，当操作工在巡检过程中爬梯倒下，操作工不慎砸伤，经包扎立即复工。</v>
      </c>
      <c r="E104" s="19" t="s">
        <v>624</v>
      </c>
      <c r="F104" s="20" t="s">
        <v>42</v>
      </c>
      <c r="G104" s="21" t="s">
        <v>43</v>
      </c>
      <c r="H104" s="19" t="s">
        <v>44</v>
      </c>
      <c r="I104" s="19" t="s">
        <v>120</v>
      </c>
      <c r="J104" s="19" t="s">
        <v>46</v>
      </c>
      <c r="K104" s="19" t="s">
        <v>47</v>
      </c>
      <c r="L104" s="19" t="s">
        <v>170</v>
      </c>
      <c r="M104" s="19" t="s">
        <v>224</v>
      </c>
      <c r="N104" s="19" t="s">
        <v>625</v>
      </c>
      <c r="O104" s="19" t="s">
        <v>224</v>
      </c>
      <c r="P104" s="19" t="s">
        <v>226</v>
      </c>
      <c r="Q104" s="19" t="s">
        <v>606</v>
      </c>
      <c r="R104" s="19" t="s">
        <v>626</v>
      </c>
      <c r="S104" s="19"/>
      <c r="T104" s="19" t="s">
        <v>53</v>
      </c>
      <c r="U104" s="19" t="s">
        <v>54</v>
      </c>
      <c r="V104" s="19" t="s">
        <v>97</v>
      </c>
      <c r="W104" s="19" t="s">
        <v>81</v>
      </c>
      <c r="X104" s="19" t="s">
        <v>434</v>
      </c>
      <c r="Y104" s="19" t="s">
        <v>434</v>
      </c>
      <c r="Z104" s="19" t="s">
        <v>627</v>
      </c>
      <c r="AA104" s="19">
        <v>1</v>
      </c>
      <c r="AB104" s="19">
        <v>1</v>
      </c>
      <c r="AC104" s="19" t="s">
        <v>58</v>
      </c>
      <c r="AD104" s="19" t="s">
        <v>226</v>
      </c>
      <c r="AE104" s="19" t="s">
        <v>99</v>
      </c>
      <c r="AF104" s="19"/>
    </row>
    <row r="105" spans="1:34">
      <c r="A105" s="19">
        <v>100</v>
      </c>
      <c r="B105" s="19" t="s">
        <v>164</v>
      </c>
      <c r="C105" s="19" t="s">
        <v>273</v>
      </c>
      <c r="D105" s="19" t="str">
        <f>HYPERLINK("http://www.henontech.com/fieldsafety/harzard/harzard_show.php?rid=1793&amp;url=harzardrecs.php","一万气柜出口地沟无盖板，一名操作工巡查时，不慎掉落沟中，造成腿部擦伤，胳膊摔伤，住院治疗5天。")</f>
        <v>一万气柜出口地沟无盖板，一名操作工巡查时，不慎掉落沟中，造成腿部擦伤，胳膊摔伤，住院治疗5天。</v>
      </c>
      <c r="E105" s="19" t="s">
        <v>628</v>
      </c>
      <c r="F105" s="20" t="s">
        <v>42</v>
      </c>
      <c r="G105" s="22" t="s">
        <v>63</v>
      </c>
      <c r="H105" s="19" t="s">
        <v>44</v>
      </c>
      <c r="I105" s="19" t="s">
        <v>120</v>
      </c>
      <c r="J105" s="19" t="s">
        <v>46</v>
      </c>
      <c r="K105" s="19" t="s">
        <v>47</v>
      </c>
      <c r="L105" s="19"/>
      <c r="M105" s="19" t="s">
        <v>224</v>
      </c>
      <c r="N105" s="19" t="s">
        <v>629</v>
      </c>
      <c r="O105" s="19" t="s">
        <v>224</v>
      </c>
      <c r="P105" s="19" t="s">
        <v>226</v>
      </c>
      <c r="Q105" s="19" t="s">
        <v>630</v>
      </c>
      <c r="R105" s="19" t="s">
        <v>631</v>
      </c>
      <c r="S105" s="19"/>
      <c r="T105" s="19" t="s">
        <v>53</v>
      </c>
      <c r="U105" s="19" t="s">
        <v>80</v>
      </c>
      <c r="V105" s="19" t="s">
        <v>97</v>
      </c>
      <c r="W105" s="19" t="s">
        <v>70</v>
      </c>
      <c r="X105" s="19" t="s">
        <v>338</v>
      </c>
      <c r="Y105" s="19" t="s">
        <v>434</v>
      </c>
      <c r="Z105" s="19" t="s">
        <v>632</v>
      </c>
      <c r="AA105" s="19">
        <v>1</v>
      </c>
      <c r="AB105" s="19">
        <v>1</v>
      </c>
      <c r="AC105" s="19" t="s">
        <v>58</v>
      </c>
      <c r="AD105" s="19" t="s">
        <v>226</v>
      </c>
      <c r="AE105" s="19" t="s">
        <v>83</v>
      </c>
      <c r="AF105" s="19"/>
    </row>
    <row r="106" spans="1:34">
      <c r="A106" s="19">
        <v>101</v>
      </c>
      <c r="B106" s="19" t="s">
        <v>164</v>
      </c>
      <c r="C106" s="19" t="s">
        <v>224</v>
      </c>
      <c r="D106" s="19" t="str">
        <f>HYPERLINK("http://www.henontech.com/fieldsafety/harzard/harzard_show.php?rid=1794&amp;url=harzardrecs.php","空分工段行车吊钩距离地面过近，一名操作工巡检过程中，肩膀不慎碰到吊钩，造成肩部碰伤。")</f>
        <v>空分工段行车吊钩距离地面过近，一名操作工巡检过程中，肩膀不慎碰到吊钩，造成肩部碰伤。</v>
      </c>
      <c r="E106" s="19" t="s">
        <v>633</v>
      </c>
      <c r="F106" s="20" t="s">
        <v>42</v>
      </c>
      <c r="G106" s="22" t="s">
        <v>63</v>
      </c>
      <c r="H106" s="19" t="s">
        <v>44</v>
      </c>
      <c r="I106" s="19" t="s">
        <v>120</v>
      </c>
      <c r="J106" s="19" t="s">
        <v>580</v>
      </c>
      <c r="K106" s="19" t="s">
        <v>64</v>
      </c>
      <c r="L106" s="19" t="s">
        <v>76</v>
      </c>
      <c r="M106" s="19" t="s">
        <v>224</v>
      </c>
      <c r="N106" s="19" t="s">
        <v>634</v>
      </c>
      <c r="O106" s="19" t="s">
        <v>224</v>
      </c>
      <c r="P106" s="19" t="s">
        <v>226</v>
      </c>
      <c r="Q106" s="19" t="s">
        <v>630</v>
      </c>
      <c r="R106" s="19" t="s">
        <v>635</v>
      </c>
      <c r="S106" s="19"/>
      <c r="T106" s="19" t="s">
        <v>53</v>
      </c>
      <c r="U106" s="19" t="s">
        <v>80</v>
      </c>
      <c r="V106" s="19" t="s">
        <v>55</v>
      </c>
      <c r="W106" s="19" t="s">
        <v>81</v>
      </c>
      <c r="X106" s="19" t="s">
        <v>338</v>
      </c>
      <c r="Y106" s="19" t="s">
        <v>434</v>
      </c>
      <c r="Z106" s="19" t="s">
        <v>636</v>
      </c>
      <c r="AA106" s="19">
        <v>1</v>
      </c>
      <c r="AB106" s="19">
        <v>1</v>
      </c>
      <c r="AC106" s="19" t="s">
        <v>58</v>
      </c>
      <c r="AD106" s="19" t="s">
        <v>226</v>
      </c>
      <c r="AE106" s="19" t="s">
        <v>99</v>
      </c>
      <c r="AF106" s="19"/>
    </row>
    <row r="107" spans="1:34">
      <c r="A107" s="19">
        <v>102</v>
      </c>
      <c r="B107" s="19" t="s">
        <v>164</v>
      </c>
      <c r="C107" s="19" t="s">
        <v>279</v>
      </c>
      <c r="D107" s="19" t="str">
        <f>HYPERLINK("http://www.henontech.com/fieldsafety/harzard/harzard_show.php?rid=1795&amp;url=harzardrecs.php","压缩机厂房二楼行车吊钩防脱装置失效，在更换压缩机活塞时吊绳从吊钩内滑脱，造成活塞掉落损坏。")</f>
        <v>压缩机厂房二楼行车吊钩防脱装置失效，在更换压缩机活塞时吊绳从吊钩内滑脱，造成活塞掉落损坏。</v>
      </c>
      <c r="E107" s="19" t="s">
        <v>637</v>
      </c>
      <c r="F107" s="20" t="s">
        <v>42</v>
      </c>
      <c r="G107" s="22" t="s">
        <v>63</v>
      </c>
      <c r="H107" s="19" t="s">
        <v>44</v>
      </c>
      <c r="I107" s="19" t="s">
        <v>45</v>
      </c>
      <c r="J107" s="19" t="s">
        <v>46</v>
      </c>
      <c r="K107" s="19" t="s">
        <v>110</v>
      </c>
      <c r="L107" s="19" t="s">
        <v>76</v>
      </c>
      <c r="M107" s="19" t="s">
        <v>224</v>
      </c>
      <c r="N107" s="19" t="s">
        <v>638</v>
      </c>
      <c r="O107" s="19" t="s">
        <v>224</v>
      </c>
      <c r="P107" s="19" t="s">
        <v>226</v>
      </c>
      <c r="Q107" s="19" t="s">
        <v>569</v>
      </c>
      <c r="R107" s="19" t="s">
        <v>639</v>
      </c>
      <c r="S107" s="19"/>
      <c r="T107" s="19" t="s">
        <v>189</v>
      </c>
      <c r="U107" s="19" t="s">
        <v>202</v>
      </c>
      <c r="V107" s="19" t="s">
        <v>97</v>
      </c>
      <c r="W107" s="19" t="s">
        <v>56</v>
      </c>
      <c r="X107" s="19" t="s">
        <v>126</v>
      </c>
      <c r="Y107" s="19" t="s">
        <v>126</v>
      </c>
      <c r="Z107" s="19" t="s">
        <v>640</v>
      </c>
      <c r="AA107" s="19">
        <v>1</v>
      </c>
      <c r="AB107" s="19">
        <v>1</v>
      </c>
      <c r="AC107" s="19" t="s">
        <v>58</v>
      </c>
      <c r="AD107" s="19" t="s">
        <v>226</v>
      </c>
      <c r="AE107" s="19" t="s">
        <v>99</v>
      </c>
      <c r="AF107" s="19"/>
    </row>
    <row r="108" spans="1:34" customHeight="1" ht="42">
      <c r="A108" s="19">
        <v>103</v>
      </c>
      <c r="B108" s="19" t="s">
        <v>641</v>
      </c>
      <c r="C108" s="19" t="s">
        <v>574</v>
      </c>
      <c r="D108" s="19" t="str">
        <f>HYPERLINK("http://www.henontech.com/fieldsafety/harzard/harzard_show.php?rid=1797&amp;url=harzardrecs.php","2号炉烟道闸板吊砣下方未设置警示标志，且护栏设置未起到有效作用。如果一名职工注意力不集中从下方经过时，由于钢丝绳长期受力松动造成吊砣意外落下，砸到头部导致一人死亡。")</f>
        <v>2号炉烟道闸板吊砣下方未设置警示标志，且护栏设置未起到有效作用。如果一名职工注意力不集中从下方经过时，由于钢丝绳长期受力松动造成吊砣意外落下，砸到头部导致一人死亡。</v>
      </c>
      <c r="E108" s="19" t="s">
        <v>642</v>
      </c>
      <c r="F108" s="20" t="s">
        <v>42</v>
      </c>
      <c r="G108" s="22" t="s">
        <v>63</v>
      </c>
      <c r="H108" s="19" t="s">
        <v>44</v>
      </c>
      <c r="I108" s="19" t="s">
        <v>108</v>
      </c>
      <c r="J108" s="19" t="s">
        <v>46</v>
      </c>
      <c r="K108" s="19" t="s">
        <v>47</v>
      </c>
      <c r="L108" s="19" t="s">
        <v>170</v>
      </c>
      <c r="M108" s="19" t="s">
        <v>121</v>
      </c>
      <c r="N108" s="19" t="s">
        <v>643</v>
      </c>
      <c r="O108" s="19" t="s">
        <v>121</v>
      </c>
      <c r="P108" s="19" t="s">
        <v>316</v>
      </c>
      <c r="Q108" s="19" t="s">
        <v>569</v>
      </c>
      <c r="R108" s="19" t="s">
        <v>644</v>
      </c>
      <c r="S108" s="19"/>
      <c r="T108" s="19" t="s">
        <v>53</v>
      </c>
      <c r="U108" s="19" t="s">
        <v>236</v>
      </c>
      <c r="V108" s="19" t="s">
        <v>69</v>
      </c>
      <c r="W108" s="19" t="s">
        <v>190</v>
      </c>
      <c r="X108" s="19" t="s">
        <v>257</v>
      </c>
      <c r="Y108" s="19" t="s">
        <v>257</v>
      </c>
      <c r="Z108" s="19" t="s">
        <v>645</v>
      </c>
      <c r="AA108" s="19">
        <v>2</v>
      </c>
      <c r="AB108" s="19">
        <v>0</v>
      </c>
      <c r="AC108" s="19" t="s">
        <v>58</v>
      </c>
      <c r="AD108" s="19" t="s">
        <v>316</v>
      </c>
      <c r="AE108" s="19" t="s">
        <v>572</v>
      </c>
      <c r="AF108" s="19" t="s">
        <v>646</v>
      </c>
    </row>
    <row r="109" spans="1:34" customHeight="1" ht="42">
      <c r="A109" s="19">
        <v>104</v>
      </c>
      <c r="B109" s="19" t="s">
        <v>641</v>
      </c>
      <c r="C109" s="19" t="s">
        <v>566</v>
      </c>
      <c r="D109" s="19" t="str">
        <f>HYPERLINK("http://www.henontech.com/fieldsafety/harzard/harzard_show.php?rid=1798&amp;url=harzardrecs.php","4.3米焦炉1号炉北侧爬梯踏板防滑钢筋开焊，假如一名操作工从爬梯经过，被开焊的钢筋绊倒，人员从爬梯摔落，头部着地，当场昏迷，经医院抢救无效死亡")</f>
        <v>4.3米焦炉1号炉北侧爬梯踏板防滑钢筋开焊，假如一名操作工从爬梯经过，被开焊的钢筋绊倒，人员从爬梯摔落，头部着地，当场昏迷，经医院抢救无效死亡</v>
      </c>
      <c r="E109" s="19" t="s">
        <v>647</v>
      </c>
      <c r="F109" s="20" t="s">
        <v>42</v>
      </c>
      <c r="G109" s="22" t="s">
        <v>63</v>
      </c>
      <c r="H109" s="19" t="s">
        <v>44</v>
      </c>
      <c r="I109" s="19" t="s">
        <v>108</v>
      </c>
      <c r="J109" s="19" t="s">
        <v>46</v>
      </c>
      <c r="K109" s="19" t="s">
        <v>132</v>
      </c>
      <c r="L109" s="19" t="s">
        <v>76</v>
      </c>
      <c r="M109" s="19" t="s">
        <v>121</v>
      </c>
      <c r="N109" s="19" t="s">
        <v>648</v>
      </c>
      <c r="O109" s="19" t="s">
        <v>121</v>
      </c>
      <c r="P109" s="19" t="s">
        <v>648</v>
      </c>
      <c r="Q109" s="19" t="s">
        <v>569</v>
      </c>
      <c r="R109" s="19" t="s">
        <v>649</v>
      </c>
      <c r="S109" s="19"/>
      <c r="T109" s="19" t="s">
        <v>53</v>
      </c>
      <c r="U109" s="19" t="s">
        <v>236</v>
      </c>
      <c r="V109" s="19" t="s">
        <v>97</v>
      </c>
      <c r="W109" s="19" t="s">
        <v>190</v>
      </c>
      <c r="X109" s="19" t="s">
        <v>126</v>
      </c>
      <c r="Y109" s="19" t="s">
        <v>126</v>
      </c>
      <c r="Z109" s="19" t="s">
        <v>650</v>
      </c>
      <c r="AA109" s="19">
        <v>2</v>
      </c>
      <c r="AB109" s="19">
        <v>1</v>
      </c>
      <c r="AC109" s="19" t="s">
        <v>58</v>
      </c>
      <c r="AD109" s="19" t="s">
        <v>648</v>
      </c>
      <c r="AE109" s="19" t="s">
        <v>248</v>
      </c>
      <c r="AF109" s="19" t="s">
        <v>651</v>
      </c>
    </row>
    <row r="110" spans="1:34" customHeight="1" ht="42">
      <c r="A110" s="19">
        <v>105</v>
      </c>
      <c r="B110" s="19" t="s">
        <v>641</v>
      </c>
      <c r="C110" s="19" t="s">
        <v>168</v>
      </c>
      <c r="D110" s="19" t="str">
        <f>HYPERLINK("http://www.henontech.com/fieldsafety/harzard/harzard_show.php?rid=1799&amp;url=harzardrecs.php","5.5米炉顶焦侧上升管平台吹管放置杂乱，没有归置摆放，存在绊倒风险。若人员操作在此通行，不慎绊倒，导致人员脚部扭伤。")</f>
        <v>5.5米炉顶焦侧上升管平台吹管放置杂乱，没有归置摆放，存在绊倒风险。若人员操作在此通行，不慎绊倒，导致人员脚部扭伤。</v>
      </c>
      <c r="E110" s="19" t="s">
        <v>652</v>
      </c>
      <c r="F110" s="20" t="s">
        <v>42</v>
      </c>
      <c r="G110" s="22" t="s">
        <v>63</v>
      </c>
      <c r="H110" s="19" t="s">
        <v>44</v>
      </c>
      <c r="I110" s="19" t="s">
        <v>45</v>
      </c>
      <c r="J110" s="19" t="s">
        <v>46</v>
      </c>
      <c r="K110" s="19" t="s">
        <v>47</v>
      </c>
      <c r="L110" s="19" t="s">
        <v>76</v>
      </c>
      <c r="M110" s="19" t="s">
        <v>121</v>
      </c>
      <c r="N110" s="19" t="s">
        <v>352</v>
      </c>
      <c r="O110" s="19" t="s">
        <v>121</v>
      </c>
      <c r="P110" s="19" t="s">
        <v>352</v>
      </c>
      <c r="Q110" s="19" t="s">
        <v>569</v>
      </c>
      <c r="R110" s="19" t="s">
        <v>653</v>
      </c>
      <c r="S110" s="19"/>
      <c r="T110" s="19" t="s">
        <v>53</v>
      </c>
      <c r="U110" s="19" t="s">
        <v>80</v>
      </c>
      <c r="V110" s="19" t="s">
        <v>97</v>
      </c>
      <c r="W110" s="19" t="s">
        <v>70</v>
      </c>
      <c r="X110" s="19" t="s">
        <v>126</v>
      </c>
      <c r="Y110" s="19" t="s">
        <v>126</v>
      </c>
      <c r="Z110" s="19" t="s">
        <v>654</v>
      </c>
      <c r="AA110" s="19">
        <v>2</v>
      </c>
      <c r="AB110" s="19">
        <v>2</v>
      </c>
      <c r="AC110" s="19" t="s">
        <v>58</v>
      </c>
      <c r="AD110" s="19" t="s">
        <v>352</v>
      </c>
      <c r="AE110" s="19" t="s">
        <v>655</v>
      </c>
      <c r="AF110" s="19"/>
    </row>
    <row r="111" spans="1:34" customHeight="1" ht="42">
      <c r="A111" s="19">
        <v>106</v>
      </c>
      <c r="B111" s="19" t="s">
        <v>641</v>
      </c>
      <c r="C111" s="19" t="s">
        <v>656</v>
      </c>
      <c r="D111" s="19" t="str">
        <f>HYPERLINK("http://www.henontech.com/fieldsafety/harzard/harzard_show.php?rid=1801&amp;url=harzardrecs.php","操作人员在清理卫生时，不小心被软胶管绊倒，人员头部后脑部位撞击在炉顶道轨上，送医院抢救无效死亡。")</f>
        <v>操作人员在清理卫生时，不小心被软胶管绊倒，人员头部后脑部位撞击在炉顶道轨上，送医院抢救无效死亡。</v>
      </c>
      <c r="E111" s="19" t="s">
        <v>657</v>
      </c>
      <c r="F111" s="20" t="s">
        <v>42</v>
      </c>
      <c r="G111" s="21" t="s">
        <v>43</v>
      </c>
      <c r="H111" s="19" t="s">
        <v>44</v>
      </c>
      <c r="I111" s="19" t="s">
        <v>120</v>
      </c>
      <c r="J111" s="19" t="s">
        <v>46</v>
      </c>
      <c r="K111" s="19" t="s">
        <v>47</v>
      </c>
      <c r="L111" s="19"/>
      <c r="M111" s="19" t="s">
        <v>121</v>
      </c>
      <c r="N111" s="19" t="s">
        <v>658</v>
      </c>
      <c r="O111" s="19" t="s">
        <v>121</v>
      </c>
      <c r="P111" s="19" t="s">
        <v>648</v>
      </c>
      <c r="Q111" s="19" t="s">
        <v>569</v>
      </c>
      <c r="R111" s="19" t="s">
        <v>659</v>
      </c>
      <c r="S111" s="19"/>
      <c r="T111" s="19" t="s">
        <v>53</v>
      </c>
      <c r="U111" s="19" t="s">
        <v>236</v>
      </c>
      <c r="V111" s="19" t="s">
        <v>55</v>
      </c>
      <c r="W111" s="19" t="s">
        <v>70</v>
      </c>
      <c r="X111" s="19" t="s">
        <v>191</v>
      </c>
      <c r="Y111" s="19"/>
      <c r="Z111" s="19" t="s">
        <v>660</v>
      </c>
      <c r="AA111" s="19">
        <v>2</v>
      </c>
      <c r="AB111" s="19">
        <v>2</v>
      </c>
      <c r="AC111" s="19" t="s">
        <v>58</v>
      </c>
      <c r="AD111" s="19" t="s">
        <v>648</v>
      </c>
      <c r="AE111" s="19" t="s">
        <v>242</v>
      </c>
      <c r="AF111" s="19"/>
    </row>
    <row r="112" spans="1:34" customHeight="1" ht="42">
      <c r="A112" s="19">
        <v>107</v>
      </c>
      <c r="B112" s="19" t="s">
        <v>641</v>
      </c>
      <c r="C112" s="19" t="s">
        <v>168</v>
      </c>
      <c r="D112" s="19" t="str">
        <f>HYPERLINK("http://www.henontech.com/fieldsafety/harzard/harzard_show.php?rid=1802&amp;url=harzardrecs.php","送煤车顶部遮挡板长时间暴露在外，锈蚀严重将要脱落，如果一名人员恰巧从下面经过，遮挡板从5米多的高处坠落，砸中人员头部，人员受伤，送医院抢救无效死亡。")</f>
        <v>送煤车顶部遮挡板长时间暴露在外，锈蚀严重将要脱落，如果一名人员恰巧从下面经过，遮挡板从5米多的高处坠落，砸中人员头部，人员受伤，送医院抢救无效死亡。</v>
      </c>
      <c r="E112" s="19" t="s">
        <v>661</v>
      </c>
      <c r="F112" s="20" t="s">
        <v>42</v>
      </c>
      <c r="G112" s="21" t="s">
        <v>43</v>
      </c>
      <c r="H112" s="19" t="s">
        <v>44</v>
      </c>
      <c r="I112" s="19" t="s">
        <v>45</v>
      </c>
      <c r="J112" s="19" t="s">
        <v>46</v>
      </c>
      <c r="K112" s="19" t="s">
        <v>47</v>
      </c>
      <c r="L112" s="19"/>
      <c r="M112" s="19" t="s">
        <v>121</v>
      </c>
      <c r="N112" s="19" t="s">
        <v>662</v>
      </c>
      <c r="O112" s="19" t="s">
        <v>121</v>
      </c>
      <c r="P112" s="19" t="s">
        <v>352</v>
      </c>
      <c r="Q112" s="19" t="s">
        <v>569</v>
      </c>
      <c r="R112" s="19" t="s">
        <v>663</v>
      </c>
      <c r="S112" s="19"/>
      <c r="T112" s="19" t="s">
        <v>53</v>
      </c>
      <c r="U112" s="19" t="s">
        <v>236</v>
      </c>
      <c r="V112" s="19" t="s">
        <v>97</v>
      </c>
      <c r="W112" s="19" t="s">
        <v>190</v>
      </c>
      <c r="X112" s="19" t="s">
        <v>154</v>
      </c>
      <c r="Y112" s="19"/>
      <c r="Z112" s="19" t="s">
        <v>664</v>
      </c>
      <c r="AA112" s="19">
        <v>2</v>
      </c>
      <c r="AB112" s="19">
        <v>2</v>
      </c>
      <c r="AC112" s="19" t="s">
        <v>58</v>
      </c>
      <c r="AD112" s="19" t="s">
        <v>352</v>
      </c>
      <c r="AE112" s="19" t="s">
        <v>655</v>
      </c>
      <c r="AF112" s="19"/>
    </row>
    <row r="113" spans="1:34">
      <c r="A113" s="19">
        <v>108</v>
      </c>
      <c r="B113" s="19" t="s">
        <v>641</v>
      </c>
      <c r="C113" s="19" t="s">
        <v>665</v>
      </c>
      <c r="D113" s="19" t="str">
        <f>HYPERLINK("http://www.henontech.com/fieldsafety/harzard/harzard_show.php?rid=1803&amp;url=harzardrecs.php","检修后合成塔与平台之间空隙未及时用盖板盖严，一操作工在巡检时，不慎将腿掉入空隙，造成腿部划伤出血。")</f>
        <v>检修后合成塔与平台之间空隙未及时用盖板盖严，一操作工在巡检时，不慎将腿掉入空隙，造成腿部划伤出血。</v>
      </c>
      <c r="E113" s="19" t="s">
        <v>666</v>
      </c>
      <c r="F113" s="20" t="s">
        <v>42</v>
      </c>
      <c r="G113" s="22" t="s">
        <v>63</v>
      </c>
      <c r="H113" s="19" t="s">
        <v>44</v>
      </c>
      <c r="I113" s="19" t="s">
        <v>120</v>
      </c>
      <c r="J113" s="19" t="s">
        <v>46</v>
      </c>
      <c r="K113" s="19" t="s">
        <v>47</v>
      </c>
      <c r="L113" s="19"/>
      <c r="M113" s="19" t="s">
        <v>224</v>
      </c>
      <c r="N113" s="19" t="s">
        <v>667</v>
      </c>
      <c r="O113" s="19" t="s">
        <v>224</v>
      </c>
      <c r="P113" s="19" t="s">
        <v>226</v>
      </c>
      <c r="Q113" s="19" t="s">
        <v>569</v>
      </c>
      <c r="R113" s="19" t="s">
        <v>668</v>
      </c>
      <c r="S113" s="19"/>
      <c r="T113" s="19" t="s">
        <v>53</v>
      </c>
      <c r="U113" s="19" t="s">
        <v>80</v>
      </c>
      <c r="V113" s="19" t="s">
        <v>55</v>
      </c>
      <c r="W113" s="19" t="s">
        <v>81</v>
      </c>
      <c r="X113" s="19" t="s">
        <v>126</v>
      </c>
      <c r="Y113" s="19" t="s">
        <v>258</v>
      </c>
      <c r="Z113" s="19" t="s">
        <v>669</v>
      </c>
      <c r="AA113" s="19">
        <v>1</v>
      </c>
      <c r="AB113" s="19">
        <v>1</v>
      </c>
      <c r="AC113" s="19" t="s">
        <v>58</v>
      </c>
      <c r="AD113" s="19" t="s">
        <v>226</v>
      </c>
      <c r="AE113" s="19" t="s">
        <v>99</v>
      </c>
      <c r="AF113" s="19"/>
    </row>
    <row r="114" spans="1:34" customHeight="1" ht="42">
      <c r="A114" s="19">
        <v>109</v>
      </c>
      <c r="B114" s="19" t="s">
        <v>641</v>
      </c>
      <c r="C114" s="19" t="s">
        <v>168</v>
      </c>
      <c r="D114" s="19" t="str">
        <f>HYPERLINK("http://www.henontech.com/fieldsafety/harzard/harzard_show.php?rid=1804&amp;url=harzardrecs.php","焦侧除尘水槽上部闲置铁架未放牢固，假如一名操作工从除尘水槽下部经过，拦焦车来回行走发生震动，铁架歪倒与车辆发生剐蹭掉落下去，砸到下方操作人员，当场昏迷，经医院抢救无效死亡")</f>
        <v>焦侧除尘水槽上部闲置铁架未放牢固，假如一名操作工从除尘水槽下部经过，拦焦车来回行走发生震动，铁架歪倒与车辆发生剐蹭掉落下去，砸到下方操作人员，当场昏迷，经医院抢救无效死亡</v>
      </c>
      <c r="E114" s="19" t="s">
        <v>670</v>
      </c>
      <c r="F114" s="20" t="s">
        <v>42</v>
      </c>
      <c r="G114" s="21" t="s">
        <v>43</v>
      </c>
      <c r="H114" s="19" t="s">
        <v>44</v>
      </c>
      <c r="I114" s="19" t="s">
        <v>45</v>
      </c>
      <c r="J114" s="19" t="s">
        <v>109</v>
      </c>
      <c r="K114" s="19" t="s">
        <v>47</v>
      </c>
      <c r="L114" s="19" t="s">
        <v>599</v>
      </c>
      <c r="M114" s="19" t="s">
        <v>121</v>
      </c>
      <c r="N114" s="19" t="s">
        <v>671</v>
      </c>
      <c r="O114" s="19" t="s">
        <v>121</v>
      </c>
      <c r="P114" s="19" t="s">
        <v>352</v>
      </c>
      <c r="Q114" s="19" t="s">
        <v>569</v>
      </c>
      <c r="R114" s="19" t="s">
        <v>672</v>
      </c>
      <c r="S114" s="19"/>
      <c r="T114" s="19" t="s">
        <v>53</v>
      </c>
      <c r="U114" s="19" t="s">
        <v>236</v>
      </c>
      <c r="V114" s="19" t="s">
        <v>55</v>
      </c>
      <c r="W114" s="19" t="s">
        <v>70</v>
      </c>
      <c r="X114" s="19" t="s">
        <v>191</v>
      </c>
      <c r="Y114" s="19"/>
      <c r="Z114" s="19" t="s">
        <v>673</v>
      </c>
      <c r="AA114" s="19">
        <v>2</v>
      </c>
      <c r="AB114" s="19">
        <v>2</v>
      </c>
      <c r="AC114" s="19" t="s">
        <v>58</v>
      </c>
      <c r="AD114" s="19" t="s">
        <v>352</v>
      </c>
      <c r="AE114" s="19" t="s">
        <v>655</v>
      </c>
      <c r="AF114" s="19"/>
    </row>
    <row r="115" spans="1:34">
      <c r="A115" s="19">
        <v>110</v>
      </c>
      <c r="B115" s="19" t="s">
        <v>641</v>
      </c>
      <c r="C115" s="19" t="s">
        <v>408</v>
      </c>
      <c r="D115" s="19" t="str">
        <f>HYPERLINK("http://www.henontech.com/fieldsafety/harzard/harzard_show.php?rid=1805&amp;url=harzardrecs.php","操作工在巡检过程中，不小心被水龙带绊倒，人员面部被框架底座碰伤，面部出血医务室治疗。")</f>
        <v>操作工在巡检过程中，不小心被水龙带绊倒，人员面部被框架底座碰伤，面部出血医务室治疗。</v>
      </c>
      <c r="E115" s="19" t="s">
        <v>674</v>
      </c>
      <c r="F115" s="23" t="s">
        <v>304</v>
      </c>
      <c r="G115" s="22" t="s">
        <v>63</v>
      </c>
      <c r="H115" s="19" t="s">
        <v>44</v>
      </c>
      <c r="I115" s="19" t="s">
        <v>108</v>
      </c>
      <c r="J115" s="19" t="s">
        <v>349</v>
      </c>
      <c r="K115" s="19" t="s">
        <v>110</v>
      </c>
      <c r="L115" s="19" t="s">
        <v>76</v>
      </c>
      <c r="M115" s="19" t="s">
        <v>48</v>
      </c>
      <c r="N115" s="19" t="s">
        <v>675</v>
      </c>
      <c r="O115" s="19"/>
      <c r="P115" s="19"/>
      <c r="Q115" s="19"/>
      <c r="R115" s="19" t="s">
        <v>676</v>
      </c>
      <c r="S115" s="19" t="s">
        <v>677</v>
      </c>
      <c r="T115" s="19" t="s">
        <v>53</v>
      </c>
      <c r="U115" s="19" t="s">
        <v>54</v>
      </c>
      <c r="V115" s="19" t="s">
        <v>55</v>
      </c>
      <c r="W115" s="19" t="s">
        <v>56</v>
      </c>
      <c r="X115" s="19"/>
      <c r="Y115" s="19"/>
      <c r="Z115" s="19"/>
      <c r="AA115" s="19">
        <v>0</v>
      </c>
      <c r="AB115" s="19"/>
      <c r="AC115" s="19" t="s">
        <v>308</v>
      </c>
      <c r="AD115" s="19"/>
      <c r="AE115" s="19"/>
      <c r="AF115" s="19"/>
    </row>
    <row r="116" spans="1:34">
      <c r="A116" s="19">
        <v>111</v>
      </c>
      <c r="B116" s="19" t="s">
        <v>641</v>
      </c>
      <c r="C116" s="19" t="s">
        <v>678</v>
      </c>
      <c r="D116" s="19" t="str">
        <f>HYPERLINK("http://www.henontech.com/fieldsafety/harzard/harzard_show.php?rid=1806&amp;url=harzardrecs.php","空分主控室二氧化碳灭火器放置栏未固定，一名操作工拿灭火器称重时放置栏歪倒掉落，砸伤脚面，经医务室查看后轻微伤害，立即复工")</f>
        <v>空分主控室二氧化碳灭火器放置栏未固定，一名操作工拿灭火器称重时放置栏歪倒掉落，砸伤脚面，经医务室查看后轻微伤害，立即复工</v>
      </c>
      <c r="E116" s="19" t="s">
        <v>679</v>
      </c>
      <c r="F116" s="20" t="s">
        <v>42</v>
      </c>
      <c r="G116" s="22" t="s">
        <v>63</v>
      </c>
      <c r="H116" s="19" t="s">
        <v>44</v>
      </c>
      <c r="I116" s="19" t="s">
        <v>120</v>
      </c>
      <c r="J116" s="19" t="s">
        <v>46</v>
      </c>
      <c r="K116" s="19" t="s">
        <v>64</v>
      </c>
      <c r="L116" s="19"/>
      <c r="M116" s="19" t="s">
        <v>224</v>
      </c>
      <c r="N116" s="19" t="s">
        <v>680</v>
      </c>
      <c r="O116" s="19" t="s">
        <v>224</v>
      </c>
      <c r="P116" s="19" t="s">
        <v>226</v>
      </c>
      <c r="Q116" s="19" t="s">
        <v>83</v>
      </c>
      <c r="R116" s="19" t="s">
        <v>681</v>
      </c>
      <c r="S116" s="19"/>
      <c r="T116" s="19" t="s">
        <v>53</v>
      </c>
      <c r="U116" s="19" t="s">
        <v>54</v>
      </c>
      <c r="V116" s="19" t="s">
        <v>97</v>
      </c>
      <c r="W116" s="19" t="s">
        <v>81</v>
      </c>
      <c r="X116" s="19" t="s">
        <v>338</v>
      </c>
      <c r="Y116" s="19" t="s">
        <v>682</v>
      </c>
      <c r="Z116" s="19" t="s">
        <v>683</v>
      </c>
      <c r="AA116" s="19">
        <v>1</v>
      </c>
      <c r="AB116" s="19">
        <v>1</v>
      </c>
      <c r="AC116" s="19" t="s">
        <v>58</v>
      </c>
      <c r="AD116" s="19" t="s">
        <v>226</v>
      </c>
      <c r="AE116" s="19" t="s">
        <v>99</v>
      </c>
      <c r="AF116" s="19"/>
    </row>
    <row r="117" spans="1:34">
      <c r="A117" s="19">
        <v>112</v>
      </c>
      <c r="B117" s="19" t="s">
        <v>684</v>
      </c>
      <c r="C117" s="19" t="s">
        <v>566</v>
      </c>
      <c r="D117" s="19" t="str">
        <f>HYPERLINK("http://www.henontech.com/fieldsafety/harzard/harzard_show.php?rid=1807&amp;url=harzardrecs.php","4.3米焦炉1号炉南炉墙串漏燃烧并倾斜坍塌，假如一名操作工从炉前经过，被坍塌的炉墙砖砸倒，人员从拦焦平台摔入洗焦道轨，头部着地，当场昏迷，经送医院抢救无效死亡")</f>
        <v>4.3米焦炉1号炉南炉墙串漏燃烧并倾斜坍塌，假如一名操作工从炉前经过，被坍塌的炉墙砖砸倒，人员从拦焦平台摔入洗焦道轨，头部着地，当场昏迷，经送医院抢救无效死亡</v>
      </c>
      <c r="E117" s="19" t="s">
        <v>647</v>
      </c>
      <c r="F117" s="23" t="s">
        <v>304</v>
      </c>
      <c r="G117" s="22" t="s">
        <v>63</v>
      </c>
      <c r="H117" s="19" t="s">
        <v>44</v>
      </c>
      <c r="I117" s="19" t="s">
        <v>108</v>
      </c>
      <c r="J117" s="19" t="s">
        <v>46</v>
      </c>
      <c r="K117" s="19" t="s">
        <v>102</v>
      </c>
      <c r="L117" s="19" t="s">
        <v>76</v>
      </c>
      <c r="M117" s="19" t="s">
        <v>121</v>
      </c>
      <c r="N117" s="19" t="s">
        <v>685</v>
      </c>
      <c r="O117" s="19"/>
      <c r="P117" s="19"/>
      <c r="Q117" s="19"/>
      <c r="R117" s="19" t="s">
        <v>686</v>
      </c>
      <c r="S117" s="19" t="s">
        <v>687</v>
      </c>
      <c r="T117" s="19" t="s">
        <v>53</v>
      </c>
      <c r="U117" s="19" t="s">
        <v>236</v>
      </c>
      <c r="V117" s="19" t="s">
        <v>69</v>
      </c>
      <c r="W117" s="19" t="s">
        <v>190</v>
      </c>
      <c r="X117" s="19"/>
      <c r="Y117" s="19"/>
      <c r="Z117" s="19"/>
      <c r="AA117" s="19">
        <v>0</v>
      </c>
      <c r="AB117" s="19"/>
      <c r="AC117" s="19" t="s">
        <v>308</v>
      </c>
      <c r="AD117" s="19"/>
      <c r="AE117" s="19"/>
      <c r="AF117" s="19"/>
    </row>
    <row r="118" spans="1:34" customHeight="1" ht="42">
      <c r="A118" s="19">
        <v>113</v>
      </c>
      <c r="B118" s="19" t="s">
        <v>684</v>
      </c>
      <c r="C118" s="19" t="s">
        <v>384</v>
      </c>
      <c r="D118" s="19" t="str">
        <f>HYPERLINK("http://www.henontech.com/fieldsafety/harzard/harzard_show.php?rid=1808&amp;url=harzardrecs.php","1#鼓风机机体下液管阀门泄露煤气，假如一操作工在擦拭鼓风机时，未佩戴防毒面罩，可能会造成轻微煤气中毒，头晕恶心。通风处休息30分钟后恢复正常。")</f>
        <v>1#鼓风机机体下液管阀门泄露煤气，假如一操作工在擦拭鼓风机时，未佩戴防毒面罩，可能会造成轻微煤气中毒，头晕恶心。通风处休息30分钟后恢复正常。</v>
      </c>
      <c r="E118" s="19" t="s">
        <v>688</v>
      </c>
      <c r="F118" s="20" t="s">
        <v>42</v>
      </c>
      <c r="G118" s="22" t="s">
        <v>63</v>
      </c>
      <c r="H118" s="19" t="s">
        <v>232</v>
      </c>
      <c r="I118" s="19" t="s">
        <v>45</v>
      </c>
      <c r="J118" s="19" t="s">
        <v>109</v>
      </c>
      <c r="K118" s="19" t="s">
        <v>64</v>
      </c>
      <c r="L118" s="19"/>
      <c r="M118" s="19" t="s">
        <v>48</v>
      </c>
      <c r="N118" s="19" t="s">
        <v>689</v>
      </c>
      <c r="O118" s="19" t="s">
        <v>48</v>
      </c>
      <c r="P118" s="19" t="s">
        <v>50</v>
      </c>
      <c r="Q118" s="19" t="s">
        <v>589</v>
      </c>
      <c r="R118" s="19" t="s">
        <v>690</v>
      </c>
      <c r="S118" s="19"/>
      <c r="T118" s="19" t="s">
        <v>53</v>
      </c>
      <c r="U118" s="19" t="s">
        <v>54</v>
      </c>
      <c r="V118" s="19" t="s">
        <v>55</v>
      </c>
      <c r="W118" s="19" t="s">
        <v>56</v>
      </c>
      <c r="X118" s="19"/>
      <c r="Y118" s="19"/>
      <c r="Z118" s="19" t="s">
        <v>691</v>
      </c>
      <c r="AA118" s="19">
        <v>2</v>
      </c>
      <c r="AB118" s="19">
        <v>2</v>
      </c>
      <c r="AC118" s="19" t="s">
        <v>58</v>
      </c>
      <c r="AD118" s="19" t="s">
        <v>50</v>
      </c>
      <c r="AE118" s="19" t="s">
        <v>538</v>
      </c>
      <c r="AF118" s="19"/>
    </row>
    <row r="119" spans="1:34">
      <c r="A119" s="19">
        <v>114</v>
      </c>
      <c r="B119" s="19" t="s">
        <v>173</v>
      </c>
      <c r="C119" s="19" t="s">
        <v>130</v>
      </c>
      <c r="D119" s="19" t="str">
        <f>HYPERLINK("http://www.henontech.com/fieldsafety/harzard/harzard_show.php?rid=1812&amp;url=harzardrecs.php","循环槽溶液收集池无盖板，如果夜间一名职工巡检时，一只脚不慎踩入池内，造成脚部扭伤，到医院简单治疗后回家休养七天，损工七天。")</f>
        <v>循环槽溶液收集池无盖板，如果夜间一名职工巡检时，一只脚不慎踩入池内，造成脚部扭伤，到医院简单治疗后回家休养七天，损工七天。</v>
      </c>
      <c r="E119" s="19" t="s">
        <v>692</v>
      </c>
      <c r="F119" s="20" t="s">
        <v>42</v>
      </c>
      <c r="G119" s="22" t="s">
        <v>63</v>
      </c>
      <c r="H119" s="19" t="s">
        <v>44</v>
      </c>
      <c r="I119" s="19" t="s">
        <v>120</v>
      </c>
      <c r="J119" s="19" t="s">
        <v>349</v>
      </c>
      <c r="K119" s="19" t="s">
        <v>64</v>
      </c>
      <c r="L119" s="19"/>
      <c r="M119" s="19" t="s">
        <v>48</v>
      </c>
      <c r="N119" s="19" t="s">
        <v>693</v>
      </c>
      <c r="O119" s="19" t="s">
        <v>48</v>
      </c>
      <c r="P119" s="19" t="s">
        <v>50</v>
      </c>
      <c r="Q119" s="19" t="s">
        <v>601</v>
      </c>
      <c r="R119" s="19" t="s">
        <v>392</v>
      </c>
      <c r="S119" s="19"/>
      <c r="T119" s="19" t="s">
        <v>53</v>
      </c>
      <c r="U119" s="19" t="s">
        <v>80</v>
      </c>
      <c r="V119" s="19" t="s">
        <v>97</v>
      </c>
      <c r="W119" s="19" t="s">
        <v>70</v>
      </c>
      <c r="X119" s="19"/>
      <c r="Y119" s="19"/>
      <c r="Z119" s="19" t="s">
        <v>694</v>
      </c>
      <c r="AA119" s="19">
        <v>1</v>
      </c>
      <c r="AB119" s="19">
        <v>1</v>
      </c>
      <c r="AC119" s="19" t="s">
        <v>58</v>
      </c>
      <c r="AD119" s="19" t="s">
        <v>50</v>
      </c>
      <c r="AE119" s="19" t="s">
        <v>83</v>
      </c>
      <c r="AF119" s="19"/>
    </row>
    <row r="120" spans="1:34">
      <c r="A120" s="19">
        <v>115</v>
      </c>
      <c r="B120" s="19" t="s">
        <v>173</v>
      </c>
      <c r="C120" s="19" t="s">
        <v>320</v>
      </c>
      <c r="D120" s="19" t="str">
        <f>HYPERLINK("http://www.henontech.com/fieldsafety/harzard/harzard_show.php?rid=1813&amp;url=harzardrecs.php","精炼热水罐倒淋阀阀柄固定螺栓缺失，操作工巡检时，由于劳保防护不当，阀柄掉落不慎将操作工脚面砸伤，送医救治，脚面骨折")</f>
        <v>精炼热水罐倒淋阀阀柄固定螺栓缺失，操作工巡检时，由于劳保防护不当，阀柄掉落不慎将操作工脚面砸伤，送医救治，脚面骨折</v>
      </c>
      <c r="E120" s="19" t="s">
        <v>695</v>
      </c>
      <c r="F120" s="20" t="s">
        <v>42</v>
      </c>
      <c r="G120" s="22" t="s">
        <v>63</v>
      </c>
      <c r="H120" s="19" t="s">
        <v>44</v>
      </c>
      <c r="I120" s="19"/>
      <c r="J120" s="19" t="s">
        <v>46</v>
      </c>
      <c r="K120" s="19" t="s">
        <v>47</v>
      </c>
      <c r="L120" s="19" t="s">
        <v>76</v>
      </c>
      <c r="M120" s="19" t="s">
        <v>224</v>
      </c>
      <c r="N120" s="19" t="s">
        <v>336</v>
      </c>
      <c r="O120" s="19" t="s">
        <v>224</v>
      </c>
      <c r="P120" s="19" t="s">
        <v>336</v>
      </c>
      <c r="Q120" s="19" t="s">
        <v>383</v>
      </c>
      <c r="R120" s="19" t="s">
        <v>696</v>
      </c>
      <c r="S120" s="19"/>
      <c r="T120" s="19" t="s">
        <v>53</v>
      </c>
      <c r="U120" s="19" t="s">
        <v>80</v>
      </c>
      <c r="V120" s="19" t="s">
        <v>97</v>
      </c>
      <c r="W120" s="19" t="s">
        <v>70</v>
      </c>
      <c r="X120" s="19" t="s">
        <v>126</v>
      </c>
      <c r="Y120" s="19" t="s">
        <v>126</v>
      </c>
      <c r="Z120" s="19" t="s">
        <v>697</v>
      </c>
      <c r="AA120" s="19">
        <v>1</v>
      </c>
      <c r="AB120" s="19">
        <v>1</v>
      </c>
      <c r="AC120" s="19" t="s">
        <v>58</v>
      </c>
      <c r="AD120" s="19" t="s">
        <v>336</v>
      </c>
      <c r="AE120" s="19" t="s">
        <v>186</v>
      </c>
      <c r="AF120" s="19" t="s">
        <v>698</v>
      </c>
    </row>
    <row r="121" spans="1:34">
      <c r="A121" s="19">
        <v>116</v>
      </c>
      <c r="B121" s="19" t="s">
        <v>173</v>
      </c>
      <c r="C121" s="19" t="s">
        <v>356</v>
      </c>
      <c r="D121" s="19" t="str">
        <f>HYPERLINK("http://www.henontech.com/fieldsafety/harzard/harzard_show.php?rid=1815&amp;url=harzardrecs.php","深度处理反吸氧化剂泵进口活结腐蚀老化破裂，药液喷溅到地面造成地面腐蚀。操作人员巡检发现后，1小时处理完毕。")</f>
        <v>深度处理反吸氧化剂泵进口活结腐蚀老化破裂，药液喷溅到地面造成地面腐蚀。操作人员巡检发现后，1小时处理完毕。</v>
      </c>
      <c r="E121" s="19" t="s">
        <v>699</v>
      </c>
      <c r="F121" s="20" t="s">
        <v>42</v>
      </c>
      <c r="G121" s="22" t="s">
        <v>63</v>
      </c>
      <c r="H121" s="19" t="s">
        <v>44</v>
      </c>
      <c r="I121" s="19"/>
      <c r="J121" s="19" t="s">
        <v>46</v>
      </c>
      <c r="K121" s="19"/>
      <c r="L121" s="19"/>
      <c r="M121" s="19" t="s">
        <v>149</v>
      </c>
      <c r="N121" s="19" t="s">
        <v>262</v>
      </c>
      <c r="O121" s="19" t="s">
        <v>149</v>
      </c>
      <c r="P121" s="19" t="s">
        <v>151</v>
      </c>
      <c r="Q121" s="19" t="s">
        <v>589</v>
      </c>
      <c r="R121" s="19" t="s">
        <v>700</v>
      </c>
      <c r="S121" s="19"/>
      <c r="T121" s="19" t="s">
        <v>393</v>
      </c>
      <c r="U121" s="19" t="s">
        <v>202</v>
      </c>
      <c r="V121" s="19" t="s">
        <v>69</v>
      </c>
      <c r="W121" s="19" t="s">
        <v>56</v>
      </c>
      <c r="X121" s="19" t="s">
        <v>154</v>
      </c>
      <c r="Y121" s="19" t="s">
        <v>154</v>
      </c>
      <c r="Z121" s="19" t="s">
        <v>701</v>
      </c>
      <c r="AA121" s="19">
        <v>1</v>
      </c>
      <c r="AB121" s="19">
        <v>1</v>
      </c>
      <c r="AC121" s="19" t="s">
        <v>58</v>
      </c>
      <c r="AD121" s="19" t="s">
        <v>151</v>
      </c>
      <c r="AE121" s="19" t="s">
        <v>124</v>
      </c>
      <c r="AF121" s="19" t="s">
        <v>157</v>
      </c>
    </row>
    <row r="122" spans="1:34" customHeight="1" ht="42">
      <c r="A122" s="19">
        <v>117</v>
      </c>
      <c r="B122" s="19" t="s">
        <v>173</v>
      </c>
      <c r="C122" s="19" t="s">
        <v>566</v>
      </c>
      <c r="D122" s="19" t="str">
        <f>HYPERLINK("http://www.henontech.com/fieldsafety/harzard/harzard_show.php?rid=1817&amp;url=harzardrecs.php","牵车台平台锈蚀严重，几乎无法承载重物，如果一名职工从此处经过没有注意，踩断平台，人员没有防备瞬间从高约1.5米的平台掉落，脚踝骨折，送医院治疗3个月。")</f>
        <v>牵车台平台锈蚀严重，几乎无法承载重物，如果一名职工从此处经过没有注意，踩断平台，人员没有防备瞬间从高约1.5米的平台掉落，脚踝骨折，送医院治疗3个月。</v>
      </c>
      <c r="E122" s="19" t="s">
        <v>702</v>
      </c>
      <c r="F122" s="20" t="s">
        <v>42</v>
      </c>
      <c r="G122" s="21" t="s">
        <v>43</v>
      </c>
      <c r="H122" s="19" t="s">
        <v>44</v>
      </c>
      <c r="I122" s="19" t="s">
        <v>120</v>
      </c>
      <c r="J122" s="19" t="s">
        <v>46</v>
      </c>
      <c r="K122" s="19" t="s">
        <v>47</v>
      </c>
      <c r="L122" s="19" t="s">
        <v>703</v>
      </c>
      <c r="M122" s="19" t="s">
        <v>121</v>
      </c>
      <c r="N122" s="19" t="s">
        <v>315</v>
      </c>
      <c r="O122" s="19" t="s">
        <v>121</v>
      </c>
      <c r="P122" s="19" t="s">
        <v>316</v>
      </c>
      <c r="Q122" s="19" t="s">
        <v>601</v>
      </c>
      <c r="R122" s="19" t="s">
        <v>704</v>
      </c>
      <c r="S122" s="19"/>
      <c r="T122" s="19" t="s">
        <v>53</v>
      </c>
      <c r="U122" s="19" t="s">
        <v>80</v>
      </c>
      <c r="V122" s="19" t="s">
        <v>97</v>
      </c>
      <c r="W122" s="19" t="s">
        <v>70</v>
      </c>
      <c r="X122" s="19" t="s">
        <v>191</v>
      </c>
      <c r="Y122" s="19"/>
      <c r="Z122" s="19" t="s">
        <v>705</v>
      </c>
      <c r="AA122" s="19">
        <v>2</v>
      </c>
      <c r="AB122" s="19">
        <v>0</v>
      </c>
      <c r="AC122" s="19" t="s">
        <v>58</v>
      </c>
      <c r="AD122" s="19" t="s">
        <v>316</v>
      </c>
      <c r="AE122" s="19" t="s">
        <v>572</v>
      </c>
      <c r="AF122" s="19" t="s">
        <v>646</v>
      </c>
    </row>
    <row r="123" spans="1:34" customHeight="1" ht="42">
      <c r="A123" s="19">
        <v>118</v>
      </c>
      <c r="B123" s="19" t="s">
        <v>173</v>
      </c>
      <c r="C123" s="19" t="s">
        <v>566</v>
      </c>
      <c r="D123" s="19" t="str">
        <f>HYPERLINK("http://www.henontech.com/fieldsafety/harzard/harzard_show.php?rid=1818&amp;url=harzardrecs.php","筛焦下料口处盖板未及时关闭，如果一名职工巡检时未注意脚下，不慎踩空掉入下料口，从约4米的高度落在底部皮带架子上，人员全身多处骨折流血，送医院抢救无效死亡。")</f>
        <v>筛焦下料口处盖板未及时关闭，如果一名职工巡检时未注意脚下，不慎踩空掉入下料口，从约4米的高度落在底部皮带架子上，人员全身多处骨折流血，送医院抢救无效死亡。</v>
      </c>
      <c r="E123" s="19" t="s">
        <v>706</v>
      </c>
      <c r="F123" s="20" t="s">
        <v>42</v>
      </c>
      <c r="G123" s="24" t="s">
        <v>322</v>
      </c>
      <c r="H123" s="19" t="s">
        <v>44</v>
      </c>
      <c r="I123" s="19" t="s">
        <v>120</v>
      </c>
      <c r="J123" s="19" t="s">
        <v>46</v>
      </c>
      <c r="K123" s="19" t="s">
        <v>47</v>
      </c>
      <c r="L123" s="19" t="s">
        <v>599</v>
      </c>
      <c r="M123" s="19" t="s">
        <v>121</v>
      </c>
      <c r="N123" s="19" t="s">
        <v>707</v>
      </c>
      <c r="O123" s="19" t="s">
        <v>121</v>
      </c>
      <c r="P123" s="19" t="s">
        <v>648</v>
      </c>
      <c r="Q123" s="19" t="s">
        <v>601</v>
      </c>
      <c r="R123" s="19" t="s">
        <v>708</v>
      </c>
      <c r="S123" s="19"/>
      <c r="T123" s="19" t="s">
        <v>53</v>
      </c>
      <c r="U123" s="19" t="s">
        <v>236</v>
      </c>
      <c r="V123" s="19" t="s">
        <v>97</v>
      </c>
      <c r="W123" s="19" t="s">
        <v>190</v>
      </c>
      <c r="X123" s="19" t="s">
        <v>191</v>
      </c>
      <c r="Y123" s="19"/>
      <c r="Z123" s="19" t="s">
        <v>709</v>
      </c>
      <c r="AA123" s="19">
        <v>2</v>
      </c>
      <c r="AB123" s="19">
        <v>2</v>
      </c>
      <c r="AC123" s="19" t="s">
        <v>58</v>
      </c>
      <c r="AD123" s="19" t="s">
        <v>648</v>
      </c>
      <c r="AE123" s="19" t="s">
        <v>248</v>
      </c>
      <c r="AF123" s="19" t="s">
        <v>710</v>
      </c>
    </row>
    <row r="124" spans="1:34" customHeight="1" ht="42">
      <c r="A124" s="19">
        <v>119</v>
      </c>
      <c r="B124" s="19" t="s">
        <v>173</v>
      </c>
      <c r="C124" s="19" t="s">
        <v>566</v>
      </c>
      <c r="D124" s="19" t="str">
        <f>HYPERLINK("http://www.henontech.com/fieldsafety/harzard/harzard_show.php?rid=1819&amp;url=harzardrecs.php","焦炉间台压缩空气管线杂乱无章，夜间照明度差，如果一名职工行走时注意力不集中，不慎被管线绊倒，前倾摔入半米高的机侧平台，人员下意识双手支撑地面，造成手臂骨折，住院3个月。")</f>
        <v>焦炉间台压缩空气管线杂乱无章，夜间照明度差，如果一名职工行走时注意力不集中，不慎被管线绊倒，前倾摔入半米高的机侧平台，人员下意识双手支撑地面，造成手臂骨折，住院3个月。</v>
      </c>
      <c r="E124" s="19" t="s">
        <v>711</v>
      </c>
      <c r="F124" s="20" t="s">
        <v>42</v>
      </c>
      <c r="G124" s="21" t="s">
        <v>43</v>
      </c>
      <c r="H124" s="19" t="s">
        <v>44</v>
      </c>
      <c r="I124" s="19" t="s">
        <v>120</v>
      </c>
      <c r="J124" s="19" t="s">
        <v>46</v>
      </c>
      <c r="K124" s="19" t="s">
        <v>47</v>
      </c>
      <c r="L124" s="19" t="s">
        <v>599</v>
      </c>
      <c r="M124" s="19" t="s">
        <v>121</v>
      </c>
      <c r="N124" s="19" t="s">
        <v>712</v>
      </c>
      <c r="O124" s="19" t="s">
        <v>121</v>
      </c>
      <c r="P124" s="19" t="s">
        <v>648</v>
      </c>
      <c r="Q124" s="19" t="s">
        <v>601</v>
      </c>
      <c r="R124" s="19" t="s">
        <v>713</v>
      </c>
      <c r="S124" s="19"/>
      <c r="T124" s="19" t="s">
        <v>53</v>
      </c>
      <c r="U124" s="19" t="s">
        <v>80</v>
      </c>
      <c r="V124" s="19" t="s">
        <v>97</v>
      </c>
      <c r="W124" s="19" t="s">
        <v>70</v>
      </c>
      <c r="X124" s="19" t="s">
        <v>191</v>
      </c>
      <c r="Y124" s="19"/>
      <c r="Z124" s="19" t="s">
        <v>714</v>
      </c>
      <c r="AA124" s="19">
        <v>2</v>
      </c>
      <c r="AB124" s="19">
        <v>2</v>
      </c>
      <c r="AC124" s="19" t="s">
        <v>58</v>
      </c>
      <c r="AD124" s="19" t="s">
        <v>648</v>
      </c>
      <c r="AE124" s="19" t="s">
        <v>242</v>
      </c>
      <c r="AF124" s="19"/>
    </row>
    <row r="125" spans="1:34" customHeight="1" ht="42">
      <c r="A125" s="19">
        <v>120</v>
      </c>
      <c r="B125" s="19" t="s">
        <v>173</v>
      </c>
      <c r="C125" s="19" t="s">
        <v>715</v>
      </c>
      <c r="D125" s="19" t="str">
        <f>HYPERLINK("http://www.henontech.com/fieldsafety/harzard/harzard_show.php?rid=1820&amp;url=harzardrecs.php","此处无护栏无禁止通行标志，假设有人员从此处行走或工作时，不慎失足掉落到焦台分焦器，造成腿部骨折，头部受伤，送医院抢救。")</f>
        <v>此处无护栏无禁止通行标志，假设有人员从此处行走或工作时，不慎失足掉落到焦台分焦器，造成腿部骨折，头部受伤，送医院抢救。</v>
      </c>
      <c r="E125" s="19" t="s">
        <v>716</v>
      </c>
      <c r="F125" s="20" t="s">
        <v>42</v>
      </c>
      <c r="G125" s="21" t="s">
        <v>43</v>
      </c>
      <c r="H125" s="19" t="s">
        <v>44</v>
      </c>
      <c r="I125" s="19" t="s">
        <v>120</v>
      </c>
      <c r="J125" s="19" t="s">
        <v>386</v>
      </c>
      <c r="K125" s="19" t="s">
        <v>47</v>
      </c>
      <c r="L125" s="19" t="s">
        <v>703</v>
      </c>
      <c r="M125" s="19" t="s">
        <v>121</v>
      </c>
      <c r="N125" s="19" t="s">
        <v>717</v>
      </c>
      <c r="O125" s="19" t="s">
        <v>121</v>
      </c>
      <c r="P125" s="19" t="s">
        <v>648</v>
      </c>
      <c r="Q125" s="19" t="s">
        <v>601</v>
      </c>
      <c r="R125" s="19" t="s">
        <v>718</v>
      </c>
      <c r="S125" s="19"/>
      <c r="T125" s="19" t="s">
        <v>53</v>
      </c>
      <c r="U125" s="19" t="s">
        <v>80</v>
      </c>
      <c r="V125" s="19" t="s">
        <v>97</v>
      </c>
      <c r="W125" s="19" t="s">
        <v>70</v>
      </c>
      <c r="X125" s="19" t="s">
        <v>191</v>
      </c>
      <c r="Y125" s="19"/>
      <c r="Z125" s="19" t="s">
        <v>719</v>
      </c>
      <c r="AA125" s="19">
        <v>2</v>
      </c>
      <c r="AB125" s="19">
        <v>2</v>
      </c>
      <c r="AC125" s="19" t="s">
        <v>58</v>
      </c>
      <c r="AD125" s="19" t="s">
        <v>648</v>
      </c>
      <c r="AE125" s="19" t="s">
        <v>242</v>
      </c>
      <c r="AF125" s="19"/>
    </row>
    <row r="126" spans="1:34">
      <c r="A126" s="19">
        <v>121</v>
      </c>
      <c r="B126" s="19" t="s">
        <v>325</v>
      </c>
      <c r="C126" s="19" t="s">
        <v>408</v>
      </c>
      <c r="D126" s="19" t="str">
        <f>HYPERLINK("http://www.henontech.com/fieldsafety/harzard/harzard_show.php?rid=1821&amp;url=harzardrecs.php","一名职工在抽高压电缆时因未系安全带被电缆绊倒扭伤后经医务室简单处理后继续上班")</f>
        <v>一名职工在抽高压电缆时因未系安全带被电缆绊倒扭伤后经医务室简单处理后继续上班</v>
      </c>
      <c r="E126" s="19" t="s">
        <v>720</v>
      </c>
      <c r="F126" s="20" t="s">
        <v>42</v>
      </c>
      <c r="G126" s="21" t="s">
        <v>43</v>
      </c>
      <c r="H126" s="19" t="s">
        <v>44</v>
      </c>
      <c r="I126" s="19" t="s">
        <v>120</v>
      </c>
      <c r="J126" s="19" t="s">
        <v>109</v>
      </c>
      <c r="K126" s="19" t="s">
        <v>47</v>
      </c>
      <c r="L126" s="19"/>
      <c r="M126" s="19" t="s">
        <v>48</v>
      </c>
      <c r="N126" s="19" t="s">
        <v>138</v>
      </c>
      <c r="O126" s="19" t="s">
        <v>48</v>
      </c>
      <c r="P126" s="19" t="s">
        <v>50</v>
      </c>
      <c r="Q126" s="19" t="s">
        <v>601</v>
      </c>
      <c r="R126" s="19" t="s">
        <v>721</v>
      </c>
      <c r="S126" s="19"/>
      <c r="T126" s="19" t="s">
        <v>53</v>
      </c>
      <c r="U126" s="19" t="s">
        <v>202</v>
      </c>
      <c r="V126" s="19" t="s">
        <v>97</v>
      </c>
      <c r="W126" s="19" t="s">
        <v>56</v>
      </c>
      <c r="X126" s="19"/>
      <c r="Y126" s="19"/>
      <c r="Z126" s="19" t="s">
        <v>722</v>
      </c>
      <c r="AA126" s="19">
        <v>1</v>
      </c>
      <c r="AB126" s="19">
        <v>1</v>
      </c>
      <c r="AC126" s="19" t="s">
        <v>58</v>
      </c>
      <c r="AD126" s="19" t="s">
        <v>50</v>
      </c>
      <c r="AE126" s="19" t="s">
        <v>655</v>
      </c>
      <c r="AF126" s="19"/>
    </row>
    <row r="127" spans="1:34" customHeight="1" ht="42">
      <c r="A127" s="19">
        <v>122</v>
      </c>
      <c r="B127" s="19" t="s">
        <v>325</v>
      </c>
      <c r="C127" s="19" t="s">
        <v>723</v>
      </c>
      <c r="D127" s="19" t="str">
        <f>HYPERLINK("http://www.henontech.com/fieldsafety/harzard/harzard_show.php?rid=1822&amp;url=harzardrecs.php","4.3米焦炉2号炉集气道上部走台电焊机电焊线检修完成未及时拆除，假如一名操作工夜间从走台巡检经过，未注意到脚下电焊线，被其绊倒，导致左手臂骨折，住院治疗15天，回家修养80天后恢复健康。")</f>
        <v>4.3米焦炉2号炉集气道上部走台电焊机电焊线检修完成未及时拆除，假如一名操作工夜间从走台巡检经过，未注意到脚下电焊线，被其绊倒，导致左手臂骨折，住院治疗15天，回家修养80天后恢复健康。</v>
      </c>
      <c r="E127" s="19" t="s">
        <v>724</v>
      </c>
      <c r="F127" s="20" t="s">
        <v>42</v>
      </c>
      <c r="G127" s="21" t="s">
        <v>43</v>
      </c>
      <c r="H127" s="19" t="s">
        <v>44</v>
      </c>
      <c r="I127" s="19" t="s">
        <v>108</v>
      </c>
      <c r="J127" s="19" t="s">
        <v>46</v>
      </c>
      <c r="K127" s="19" t="s">
        <v>47</v>
      </c>
      <c r="L127" s="19" t="s">
        <v>76</v>
      </c>
      <c r="M127" s="19" t="s">
        <v>121</v>
      </c>
      <c r="N127" s="19" t="s">
        <v>725</v>
      </c>
      <c r="O127" s="19" t="s">
        <v>121</v>
      </c>
      <c r="P127" s="19" t="s">
        <v>648</v>
      </c>
      <c r="Q127" s="19" t="s">
        <v>601</v>
      </c>
      <c r="R127" s="19" t="s">
        <v>726</v>
      </c>
      <c r="S127" s="19"/>
      <c r="T127" s="19" t="s">
        <v>53</v>
      </c>
      <c r="U127" s="19" t="s">
        <v>80</v>
      </c>
      <c r="V127" s="19" t="s">
        <v>97</v>
      </c>
      <c r="W127" s="19" t="s">
        <v>70</v>
      </c>
      <c r="X127" s="19" t="s">
        <v>191</v>
      </c>
      <c r="Y127" s="19"/>
      <c r="Z127" s="19" t="s">
        <v>727</v>
      </c>
      <c r="AA127" s="19">
        <v>2</v>
      </c>
      <c r="AB127" s="19">
        <v>2</v>
      </c>
      <c r="AC127" s="19" t="s">
        <v>58</v>
      </c>
      <c r="AD127" s="19" t="s">
        <v>648</v>
      </c>
      <c r="AE127" s="19" t="s">
        <v>248</v>
      </c>
      <c r="AF127" s="19" t="s">
        <v>728</v>
      </c>
    </row>
    <row r="128" spans="1:34">
      <c r="A128" s="19">
        <v>123</v>
      </c>
      <c r="B128" s="19" t="s">
        <v>325</v>
      </c>
      <c r="C128" s="19" t="s">
        <v>729</v>
      </c>
      <c r="D128" s="19" t="str">
        <f>HYPERLINK("http://www.henontech.com/fieldsafety/harzard/harzard_show.php?rid=1823&amp;url=harzardrecs.php","外排泵出口管线上部离地面约4米位置遗落一片废旧法兰，操作人员在开泵时，由于管线振动，可能使法兰坠落，砸伤一名操作工脚面致骨折，送医治疗一周出院，在家休养一个月复工。")</f>
        <v>外排泵出口管线上部离地面约4米位置遗落一片废旧法兰，操作人员在开泵时，由于管线振动，可能使法兰坠落，砸伤一名操作工脚面致骨折，送医治疗一周出院，在家休养一个月复工。</v>
      </c>
      <c r="E128" s="19" t="s">
        <v>730</v>
      </c>
      <c r="F128" s="20" t="s">
        <v>42</v>
      </c>
      <c r="G128" s="22" t="s">
        <v>63</v>
      </c>
      <c r="H128" s="19" t="s">
        <v>44</v>
      </c>
      <c r="I128" s="19" t="s">
        <v>45</v>
      </c>
      <c r="J128" s="19" t="s">
        <v>109</v>
      </c>
      <c r="K128" s="19" t="s">
        <v>110</v>
      </c>
      <c r="L128" s="19" t="s">
        <v>76</v>
      </c>
      <c r="M128" s="19" t="s">
        <v>48</v>
      </c>
      <c r="N128" s="19" t="s">
        <v>731</v>
      </c>
      <c r="O128" s="19" t="s">
        <v>48</v>
      </c>
      <c r="P128" s="19" t="s">
        <v>50</v>
      </c>
      <c r="Q128" s="19" t="s">
        <v>601</v>
      </c>
      <c r="R128" s="19" t="s">
        <v>732</v>
      </c>
      <c r="S128" s="19"/>
      <c r="T128" s="19" t="s">
        <v>53</v>
      </c>
      <c r="U128" s="19" t="s">
        <v>80</v>
      </c>
      <c r="V128" s="19" t="s">
        <v>55</v>
      </c>
      <c r="W128" s="19" t="s">
        <v>81</v>
      </c>
      <c r="X128" s="19"/>
      <c r="Y128" s="19"/>
      <c r="Z128" s="19" t="s">
        <v>733</v>
      </c>
      <c r="AA128" s="19">
        <v>1</v>
      </c>
      <c r="AB128" s="19">
        <v>1</v>
      </c>
      <c r="AC128" s="19" t="s">
        <v>58</v>
      </c>
      <c r="AD128" s="19" t="s">
        <v>50</v>
      </c>
      <c r="AE128" s="19" t="s">
        <v>115</v>
      </c>
      <c r="AF128" s="19"/>
    </row>
    <row r="129" spans="1:34">
      <c r="A129" s="19">
        <v>124</v>
      </c>
      <c r="B129" s="19" t="s">
        <v>325</v>
      </c>
      <c r="C129" s="19" t="s">
        <v>320</v>
      </c>
      <c r="D129" s="19" t="str">
        <f>HYPERLINK("http://www.henontech.com/fieldsafety/harzard/harzard_show.php?rid=1824&amp;url=harzardrecs.php","精炼岗位氨水循环泵电机防护罩放置不牢固，操作工巡检时，由于劳保防护不当，防护罩倾倒将操作工脚面砸伤，送医务室简单治疗立即复工。")</f>
        <v>精炼岗位氨水循环泵电机防护罩放置不牢固，操作工巡检时，由于劳保防护不当，防护罩倾倒将操作工脚面砸伤，送医务室简单治疗立即复工。</v>
      </c>
      <c r="E129" s="19" t="s">
        <v>734</v>
      </c>
      <c r="F129" s="20" t="s">
        <v>42</v>
      </c>
      <c r="G129" s="22" t="s">
        <v>63</v>
      </c>
      <c r="H129" s="19" t="s">
        <v>44</v>
      </c>
      <c r="I129" s="19" t="s">
        <v>108</v>
      </c>
      <c r="J129" s="19" t="s">
        <v>46</v>
      </c>
      <c r="K129" s="19" t="s">
        <v>110</v>
      </c>
      <c r="L129" s="19" t="s">
        <v>76</v>
      </c>
      <c r="M129" s="19" t="s">
        <v>224</v>
      </c>
      <c r="N129" s="19" t="s">
        <v>735</v>
      </c>
      <c r="O129" s="19" t="s">
        <v>224</v>
      </c>
      <c r="P129" s="19" t="s">
        <v>336</v>
      </c>
      <c r="Q129" s="19" t="s">
        <v>270</v>
      </c>
      <c r="R129" s="19" t="s">
        <v>736</v>
      </c>
      <c r="S129" s="19"/>
      <c r="T129" s="19" t="s">
        <v>53</v>
      </c>
      <c r="U129" s="19" t="s">
        <v>54</v>
      </c>
      <c r="V129" s="19" t="s">
        <v>69</v>
      </c>
      <c r="W129" s="19" t="s">
        <v>70</v>
      </c>
      <c r="X129" s="19" t="s">
        <v>126</v>
      </c>
      <c r="Y129" s="19" t="s">
        <v>126</v>
      </c>
      <c r="Z129" s="19" t="s">
        <v>737</v>
      </c>
      <c r="AA129" s="19">
        <v>1</v>
      </c>
      <c r="AB129" s="19">
        <v>1</v>
      </c>
      <c r="AC129" s="19" t="s">
        <v>58</v>
      </c>
      <c r="AD129" s="19" t="s">
        <v>336</v>
      </c>
      <c r="AE129" s="19" t="s">
        <v>186</v>
      </c>
      <c r="AF129" s="19" t="s">
        <v>738</v>
      </c>
    </row>
    <row r="130" spans="1:34">
      <c r="A130" s="19">
        <v>125</v>
      </c>
      <c r="B130" s="19" t="s">
        <v>325</v>
      </c>
      <c r="C130" s="19" t="s">
        <v>329</v>
      </c>
      <c r="D130" s="19" t="str">
        <f>HYPERLINK("http://www.henontech.com/fieldsafety/harzard/harzard_show.php?rid=1825&amp;url=harzardrecs.php","假如电捕高压发生器绝缘瓷瓶因进线口密封不好，瓷瓶灰尘多从而引起高压放电，造成电捕停机")</f>
        <v>假如电捕高压发生器绝缘瓷瓶因进线口密封不好，瓷瓶灰尘多从而引起高压放电，造成电捕停机</v>
      </c>
      <c r="E130" s="19" t="s">
        <v>739</v>
      </c>
      <c r="F130" s="20" t="s">
        <v>42</v>
      </c>
      <c r="G130" s="22" t="s">
        <v>63</v>
      </c>
      <c r="H130" s="19" t="s">
        <v>44</v>
      </c>
      <c r="I130" s="19" t="s">
        <v>108</v>
      </c>
      <c r="J130" s="19" t="s">
        <v>349</v>
      </c>
      <c r="K130" s="19" t="s">
        <v>47</v>
      </c>
      <c r="L130" s="19"/>
      <c r="M130" s="19" t="s">
        <v>48</v>
      </c>
      <c r="N130" s="19" t="s">
        <v>103</v>
      </c>
      <c r="O130" s="19" t="s">
        <v>48</v>
      </c>
      <c r="P130" s="19" t="s">
        <v>50</v>
      </c>
      <c r="Q130" s="19" t="s">
        <v>740</v>
      </c>
      <c r="R130" s="19" t="s">
        <v>741</v>
      </c>
      <c r="S130" s="19"/>
      <c r="T130" s="19" t="s">
        <v>393</v>
      </c>
      <c r="U130" s="19" t="s">
        <v>202</v>
      </c>
      <c r="V130" s="19" t="s">
        <v>55</v>
      </c>
      <c r="W130" s="19" t="s">
        <v>56</v>
      </c>
      <c r="X130" s="19"/>
      <c r="Y130" s="19"/>
      <c r="Z130" s="19" t="s">
        <v>742</v>
      </c>
      <c r="AA130" s="19">
        <v>1</v>
      </c>
      <c r="AB130" s="19">
        <v>1</v>
      </c>
      <c r="AC130" s="19" t="s">
        <v>58</v>
      </c>
      <c r="AD130" s="19" t="s">
        <v>50</v>
      </c>
      <c r="AE130" s="19" t="s">
        <v>615</v>
      </c>
      <c r="AF130" s="19"/>
    </row>
    <row r="131" spans="1:34">
      <c r="A131" s="19">
        <v>126</v>
      </c>
      <c r="B131" s="19" t="s">
        <v>325</v>
      </c>
      <c r="C131" s="19" t="s">
        <v>743</v>
      </c>
      <c r="D131" s="19" t="str">
        <f>HYPERLINK("http://www.henontech.com/fieldsafety/harzard/harzard_show.php?rid=1826&amp;url=harzardrecs.php","手提封包机护板缺失，操作工在封包是，由于风险辩识不到位，没有发现护板缺失，被封包机内机械挤伤手指，手指软组织损伤")</f>
        <v>手提封包机护板缺失，操作工在封包是，由于风险辩识不到位，没有发现护板缺失，被封包机内机械挤伤手指，手指软组织损伤</v>
      </c>
      <c r="E131" s="19" t="s">
        <v>744</v>
      </c>
      <c r="F131" s="20" t="s">
        <v>42</v>
      </c>
      <c r="G131" s="22" t="s">
        <v>63</v>
      </c>
      <c r="H131" s="19" t="s">
        <v>44</v>
      </c>
      <c r="I131" s="19" t="s">
        <v>45</v>
      </c>
      <c r="J131" s="19" t="s">
        <v>46</v>
      </c>
      <c r="K131" s="19" t="s">
        <v>64</v>
      </c>
      <c r="L131" s="19" t="s">
        <v>76</v>
      </c>
      <c r="M131" s="19" t="s">
        <v>224</v>
      </c>
      <c r="N131" s="19" t="s">
        <v>745</v>
      </c>
      <c r="O131" s="19" t="s">
        <v>224</v>
      </c>
      <c r="P131" s="19" t="s">
        <v>336</v>
      </c>
      <c r="Q131" s="19" t="s">
        <v>601</v>
      </c>
      <c r="R131" s="19" t="s">
        <v>743</v>
      </c>
      <c r="S131" s="19"/>
      <c r="T131" s="19" t="s">
        <v>53</v>
      </c>
      <c r="U131" s="19" t="s">
        <v>54</v>
      </c>
      <c r="V131" s="19" t="s">
        <v>69</v>
      </c>
      <c r="W131" s="19" t="s">
        <v>70</v>
      </c>
      <c r="X131" s="19" t="s">
        <v>154</v>
      </c>
      <c r="Y131" s="19" t="s">
        <v>154</v>
      </c>
      <c r="Z131" s="19" t="s">
        <v>746</v>
      </c>
      <c r="AA131" s="19">
        <v>1</v>
      </c>
      <c r="AB131" s="19">
        <v>1</v>
      </c>
      <c r="AC131" s="19" t="s">
        <v>58</v>
      </c>
      <c r="AD131" s="19" t="s">
        <v>336</v>
      </c>
      <c r="AE131" s="19" t="s">
        <v>186</v>
      </c>
      <c r="AF131" s="19" t="s">
        <v>747</v>
      </c>
    </row>
    <row r="132" spans="1:34">
      <c r="A132" s="19">
        <v>127</v>
      </c>
      <c r="B132" s="19" t="s">
        <v>325</v>
      </c>
      <c r="C132" s="19" t="s">
        <v>748</v>
      </c>
      <c r="D132" s="19" t="str">
        <f>HYPERLINK("http://www.henontech.com/fieldsafety/harzard/harzard_show.php?rid=1827&amp;url=harzardrecs.php","包装机平台衡量处有两个废弃挂钩，操作工在打扫卫生时，没注意到挂钩，不慎被挂钩划伤脸部，送医救治")</f>
        <v>包装机平台衡量处有两个废弃挂钩，操作工在打扫卫生时，没注意到挂钩，不慎被挂钩划伤脸部，送医救治</v>
      </c>
      <c r="E132" s="19" t="s">
        <v>749</v>
      </c>
      <c r="F132" s="20" t="s">
        <v>42</v>
      </c>
      <c r="G132" s="22" t="s">
        <v>63</v>
      </c>
      <c r="H132" s="19" t="s">
        <v>44</v>
      </c>
      <c r="I132" s="19" t="s">
        <v>45</v>
      </c>
      <c r="J132" s="19" t="s">
        <v>46</v>
      </c>
      <c r="K132" s="19" t="s">
        <v>64</v>
      </c>
      <c r="L132" s="19" t="s">
        <v>76</v>
      </c>
      <c r="M132" s="19" t="s">
        <v>224</v>
      </c>
      <c r="N132" s="19" t="s">
        <v>750</v>
      </c>
      <c r="O132" s="19" t="s">
        <v>224</v>
      </c>
      <c r="P132" s="19" t="s">
        <v>336</v>
      </c>
      <c r="Q132" s="19" t="s">
        <v>601</v>
      </c>
      <c r="R132" s="19" t="s">
        <v>751</v>
      </c>
      <c r="S132" s="19"/>
      <c r="T132" s="19" t="s">
        <v>53</v>
      </c>
      <c r="U132" s="19" t="s">
        <v>80</v>
      </c>
      <c r="V132" s="19" t="s">
        <v>55</v>
      </c>
      <c r="W132" s="19" t="s">
        <v>81</v>
      </c>
      <c r="X132" s="19" t="s">
        <v>434</v>
      </c>
      <c r="Y132" s="19" t="s">
        <v>434</v>
      </c>
      <c r="Z132" s="19" t="s">
        <v>752</v>
      </c>
      <c r="AA132" s="19">
        <v>1</v>
      </c>
      <c r="AB132" s="19">
        <v>1</v>
      </c>
      <c r="AC132" s="19" t="s">
        <v>58</v>
      </c>
      <c r="AD132" s="19" t="s">
        <v>336</v>
      </c>
      <c r="AE132" s="19" t="s">
        <v>186</v>
      </c>
      <c r="AF132" s="19" t="s">
        <v>753</v>
      </c>
    </row>
    <row r="133" spans="1:34">
      <c r="A133" s="19">
        <v>128</v>
      </c>
      <c r="B133" s="19" t="s">
        <v>325</v>
      </c>
      <c r="C133" s="19" t="s">
        <v>754</v>
      </c>
      <c r="D133" s="19" t="str">
        <f>HYPERLINK("http://www.henontech.com/fieldsafety/harzard/harzard_show.php?rid=1829&amp;url=harzardrecs.php","余热回收器玻璃液位计有裂纹，风险辨识不到位，未做好防护，当操作工在巡检查看液位计时突然破裂，使蒸汽和热水喷到操作工脸部，造成脸部烫伤，住院治疗。")</f>
        <v>余热回收器玻璃液位计有裂纹，风险辨识不到位，未做好防护，当操作工在巡检查看液位计时突然破裂，使蒸汽和热水喷到操作工脸部，造成脸部烫伤，住院治疗。</v>
      </c>
      <c r="E133" s="19" t="s">
        <v>755</v>
      </c>
      <c r="F133" s="20" t="s">
        <v>42</v>
      </c>
      <c r="G133" s="21" t="s">
        <v>43</v>
      </c>
      <c r="H133" s="19" t="s">
        <v>482</v>
      </c>
      <c r="I133" s="19" t="s">
        <v>108</v>
      </c>
      <c r="J133" s="19" t="s">
        <v>580</v>
      </c>
      <c r="K133" s="19"/>
      <c r="L133" s="19" t="s">
        <v>76</v>
      </c>
      <c r="M133" s="19" t="s">
        <v>224</v>
      </c>
      <c r="N133" s="19" t="s">
        <v>756</v>
      </c>
      <c r="O133" s="19" t="s">
        <v>224</v>
      </c>
      <c r="P133" s="19" t="s">
        <v>336</v>
      </c>
      <c r="Q133" s="19" t="s">
        <v>221</v>
      </c>
      <c r="R133" s="19" t="s">
        <v>757</v>
      </c>
      <c r="S133" s="19"/>
      <c r="T133" s="19" t="s">
        <v>53</v>
      </c>
      <c r="U133" s="19" t="s">
        <v>80</v>
      </c>
      <c r="V133" s="19" t="s">
        <v>97</v>
      </c>
      <c r="W133" s="19" t="s">
        <v>70</v>
      </c>
      <c r="X133" s="19" t="s">
        <v>154</v>
      </c>
      <c r="Y133" s="19" t="s">
        <v>154</v>
      </c>
      <c r="Z133" s="19" t="s">
        <v>758</v>
      </c>
      <c r="AA133" s="19">
        <v>1</v>
      </c>
      <c r="AB133" s="19">
        <v>1</v>
      </c>
      <c r="AC133" s="19" t="s">
        <v>58</v>
      </c>
      <c r="AD133" s="19" t="s">
        <v>336</v>
      </c>
      <c r="AE133" s="19" t="s">
        <v>186</v>
      </c>
      <c r="AF133" s="19" t="s">
        <v>759</v>
      </c>
    </row>
    <row r="134" spans="1:34">
      <c r="A134" s="19">
        <v>129</v>
      </c>
      <c r="B134" s="19" t="s">
        <v>760</v>
      </c>
      <c r="C134" s="19" t="s">
        <v>408</v>
      </c>
      <c r="D134" s="19" t="str">
        <f>HYPERLINK("http://www.henontech.com/fieldsafety/harzard/harzard_show.php?rid=1833&amp;url=harzardrecs.php","使用时间长，老化断裂。")</f>
        <v>使用时间长，老化断裂。</v>
      </c>
      <c r="E134" s="19" t="s">
        <v>761</v>
      </c>
      <c r="F134" s="20" t="s">
        <v>42</v>
      </c>
      <c r="G134" s="22" t="s">
        <v>63</v>
      </c>
      <c r="H134" s="19" t="s">
        <v>44</v>
      </c>
      <c r="I134" s="19" t="s">
        <v>108</v>
      </c>
      <c r="J134" s="19" t="s">
        <v>46</v>
      </c>
      <c r="K134" s="19" t="s">
        <v>47</v>
      </c>
      <c r="L134" s="19"/>
      <c r="M134" s="19" t="s">
        <v>48</v>
      </c>
      <c r="N134" s="19" t="s">
        <v>762</v>
      </c>
      <c r="O134" s="19" t="s">
        <v>48</v>
      </c>
      <c r="P134" s="19" t="s">
        <v>50</v>
      </c>
      <c r="Q134" s="19" t="s">
        <v>763</v>
      </c>
      <c r="R134" s="19" t="s">
        <v>764</v>
      </c>
      <c r="S134" s="19"/>
      <c r="T134" s="19" t="s">
        <v>189</v>
      </c>
      <c r="U134" s="19" t="s">
        <v>202</v>
      </c>
      <c r="V134" s="19" t="s">
        <v>97</v>
      </c>
      <c r="W134" s="19" t="s">
        <v>56</v>
      </c>
      <c r="X134" s="19"/>
      <c r="Y134" s="19"/>
      <c r="Z134" s="19" t="s">
        <v>765</v>
      </c>
      <c r="AA134" s="19">
        <v>1</v>
      </c>
      <c r="AB134" s="19">
        <v>1</v>
      </c>
      <c r="AC134" s="19" t="s">
        <v>58</v>
      </c>
      <c r="AD134" s="19" t="s">
        <v>50</v>
      </c>
      <c r="AE134" s="19" t="s">
        <v>766</v>
      </c>
      <c r="AF134" s="19"/>
    </row>
    <row r="135" spans="1:34">
      <c r="A135" s="19">
        <v>130</v>
      </c>
      <c r="B135" s="19" t="s">
        <v>760</v>
      </c>
      <c r="C135" s="19" t="s">
        <v>767</v>
      </c>
      <c r="D135" s="19" t="str">
        <f>HYPERLINK("http://www.henontech.com/fieldsafety/harzard/harzard_show.php?rid=1834&amp;url=harzardrecs.php","粗苯南系统贫油管线无防护措施及反光标识，一名巡检人员夜间巡检时因现场照明不足被管线绊倒，手腕骨折。")</f>
        <v>粗苯南系统贫油管线无防护措施及反光标识，一名巡检人员夜间巡检时因现场照明不足被管线绊倒，手腕骨折。</v>
      </c>
      <c r="E135" s="19" t="s">
        <v>768</v>
      </c>
      <c r="F135" s="20" t="s">
        <v>42</v>
      </c>
      <c r="G135" s="22" t="s">
        <v>63</v>
      </c>
      <c r="H135" s="19" t="s">
        <v>44</v>
      </c>
      <c r="I135" s="19" t="s">
        <v>108</v>
      </c>
      <c r="J135" s="19" t="s">
        <v>580</v>
      </c>
      <c r="K135" s="19" t="s">
        <v>47</v>
      </c>
      <c r="L135" s="19" t="s">
        <v>76</v>
      </c>
      <c r="M135" s="19" t="s">
        <v>48</v>
      </c>
      <c r="N135" s="19" t="s">
        <v>200</v>
      </c>
      <c r="O135" s="19" t="s">
        <v>48</v>
      </c>
      <c r="P135" s="19" t="s">
        <v>50</v>
      </c>
      <c r="Q135" s="19" t="s">
        <v>763</v>
      </c>
      <c r="R135" s="19" t="s">
        <v>769</v>
      </c>
      <c r="S135" s="19"/>
      <c r="T135" s="19" t="s">
        <v>53</v>
      </c>
      <c r="U135" s="19" t="s">
        <v>80</v>
      </c>
      <c r="V135" s="19" t="s">
        <v>55</v>
      </c>
      <c r="W135" s="19" t="s">
        <v>81</v>
      </c>
      <c r="X135" s="19"/>
      <c r="Y135" s="19"/>
      <c r="Z135" s="19" t="s">
        <v>770</v>
      </c>
      <c r="AA135" s="19">
        <v>1</v>
      </c>
      <c r="AB135" s="19">
        <v>1</v>
      </c>
      <c r="AC135" s="19" t="s">
        <v>58</v>
      </c>
      <c r="AD135" s="19" t="s">
        <v>50</v>
      </c>
      <c r="AE135" s="19" t="s">
        <v>83</v>
      </c>
      <c r="AF135" s="19"/>
    </row>
    <row r="136" spans="1:34">
      <c r="A136" s="19"/>
      <c r="B136" s="19"/>
      <c r="C136" s="19"/>
      <c r="D136" s="19" t="str">
        <f>HYPERLINK("http://www.henontech.com/fieldsafety/harzard/harzard_show.php?rid=1834&amp;url=harzardrecs.php","粗苯南系统贫油管线无防护措施，贫油输送管线温度约为90℃，一名操作人员在跨越时腿部触碰管线导致轻微灼伤。")</f>
        <v>粗苯南系统贫油管线无防护措施，贫油输送管线温度约为90℃，一名操作人员在跨越时腿部触碰管线导致轻微灼伤。</v>
      </c>
      <c r="E136" s="19" t="s">
        <v>771</v>
      </c>
      <c r="F136" s="19"/>
      <c r="G136" s="19"/>
      <c r="H136" s="19"/>
      <c r="I136" s="19" t="s">
        <v>108</v>
      </c>
      <c r="J136" s="19" t="s">
        <v>580</v>
      </c>
      <c r="K136" s="19" t="s">
        <v>47</v>
      </c>
      <c r="L136" s="19" t="s">
        <v>76</v>
      </c>
      <c r="M136" s="19"/>
      <c r="N136" s="19"/>
      <c r="O136" s="19"/>
      <c r="P136" s="19"/>
      <c r="Q136" s="19"/>
      <c r="R136" s="19"/>
      <c r="S136" s="19"/>
      <c r="T136" s="19" t="s">
        <v>53</v>
      </c>
      <c r="U136" s="19" t="s">
        <v>54</v>
      </c>
      <c r="V136" s="19" t="s">
        <v>203</v>
      </c>
      <c r="W136" s="19" t="s">
        <v>56</v>
      </c>
      <c r="X136" s="19"/>
      <c r="Y136" s="19"/>
      <c r="Z136" s="19"/>
      <c r="AA136" s="19"/>
      <c r="AB136" s="19"/>
      <c r="AC136" s="19"/>
      <c r="AD136" s="19"/>
      <c r="AE136" s="19"/>
      <c r="AF136" s="19"/>
    </row>
    <row r="137" spans="1:34">
      <c r="A137" s="19">
        <v>131</v>
      </c>
      <c r="B137" s="19" t="s">
        <v>760</v>
      </c>
      <c r="C137" s="19" t="s">
        <v>273</v>
      </c>
      <c r="D137" s="19" t="str">
        <f>HYPERLINK("http://www.henontech.com/fieldsafety/harzard/harzard_show.php?rid=1835&amp;url=harzardrecs.php","3万气柜护栏上，用旧电线悬挂一旧轴承，由于电线老化断裂，重物失落，将此时巡检的一名操作工砸伤头部事故。荡")</f>
        <v>3万气柜护栏上，用旧电线悬挂一旧轴承，由于电线老化断裂，重物失落，将此时巡检的一名操作工砸伤头部事故。荡</v>
      </c>
      <c r="E137" s="19" t="s">
        <v>772</v>
      </c>
      <c r="F137" s="23" t="s">
        <v>304</v>
      </c>
      <c r="G137" s="22" t="s">
        <v>63</v>
      </c>
      <c r="H137" s="19" t="s">
        <v>44</v>
      </c>
      <c r="I137" s="19" t="s">
        <v>108</v>
      </c>
      <c r="J137" s="19" t="s">
        <v>46</v>
      </c>
      <c r="K137" s="19" t="s">
        <v>47</v>
      </c>
      <c r="L137" s="19" t="s">
        <v>76</v>
      </c>
      <c r="M137" s="19" t="s">
        <v>224</v>
      </c>
      <c r="N137" s="19" t="s">
        <v>225</v>
      </c>
      <c r="O137" s="19"/>
      <c r="P137" s="19"/>
      <c r="Q137" s="19"/>
      <c r="R137" s="19" t="s">
        <v>773</v>
      </c>
      <c r="S137" s="19" t="s">
        <v>774</v>
      </c>
      <c r="T137" s="19" t="s">
        <v>53</v>
      </c>
      <c r="U137" s="19" t="s">
        <v>80</v>
      </c>
      <c r="V137" s="19" t="s">
        <v>97</v>
      </c>
      <c r="W137" s="19" t="s">
        <v>70</v>
      </c>
      <c r="X137" s="19"/>
      <c r="Y137" s="19"/>
      <c r="Z137" s="19"/>
      <c r="AA137" s="19">
        <v>0</v>
      </c>
      <c r="AB137" s="19"/>
      <c r="AC137" s="19" t="s">
        <v>308</v>
      </c>
      <c r="AD137" s="19"/>
      <c r="AE137" s="19"/>
      <c r="AF137" s="19"/>
    </row>
    <row r="138" spans="1:34">
      <c r="A138" s="19">
        <v>132</v>
      </c>
      <c r="B138" s="19" t="s">
        <v>760</v>
      </c>
      <c r="C138" s="19" t="s">
        <v>623</v>
      </c>
      <c r="D138" s="19" t="str">
        <f>HYPERLINK("http://www.henontech.com/fieldsafety/harzard/harzard_show.php?rid=1836&amp;url=harzardrecs.php","3万气柜护栏上，用旧电线悬挂一旧轴承，由于电线老化断裂，重物失落，将此时巡检的一名操作工砸伤头部事故。")</f>
        <v>3万气柜护栏上，用旧电线悬挂一旧轴承，由于电线老化断裂，重物失落，将此时巡检的一名操作工砸伤头部事故。</v>
      </c>
      <c r="E138" s="19" t="s">
        <v>775</v>
      </c>
      <c r="F138" s="23" t="s">
        <v>304</v>
      </c>
      <c r="G138" s="22" t="s">
        <v>63</v>
      </c>
      <c r="H138" s="19" t="s">
        <v>44</v>
      </c>
      <c r="I138" s="19" t="s">
        <v>108</v>
      </c>
      <c r="J138" s="19" t="s">
        <v>46</v>
      </c>
      <c r="K138" s="19" t="s">
        <v>47</v>
      </c>
      <c r="L138" s="19" t="s">
        <v>76</v>
      </c>
      <c r="M138" s="19" t="s">
        <v>224</v>
      </c>
      <c r="N138" s="19" t="s">
        <v>225</v>
      </c>
      <c r="O138" s="19"/>
      <c r="P138" s="19"/>
      <c r="Q138" s="19"/>
      <c r="R138" s="19" t="s">
        <v>773</v>
      </c>
      <c r="S138" s="19" t="s">
        <v>774</v>
      </c>
      <c r="T138" s="19" t="s">
        <v>53</v>
      </c>
      <c r="U138" s="19" t="s">
        <v>80</v>
      </c>
      <c r="V138" s="19" t="s">
        <v>55</v>
      </c>
      <c r="W138" s="19" t="s">
        <v>81</v>
      </c>
      <c r="X138" s="19"/>
      <c r="Y138" s="19"/>
      <c r="Z138" s="19"/>
      <c r="AA138" s="19">
        <v>0</v>
      </c>
      <c r="AB138" s="19"/>
      <c r="AC138" s="19" t="s">
        <v>308</v>
      </c>
      <c r="AD138" s="19"/>
      <c r="AE138" s="19"/>
      <c r="AF138" s="19"/>
    </row>
    <row r="139" spans="1:34">
      <c r="A139" s="19">
        <v>133</v>
      </c>
      <c r="B139" s="19" t="s">
        <v>760</v>
      </c>
      <c r="C139" s="19" t="s">
        <v>273</v>
      </c>
      <c r="D139" s="19" t="str">
        <f>HYPERLINK("http://www.henontech.com/fieldsafety/harzard/harzard_show.php?rid=1838&amp;url=harzardrecs.php","3万气柜护栏上，用旧电线悬挂一旧轴承，由于电线老化断裂，重物失落，将此时巡检的一名操作工砸伤头部事故。")</f>
        <v>3万气柜护栏上，用旧电线悬挂一旧轴承，由于电线老化断裂，重物失落，将此时巡检的一名操作工砸伤头部事故。</v>
      </c>
      <c r="E139" s="19" t="s">
        <v>776</v>
      </c>
      <c r="F139" s="20" t="s">
        <v>42</v>
      </c>
      <c r="G139" s="22" t="s">
        <v>63</v>
      </c>
      <c r="H139" s="19" t="s">
        <v>44</v>
      </c>
      <c r="I139" s="19" t="s">
        <v>108</v>
      </c>
      <c r="J139" s="19" t="s">
        <v>580</v>
      </c>
      <c r="K139" s="19" t="s">
        <v>47</v>
      </c>
      <c r="L139" s="19" t="s">
        <v>76</v>
      </c>
      <c r="M139" s="19" t="s">
        <v>224</v>
      </c>
      <c r="N139" s="19" t="s">
        <v>225</v>
      </c>
      <c r="O139" s="19" t="s">
        <v>224</v>
      </c>
      <c r="P139" s="19" t="s">
        <v>336</v>
      </c>
      <c r="Q139" s="19" t="s">
        <v>630</v>
      </c>
      <c r="R139" s="19" t="s">
        <v>773</v>
      </c>
      <c r="S139" s="19"/>
      <c r="T139" s="19" t="s">
        <v>53</v>
      </c>
      <c r="U139" s="19" t="s">
        <v>80</v>
      </c>
      <c r="V139" s="19" t="s">
        <v>55</v>
      </c>
      <c r="W139" s="19" t="s">
        <v>81</v>
      </c>
      <c r="X139" s="19" t="s">
        <v>338</v>
      </c>
      <c r="Y139" s="19" t="s">
        <v>434</v>
      </c>
      <c r="Z139" s="19" t="s">
        <v>777</v>
      </c>
      <c r="AA139" s="19">
        <v>1</v>
      </c>
      <c r="AB139" s="19">
        <v>1</v>
      </c>
      <c r="AC139" s="19" t="s">
        <v>58</v>
      </c>
      <c r="AD139" s="19" t="s">
        <v>336</v>
      </c>
      <c r="AE139" s="19" t="s">
        <v>186</v>
      </c>
      <c r="AF139" s="19" t="s">
        <v>778</v>
      </c>
    </row>
    <row r="140" spans="1:34">
      <c r="A140" s="19">
        <v>134</v>
      </c>
      <c r="B140" s="19" t="s">
        <v>760</v>
      </c>
      <c r="C140" s="19" t="s">
        <v>754</v>
      </c>
      <c r="D140" s="19" t="str">
        <f>HYPERLINK("http://www.henontech.com/fieldsafety/harzard/harzard_show.php?rid=1839&amp;url=harzardrecs.php","变换2#蒸汽包入口阀填料泄露，操作工通知维修人员紧填料，在工作过程中，由于用力过大，造成螺母滑丝脱落，蒸汽冒出，导致维修人员脸部烫伤送医院治疗")</f>
        <v>变换2#蒸汽包入口阀填料泄露，操作工通知维修人员紧填料，在工作过程中，由于用力过大，造成螺母滑丝脱落，蒸汽冒出，导致维修人员脸部烫伤送医院治疗</v>
      </c>
      <c r="E140" s="19" t="s">
        <v>779</v>
      </c>
      <c r="F140" s="23" t="s">
        <v>304</v>
      </c>
      <c r="G140" s="22" t="s">
        <v>63</v>
      </c>
      <c r="H140" s="19" t="s">
        <v>44</v>
      </c>
      <c r="I140" s="19" t="s">
        <v>45</v>
      </c>
      <c r="J140" s="19" t="s">
        <v>46</v>
      </c>
      <c r="K140" s="19" t="s">
        <v>47</v>
      </c>
      <c r="L140" s="19" t="s">
        <v>76</v>
      </c>
      <c r="M140" s="19" t="s">
        <v>224</v>
      </c>
      <c r="N140" s="19" t="s">
        <v>780</v>
      </c>
      <c r="O140" s="19"/>
      <c r="P140" s="19"/>
      <c r="Q140" s="19"/>
      <c r="R140" s="19" t="s">
        <v>781</v>
      </c>
      <c r="S140" s="19" t="s">
        <v>782</v>
      </c>
      <c r="T140" s="19" t="s">
        <v>53</v>
      </c>
      <c r="U140" s="19" t="s">
        <v>80</v>
      </c>
      <c r="V140" s="19" t="s">
        <v>69</v>
      </c>
      <c r="W140" s="19" t="s">
        <v>190</v>
      </c>
      <c r="X140" s="19"/>
      <c r="Y140" s="19"/>
      <c r="Z140" s="19"/>
      <c r="AA140" s="19">
        <v>0</v>
      </c>
      <c r="AB140" s="19"/>
      <c r="AC140" s="19" t="s">
        <v>308</v>
      </c>
      <c r="AD140" s="19"/>
      <c r="AE140" s="19"/>
      <c r="AF140" s="19"/>
    </row>
    <row r="141" spans="1:34">
      <c r="A141" s="19">
        <v>135</v>
      </c>
      <c r="B141" s="19" t="s">
        <v>615</v>
      </c>
      <c r="C141" s="19" t="s">
        <v>408</v>
      </c>
      <c r="D141" s="19" t="str">
        <f>HYPERLINK("http://www.henontech.com/fieldsafety/harzard/harzard_show.php?rid=1842&amp;url=harzardrecs.php","南脱硫洗眼器喷淋阀门坏，如果一操作工在操作时上身溅上脱硫液，由于喷淋阀门坏无法及时冲洗，致使皮肤轻微灼伤，医务室简单处理，正常工作。")</f>
        <v>南脱硫洗眼器喷淋阀门坏，如果一操作工在操作时上身溅上脱硫液，由于喷淋阀门坏无法及时冲洗，致使皮肤轻微灼伤，医务室简单处理，正常工作。</v>
      </c>
      <c r="E141" s="19" t="s">
        <v>783</v>
      </c>
      <c r="F141" s="20" t="s">
        <v>42</v>
      </c>
      <c r="G141" s="22" t="s">
        <v>63</v>
      </c>
      <c r="H141" s="19" t="s">
        <v>44</v>
      </c>
      <c r="I141" s="19" t="s">
        <v>108</v>
      </c>
      <c r="J141" s="19" t="s">
        <v>46</v>
      </c>
      <c r="K141" s="19" t="s">
        <v>110</v>
      </c>
      <c r="L141" s="19" t="s">
        <v>76</v>
      </c>
      <c r="M141" s="19" t="s">
        <v>48</v>
      </c>
      <c r="N141" s="19" t="s">
        <v>784</v>
      </c>
      <c r="O141" s="19" t="s">
        <v>48</v>
      </c>
      <c r="P141" s="19" t="s">
        <v>50</v>
      </c>
      <c r="Q141" s="19" t="s">
        <v>763</v>
      </c>
      <c r="R141" s="19" t="s">
        <v>785</v>
      </c>
      <c r="S141" s="19"/>
      <c r="T141" s="19" t="s">
        <v>53</v>
      </c>
      <c r="U141" s="19" t="s">
        <v>54</v>
      </c>
      <c r="V141" s="19" t="s">
        <v>55</v>
      </c>
      <c r="W141" s="19" t="s">
        <v>56</v>
      </c>
      <c r="X141" s="19"/>
      <c r="Y141" s="19"/>
      <c r="Z141" s="19" t="s">
        <v>786</v>
      </c>
      <c r="AA141" s="19">
        <v>1</v>
      </c>
      <c r="AB141" s="19">
        <v>1</v>
      </c>
      <c r="AC141" s="19" t="s">
        <v>58</v>
      </c>
      <c r="AD141" s="19" t="s">
        <v>50</v>
      </c>
      <c r="AE141" s="19" t="s">
        <v>383</v>
      </c>
      <c r="AF141" s="19"/>
    </row>
    <row r="142" spans="1:34">
      <c r="A142" s="19">
        <v>136</v>
      </c>
      <c r="B142" s="19" t="s">
        <v>615</v>
      </c>
      <c r="C142" s="19" t="s">
        <v>92</v>
      </c>
      <c r="D142" s="19" t="str">
        <f>HYPERLINK("http://www.henontech.com/fieldsafety/harzard/harzard_show.php?rid=1843&amp;url=harzardrecs.php","粗苯蒸汽管架保温铝皮未及时清理，一名巡检人员在管架下部清理卫生，一旦铝皮脱落击中巡检人员手臂，轻微擦伤。")</f>
        <v>粗苯蒸汽管架保温铝皮未及时清理，一名巡检人员在管架下部清理卫生，一旦铝皮脱落击中巡检人员手臂，轻微擦伤。</v>
      </c>
      <c r="E142" s="19" t="s">
        <v>787</v>
      </c>
      <c r="F142" s="20" t="s">
        <v>42</v>
      </c>
      <c r="G142" s="22" t="s">
        <v>63</v>
      </c>
      <c r="H142" s="19" t="s">
        <v>44</v>
      </c>
      <c r="I142" s="19" t="s">
        <v>45</v>
      </c>
      <c r="J142" s="19" t="s">
        <v>46</v>
      </c>
      <c r="K142" s="19" t="s">
        <v>47</v>
      </c>
      <c r="L142" s="19"/>
      <c r="M142" s="19" t="s">
        <v>48</v>
      </c>
      <c r="N142" s="19" t="s">
        <v>788</v>
      </c>
      <c r="O142" s="19" t="s">
        <v>48</v>
      </c>
      <c r="P142" s="19" t="s">
        <v>50</v>
      </c>
      <c r="Q142" s="19" t="s">
        <v>763</v>
      </c>
      <c r="R142" s="19" t="s">
        <v>789</v>
      </c>
      <c r="S142" s="19"/>
      <c r="T142" s="19" t="s">
        <v>53</v>
      </c>
      <c r="U142" s="19" t="s">
        <v>202</v>
      </c>
      <c r="V142" s="19" t="s">
        <v>203</v>
      </c>
      <c r="W142" s="19" t="s">
        <v>56</v>
      </c>
      <c r="X142" s="19"/>
      <c r="Y142" s="19"/>
      <c r="Z142" s="19" t="s">
        <v>790</v>
      </c>
      <c r="AA142" s="19">
        <v>1</v>
      </c>
      <c r="AB142" s="19">
        <v>1</v>
      </c>
      <c r="AC142" s="19" t="s">
        <v>58</v>
      </c>
      <c r="AD142" s="19" t="s">
        <v>50</v>
      </c>
      <c r="AE142" s="19" t="s">
        <v>791</v>
      </c>
      <c r="AF142" s="19"/>
    </row>
    <row r="143" spans="1:34">
      <c r="A143" s="19">
        <v>137</v>
      </c>
      <c r="B143" s="19" t="s">
        <v>615</v>
      </c>
      <c r="C143" s="19" t="s">
        <v>74</v>
      </c>
      <c r="D143" s="19" t="str">
        <f>HYPERLINK("http://www.henontech.com/fieldsafety/harzard/harzard_show.php?rid=1845&amp;url=harzardrecs.php","脱硫操作工巡查时不慎被电缆线绊倒，小腿流血，医务室简治疗处理，休息三天后正常工作")</f>
        <v>脱硫操作工巡查时不慎被电缆线绊倒，小腿流血，医务室简治疗处理，休息三天后正常工作</v>
      </c>
      <c r="E143" s="19" t="s">
        <v>792</v>
      </c>
      <c r="F143" s="20" t="s">
        <v>42</v>
      </c>
      <c r="G143" s="22" t="s">
        <v>63</v>
      </c>
      <c r="H143" s="19" t="s">
        <v>44</v>
      </c>
      <c r="I143" s="19" t="s">
        <v>108</v>
      </c>
      <c r="J143" s="19" t="s">
        <v>349</v>
      </c>
      <c r="K143" s="19" t="s">
        <v>47</v>
      </c>
      <c r="L143" s="19" t="s">
        <v>76</v>
      </c>
      <c r="M143" s="19" t="s">
        <v>48</v>
      </c>
      <c r="N143" s="19" t="s">
        <v>111</v>
      </c>
      <c r="O143" s="19" t="s">
        <v>48</v>
      </c>
      <c r="P143" s="19" t="s">
        <v>50</v>
      </c>
      <c r="Q143" s="19" t="s">
        <v>763</v>
      </c>
      <c r="R143" s="19" t="s">
        <v>556</v>
      </c>
      <c r="S143" s="19"/>
      <c r="T143" s="19" t="s">
        <v>53</v>
      </c>
      <c r="U143" s="19" t="s">
        <v>80</v>
      </c>
      <c r="V143" s="19" t="s">
        <v>97</v>
      </c>
      <c r="W143" s="19" t="s">
        <v>70</v>
      </c>
      <c r="X143" s="19"/>
      <c r="Y143" s="19"/>
      <c r="Z143" s="19" t="s">
        <v>793</v>
      </c>
      <c r="AA143" s="19">
        <v>1</v>
      </c>
      <c r="AB143" s="19">
        <v>1</v>
      </c>
      <c r="AC143" s="19" t="s">
        <v>58</v>
      </c>
      <c r="AD143" s="19" t="s">
        <v>50</v>
      </c>
      <c r="AE143" s="19" t="s">
        <v>655</v>
      </c>
      <c r="AF143" s="19"/>
    </row>
    <row r="144" spans="1:34">
      <c r="A144" s="19">
        <v>138</v>
      </c>
      <c r="B144" s="19" t="s">
        <v>615</v>
      </c>
      <c r="C144" s="19" t="s">
        <v>767</v>
      </c>
      <c r="D144" s="19" t="str">
        <f>HYPERLINK("http://www.henontech.com/fieldsafety/harzard/harzard_show.php?rid=1846&amp;url=harzardrecs.php","粗苯外供站煤气水封下液管保温铝皮损坏。在上夜班时，由于光线不好，一名操作工去放煤气水封冷凝液时经过此处不小心可能被损坏的铝皮轻微划伤面部，经医务室处理后正常工作。")</f>
        <v>粗苯外供站煤气水封下液管保温铝皮损坏。在上夜班时，由于光线不好，一名操作工去放煤气水封冷凝液时经过此处不小心可能被损坏的铝皮轻微划伤面部，经医务室处理后正常工作。</v>
      </c>
      <c r="E144" s="19" t="s">
        <v>794</v>
      </c>
      <c r="F144" s="20" t="s">
        <v>42</v>
      </c>
      <c r="G144" s="22" t="s">
        <v>63</v>
      </c>
      <c r="H144" s="19" t="s">
        <v>44</v>
      </c>
      <c r="I144" s="19" t="s">
        <v>45</v>
      </c>
      <c r="J144" s="19" t="s">
        <v>46</v>
      </c>
      <c r="K144" s="19" t="s">
        <v>47</v>
      </c>
      <c r="L144" s="19"/>
      <c r="M144" s="19" t="s">
        <v>48</v>
      </c>
      <c r="N144" s="19" t="s">
        <v>196</v>
      </c>
      <c r="O144" s="19" t="s">
        <v>48</v>
      </c>
      <c r="P144" s="19" t="s">
        <v>50</v>
      </c>
      <c r="Q144" s="19" t="s">
        <v>763</v>
      </c>
      <c r="R144" s="19" t="s">
        <v>795</v>
      </c>
      <c r="S144" s="19"/>
      <c r="T144" s="19" t="s">
        <v>53</v>
      </c>
      <c r="U144" s="19" t="s">
        <v>54</v>
      </c>
      <c r="V144" s="19" t="s">
        <v>55</v>
      </c>
      <c r="W144" s="19" t="s">
        <v>56</v>
      </c>
      <c r="X144" s="19"/>
      <c r="Y144" s="19"/>
      <c r="Z144" s="19" t="s">
        <v>796</v>
      </c>
      <c r="AA144" s="19">
        <v>1</v>
      </c>
      <c r="AB144" s="19">
        <v>1</v>
      </c>
      <c r="AC144" s="19" t="s">
        <v>58</v>
      </c>
      <c r="AD144" s="19" t="s">
        <v>50</v>
      </c>
      <c r="AE144" s="19" t="s">
        <v>186</v>
      </c>
      <c r="AF144" s="19"/>
    </row>
    <row r="145" spans="1:34">
      <c r="A145" s="19">
        <v>139</v>
      </c>
      <c r="B145" s="19" t="s">
        <v>615</v>
      </c>
      <c r="C145" s="19" t="s">
        <v>797</v>
      </c>
      <c r="D145" s="19" t="str">
        <f>HYPERLINK("http://www.henontech.com/fieldsafety/harzard/harzard_show.php?rid=1847&amp;url=harzardrecs.php","4.3米焦炉焦侧通廊南头有一窗户玻璃破损，假如有人经过时被大风刮落，掉落手臂上，造成手臂划伤，去医院包扎治疗")</f>
        <v>4.3米焦炉焦侧通廊南头有一窗户玻璃破损，假如有人经过时被大风刮落，掉落手臂上，造成手臂划伤，去医院包扎治疗</v>
      </c>
      <c r="E145" s="19" t="s">
        <v>798</v>
      </c>
      <c r="F145" s="23" t="s">
        <v>304</v>
      </c>
      <c r="G145" s="22" t="s">
        <v>63</v>
      </c>
      <c r="H145" s="19" t="s">
        <v>44</v>
      </c>
      <c r="I145" s="19" t="s">
        <v>120</v>
      </c>
      <c r="J145" s="19" t="s">
        <v>46</v>
      </c>
      <c r="K145" s="19" t="s">
        <v>102</v>
      </c>
      <c r="L145" s="19" t="s">
        <v>76</v>
      </c>
      <c r="M145" s="19" t="s">
        <v>121</v>
      </c>
      <c r="N145" s="19" t="s">
        <v>799</v>
      </c>
      <c r="O145" s="19"/>
      <c r="P145" s="19"/>
      <c r="Q145" s="19"/>
      <c r="R145" s="19" t="s">
        <v>800</v>
      </c>
      <c r="S145" s="19" t="s">
        <v>801</v>
      </c>
      <c r="T145" s="19" t="s">
        <v>53</v>
      </c>
      <c r="U145" s="19" t="s">
        <v>80</v>
      </c>
      <c r="V145" s="19" t="s">
        <v>55</v>
      </c>
      <c r="W145" s="19" t="s">
        <v>81</v>
      </c>
      <c r="X145" s="19"/>
      <c r="Y145" s="19"/>
      <c r="Z145" s="19"/>
      <c r="AA145" s="19">
        <v>0</v>
      </c>
      <c r="AB145" s="19"/>
      <c r="AC145" s="19" t="s">
        <v>308</v>
      </c>
      <c r="AD145" s="19"/>
      <c r="AE145" s="19"/>
      <c r="AF145" s="19"/>
    </row>
    <row r="146" spans="1:34" customHeight="1" ht="42">
      <c r="A146" s="19">
        <v>140</v>
      </c>
      <c r="B146" s="19" t="s">
        <v>615</v>
      </c>
      <c r="C146" s="19" t="s">
        <v>797</v>
      </c>
      <c r="D146" s="19" t="str">
        <f>HYPERLINK("http://www.henontech.com/fieldsafety/harzard/harzard_show.php?rid=1848&amp;url=harzardrecs.php","4.3米焦炉焦侧通廊南头有一窗户玻璃破损，假如有人经过时被大风刮落，掉落手臂上，造成手臂划伤，去医院包扎治疗")</f>
        <v>4.3米焦炉焦侧通廊南头有一窗户玻璃破损，假如有人经过时被大风刮落，掉落手臂上，造成手臂划伤，去医院包扎治疗</v>
      </c>
      <c r="E146" s="19" t="s">
        <v>798</v>
      </c>
      <c r="F146" s="20" t="s">
        <v>42</v>
      </c>
      <c r="G146" s="22" t="s">
        <v>63</v>
      </c>
      <c r="H146" s="19" t="s">
        <v>44</v>
      </c>
      <c r="I146" s="19" t="s">
        <v>120</v>
      </c>
      <c r="J146" s="19" t="s">
        <v>46</v>
      </c>
      <c r="K146" s="19" t="s">
        <v>102</v>
      </c>
      <c r="L146" s="19" t="s">
        <v>76</v>
      </c>
      <c r="M146" s="19" t="s">
        <v>121</v>
      </c>
      <c r="N146" s="19" t="s">
        <v>799</v>
      </c>
      <c r="O146" s="19" t="s">
        <v>121</v>
      </c>
      <c r="P146" s="19" t="s">
        <v>648</v>
      </c>
      <c r="Q146" s="19" t="s">
        <v>763</v>
      </c>
      <c r="R146" s="19" t="s">
        <v>800</v>
      </c>
      <c r="S146" s="19"/>
      <c r="T146" s="19" t="s">
        <v>53</v>
      </c>
      <c r="U146" s="19" t="s">
        <v>80</v>
      </c>
      <c r="V146" s="19" t="s">
        <v>55</v>
      </c>
      <c r="W146" s="19" t="s">
        <v>81</v>
      </c>
      <c r="X146" s="19" t="s">
        <v>257</v>
      </c>
      <c r="Y146" s="19" t="s">
        <v>257</v>
      </c>
      <c r="Z146" s="19" t="s">
        <v>802</v>
      </c>
      <c r="AA146" s="19">
        <v>2</v>
      </c>
      <c r="AB146" s="19">
        <v>0</v>
      </c>
      <c r="AC146" s="19" t="s">
        <v>58</v>
      </c>
      <c r="AD146" s="19" t="s">
        <v>648</v>
      </c>
      <c r="AE146" s="19" t="s">
        <v>572</v>
      </c>
      <c r="AF146" s="19" t="s">
        <v>573</v>
      </c>
    </row>
    <row r="147" spans="1:34">
      <c r="A147" s="19">
        <v>141</v>
      </c>
      <c r="B147" s="19" t="s">
        <v>615</v>
      </c>
      <c r="C147" s="19" t="s">
        <v>437</v>
      </c>
      <c r="D147" s="19" t="str">
        <f>HYPERLINK("http://www.henontech.com/fieldsafety/harzard/harzard_show.php?rid=1849&amp;url=harzardrecs.php","西硫铵岗位南框架顶保温铝皮半脱落，如果大风天气操作工巡检到此处，铝皮脱落，可能会造成操作工肩部或手部擦伤。送医检查，不影响正常工作。")</f>
        <v>西硫铵岗位南框架顶保温铝皮半脱落，如果大风天气操作工巡检到此处，铝皮脱落，可能会造成操作工肩部或手部擦伤。送医检查，不影响正常工作。</v>
      </c>
      <c r="E147" s="19" t="s">
        <v>803</v>
      </c>
      <c r="F147" s="20" t="s">
        <v>42</v>
      </c>
      <c r="G147" s="22" t="s">
        <v>63</v>
      </c>
      <c r="H147" s="19" t="s">
        <v>44</v>
      </c>
      <c r="I147" s="19" t="s">
        <v>108</v>
      </c>
      <c r="J147" s="19" t="s">
        <v>46</v>
      </c>
      <c r="K147" s="19" t="s">
        <v>110</v>
      </c>
      <c r="L147" s="19" t="s">
        <v>76</v>
      </c>
      <c r="M147" s="19" t="s">
        <v>48</v>
      </c>
      <c r="N147" s="19" t="s">
        <v>804</v>
      </c>
      <c r="O147" s="19" t="s">
        <v>48</v>
      </c>
      <c r="P147" s="19" t="s">
        <v>50</v>
      </c>
      <c r="Q147" s="19" t="s">
        <v>763</v>
      </c>
      <c r="R147" s="19" t="s">
        <v>805</v>
      </c>
      <c r="S147" s="19"/>
      <c r="T147" s="19" t="s">
        <v>53</v>
      </c>
      <c r="U147" s="19" t="s">
        <v>54</v>
      </c>
      <c r="V147" s="19" t="s">
        <v>55</v>
      </c>
      <c r="W147" s="19" t="s">
        <v>56</v>
      </c>
      <c r="X147" s="19"/>
      <c r="Y147" s="19"/>
      <c r="Z147" s="19" t="s">
        <v>806</v>
      </c>
      <c r="AA147" s="19">
        <v>1</v>
      </c>
      <c r="AB147" s="19">
        <v>1</v>
      </c>
      <c r="AC147" s="19" t="s">
        <v>58</v>
      </c>
      <c r="AD147" s="19" t="s">
        <v>50</v>
      </c>
      <c r="AE147" s="19" t="s">
        <v>83</v>
      </c>
      <c r="AF147" s="19"/>
    </row>
    <row r="148" spans="1:34" customHeight="1" ht="42">
      <c r="A148" s="19">
        <v>142</v>
      </c>
      <c r="B148" s="19" t="s">
        <v>615</v>
      </c>
      <c r="C148" s="19" t="s">
        <v>566</v>
      </c>
      <c r="D148" s="19" t="str">
        <f>HYPERLINK("http://www.henontech.com/fieldsafety/harzard/harzard_show.php?rid=1850&amp;url=harzardrecs.php","1#炉北端通往上升管平台护栏已断。一人经过时假如脚底打滑，从该处九米高度坠落至地面，头部着地造成当场死亡。")</f>
        <v>1#炉北端通往上升管平台护栏已断。一人经过时假如脚底打滑，从该处九米高度坠落至地面，头部着地造成当场死亡。</v>
      </c>
      <c r="E148" s="19" t="s">
        <v>647</v>
      </c>
      <c r="F148" s="20" t="s">
        <v>42</v>
      </c>
      <c r="G148" s="22" t="s">
        <v>63</v>
      </c>
      <c r="H148" s="19" t="s">
        <v>44</v>
      </c>
      <c r="I148" s="19" t="s">
        <v>120</v>
      </c>
      <c r="J148" s="19" t="s">
        <v>109</v>
      </c>
      <c r="K148" s="19" t="s">
        <v>47</v>
      </c>
      <c r="L148" s="19" t="s">
        <v>76</v>
      </c>
      <c r="M148" s="19" t="s">
        <v>121</v>
      </c>
      <c r="N148" s="19" t="s">
        <v>807</v>
      </c>
      <c r="O148" s="19" t="s">
        <v>121</v>
      </c>
      <c r="P148" s="19" t="s">
        <v>316</v>
      </c>
      <c r="Q148" s="19" t="s">
        <v>763</v>
      </c>
      <c r="R148" s="19" t="s">
        <v>808</v>
      </c>
      <c r="S148" s="19"/>
      <c r="T148" s="19" t="s">
        <v>53</v>
      </c>
      <c r="U148" s="19" t="s">
        <v>236</v>
      </c>
      <c r="V148" s="19" t="s">
        <v>55</v>
      </c>
      <c r="W148" s="19" t="s">
        <v>70</v>
      </c>
      <c r="X148" s="19" t="s">
        <v>126</v>
      </c>
      <c r="Y148" s="19" t="s">
        <v>126</v>
      </c>
      <c r="Z148" s="19" t="s">
        <v>809</v>
      </c>
      <c r="AA148" s="19">
        <v>2</v>
      </c>
      <c r="AB148" s="19">
        <v>0</v>
      </c>
      <c r="AC148" s="19" t="s">
        <v>58</v>
      </c>
      <c r="AD148" s="19" t="s">
        <v>316</v>
      </c>
      <c r="AE148" s="19" t="s">
        <v>572</v>
      </c>
      <c r="AF148" s="19" t="s">
        <v>646</v>
      </c>
    </row>
    <row r="149" spans="1:34" customHeight="1" ht="42">
      <c r="A149" s="19">
        <v>143</v>
      </c>
      <c r="B149" s="19" t="s">
        <v>615</v>
      </c>
      <c r="C149" s="19" t="s">
        <v>566</v>
      </c>
      <c r="D149" s="19" t="str">
        <f>HYPERLINK("http://www.henontech.com/fieldsafety/harzard/harzard_show.php?rid=1851&amp;url=harzardrecs.php","4.3米焦炉1#机侧烟道通廊钢筋裸露，人员经过万一绊倒，手部着地，造成手部骨折，住院治疗30天，休养60天.")</f>
        <v>4.3米焦炉1#机侧烟道通廊钢筋裸露，人员经过万一绊倒，手部着地，造成手部骨折，住院治疗30天，休养60天.</v>
      </c>
      <c r="E149" s="19" t="s">
        <v>810</v>
      </c>
      <c r="F149" s="20" t="s">
        <v>42</v>
      </c>
      <c r="G149" s="22" t="s">
        <v>63</v>
      </c>
      <c r="H149" s="19" t="s">
        <v>44</v>
      </c>
      <c r="I149" s="19" t="s">
        <v>108</v>
      </c>
      <c r="J149" s="19" t="s">
        <v>46</v>
      </c>
      <c r="K149" s="19" t="s">
        <v>102</v>
      </c>
      <c r="L149" s="19" t="s">
        <v>76</v>
      </c>
      <c r="M149" s="19" t="s">
        <v>121</v>
      </c>
      <c r="N149" s="19" t="s">
        <v>811</v>
      </c>
      <c r="O149" s="19" t="s">
        <v>121</v>
      </c>
      <c r="P149" s="19" t="s">
        <v>812</v>
      </c>
      <c r="Q149" s="19" t="s">
        <v>763</v>
      </c>
      <c r="R149" s="19" t="s">
        <v>813</v>
      </c>
      <c r="S149" s="19"/>
      <c r="T149" s="19" t="s">
        <v>53</v>
      </c>
      <c r="U149" s="19" t="s">
        <v>80</v>
      </c>
      <c r="V149" s="19" t="s">
        <v>97</v>
      </c>
      <c r="W149" s="19" t="s">
        <v>70</v>
      </c>
      <c r="X149" s="19" t="s">
        <v>126</v>
      </c>
      <c r="Y149" s="19" t="s">
        <v>126</v>
      </c>
      <c r="Z149" s="19" t="s">
        <v>814</v>
      </c>
      <c r="AA149" s="19">
        <v>2</v>
      </c>
      <c r="AB149" s="19">
        <v>0</v>
      </c>
      <c r="AC149" s="19" t="s">
        <v>58</v>
      </c>
      <c r="AD149" s="19" t="s">
        <v>812</v>
      </c>
      <c r="AE149" s="19" t="s">
        <v>572</v>
      </c>
      <c r="AF149" s="19" t="s">
        <v>573</v>
      </c>
    </row>
    <row r="150" spans="1:34">
      <c r="A150" s="19">
        <v>144</v>
      </c>
      <c r="B150" s="19" t="s">
        <v>615</v>
      </c>
      <c r="C150" s="19" t="s">
        <v>815</v>
      </c>
      <c r="D150" s="19" t="str">
        <f>HYPERLINK("http://www.henontech.com/fieldsafety/harzard/harzard_show.php?rid=1852&amp;url=harzardrecs.php","导热油空气预热器保温材料缺失，操作工在巡检时，不小心胳膊触碰到预热器")</f>
        <v>导热油空气预热器保温材料缺失，操作工在巡检时，不小心胳膊触碰到预热器</v>
      </c>
      <c r="E150" s="19" t="s">
        <v>816</v>
      </c>
      <c r="F150" s="20" t="s">
        <v>42</v>
      </c>
      <c r="G150" s="22" t="s">
        <v>63</v>
      </c>
      <c r="H150" s="19" t="s">
        <v>44</v>
      </c>
      <c r="I150" s="19" t="s">
        <v>45</v>
      </c>
      <c r="J150" s="19" t="s">
        <v>46</v>
      </c>
      <c r="K150" s="19" t="s">
        <v>47</v>
      </c>
      <c r="L150" s="19"/>
      <c r="M150" s="19" t="s">
        <v>48</v>
      </c>
      <c r="N150" s="19" t="s">
        <v>817</v>
      </c>
      <c r="O150" s="19" t="s">
        <v>48</v>
      </c>
      <c r="P150" s="19" t="s">
        <v>50</v>
      </c>
      <c r="Q150" s="19" t="s">
        <v>818</v>
      </c>
      <c r="R150" s="19" t="s">
        <v>819</v>
      </c>
      <c r="S150" s="19"/>
      <c r="T150" s="19" t="s">
        <v>53</v>
      </c>
      <c r="U150" s="19" t="s">
        <v>54</v>
      </c>
      <c r="V150" s="19" t="s">
        <v>97</v>
      </c>
      <c r="W150" s="19" t="s">
        <v>81</v>
      </c>
      <c r="X150" s="19"/>
      <c r="Y150" s="19"/>
      <c r="Z150" s="19" t="s">
        <v>820</v>
      </c>
      <c r="AA150" s="19">
        <v>1</v>
      </c>
      <c r="AB150" s="19">
        <v>1</v>
      </c>
      <c r="AC150" s="19" t="s">
        <v>58</v>
      </c>
      <c r="AD150" s="19" t="s">
        <v>50</v>
      </c>
      <c r="AE150" s="19" t="s">
        <v>561</v>
      </c>
      <c r="AF150" s="19"/>
    </row>
    <row r="151" spans="1:34" customHeight="1" ht="42">
      <c r="A151" s="19">
        <v>145</v>
      </c>
      <c r="B151" s="19" t="s">
        <v>186</v>
      </c>
      <c r="C151" s="19" t="s">
        <v>118</v>
      </c>
      <c r="D151" s="19" t="str">
        <f>HYPERLINK("http://www.henontech.com/fieldsafety/harzard/harzard_show.php?rid=1853&amp;url=harzardrecs.php","干熄焦地下室冷焦带北侧台阶处照明不良，存在死角，巡检人员清理冷焦带下部卫生，沿北侧向上行走时被台阶绊倒，右臂被皮带支架尖锐处割伤，创口10公分大量出血，送医治疗，缝合创口，损工7天")</f>
        <v>干熄焦地下室冷焦带北侧台阶处照明不良，存在死角，巡检人员清理冷焦带下部卫生，沿北侧向上行走时被台阶绊倒，右臂被皮带支架尖锐处割伤，创口10公分大量出血，送医治疗，缝合创口，损工7天</v>
      </c>
      <c r="E151" s="19" t="s">
        <v>821</v>
      </c>
      <c r="F151" s="20" t="s">
        <v>42</v>
      </c>
      <c r="G151" s="22" t="s">
        <v>63</v>
      </c>
      <c r="H151" s="19" t="s">
        <v>44</v>
      </c>
      <c r="I151" s="19"/>
      <c r="J151" s="19"/>
      <c r="K151" s="19" t="s">
        <v>64</v>
      </c>
      <c r="L151" s="19"/>
      <c r="M151" s="19" t="s">
        <v>121</v>
      </c>
      <c r="N151" s="19" t="s">
        <v>185</v>
      </c>
      <c r="O151" s="19" t="s">
        <v>121</v>
      </c>
      <c r="P151" s="19" t="s">
        <v>123</v>
      </c>
      <c r="Q151" s="19" t="s">
        <v>818</v>
      </c>
      <c r="R151" s="19" t="s">
        <v>822</v>
      </c>
      <c r="S151" s="19"/>
      <c r="T151" s="19" t="s">
        <v>53</v>
      </c>
      <c r="U151" s="19" t="s">
        <v>80</v>
      </c>
      <c r="V151" s="19" t="s">
        <v>97</v>
      </c>
      <c r="W151" s="19" t="s">
        <v>70</v>
      </c>
      <c r="X151" s="19" t="s">
        <v>126</v>
      </c>
      <c r="Y151" s="19" t="s">
        <v>126</v>
      </c>
      <c r="Z151" s="19" t="s">
        <v>823</v>
      </c>
      <c r="AA151" s="19">
        <v>2</v>
      </c>
      <c r="AB151" s="19">
        <v>2</v>
      </c>
      <c r="AC151" s="19" t="s">
        <v>58</v>
      </c>
      <c r="AD151" s="19" t="s">
        <v>123</v>
      </c>
      <c r="AE151" s="19" t="s">
        <v>763</v>
      </c>
      <c r="AF151" s="19"/>
    </row>
    <row r="152" spans="1:34">
      <c r="A152" s="19">
        <v>146</v>
      </c>
      <c r="B152" s="19" t="s">
        <v>186</v>
      </c>
      <c r="C152" s="19" t="s">
        <v>824</v>
      </c>
      <c r="D152" s="19" t="str">
        <f>HYPERLINK("http://www.henontech.com/fieldsafety/harzard/harzard_show.php?rid=1854&amp;url=harzardrecs.php","空压机房南侧疏水井处，未设置安全警示护栏，在疏水开大后，非本岗位人员沿路沿走过时，被高温蒸汽烫伤小腿部，外出就医，损工一天。")</f>
        <v>空压机房南侧疏水井处，未设置安全警示护栏，在疏水开大后，非本岗位人员沿路沿走过时，被高温蒸汽烫伤小腿部，外出就医，损工一天。</v>
      </c>
      <c r="E152" s="19" t="s">
        <v>825</v>
      </c>
      <c r="F152" s="23" t="s">
        <v>304</v>
      </c>
      <c r="G152" s="22" t="s">
        <v>63</v>
      </c>
      <c r="H152" s="19" t="s">
        <v>44</v>
      </c>
      <c r="I152" s="19" t="s">
        <v>184</v>
      </c>
      <c r="J152" s="19" t="s">
        <v>826</v>
      </c>
      <c r="K152" s="19"/>
      <c r="L152" s="19"/>
      <c r="M152" s="19" t="s">
        <v>121</v>
      </c>
      <c r="N152" s="19" t="s">
        <v>827</v>
      </c>
      <c r="O152" s="19"/>
      <c r="P152" s="19"/>
      <c r="Q152" s="19"/>
      <c r="R152" s="19" t="s">
        <v>828</v>
      </c>
      <c r="S152" s="19" t="s">
        <v>829</v>
      </c>
      <c r="T152" s="19" t="s">
        <v>53</v>
      </c>
      <c r="U152" s="19" t="s">
        <v>80</v>
      </c>
      <c r="V152" s="19" t="s">
        <v>69</v>
      </c>
      <c r="W152" s="19" t="s">
        <v>190</v>
      </c>
      <c r="X152" s="19"/>
      <c r="Y152" s="19"/>
      <c r="Z152" s="19"/>
      <c r="AA152" s="19">
        <v>0</v>
      </c>
      <c r="AB152" s="19"/>
      <c r="AC152" s="19" t="s">
        <v>308</v>
      </c>
      <c r="AD152" s="19"/>
      <c r="AE152" s="19"/>
      <c r="AF152" s="19"/>
    </row>
    <row r="153" spans="1:34">
      <c r="A153" s="19">
        <v>147</v>
      </c>
      <c r="B153" s="19" t="s">
        <v>186</v>
      </c>
      <c r="C153" s="19" t="s">
        <v>168</v>
      </c>
      <c r="D153" s="19" t="str">
        <f>HYPERLINK("http://www.henontech.com/fieldsafety/harzard/harzard_show.php?rid=1855&amp;url=harzardrecs.php","5.5米炉南二楼门玻璃破裂，万一一名职工闭门时玻璃划落掉在脸部，将划伤脸部。到医务室包扎，限工三天。")</f>
        <v>5.5米炉南二楼门玻璃破裂，万一一名职工闭门时玻璃划落掉在脸部，将划伤脸部。到医务室包扎，限工三天。</v>
      </c>
      <c r="E153" s="19" t="s">
        <v>830</v>
      </c>
      <c r="F153" s="23" t="s">
        <v>304</v>
      </c>
      <c r="G153" s="22" t="s">
        <v>63</v>
      </c>
      <c r="H153" s="19" t="s">
        <v>44</v>
      </c>
      <c r="I153" s="19" t="s">
        <v>120</v>
      </c>
      <c r="J153" s="19" t="s">
        <v>46</v>
      </c>
      <c r="K153" s="19" t="s">
        <v>102</v>
      </c>
      <c r="L153" s="19" t="s">
        <v>170</v>
      </c>
      <c r="M153" s="19" t="s">
        <v>121</v>
      </c>
      <c r="N153" s="19" t="s">
        <v>831</v>
      </c>
      <c r="O153" s="19"/>
      <c r="P153" s="19"/>
      <c r="Q153" s="19"/>
      <c r="R153" s="19" t="s">
        <v>832</v>
      </c>
      <c r="S153" s="19" t="s">
        <v>833</v>
      </c>
      <c r="T153" s="19" t="s">
        <v>53</v>
      </c>
      <c r="U153" s="19" t="s">
        <v>54</v>
      </c>
      <c r="V153" s="19" t="s">
        <v>55</v>
      </c>
      <c r="W153" s="19" t="s">
        <v>56</v>
      </c>
      <c r="X153" s="19"/>
      <c r="Y153" s="19"/>
      <c r="Z153" s="19"/>
      <c r="AA153" s="19">
        <v>0</v>
      </c>
      <c r="AB153" s="19"/>
      <c r="AC153" s="19" t="s">
        <v>308</v>
      </c>
      <c r="AD153" s="19"/>
      <c r="AE153" s="19"/>
      <c r="AF153" s="19"/>
    </row>
    <row r="154" spans="1:34" customHeight="1" ht="42">
      <c r="A154" s="19">
        <v>148</v>
      </c>
      <c r="B154" s="19" t="s">
        <v>186</v>
      </c>
      <c r="C154" s="19" t="s">
        <v>168</v>
      </c>
      <c r="D154" s="19" t="str">
        <f>HYPERLINK("http://www.henontech.com/fieldsafety/harzard/harzard_show.php?rid=1856&amp;url=harzardrecs.php","5.5米焦侧南头通风道上部漏水严重，腐蚀通风道，假如人员经过此处时，通风道坍塌造成人员身体多处骨折，住院治疗三个月的损工事故")</f>
        <v>5.5米焦侧南头通风道上部漏水严重，腐蚀通风道，假如人员经过此处时，通风道坍塌造成人员身体多处骨折，住院治疗三个月的损工事故</v>
      </c>
      <c r="E154" s="19" t="s">
        <v>834</v>
      </c>
      <c r="F154" s="20" t="s">
        <v>42</v>
      </c>
      <c r="G154" s="22" t="s">
        <v>63</v>
      </c>
      <c r="H154" s="19" t="s">
        <v>44</v>
      </c>
      <c r="I154" s="19"/>
      <c r="J154" s="19" t="s">
        <v>46</v>
      </c>
      <c r="K154" s="19"/>
      <c r="L154" s="19"/>
      <c r="M154" s="19" t="s">
        <v>121</v>
      </c>
      <c r="N154" s="19" t="s">
        <v>835</v>
      </c>
      <c r="O154" s="19" t="s">
        <v>121</v>
      </c>
      <c r="P154" s="19" t="s">
        <v>812</v>
      </c>
      <c r="Q154" s="19" t="s">
        <v>836</v>
      </c>
      <c r="R154" s="19" t="s">
        <v>837</v>
      </c>
      <c r="S154" s="19"/>
      <c r="T154" s="19" t="s">
        <v>53</v>
      </c>
      <c r="U154" s="19" t="s">
        <v>80</v>
      </c>
      <c r="V154" s="19" t="s">
        <v>55</v>
      </c>
      <c r="W154" s="19" t="s">
        <v>81</v>
      </c>
      <c r="X154" s="19" t="s">
        <v>191</v>
      </c>
      <c r="Y154" s="19"/>
      <c r="Z154" s="19" t="s">
        <v>838</v>
      </c>
      <c r="AA154" s="19">
        <v>2</v>
      </c>
      <c r="AB154" s="19">
        <v>2</v>
      </c>
      <c r="AC154" s="19" t="s">
        <v>58</v>
      </c>
      <c r="AD154" s="19" t="s">
        <v>812</v>
      </c>
      <c r="AE154" s="19" t="s">
        <v>221</v>
      </c>
      <c r="AF154" s="19" t="s">
        <v>839</v>
      </c>
    </row>
    <row r="155" spans="1:34">
      <c r="A155" s="19">
        <v>149</v>
      </c>
      <c r="B155" s="19" t="s">
        <v>186</v>
      </c>
      <c r="C155" s="19" t="s">
        <v>840</v>
      </c>
      <c r="D155" s="19" t="str">
        <f>HYPERLINK("http://www.henontech.com/fieldsafety/harzard/harzard_show.php?rid=1858&amp;url=harzardrecs.php","空分冷冻水泵入口阀门处地沟盖板缺失，操作工在开关阀门时，左脚不慎踏入沟中，造成左脚扭伤，送医救治")</f>
        <v>空分冷冻水泵入口阀门处地沟盖板缺失，操作工在开关阀门时，左脚不慎踏入沟中，造成左脚扭伤，送医救治</v>
      </c>
      <c r="E155" s="19" t="s">
        <v>841</v>
      </c>
      <c r="F155" s="20" t="s">
        <v>42</v>
      </c>
      <c r="G155" s="22" t="s">
        <v>63</v>
      </c>
      <c r="H155" s="19" t="s">
        <v>44</v>
      </c>
      <c r="I155" s="19" t="s">
        <v>45</v>
      </c>
      <c r="J155" s="19" t="s">
        <v>46</v>
      </c>
      <c r="K155" s="19" t="s">
        <v>64</v>
      </c>
      <c r="L155" s="19" t="s">
        <v>76</v>
      </c>
      <c r="M155" s="19" t="s">
        <v>224</v>
      </c>
      <c r="N155" s="19" t="s">
        <v>842</v>
      </c>
      <c r="O155" s="19" t="s">
        <v>224</v>
      </c>
      <c r="P155" s="19" t="s">
        <v>336</v>
      </c>
      <c r="Q155" s="19" t="s">
        <v>630</v>
      </c>
      <c r="R155" s="19" t="s">
        <v>843</v>
      </c>
      <c r="S155" s="19"/>
      <c r="T155" s="19" t="s">
        <v>53</v>
      </c>
      <c r="U155" s="19" t="s">
        <v>80</v>
      </c>
      <c r="V155" s="19" t="s">
        <v>69</v>
      </c>
      <c r="W155" s="19" t="s">
        <v>190</v>
      </c>
      <c r="X155" s="19" t="s">
        <v>338</v>
      </c>
      <c r="Y155" s="19" t="s">
        <v>434</v>
      </c>
      <c r="Z155" s="19" t="s">
        <v>844</v>
      </c>
      <c r="AA155" s="19">
        <v>1</v>
      </c>
      <c r="AB155" s="19">
        <v>1</v>
      </c>
      <c r="AC155" s="19" t="s">
        <v>58</v>
      </c>
      <c r="AD155" s="19" t="s">
        <v>336</v>
      </c>
      <c r="AE155" s="19" t="s">
        <v>218</v>
      </c>
      <c r="AF155" s="19" t="s">
        <v>845</v>
      </c>
    </row>
    <row r="156" spans="1:34">
      <c r="A156" s="19">
        <v>150</v>
      </c>
      <c r="B156" s="19" t="s">
        <v>186</v>
      </c>
      <c r="C156" s="19" t="s">
        <v>846</v>
      </c>
      <c r="D156" s="19" t="str">
        <f>HYPERLINK("http://www.henontech.com/fieldsafety/harzard/harzard_show.php?rid=1859&amp;url=harzardrecs.php","变换2＃蒸汽包入口阀填料泄露，操作工通知维修人员紧填料，在工作过程中，由于用力过大，造成螺母滑丝脱落，蒸汽冒出，导致维修人员脸部烫伤，送医院治疗")</f>
        <v>变换2＃蒸汽包入口阀填料泄露，操作工通知维修人员紧填料，在工作过程中，由于用力过大，造成螺母滑丝脱落，蒸汽冒出，导致维修人员脸部烫伤，送医院治疗</v>
      </c>
      <c r="E156" s="19" t="s">
        <v>847</v>
      </c>
      <c r="F156" s="20" t="s">
        <v>42</v>
      </c>
      <c r="G156" s="21" t="s">
        <v>43</v>
      </c>
      <c r="H156" s="19" t="s">
        <v>44</v>
      </c>
      <c r="I156" s="19" t="s">
        <v>45</v>
      </c>
      <c r="J156" s="19" t="s">
        <v>46</v>
      </c>
      <c r="K156" s="19" t="s">
        <v>47</v>
      </c>
      <c r="L156" s="19" t="s">
        <v>76</v>
      </c>
      <c r="M156" s="19" t="s">
        <v>224</v>
      </c>
      <c r="N156" s="19" t="s">
        <v>780</v>
      </c>
      <c r="O156" s="19" t="s">
        <v>224</v>
      </c>
      <c r="P156" s="19" t="s">
        <v>336</v>
      </c>
      <c r="Q156" s="19" t="s">
        <v>818</v>
      </c>
      <c r="R156" s="19" t="s">
        <v>781</v>
      </c>
      <c r="S156" s="19"/>
      <c r="T156" s="19" t="s">
        <v>53</v>
      </c>
      <c r="U156" s="19" t="s">
        <v>80</v>
      </c>
      <c r="V156" s="19" t="s">
        <v>69</v>
      </c>
      <c r="W156" s="19" t="s">
        <v>190</v>
      </c>
      <c r="X156" s="19" t="s">
        <v>257</v>
      </c>
      <c r="Y156" s="19" t="s">
        <v>257</v>
      </c>
      <c r="Z156" s="19" t="s">
        <v>848</v>
      </c>
      <c r="AA156" s="19">
        <v>1</v>
      </c>
      <c r="AB156" s="19">
        <v>1</v>
      </c>
      <c r="AC156" s="19" t="s">
        <v>58</v>
      </c>
      <c r="AD156" s="19" t="s">
        <v>336</v>
      </c>
      <c r="AE156" s="19" t="s">
        <v>218</v>
      </c>
      <c r="AF156" s="19" t="s">
        <v>849</v>
      </c>
    </row>
    <row r="157" spans="1:34">
      <c r="A157" s="19">
        <v>151</v>
      </c>
      <c r="B157" s="19" t="s">
        <v>186</v>
      </c>
      <c r="C157" s="19" t="s">
        <v>100</v>
      </c>
      <c r="D157" s="19" t="str">
        <f>HYPERLINK("http://www.henontech.com/fieldsafety/harzard/harzard_show.php?rid=1860&amp;url=harzardrecs.php","两名维修人员高处进行管道阀门维护作业时，扳手不慎掉落，砸伤作业下方逗留操作工一名！")</f>
        <v>两名维修人员高处进行管道阀门维护作业时，扳手不慎掉落，砸伤作业下方逗留操作工一名！</v>
      </c>
      <c r="E157" s="19" t="s">
        <v>850</v>
      </c>
      <c r="F157" s="20" t="s">
        <v>42</v>
      </c>
      <c r="G157" s="22" t="s">
        <v>63</v>
      </c>
      <c r="H157" s="19" t="s">
        <v>44</v>
      </c>
      <c r="I157" s="19" t="s">
        <v>120</v>
      </c>
      <c r="J157" s="19" t="s">
        <v>46</v>
      </c>
      <c r="K157" s="19" t="s">
        <v>47</v>
      </c>
      <c r="L157" s="19" t="s">
        <v>76</v>
      </c>
      <c r="M157" s="19" t="s">
        <v>48</v>
      </c>
      <c r="N157" s="19" t="s">
        <v>94</v>
      </c>
      <c r="O157" s="19" t="s">
        <v>48</v>
      </c>
      <c r="P157" s="19" t="s">
        <v>50</v>
      </c>
      <c r="Q157" s="19" t="s">
        <v>818</v>
      </c>
      <c r="R157" s="19" t="s">
        <v>851</v>
      </c>
      <c r="S157" s="19"/>
      <c r="T157" s="19" t="s">
        <v>53</v>
      </c>
      <c r="U157" s="19" t="s">
        <v>80</v>
      </c>
      <c r="V157" s="19" t="s">
        <v>97</v>
      </c>
      <c r="W157" s="19" t="s">
        <v>70</v>
      </c>
      <c r="X157" s="19"/>
      <c r="Y157" s="19"/>
      <c r="Z157" s="19" t="s">
        <v>852</v>
      </c>
      <c r="AA157" s="19">
        <v>1</v>
      </c>
      <c r="AB157" s="19">
        <v>1</v>
      </c>
      <c r="AC157" s="19" t="s">
        <v>58</v>
      </c>
      <c r="AD157" s="19" t="s">
        <v>50</v>
      </c>
      <c r="AE157" s="19" t="s">
        <v>186</v>
      </c>
      <c r="AF157" s="19"/>
    </row>
    <row r="158" spans="1:34">
      <c r="A158" s="19">
        <v>152</v>
      </c>
      <c r="B158" s="19" t="s">
        <v>186</v>
      </c>
      <c r="C158" s="19" t="s">
        <v>743</v>
      </c>
      <c r="D158" s="19" t="str">
        <f>HYPERLINK("http://www.henontech.com/fieldsafety/harzard/harzard_show.php?rid=1861&amp;url=harzardrecs.php","碳氨包装机气路管断裂漏气，泄压后，自动包装机气压不足机械臂手停机，包装传送线单套装置停车。")</f>
        <v>碳氨包装机气路管断裂漏气，泄压后，自动包装机气压不足机械臂手停机，包装传送线单套装置停车。</v>
      </c>
      <c r="E158" s="19" t="s">
        <v>853</v>
      </c>
      <c r="F158" s="20" t="s">
        <v>42</v>
      </c>
      <c r="G158" s="21" t="s">
        <v>43</v>
      </c>
      <c r="H158" s="19" t="s">
        <v>44</v>
      </c>
      <c r="I158" s="19"/>
      <c r="J158" s="19" t="s">
        <v>46</v>
      </c>
      <c r="K158" s="19"/>
      <c r="L158" s="19"/>
      <c r="M158" s="19" t="s">
        <v>224</v>
      </c>
      <c r="N158" s="19" t="s">
        <v>275</v>
      </c>
      <c r="O158" s="19" t="s">
        <v>224</v>
      </c>
      <c r="P158" s="19" t="s">
        <v>336</v>
      </c>
      <c r="Q158" s="19" t="s">
        <v>836</v>
      </c>
      <c r="R158" s="19" t="s">
        <v>854</v>
      </c>
      <c r="S158" s="19"/>
      <c r="T158" s="19" t="s">
        <v>189</v>
      </c>
      <c r="U158" s="19" t="s">
        <v>202</v>
      </c>
      <c r="V158" s="19" t="s">
        <v>97</v>
      </c>
      <c r="W158" s="19" t="s">
        <v>56</v>
      </c>
      <c r="X158" s="19" t="s">
        <v>191</v>
      </c>
      <c r="Y158" s="19" t="s">
        <v>191</v>
      </c>
      <c r="Z158" s="19" t="s">
        <v>855</v>
      </c>
      <c r="AA158" s="19">
        <v>1</v>
      </c>
      <c r="AB158" s="19">
        <v>1</v>
      </c>
      <c r="AC158" s="19" t="s">
        <v>58</v>
      </c>
      <c r="AD158" s="19" t="s">
        <v>336</v>
      </c>
      <c r="AE158" s="19" t="s">
        <v>218</v>
      </c>
      <c r="AF158" s="19" t="s">
        <v>856</v>
      </c>
    </row>
    <row r="159" spans="1:34">
      <c r="A159" s="19">
        <v>153</v>
      </c>
      <c r="B159" s="19" t="s">
        <v>186</v>
      </c>
      <c r="C159" s="19" t="s">
        <v>857</v>
      </c>
      <c r="D159" s="19" t="str">
        <f>HYPERLINK("http://www.henontech.com/fieldsafety/harzard/harzard_show.php?rid=1862&amp;url=harzardrecs.php","1#空压机配电柜灰尘较多，如果不及时清理，造成短路着火事故。造成空压机停机")</f>
        <v>1#空压机配电柜灰尘较多，如果不及时清理，造成短路着火事故。造成空压机停机</v>
      </c>
      <c r="E159" s="19" t="s">
        <v>858</v>
      </c>
      <c r="F159" s="20" t="s">
        <v>42</v>
      </c>
      <c r="G159" s="22" t="s">
        <v>63</v>
      </c>
      <c r="H159" s="19" t="s">
        <v>44</v>
      </c>
      <c r="I159" s="19"/>
      <c r="J159" s="19" t="s">
        <v>580</v>
      </c>
      <c r="K159" s="19"/>
      <c r="L159" s="19"/>
      <c r="M159" s="19" t="s">
        <v>48</v>
      </c>
      <c r="N159" s="19" t="s">
        <v>217</v>
      </c>
      <c r="O159" s="19" t="s">
        <v>48</v>
      </c>
      <c r="P159" s="19" t="s">
        <v>50</v>
      </c>
      <c r="Q159" s="19" t="s">
        <v>818</v>
      </c>
      <c r="R159" s="19" t="s">
        <v>859</v>
      </c>
      <c r="S159" s="19"/>
      <c r="T159" s="19" t="s">
        <v>189</v>
      </c>
      <c r="U159" s="19" t="s">
        <v>54</v>
      </c>
      <c r="V159" s="19" t="s">
        <v>55</v>
      </c>
      <c r="W159" s="19" t="s">
        <v>56</v>
      </c>
      <c r="X159" s="19"/>
      <c r="Y159" s="19"/>
      <c r="Z159" s="19" t="s">
        <v>860</v>
      </c>
      <c r="AA159" s="19">
        <v>1</v>
      </c>
      <c r="AB159" s="19">
        <v>1</v>
      </c>
      <c r="AC159" s="19" t="s">
        <v>58</v>
      </c>
      <c r="AD159" s="19" t="s">
        <v>50</v>
      </c>
      <c r="AE159" s="19" t="s">
        <v>186</v>
      </c>
      <c r="AF159" s="19"/>
    </row>
    <row r="160" spans="1:34">
      <c r="A160" s="19">
        <v>154</v>
      </c>
      <c r="B160" s="19" t="s">
        <v>115</v>
      </c>
      <c r="C160" s="19" t="s">
        <v>182</v>
      </c>
      <c r="D160" s="19" t="str">
        <f>HYPERLINK("http://www.henontech.com/fieldsafety/harzard/harzard_show.php?rid=1863&amp;url=harzardrecs.php","2#提升机框架七层西侧护栏外悬挂一云梯，长期暴露室外未做防腐，如遇大风天气，焊点开焊坠落，砸中地面过路人员头肩部，造成人员死亡。")</f>
        <v>2#提升机框架七层西侧护栏外悬挂一云梯，长期暴露室外未做防腐，如遇大风天气，焊点开焊坠落，砸中地面过路人员头肩部，造成人员死亡。</v>
      </c>
      <c r="E160" s="19" t="s">
        <v>861</v>
      </c>
      <c r="F160" s="20" t="s">
        <v>42</v>
      </c>
      <c r="G160" s="22" t="s">
        <v>63</v>
      </c>
      <c r="H160" s="19" t="s">
        <v>44</v>
      </c>
      <c r="I160" s="19"/>
      <c r="J160" s="19" t="s">
        <v>580</v>
      </c>
      <c r="K160" s="19" t="s">
        <v>132</v>
      </c>
      <c r="L160" s="19"/>
      <c r="M160" s="19" t="s">
        <v>121</v>
      </c>
      <c r="N160" s="19" t="s">
        <v>862</v>
      </c>
      <c r="O160" s="19" t="s">
        <v>121</v>
      </c>
      <c r="P160" s="19" t="s">
        <v>316</v>
      </c>
      <c r="Q160" s="19" t="s">
        <v>836</v>
      </c>
      <c r="R160" s="19" t="s">
        <v>863</v>
      </c>
      <c r="S160" s="19" t="s">
        <v>864</v>
      </c>
      <c r="T160" s="19" t="s">
        <v>53</v>
      </c>
      <c r="U160" s="19" t="s">
        <v>236</v>
      </c>
      <c r="V160" s="19" t="s">
        <v>55</v>
      </c>
      <c r="W160" s="19" t="s">
        <v>70</v>
      </c>
      <c r="X160" s="19" t="s">
        <v>154</v>
      </c>
      <c r="Y160" s="19"/>
      <c r="Z160" s="19" t="s">
        <v>865</v>
      </c>
      <c r="AA160" s="19">
        <v>1</v>
      </c>
      <c r="AB160" s="19">
        <v>1</v>
      </c>
      <c r="AC160" s="19" t="s">
        <v>58</v>
      </c>
      <c r="AD160" s="19" t="s">
        <v>316</v>
      </c>
      <c r="AE160" s="19" t="s">
        <v>319</v>
      </c>
      <c r="AF160" s="19"/>
    </row>
    <row r="161" spans="1:34">
      <c r="A161" s="19">
        <v>155</v>
      </c>
      <c r="B161" s="19" t="s">
        <v>115</v>
      </c>
      <c r="C161" s="19" t="s">
        <v>252</v>
      </c>
      <c r="D161" s="19" t="str">
        <f>HYPERLINK("http://www.henontech.com/fieldsafety/harzard/harzard_show.php?rid=1864&amp;url=harzardrecs.php","巡检人员爬环境除尘烟囱处爬梯巡检时，未抓牢爬梯，由于底部缺少护栏，导致巡检人员从梯子上跌落，送医治疗，脚踝扭伤，损工十天。")</f>
        <v>巡检人员爬环境除尘烟囱处爬梯巡检时，未抓牢爬梯，由于底部缺少护栏，导致巡检人员从梯子上跌落，送医治疗，脚踝扭伤，损工十天。</v>
      </c>
      <c r="E161" s="19" t="s">
        <v>866</v>
      </c>
      <c r="F161" s="23" t="s">
        <v>304</v>
      </c>
      <c r="G161" s="22" t="s">
        <v>63</v>
      </c>
      <c r="H161" s="19" t="s">
        <v>44</v>
      </c>
      <c r="I161" s="19" t="s">
        <v>184</v>
      </c>
      <c r="J161" s="19" t="s">
        <v>109</v>
      </c>
      <c r="K161" s="19" t="s">
        <v>132</v>
      </c>
      <c r="L161" s="19" t="s">
        <v>76</v>
      </c>
      <c r="M161" s="19" t="s">
        <v>121</v>
      </c>
      <c r="N161" s="19" t="s">
        <v>289</v>
      </c>
      <c r="O161" s="19"/>
      <c r="P161" s="19"/>
      <c r="Q161" s="19"/>
      <c r="R161" s="19" t="s">
        <v>867</v>
      </c>
      <c r="S161" s="19" t="s">
        <v>868</v>
      </c>
      <c r="T161" s="19" t="s">
        <v>53</v>
      </c>
      <c r="U161" s="19" t="s">
        <v>80</v>
      </c>
      <c r="V161" s="19" t="s">
        <v>97</v>
      </c>
      <c r="W161" s="19" t="s">
        <v>70</v>
      </c>
      <c r="X161" s="19"/>
      <c r="Y161" s="19"/>
      <c r="Z161" s="19"/>
      <c r="AA161" s="19">
        <v>0</v>
      </c>
      <c r="AB161" s="19"/>
      <c r="AC161" s="19" t="s">
        <v>308</v>
      </c>
      <c r="AD161" s="19"/>
      <c r="AE161" s="19"/>
      <c r="AF161" s="19"/>
    </row>
    <row r="162" spans="1:34">
      <c r="A162" s="19">
        <v>156</v>
      </c>
      <c r="B162" s="19" t="s">
        <v>115</v>
      </c>
      <c r="C162" s="19" t="s">
        <v>723</v>
      </c>
      <c r="D162" s="19" t="str">
        <f>HYPERLINK("http://www.henontech.com/fieldsafety/harzard/harzard_show.php?rid=1866&amp;url=harzardrecs.php","4.3米焦炉集气管顶部电缆裸露，外皮破损，万一巡检工经过时发生触电事故，经抢救无效死亡。")</f>
        <v>4.3米焦炉集气管顶部电缆裸露，外皮破损，万一巡检工经过时发生触电事故，经抢救无效死亡。</v>
      </c>
      <c r="E162" s="19" t="s">
        <v>869</v>
      </c>
      <c r="F162" s="23" t="s">
        <v>304</v>
      </c>
      <c r="G162" s="22" t="s">
        <v>63</v>
      </c>
      <c r="H162" s="19" t="s">
        <v>44</v>
      </c>
      <c r="I162" s="19" t="s">
        <v>108</v>
      </c>
      <c r="J162" s="19" t="s">
        <v>46</v>
      </c>
      <c r="K162" s="19" t="s">
        <v>110</v>
      </c>
      <c r="L162" s="19" t="s">
        <v>76</v>
      </c>
      <c r="M162" s="19" t="s">
        <v>121</v>
      </c>
      <c r="N162" s="19" t="s">
        <v>870</v>
      </c>
      <c r="O162" s="19"/>
      <c r="P162" s="19"/>
      <c r="Q162" s="19"/>
      <c r="R162" s="19" t="s">
        <v>871</v>
      </c>
      <c r="S162" s="19" t="s">
        <v>872</v>
      </c>
      <c r="T162" s="19" t="s">
        <v>53</v>
      </c>
      <c r="U162" s="19" t="s">
        <v>236</v>
      </c>
      <c r="V162" s="19" t="s">
        <v>203</v>
      </c>
      <c r="W162" s="19" t="s">
        <v>81</v>
      </c>
      <c r="X162" s="19"/>
      <c r="Y162" s="19"/>
      <c r="Z162" s="19"/>
      <c r="AA162" s="19">
        <v>0</v>
      </c>
      <c r="AB162" s="19"/>
      <c r="AC162" s="19" t="s">
        <v>308</v>
      </c>
      <c r="AD162" s="19"/>
      <c r="AE162" s="19"/>
      <c r="AF162" s="19"/>
    </row>
    <row r="163" spans="1:34">
      <c r="A163" s="19">
        <v>157</v>
      </c>
      <c r="B163" s="19" t="s">
        <v>115</v>
      </c>
      <c r="C163" s="19" t="s">
        <v>279</v>
      </c>
      <c r="D163" s="19" t="str">
        <f>HYPERLINK("http://www.henontech.com/fieldsafety/harzard/harzard_show.php?rid=1867&amp;url=harzardrecs.php","压缩更换活门维修未及时清理现场，巡检人员在夜间巡检经过时被绊倒，扭伤脚踝送医救治。")</f>
        <v>压缩更换活门维修未及时清理现场，巡检人员在夜间巡检经过时被绊倒，扭伤脚踝送医救治。</v>
      </c>
      <c r="E163" s="19" t="s">
        <v>873</v>
      </c>
      <c r="F163" s="20" t="s">
        <v>42</v>
      </c>
      <c r="G163" s="22" t="s">
        <v>63</v>
      </c>
      <c r="H163" s="19" t="s">
        <v>44</v>
      </c>
      <c r="I163" s="19" t="s">
        <v>45</v>
      </c>
      <c r="J163" s="19" t="s">
        <v>349</v>
      </c>
      <c r="K163" s="19" t="s">
        <v>64</v>
      </c>
      <c r="L163" s="19" t="s">
        <v>76</v>
      </c>
      <c r="M163" s="19" t="s">
        <v>224</v>
      </c>
      <c r="N163" s="19" t="s">
        <v>874</v>
      </c>
      <c r="O163" s="19" t="s">
        <v>224</v>
      </c>
      <c r="P163" s="19" t="s">
        <v>336</v>
      </c>
      <c r="Q163" s="19" t="s">
        <v>383</v>
      </c>
      <c r="R163" s="19" t="s">
        <v>875</v>
      </c>
      <c r="S163" s="19"/>
      <c r="T163" s="19" t="s">
        <v>53</v>
      </c>
      <c r="U163" s="19" t="s">
        <v>80</v>
      </c>
      <c r="V163" s="19" t="s">
        <v>97</v>
      </c>
      <c r="W163" s="19" t="s">
        <v>70</v>
      </c>
      <c r="X163" s="19" t="s">
        <v>191</v>
      </c>
      <c r="Y163" s="19" t="s">
        <v>191</v>
      </c>
      <c r="Z163" s="19" t="s">
        <v>876</v>
      </c>
      <c r="AA163" s="19">
        <v>1</v>
      </c>
      <c r="AB163" s="19">
        <v>1</v>
      </c>
      <c r="AC163" s="19" t="s">
        <v>58</v>
      </c>
      <c r="AD163" s="19" t="s">
        <v>336</v>
      </c>
      <c r="AE163" s="19" t="s">
        <v>877</v>
      </c>
      <c r="AF163" s="19" t="s">
        <v>878</v>
      </c>
    </row>
    <row r="164" spans="1:34">
      <c r="A164" s="19">
        <v>158</v>
      </c>
      <c r="B164" s="19" t="s">
        <v>115</v>
      </c>
      <c r="C164" s="19" t="s">
        <v>797</v>
      </c>
      <c r="D164" s="19" t="str">
        <f>HYPERLINK("http://www.henontech.com/fieldsafety/harzard/harzard_show.php?rid=1868&amp;url=harzardrecs.php","4.3米焦炉烟道通廊内有一管道高出地面15公分无警示标识，如有人通过时不小心绊倒手先着地造成手腕骨折住院治疗30天回家休养60天的损工事件。")</f>
        <v>4.3米焦炉烟道通廊内有一管道高出地面15公分无警示标识，如有人通过时不小心绊倒手先着地造成手腕骨折住院治疗30天回家休养60天的损工事件。</v>
      </c>
      <c r="E164" s="19" t="s">
        <v>879</v>
      </c>
      <c r="F164" s="23" t="s">
        <v>304</v>
      </c>
      <c r="G164" s="22" t="s">
        <v>63</v>
      </c>
      <c r="H164" s="19" t="s">
        <v>44</v>
      </c>
      <c r="I164" s="19" t="s">
        <v>108</v>
      </c>
      <c r="J164" s="19" t="s">
        <v>386</v>
      </c>
      <c r="K164" s="19" t="s">
        <v>110</v>
      </c>
      <c r="L164" s="19" t="s">
        <v>76</v>
      </c>
      <c r="M164" s="19" t="s">
        <v>121</v>
      </c>
      <c r="N164" s="19" t="s">
        <v>880</v>
      </c>
      <c r="O164" s="19"/>
      <c r="P164" s="19"/>
      <c r="Q164" s="19"/>
      <c r="R164" s="19" t="s">
        <v>881</v>
      </c>
      <c r="S164" s="19" t="s">
        <v>882</v>
      </c>
      <c r="T164" s="19" t="s">
        <v>53</v>
      </c>
      <c r="U164" s="19" t="s">
        <v>80</v>
      </c>
      <c r="V164" s="19" t="s">
        <v>55</v>
      </c>
      <c r="W164" s="19" t="s">
        <v>81</v>
      </c>
      <c r="X164" s="19"/>
      <c r="Y164" s="19"/>
      <c r="Z164" s="19"/>
      <c r="AA164" s="19">
        <v>0</v>
      </c>
      <c r="AB164" s="19"/>
      <c r="AC164" s="19" t="s">
        <v>308</v>
      </c>
      <c r="AD164" s="19"/>
      <c r="AE164" s="19"/>
      <c r="AF164" s="19"/>
    </row>
    <row r="165" spans="1:34" customHeight="1" ht="42">
      <c r="A165" s="19">
        <v>159</v>
      </c>
      <c r="B165" s="19" t="s">
        <v>115</v>
      </c>
      <c r="C165" s="19" t="s">
        <v>723</v>
      </c>
      <c r="D165" s="19" t="str">
        <f>HYPERLINK("http://www.henontech.com/fieldsafety/harzard/harzard_show.php?rid=1869&amp;url=harzardrecs.php","4.3米焦炉集气管顶部电缆裸露，外皮破损，万一巡检人员经过时发生触电事故，经抢救无效死亡。")</f>
        <v>4.3米焦炉集气管顶部电缆裸露，外皮破损，万一巡检人员经过时发生触电事故，经抢救无效死亡。</v>
      </c>
      <c r="E165" s="19" t="s">
        <v>883</v>
      </c>
      <c r="F165" s="20" t="s">
        <v>42</v>
      </c>
      <c r="G165" s="22" t="s">
        <v>63</v>
      </c>
      <c r="H165" s="19" t="s">
        <v>44</v>
      </c>
      <c r="I165" s="19" t="s">
        <v>108</v>
      </c>
      <c r="J165" s="19" t="s">
        <v>109</v>
      </c>
      <c r="K165" s="19" t="s">
        <v>110</v>
      </c>
      <c r="L165" s="19" t="s">
        <v>76</v>
      </c>
      <c r="M165" s="19" t="s">
        <v>121</v>
      </c>
      <c r="N165" s="19" t="s">
        <v>870</v>
      </c>
      <c r="O165" s="19" t="s">
        <v>121</v>
      </c>
      <c r="P165" s="19" t="s">
        <v>316</v>
      </c>
      <c r="Q165" s="19" t="s">
        <v>836</v>
      </c>
      <c r="R165" s="19" t="s">
        <v>871</v>
      </c>
      <c r="S165" s="19"/>
      <c r="T165" s="19" t="s">
        <v>53</v>
      </c>
      <c r="U165" s="19" t="s">
        <v>236</v>
      </c>
      <c r="V165" s="19" t="s">
        <v>97</v>
      </c>
      <c r="W165" s="19" t="s">
        <v>190</v>
      </c>
      <c r="X165" s="19" t="s">
        <v>126</v>
      </c>
      <c r="Y165" s="19" t="s">
        <v>126</v>
      </c>
      <c r="Z165" s="19" t="s">
        <v>884</v>
      </c>
      <c r="AA165" s="19">
        <v>2</v>
      </c>
      <c r="AB165" s="19">
        <v>0</v>
      </c>
      <c r="AC165" s="19" t="s">
        <v>58</v>
      </c>
      <c r="AD165" s="19" t="s">
        <v>316</v>
      </c>
      <c r="AE165" s="19" t="s">
        <v>572</v>
      </c>
      <c r="AF165" s="19" t="s">
        <v>646</v>
      </c>
    </row>
    <row r="166" spans="1:34">
      <c r="A166" s="19">
        <v>160</v>
      </c>
      <c r="B166" s="19" t="s">
        <v>115</v>
      </c>
      <c r="C166" s="19" t="s">
        <v>48</v>
      </c>
      <c r="D166" s="19" t="str">
        <f>HYPERLINK("http://www.henontech.com/fieldsafety/harzard/harzard_show.php?rid=1870&amp;url=harzardrecs.php","一名操作工夜间巡查时，不慎踏入造成小腿扭伤大腿擦伤，医务室治疗三天，后正常工作，损工三天。")</f>
        <v>一名操作工夜间巡查时，不慎踏入造成小腿扭伤大腿擦伤，医务室治疗三天，后正常工作，损工三天。</v>
      </c>
      <c r="E166" s="19" t="s">
        <v>885</v>
      </c>
      <c r="F166" s="20" t="s">
        <v>42</v>
      </c>
      <c r="G166" s="22" t="s">
        <v>63</v>
      </c>
      <c r="H166" s="19" t="s">
        <v>44</v>
      </c>
      <c r="I166" s="19" t="s">
        <v>108</v>
      </c>
      <c r="J166" s="19" t="s">
        <v>349</v>
      </c>
      <c r="K166" s="19" t="s">
        <v>47</v>
      </c>
      <c r="L166" s="19"/>
      <c r="M166" s="19" t="s">
        <v>48</v>
      </c>
      <c r="N166" s="19" t="s">
        <v>886</v>
      </c>
      <c r="O166" s="19" t="s">
        <v>48</v>
      </c>
      <c r="P166" s="19" t="s">
        <v>50</v>
      </c>
      <c r="Q166" s="19" t="s">
        <v>887</v>
      </c>
      <c r="R166" s="19" t="s">
        <v>888</v>
      </c>
      <c r="S166" s="19"/>
      <c r="T166" s="19" t="s">
        <v>53</v>
      </c>
      <c r="U166" s="19" t="s">
        <v>80</v>
      </c>
      <c r="V166" s="19" t="s">
        <v>97</v>
      </c>
      <c r="W166" s="19" t="s">
        <v>70</v>
      </c>
      <c r="X166" s="19"/>
      <c r="Y166" s="19"/>
      <c r="Z166" s="19" t="s">
        <v>889</v>
      </c>
      <c r="AA166" s="19">
        <v>1</v>
      </c>
      <c r="AB166" s="19">
        <v>1</v>
      </c>
      <c r="AC166" s="19" t="s">
        <v>58</v>
      </c>
      <c r="AD166" s="19" t="s">
        <v>50</v>
      </c>
      <c r="AE166" s="19" t="s">
        <v>655</v>
      </c>
      <c r="AF166" s="19"/>
    </row>
    <row r="167" spans="1:34">
      <c r="A167" s="19">
        <v>161</v>
      </c>
      <c r="B167" s="19" t="s">
        <v>115</v>
      </c>
      <c r="C167" s="19" t="s">
        <v>890</v>
      </c>
      <c r="D167" s="19" t="str">
        <f>HYPERLINK("http://www.henontech.com/fieldsafety/harzard/harzard_show.php?rid=1871&amp;url=harzardrecs.php","吸氨岗位氨水循环槽处地沟盖板损坏，一名操作工巡检过程中，不慎踩空跌入地沟内，造成腿部擦伤脚腕扭伤的轻伤事故。")</f>
        <v>吸氨岗位氨水循环槽处地沟盖板损坏，一名操作工巡检过程中，不慎踩空跌入地沟内，造成腿部擦伤脚腕扭伤的轻伤事故。</v>
      </c>
      <c r="E167" s="19" t="s">
        <v>891</v>
      </c>
      <c r="F167" s="20" t="s">
        <v>42</v>
      </c>
      <c r="G167" s="22" t="s">
        <v>63</v>
      </c>
      <c r="H167" s="19" t="s">
        <v>44</v>
      </c>
      <c r="I167" s="19"/>
      <c r="J167" s="19" t="s">
        <v>46</v>
      </c>
      <c r="K167" s="19" t="s">
        <v>47</v>
      </c>
      <c r="L167" s="19" t="s">
        <v>76</v>
      </c>
      <c r="M167" s="19" t="s">
        <v>224</v>
      </c>
      <c r="N167" s="19" t="s">
        <v>892</v>
      </c>
      <c r="O167" s="19" t="s">
        <v>224</v>
      </c>
      <c r="P167" s="19" t="s">
        <v>336</v>
      </c>
      <c r="Q167" s="19" t="s">
        <v>836</v>
      </c>
      <c r="R167" s="19" t="s">
        <v>893</v>
      </c>
      <c r="S167" s="19"/>
      <c r="T167" s="19" t="s">
        <v>53</v>
      </c>
      <c r="U167" s="19" t="s">
        <v>80</v>
      </c>
      <c r="V167" s="19" t="s">
        <v>55</v>
      </c>
      <c r="W167" s="19" t="s">
        <v>81</v>
      </c>
      <c r="X167" s="19" t="s">
        <v>434</v>
      </c>
      <c r="Y167" s="19" t="s">
        <v>434</v>
      </c>
      <c r="Z167" s="19" t="s">
        <v>894</v>
      </c>
      <c r="AA167" s="19">
        <v>1</v>
      </c>
      <c r="AB167" s="19">
        <v>1</v>
      </c>
      <c r="AC167" s="19" t="s">
        <v>58</v>
      </c>
      <c r="AD167" s="19" t="s">
        <v>336</v>
      </c>
      <c r="AE167" s="19" t="s">
        <v>877</v>
      </c>
      <c r="AF167" s="19" t="s">
        <v>895</v>
      </c>
    </row>
    <row r="168" spans="1:34">
      <c r="A168" s="19">
        <v>162</v>
      </c>
      <c r="B168" s="19" t="s">
        <v>115</v>
      </c>
      <c r="C168" s="19" t="s">
        <v>361</v>
      </c>
      <c r="D168" s="19" t="str">
        <f>HYPERLINK("http://www.henontech.com/fieldsafety/harzard/harzard_show.php?rid=1873&amp;url=harzardrecs.php","岗位操作工在清理现场卫生时，铁锨不慎被转动中的胶带与托辊卷入，锨柄卷起击中操作工左侧手臂，经送医确诊为左手臂骨折，住院治疗5天，在家休养1个月后复工。")</f>
        <v>岗位操作工在清理现场卫生时，铁锨不慎被转动中的胶带与托辊卷入，锨柄卷起击中操作工左侧手臂，经送医确诊为左手臂骨折，住院治疗5天，在家休养1个月后复工。</v>
      </c>
      <c r="E168" s="19" t="s">
        <v>896</v>
      </c>
      <c r="F168" s="20" t="s">
        <v>42</v>
      </c>
      <c r="G168" s="21" t="s">
        <v>43</v>
      </c>
      <c r="H168" s="19" t="s">
        <v>44</v>
      </c>
      <c r="I168" s="19" t="s">
        <v>45</v>
      </c>
      <c r="J168" s="19" t="s">
        <v>109</v>
      </c>
      <c r="K168" s="19" t="s">
        <v>64</v>
      </c>
      <c r="L168" s="19" t="s">
        <v>76</v>
      </c>
      <c r="M168" s="19" t="s">
        <v>364</v>
      </c>
      <c r="N168" s="19" t="s">
        <v>897</v>
      </c>
      <c r="O168" s="19" t="s">
        <v>364</v>
      </c>
      <c r="P168" s="19" t="s">
        <v>377</v>
      </c>
      <c r="Q168" s="19" t="s">
        <v>218</v>
      </c>
      <c r="R168" s="19" t="s">
        <v>898</v>
      </c>
      <c r="S168" s="19"/>
      <c r="T168" s="19" t="s">
        <v>53</v>
      </c>
      <c r="U168" s="19" t="s">
        <v>54</v>
      </c>
      <c r="V168" s="19" t="s">
        <v>97</v>
      </c>
      <c r="W168" s="19" t="s">
        <v>81</v>
      </c>
      <c r="X168" s="19" t="s">
        <v>154</v>
      </c>
      <c r="Y168" s="19" t="s">
        <v>154</v>
      </c>
      <c r="Z168" s="19" t="s">
        <v>899</v>
      </c>
      <c r="AA168" s="19">
        <v>1</v>
      </c>
      <c r="AB168" s="19">
        <v>1</v>
      </c>
      <c r="AC168" s="19" t="s">
        <v>58</v>
      </c>
      <c r="AD168" s="19" t="s">
        <v>377</v>
      </c>
      <c r="AE168" s="19" t="s">
        <v>218</v>
      </c>
      <c r="AF168" s="19"/>
    </row>
    <row r="169" spans="1:34">
      <c r="A169" s="19">
        <v>163</v>
      </c>
      <c r="B169" s="19" t="s">
        <v>115</v>
      </c>
      <c r="C169" s="19" t="s">
        <v>361</v>
      </c>
      <c r="D169" s="19" t="str">
        <f>HYPERLINK("http://www.henontech.com/fieldsafety/harzard/harzard_show.php?rid=1874&amp;url=harzardrecs.php","一名员工在下完楼梯之后，不小心被放置的废旧皮胶带拌到，导致膝盖磕伤，及时送医务室，上药，回家休养2天后复工。")</f>
        <v>一名员工在下完楼梯之后，不小心被放置的废旧皮胶带拌到，导致膝盖磕伤，及时送医务室，上药，回家休养2天后复工。</v>
      </c>
      <c r="E169" s="19" t="s">
        <v>900</v>
      </c>
      <c r="F169" s="20" t="s">
        <v>42</v>
      </c>
      <c r="G169" s="21" t="s">
        <v>43</v>
      </c>
      <c r="H169" s="19" t="s">
        <v>44</v>
      </c>
      <c r="I169" s="19" t="s">
        <v>45</v>
      </c>
      <c r="J169" s="19" t="s">
        <v>349</v>
      </c>
      <c r="K169" s="19" t="s">
        <v>47</v>
      </c>
      <c r="L169" s="19" t="s">
        <v>323</v>
      </c>
      <c r="M169" s="19" t="s">
        <v>364</v>
      </c>
      <c r="N169" s="19" t="s">
        <v>901</v>
      </c>
      <c r="O169" s="19" t="s">
        <v>364</v>
      </c>
      <c r="P169" s="19" t="s">
        <v>377</v>
      </c>
      <c r="Q169" s="19" t="s">
        <v>218</v>
      </c>
      <c r="R169" s="19" t="s">
        <v>902</v>
      </c>
      <c r="S169" s="19"/>
      <c r="T169" s="19" t="s">
        <v>53</v>
      </c>
      <c r="U169" s="19" t="s">
        <v>54</v>
      </c>
      <c r="V169" s="19" t="s">
        <v>55</v>
      </c>
      <c r="W169" s="19" t="s">
        <v>56</v>
      </c>
      <c r="X169" s="19"/>
      <c r="Y169" s="19"/>
      <c r="Z169" s="19" t="s">
        <v>903</v>
      </c>
      <c r="AA169" s="19">
        <v>1</v>
      </c>
      <c r="AB169" s="19">
        <v>1</v>
      </c>
      <c r="AC169" s="19" t="s">
        <v>58</v>
      </c>
      <c r="AD169" s="19" t="s">
        <v>377</v>
      </c>
      <c r="AE169" s="19" t="s">
        <v>218</v>
      </c>
      <c r="AF169" s="19"/>
    </row>
    <row r="170" spans="1:34">
      <c r="A170" s="19">
        <v>164</v>
      </c>
      <c r="B170" s="19" t="s">
        <v>115</v>
      </c>
      <c r="C170" s="19" t="s">
        <v>748</v>
      </c>
      <c r="D170" s="19" t="str">
        <f>HYPERLINK("http://www.henontech.com/fieldsafety/harzard/harzard_show.php?rid=1875&amp;url=harzardrecs.php","缝包机使用完后插座未及时盖上，操作人员在操作开关时胳膊不慎碰到插座，导致胳膊触电，烧伤胳膊")</f>
        <v>缝包机使用完后插座未及时盖上，操作人员在操作开关时胳膊不慎碰到插座，导致胳膊触电，烧伤胳膊</v>
      </c>
      <c r="E170" s="19" t="s">
        <v>904</v>
      </c>
      <c r="F170" s="20" t="s">
        <v>42</v>
      </c>
      <c r="G170" s="21" t="s">
        <v>43</v>
      </c>
      <c r="H170" s="19" t="s">
        <v>44</v>
      </c>
      <c r="I170" s="19" t="s">
        <v>120</v>
      </c>
      <c r="J170" s="19" t="s">
        <v>46</v>
      </c>
      <c r="K170" s="19" t="s">
        <v>110</v>
      </c>
      <c r="L170" s="19" t="s">
        <v>76</v>
      </c>
      <c r="M170" s="19" t="s">
        <v>224</v>
      </c>
      <c r="N170" s="19" t="s">
        <v>905</v>
      </c>
      <c r="O170" s="19" t="s">
        <v>224</v>
      </c>
      <c r="P170" s="19" t="s">
        <v>336</v>
      </c>
      <c r="Q170" s="19" t="s">
        <v>836</v>
      </c>
      <c r="R170" s="19" t="s">
        <v>906</v>
      </c>
      <c r="S170" s="19"/>
      <c r="T170" s="19" t="s">
        <v>53</v>
      </c>
      <c r="U170" s="19" t="s">
        <v>80</v>
      </c>
      <c r="V170" s="19" t="s">
        <v>97</v>
      </c>
      <c r="W170" s="19" t="s">
        <v>70</v>
      </c>
      <c r="X170" s="19" t="s">
        <v>434</v>
      </c>
      <c r="Y170" s="19" t="s">
        <v>434</v>
      </c>
      <c r="Z170" s="19" t="s">
        <v>907</v>
      </c>
      <c r="AA170" s="19">
        <v>1</v>
      </c>
      <c r="AB170" s="19">
        <v>1</v>
      </c>
      <c r="AC170" s="19" t="s">
        <v>58</v>
      </c>
      <c r="AD170" s="19" t="s">
        <v>336</v>
      </c>
      <c r="AE170" s="19" t="s">
        <v>218</v>
      </c>
      <c r="AF170" s="19" t="s">
        <v>42</v>
      </c>
    </row>
    <row r="171" spans="1:34" customHeight="1" ht="42">
      <c r="A171" s="19">
        <v>165</v>
      </c>
      <c r="B171" s="19" t="s">
        <v>218</v>
      </c>
      <c r="C171" s="19" t="s">
        <v>544</v>
      </c>
      <c r="D171" s="19" t="str">
        <f>HYPERLINK("http://www.henontech.com/fieldsafety/harzard/harzard_show.php?rid=1876&amp;url=harzardrecs.php","推焦平台与炉柱间有缝隙，煤粉从缝隙落到开闭器上，造成开闭器盖板盖不严，致使燃烧室内煤气过剩，最终导致烟囱冒黑烟。")</f>
        <v>推焦平台与炉柱间有缝隙，煤粉从缝隙落到开闭器上，造成开闭器盖板盖不严，致使燃烧室内煤气过剩，最终导致烟囱冒黑烟。</v>
      </c>
      <c r="E171" s="19" t="s">
        <v>908</v>
      </c>
      <c r="F171" s="20" t="s">
        <v>42</v>
      </c>
      <c r="G171" s="22" t="s">
        <v>63</v>
      </c>
      <c r="H171" s="19" t="s">
        <v>44</v>
      </c>
      <c r="I171" s="19" t="s">
        <v>108</v>
      </c>
      <c r="J171" s="19" t="s">
        <v>46</v>
      </c>
      <c r="K171" s="19" t="s">
        <v>47</v>
      </c>
      <c r="L171" s="19" t="s">
        <v>76</v>
      </c>
      <c r="M171" s="19" t="s">
        <v>121</v>
      </c>
      <c r="N171" s="19" t="s">
        <v>909</v>
      </c>
      <c r="O171" s="19" t="s">
        <v>121</v>
      </c>
      <c r="P171" s="19" t="s">
        <v>812</v>
      </c>
      <c r="Q171" s="19" t="s">
        <v>910</v>
      </c>
      <c r="R171" s="19" t="s">
        <v>911</v>
      </c>
      <c r="S171" s="19"/>
      <c r="T171" s="19" t="s">
        <v>393</v>
      </c>
      <c r="U171" s="19" t="s">
        <v>202</v>
      </c>
      <c r="V171" s="19" t="s">
        <v>97</v>
      </c>
      <c r="W171" s="19" t="s">
        <v>56</v>
      </c>
      <c r="X171" s="19" t="s">
        <v>126</v>
      </c>
      <c r="Y171" s="19" t="s">
        <v>126</v>
      </c>
      <c r="Z171" s="19" t="s">
        <v>912</v>
      </c>
      <c r="AA171" s="19">
        <v>2</v>
      </c>
      <c r="AB171" s="19">
        <v>0</v>
      </c>
      <c r="AC171" s="19" t="s">
        <v>58</v>
      </c>
      <c r="AD171" s="19" t="s">
        <v>812</v>
      </c>
      <c r="AE171" s="19" t="s">
        <v>913</v>
      </c>
      <c r="AF171" s="19" t="s">
        <v>914</v>
      </c>
    </row>
    <row r="172" spans="1:34" customHeight="1" ht="42">
      <c r="A172" s="19">
        <v>166</v>
      </c>
      <c r="B172" s="19" t="s">
        <v>218</v>
      </c>
      <c r="C172" s="19" t="s">
        <v>915</v>
      </c>
      <c r="D172" s="19" t="str">
        <f>HYPERLINK("http://www.henontech.com/fieldsafety/harzard/harzard_show.php?rid=1877&amp;url=harzardrecs.php","超浓水水池西侧蒸汽阀门无保温层，一员工在清理池子夹缝卫生后返回时，因空间较窄，右肩及上臂与高温阀门接触，造成烫伤，离岗就医治疗，在家休养5天后复工。")</f>
        <v>超浓水水池西侧蒸汽阀门无保温层，一员工在清理池子夹缝卫生后返回时，因空间较窄，右肩及上臂与高温阀门接触，造成烫伤，离岗就医治疗，在家休养5天后复工。</v>
      </c>
      <c r="E172" s="19" t="s">
        <v>916</v>
      </c>
      <c r="F172" s="20" t="s">
        <v>42</v>
      </c>
      <c r="G172" s="22" t="s">
        <v>63</v>
      </c>
      <c r="H172" s="19" t="s">
        <v>44</v>
      </c>
      <c r="I172" s="19"/>
      <c r="J172" s="19" t="s">
        <v>826</v>
      </c>
      <c r="K172" s="19" t="s">
        <v>47</v>
      </c>
      <c r="L172" s="19" t="s">
        <v>76</v>
      </c>
      <c r="M172" s="19" t="s">
        <v>121</v>
      </c>
      <c r="N172" s="19" t="s">
        <v>917</v>
      </c>
      <c r="O172" s="19" t="s">
        <v>121</v>
      </c>
      <c r="P172" s="19" t="s">
        <v>123</v>
      </c>
      <c r="Q172" s="19" t="s">
        <v>910</v>
      </c>
      <c r="R172" s="19" t="s">
        <v>918</v>
      </c>
      <c r="S172" s="19" t="s">
        <v>919</v>
      </c>
      <c r="T172" s="19" t="s">
        <v>53</v>
      </c>
      <c r="U172" s="19" t="s">
        <v>80</v>
      </c>
      <c r="V172" s="19" t="s">
        <v>97</v>
      </c>
      <c r="W172" s="19" t="s">
        <v>70</v>
      </c>
      <c r="X172" s="19" t="s">
        <v>191</v>
      </c>
      <c r="Y172" s="19" t="s">
        <v>154</v>
      </c>
      <c r="Z172" s="19" t="s">
        <v>920</v>
      </c>
      <c r="AA172" s="19">
        <v>2</v>
      </c>
      <c r="AB172" s="19">
        <v>2</v>
      </c>
      <c r="AC172" s="19" t="s">
        <v>58</v>
      </c>
      <c r="AD172" s="19" t="s">
        <v>123</v>
      </c>
      <c r="AE172" s="19" t="s">
        <v>763</v>
      </c>
      <c r="AF172" s="19"/>
    </row>
    <row r="173" spans="1:34" customHeight="1" ht="42">
      <c r="A173" s="19">
        <v>167</v>
      </c>
      <c r="B173" s="19" t="s">
        <v>218</v>
      </c>
      <c r="C173" s="19" t="s">
        <v>723</v>
      </c>
      <c r="D173" s="19" t="str">
        <f>HYPERLINK("http://www.henontech.com/fieldsafety/harzard/harzard_show.php?rid=1878&amp;url=harzardrecs.php","4.3米炉顶1#炉集气道上部盖板腐蚀严重，如果一名操作人员工作时，不慎踩烂盖板，造成人员腿部骨折住院治疗的损工事故")</f>
        <v>4.3米炉顶1#炉集气道上部盖板腐蚀严重，如果一名操作人员工作时，不慎踩烂盖板，造成人员腿部骨折住院治疗的损工事故</v>
      </c>
      <c r="E173" s="19" t="s">
        <v>921</v>
      </c>
      <c r="F173" s="20" t="s">
        <v>42</v>
      </c>
      <c r="G173" s="22" t="s">
        <v>63</v>
      </c>
      <c r="H173" s="19" t="s">
        <v>44</v>
      </c>
      <c r="I173" s="19"/>
      <c r="J173" s="19" t="s">
        <v>46</v>
      </c>
      <c r="K173" s="19"/>
      <c r="L173" s="19"/>
      <c r="M173" s="19" t="s">
        <v>121</v>
      </c>
      <c r="N173" s="19" t="s">
        <v>812</v>
      </c>
      <c r="O173" s="19" t="s">
        <v>121</v>
      </c>
      <c r="P173" s="19" t="s">
        <v>316</v>
      </c>
      <c r="Q173" s="19" t="s">
        <v>910</v>
      </c>
      <c r="R173" s="19" t="s">
        <v>922</v>
      </c>
      <c r="S173" s="19"/>
      <c r="T173" s="19" t="s">
        <v>53</v>
      </c>
      <c r="U173" s="19" t="s">
        <v>80</v>
      </c>
      <c r="V173" s="19" t="s">
        <v>55</v>
      </c>
      <c r="W173" s="19" t="s">
        <v>81</v>
      </c>
      <c r="X173" s="19" t="s">
        <v>126</v>
      </c>
      <c r="Y173" s="19" t="s">
        <v>126</v>
      </c>
      <c r="Z173" s="19" t="s">
        <v>923</v>
      </c>
      <c r="AA173" s="19">
        <v>2</v>
      </c>
      <c r="AB173" s="19">
        <v>0</v>
      </c>
      <c r="AC173" s="19" t="s">
        <v>58</v>
      </c>
      <c r="AD173" s="19" t="s">
        <v>316</v>
      </c>
      <c r="AE173" s="19" t="s">
        <v>572</v>
      </c>
      <c r="AF173" s="19" t="s">
        <v>573</v>
      </c>
    </row>
    <row r="174" spans="1:34">
      <c r="A174" s="19">
        <v>168</v>
      </c>
      <c r="B174" s="19" t="s">
        <v>218</v>
      </c>
      <c r="C174" s="19" t="s">
        <v>40</v>
      </c>
      <c r="D174" s="19" t="str">
        <f>HYPERLINK("http://www.henontech.com/fieldsafety/harzard/harzard_show.php?rid=1879&amp;url=harzardrecs.php","1#小母液电机罩子腐蚀严重，一名操作工在擦拭设备时，不慎划伤手指，棉纱缠进电机罩子里，风扇翅子破损。")</f>
        <v>1#小母液电机罩子腐蚀严重，一名操作工在擦拭设备时，不慎划伤手指，棉纱缠进电机罩子里，风扇翅子破损。</v>
      </c>
      <c r="E174" s="19" t="s">
        <v>924</v>
      </c>
      <c r="F174" s="20" t="s">
        <v>42</v>
      </c>
      <c r="G174" s="22" t="s">
        <v>63</v>
      </c>
      <c r="H174" s="19" t="s">
        <v>44</v>
      </c>
      <c r="I174" s="19" t="s">
        <v>45</v>
      </c>
      <c r="J174" s="19" t="s">
        <v>46</v>
      </c>
      <c r="K174" s="19" t="s">
        <v>47</v>
      </c>
      <c r="L174" s="19" t="s">
        <v>76</v>
      </c>
      <c r="M174" s="19" t="s">
        <v>48</v>
      </c>
      <c r="N174" s="19" t="s">
        <v>177</v>
      </c>
      <c r="O174" s="19" t="s">
        <v>48</v>
      </c>
      <c r="P174" s="19" t="s">
        <v>50</v>
      </c>
      <c r="Q174" s="19" t="s">
        <v>887</v>
      </c>
      <c r="R174" s="19" t="s">
        <v>925</v>
      </c>
      <c r="S174" s="19"/>
      <c r="T174" s="19" t="s">
        <v>53</v>
      </c>
      <c r="U174" s="19" t="s">
        <v>54</v>
      </c>
      <c r="V174" s="19" t="s">
        <v>203</v>
      </c>
      <c r="W174" s="19" t="s">
        <v>56</v>
      </c>
      <c r="X174" s="19"/>
      <c r="Y174" s="19"/>
      <c r="Z174" s="19" t="s">
        <v>926</v>
      </c>
      <c r="AA174" s="19">
        <v>1</v>
      </c>
      <c r="AB174" s="19">
        <v>1</v>
      </c>
      <c r="AC174" s="19" t="s">
        <v>58</v>
      </c>
      <c r="AD174" s="19" t="s">
        <v>50</v>
      </c>
      <c r="AE174" s="19" t="s">
        <v>180</v>
      </c>
      <c r="AF174" s="19"/>
    </row>
    <row r="175" spans="1:34">
      <c r="A175" s="19">
        <v>169</v>
      </c>
      <c r="B175" s="19" t="s">
        <v>218</v>
      </c>
      <c r="C175" s="19" t="s">
        <v>927</v>
      </c>
      <c r="D175" s="19" t="str">
        <f>HYPERLINK("http://www.henontech.com/fieldsafety/harzard/harzard_show.php?rid=1880&amp;url=harzardrecs.php","热继电器压电源线处螺丝松动，电源线烧焦着火，烧坏配电盘，引起脱硫大面积停电，脱硫液外溢，污染环境，职工处理情况时，造成身体损害。")</f>
        <v>热继电器压电源线处螺丝松动，电源线烧焦着火，烧坏配电盘，引起脱硫大面积停电，脱硫液外溢，污染环境，职工处理情况时，造成身体损害。</v>
      </c>
      <c r="E175" s="19" t="s">
        <v>928</v>
      </c>
      <c r="F175" s="20" t="s">
        <v>42</v>
      </c>
      <c r="G175" s="22" t="s">
        <v>63</v>
      </c>
      <c r="H175" s="19" t="s">
        <v>44</v>
      </c>
      <c r="I175" s="19" t="s">
        <v>45</v>
      </c>
      <c r="J175" s="19" t="s">
        <v>46</v>
      </c>
      <c r="K175" s="19" t="s">
        <v>64</v>
      </c>
      <c r="L175" s="19" t="s">
        <v>76</v>
      </c>
      <c r="M175" s="19" t="s">
        <v>48</v>
      </c>
      <c r="N175" s="19" t="s">
        <v>929</v>
      </c>
      <c r="O175" s="19" t="s">
        <v>48</v>
      </c>
      <c r="P175" s="19" t="s">
        <v>50</v>
      </c>
      <c r="Q175" s="19" t="s">
        <v>887</v>
      </c>
      <c r="R175" s="19" t="s">
        <v>930</v>
      </c>
      <c r="S175" s="19"/>
      <c r="T175" s="19" t="s">
        <v>53</v>
      </c>
      <c r="U175" s="19" t="s">
        <v>54</v>
      </c>
      <c r="V175" s="19" t="s">
        <v>55</v>
      </c>
      <c r="W175" s="19" t="s">
        <v>56</v>
      </c>
      <c r="X175" s="19"/>
      <c r="Y175" s="19"/>
      <c r="Z175" s="19" t="s">
        <v>931</v>
      </c>
      <c r="AA175" s="19">
        <v>1</v>
      </c>
      <c r="AB175" s="19">
        <v>1</v>
      </c>
      <c r="AC175" s="19" t="s">
        <v>58</v>
      </c>
      <c r="AD175" s="19" t="s">
        <v>50</v>
      </c>
      <c r="AE175" s="19" t="s">
        <v>655</v>
      </c>
      <c r="AF175" s="19"/>
    </row>
    <row r="176" spans="1:34">
      <c r="A176" s="19">
        <v>170</v>
      </c>
      <c r="B176" s="19" t="s">
        <v>218</v>
      </c>
      <c r="C176" s="19" t="s">
        <v>252</v>
      </c>
      <c r="D176" s="19" t="str">
        <f>HYPERLINK("http://www.henontech.com/fieldsafety/harzard/harzard_show.php?rid=1881&amp;url=harzardrecs.php","位于42米高处的干熄焦1号提升机南侧护栏两段分离，强度低，操作人员到提升机操作时，风大人员站立不稳靠到护栏上，护栏变形向外弯折，人员从42米高处跌落，头部向下摔在水泥地上，安全帽破头部颈部重伤")</f>
        <v>位于42米高处的干熄焦1号提升机南侧护栏两段分离，强度低，操作人员到提升机操作时，风大人员站立不稳靠到护栏上，护栏变形向外弯折，人员从42米高处跌落，头部向下摔在水泥地上，安全帽破头部颈部重伤</v>
      </c>
      <c r="E176" s="19" t="s">
        <v>932</v>
      </c>
      <c r="F176" s="20" t="s">
        <v>42</v>
      </c>
      <c r="G176" s="22" t="s">
        <v>63</v>
      </c>
      <c r="H176" s="19" t="s">
        <v>44</v>
      </c>
      <c r="I176" s="19" t="s">
        <v>108</v>
      </c>
      <c r="J176" s="19" t="s">
        <v>109</v>
      </c>
      <c r="K176" s="19" t="s">
        <v>47</v>
      </c>
      <c r="L176" s="19" t="s">
        <v>76</v>
      </c>
      <c r="M176" s="19" t="s">
        <v>121</v>
      </c>
      <c r="N176" s="19" t="s">
        <v>933</v>
      </c>
      <c r="O176" s="19" t="s">
        <v>121</v>
      </c>
      <c r="P176" s="19" t="s">
        <v>933</v>
      </c>
      <c r="Q176" s="19" t="s">
        <v>887</v>
      </c>
      <c r="R176" s="19" t="s">
        <v>934</v>
      </c>
      <c r="S176" s="19" t="s">
        <v>935</v>
      </c>
      <c r="T176" s="19" t="s">
        <v>53</v>
      </c>
      <c r="U176" s="19" t="s">
        <v>236</v>
      </c>
      <c r="V176" s="19" t="s">
        <v>55</v>
      </c>
      <c r="W176" s="19" t="s">
        <v>70</v>
      </c>
      <c r="X176" s="19" t="s">
        <v>191</v>
      </c>
      <c r="Y176" s="19" t="s">
        <v>191</v>
      </c>
      <c r="Z176" s="19" t="s">
        <v>936</v>
      </c>
      <c r="AA176" s="19">
        <v>1</v>
      </c>
      <c r="AB176" s="19">
        <v>1</v>
      </c>
      <c r="AC176" s="19" t="s">
        <v>58</v>
      </c>
      <c r="AD176" s="19" t="s">
        <v>933</v>
      </c>
      <c r="AE176" s="19" t="s">
        <v>221</v>
      </c>
      <c r="AF176" s="19" t="s">
        <v>937</v>
      </c>
    </row>
    <row r="177" spans="1:34">
      <c r="A177" s="19">
        <v>171</v>
      </c>
      <c r="B177" s="19" t="s">
        <v>218</v>
      </c>
      <c r="C177" s="19" t="s">
        <v>824</v>
      </c>
      <c r="D177" s="19" t="str">
        <f>HYPERLINK("http://www.henontech.com/fieldsafety/harzard/harzard_show.php?rid=1882&amp;url=harzardrecs.php","排污泵接电380V，电缆所加套管不全且接线处与电缆沟上沿摩擦易破损，一巡检人员开启污水泵后返回观察时触电倒地，送医治疗，死亡。")</f>
        <v>排污泵接电380V，电缆所加套管不全且接线处与电缆沟上沿摩擦易破损，一巡检人员开启污水泵后返回观察时触电倒地，送医治疗，死亡。</v>
      </c>
      <c r="E177" s="19" t="s">
        <v>647</v>
      </c>
      <c r="F177" s="20" t="s">
        <v>42</v>
      </c>
      <c r="G177" s="22" t="s">
        <v>63</v>
      </c>
      <c r="H177" s="19" t="s">
        <v>44</v>
      </c>
      <c r="I177" s="19"/>
      <c r="J177" s="19" t="s">
        <v>109</v>
      </c>
      <c r="K177" s="19" t="s">
        <v>64</v>
      </c>
      <c r="L177" s="19"/>
      <c r="M177" s="19" t="s">
        <v>121</v>
      </c>
      <c r="N177" s="19" t="s">
        <v>938</v>
      </c>
      <c r="O177" s="19" t="s">
        <v>121</v>
      </c>
      <c r="P177" s="19" t="s">
        <v>289</v>
      </c>
      <c r="Q177" s="19" t="s">
        <v>887</v>
      </c>
      <c r="R177" s="19" t="s">
        <v>939</v>
      </c>
      <c r="S177" s="19" t="s">
        <v>940</v>
      </c>
      <c r="T177" s="19" t="s">
        <v>53</v>
      </c>
      <c r="U177" s="19" t="s">
        <v>236</v>
      </c>
      <c r="V177" s="19" t="s">
        <v>97</v>
      </c>
      <c r="W177" s="19" t="s">
        <v>190</v>
      </c>
      <c r="X177" s="19" t="s">
        <v>191</v>
      </c>
      <c r="Y177" s="19" t="s">
        <v>191</v>
      </c>
      <c r="Z177" s="19" t="s">
        <v>941</v>
      </c>
      <c r="AA177" s="19">
        <v>1</v>
      </c>
      <c r="AB177" s="19">
        <v>1</v>
      </c>
      <c r="AC177" s="19" t="s">
        <v>58</v>
      </c>
      <c r="AD177" s="19" t="s">
        <v>289</v>
      </c>
      <c r="AE177" s="19" t="s">
        <v>942</v>
      </c>
      <c r="AF177" s="19" t="s">
        <v>943</v>
      </c>
    </row>
    <row r="178" spans="1:34">
      <c r="A178" s="19">
        <v>172</v>
      </c>
      <c r="B178" s="19" t="s">
        <v>180</v>
      </c>
      <c r="C178" s="19" t="s">
        <v>927</v>
      </c>
      <c r="D178" s="19" t="str">
        <f>HYPERLINK("http://www.henontech.com/fieldsafety/harzard/harzard_show.php?rid=1883&amp;url=harzardrecs.php","北脱硫压滤机房北侧玻璃破碎，人员经过时，玻璃被大风刮落")</f>
        <v>北脱硫压滤机房北侧玻璃破碎，人员经过时，玻璃被大风刮落</v>
      </c>
      <c r="E178" s="19" t="s">
        <v>944</v>
      </c>
      <c r="F178" s="20" t="s">
        <v>42</v>
      </c>
      <c r="G178" s="22" t="s">
        <v>63</v>
      </c>
      <c r="H178" s="19" t="s">
        <v>44</v>
      </c>
      <c r="I178" s="19" t="s">
        <v>120</v>
      </c>
      <c r="J178" s="19" t="s">
        <v>46</v>
      </c>
      <c r="K178" s="19" t="s">
        <v>64</v>
      </c>
      <c r="L178" s="19"/>
      <c r="M178" s="19" t="s">
        <v>48</v>
      </c>
      <c r="N178" s="19" t="s">
        <v>945</v>
      </c>
      <c r="O178" s="19" t="s">
        <v>48</v>
      </c>
      <c r="P178" s="19" t="s">
        <v>50</v>
      </c>
      <c r="Q178" s="19" t="s">
        <v>887</v>
      </c>
      <c r="R178" s="19" t="s">
        <v>946</v>
      </c>
      <c r="S178" s="19"/>
      <c r="T178" s="19" t="s">
        <v>53</v>
      </c>
      <c r="U178" s="19" t="s">
        <v>54</v>
      </c>
      <c r="V178" s="19" t="s">
        <v>55</v>
      </c>
      <c r="W178" s="19" t="s">
        <v>56</v>
      </c>
      <c r="X178" s="19"/>
      <c r="Y178" s="19"/>
      <c r="Z178" s="19" t="s">
        <v>947</v>
      </c>
      <c r="AA178" s="19">
        <v>1</v>
      </c>
      <c r="AB178" s="19">
        <v>1</v>
      </c>
      <c r="AC178" s="19" t="s">
        <v>58</v>
      </c>
      <c r="AD178" s="19" t="s">
        <v>50</v>
      </c>
      <c r="AE178" s="19" t="s">
        <v>948</v>
      </c>
      <c r="AF178" s="19"/>
    </row>
    <row r="179" spans="1:34">
      <c r="A179" s="19">
        <v>173</v>
      </c>
      <c r="B179" s="19" t="s">
        <v>180</v>
      </c>
      <c r="C179" s="19" t="s">
        <v>40</v>
      </c>
      <c r="D179" s="19" t="str">
        <f>HYPERLINK("http://www.henontech.com/fieldsafety/harzard/harzard_show.php?rid=1884&amp;url=harzardrecs.php","西硫铵初冷器2号冷凝液泵，电机电缆穿线管腐蚀严重，长时间外皮破损致使电缆磨损严重，导致线路漏电短路，电机烧坏")</f>
        <v>西硫铵初冷器2号冷凝液泵，电机电缆穿线管腐蚀严重，长时间外皮破损致使电缆磨损严重，导致线路漏电短路，电机烧坏</v>
      </c>
      <c r="E179" s="19" t="s">
        <v>949</v>
      </c>
      <c r="F179" s="20" t="s">
        <v>42</v>
      </c>
      <c r="G179" s="22" t="s">
        <v>63</v>
      </c>
      <c r="H179" s="19" t="s">
        <v>44</v>
      </c>
      <c r="I179" s="19"/>
      <c r="J179" s="19" t="s">
        <v>46</v>
      </c>
      <c r="K179" s="19" t="s">
        <v>47</v>
      </c>
      <c r="L179" s="19" t="s">
        <v>76</v>
      </c>
      <c r="M179" s="19" t="s">
        <v>48</v>
      </c>
      <c r="N179" s="19" t="s">
        <v>950</v>
      </c>
      <c r="O179" s="19" t="s">
        <v>48</v>
      </c>
      <c r="P179" s="19" t="s">
        <v>50</v>
      </c>
      <c r="Q179" s="19" t="s">
        <v>887</v>
      </c>
      <c r="R179" s="19" t="s">
        <v>437</v>
      </c>
      <c r="S179" s="19"/>
      <c r="T179" s="19" t="s">
        <v>189</v>
      </c>
      <c r="U179" s="19" t="s">
        <v>202</v>
      </c>
      <c r="V179" s="19" t="s">
        <v>55</v>
      </c>
      <c r="W179" s="19" t="s">
        <v>56</v>
      </c>
      <c r="X179" s="19"/>
      <c r="Y179" s="19"/>
      <c r="Z179" s="19" t="s">
        <v>951</v>
      </c>
      <c r="AA179" s="19">
        <v>1</v>
      </c>
      <c r="AB179" s="19">
        <v>1</v>
      </c>
      <c r="AC179" s="19" t="s">
        <v>58</v>
      </c>
      <c r="AD179" s="19" t="s">
        <v>50</v>
      </c>
      <c r="AE179" s="19" t="s">
        <v>242</v>
      </c>
      <c r="AF179" s="19"/>
    </row>
    <row r="180" spans="1:34">
      <c r="A180" s="19">
        <v>174</v>
      </c>
      <c r="B180" s="19" t="s">
        <v>180</v>
      </c>
      <c r="C180" s="19" t="s">
        <v>952</v>
      </c>
      <c r="D180" s="19" t="str">
        <f>HYPERLINK("http://www.henontech.com/fieldsafety/harzard/harzard_show.php?rid=1885&amp;url=harzardrecs.php","焦油罐区2#罐爬梯长期服饰出现开焊，假如在上下爬梯 时，造成人员从2米高处摔落，造成一名人员腿部摔伤。")</f>
        <v>焦油罐区2#罐爬梯长期服饰出现开焊，假如在上下爬梯 时，造成人员从2米高处摔落，造成一名人员腿部摔伤。</v>
      </c>
      <c r="E180" s="19" t="s">
        <v>953</v>
      </c>
      <c r="F180" s="20" t="s">
        <v>42</v>
      </c>
      <c r="G180" s="22" t="s">
        <v>63</v>
      </c>
      <c r="H180" s="19" t="s">
        <v>44</v>
      </c>
      <c r="I180" s="19"/>
      <c r="J180" s="19" t="s">
        <v>46</v>
      </c>
      <c r="K180" s="19" t="s">
        <v>47</v>
      </c>
      <c r="L180" s="19"/>
      <c r="M180" s="19" t="s">
        <v>48</v>
      </c>
      <c r="N180" s="19" t="s">
        <v>954</v>
      </c>
      <c r="O180" s="19" t="s">
        <v>48</v>
      </c>
      <c r="P180" s="19" t="s">
        <v>50</v>
      </c>
      <c r="Q180" s="19" t="s">
        <v>887</v>
      </c>
      <c r="R180" s="19" t="s">
        <v>955</v>
      </c>
      <c r="S180" s="19"/>
      <c r="T180" s="19" t="s">
        <v>53</v>
      </c>
      <c r="U180" s="19" t="s">
        <v>80</v>
      </c>
      <c r="V180" s="19" t="s">
        <v>55</v>
      </c>
      <c r="W180" s="19" t="s">
        <v>81</v>
      </c>
      <c r="X180" s="19"/>
      <c r="Y180" s="19"/>
      <c r="Z180" s="19" t="s">
        <v>956</v>
      </c>
      <c r="AA180" s="19">
        <v>1</v>
      </c>
      <c r="AB180" s="19">
        <v>1</v>
      </c>
      <c r="AC180" s="19" t="s">
        <v>58</v>
      </c>
      <c r="AD180" s="19" t="s">
        <v>50</v>
      </c>
      <c r="AE180" s="19" t="s">
        <v>180</v>
      </c>
      <c r="AF180" s="19"/>
    </row>
    <row r="181" spans="1:34">
      <c r="A181" s="19">
        <v>175</v>
      </c>
      <c r="B181" s="19" t="s">
        <v>180</v>
      </c>
      <c r="C181" s="19" t="s">
        <v>824</v>
      </c>
      <c r="D181" s="19" t="str">
        <f>HYPERLINK("http://www.henontech.com/fieldsafety/harzard/harzard_show.php?rid=1887&amp;url=harzardrecs.php","汽机零米配电柜外接电缆（电压380伏）未加套管，长时间使用磨损绝缘层，导致配电柜表面带电，操作人员在停送电操作时触电倒地，抢救并送医，人员死亡。")</f>
        <v>汽机零米配电柜外接电缆（电压380伏）未加套管，长时间使用磨损绝缘层，导致配电柜表面带电，操作人员在停送电操作时触电倒地，抢救并送医，人员死亡。</v>
      </c>
      <c r="E181" s="19" t="s">
        <v>957</v>
      </c>
      <c r="F181" s="20" t="s">
        <v>42</v>
      </c>
      <c r="G181" s="22" t="s">
        <v>63</v>
      </c>
      <c r="H181" s="19" t="s">
        <v>44</v>
      </c>
      <c r="I181" s="19"/>
      <c r="J181" s="19" t="s">
        <v>46</v>
      </c>
      <c r="K181" s="19"/>
      <c r="L181" s="19"/>
      <c r="M181" s="19" t="s">
        <v>121</v>
      </c>
      <c r="N181" s="19" t="s">
        <v>958</v>
      </c>
      <c r="O181" s="19" t="s">
        <v>121</v>
      </c>
      <c r="P181" s="19" t="s">
        <v>316</v>
      </c>
      <c r="Q181" s="19" t="s">
        <v>910</v>
      </c>
      <c r="R181" s="19" t="s">
        <v>959</v>
      </c>
      <c r="S181" s="19" t="s">
        <v>960</v>
      </c>
      <c r="T181" s="19" t="s">
        <v>53</v>
      </c>
      <c r="U181" s="19" t="s">
        <v>236</v>
      </c>
      <c r="V181" s="19" t="s">
        <v>97</v>
      </c>
      <c r="W181" s="19" t="s">
        <v>190</v>
      </c>
      <c r="X181" s="19" t="s">
        <v>154</v>
      </c>
      <c r="Y181" s="19"/>
      <c r="Z181" s="19" t="s">
        <v>961</v>
      </c>
      <c r="AA181" s="19">
        <v>1</v>
      </c>
      <c r="AB181" s="19">
        <v>1</v>
      </c>
      <c r="AC181" s="19" t="s">
        <v>58</v>
      </c>
      <c r="AD181" s="19" t="s">
        <v>316</v>
      </c>
      <c r="AE181" s="19" t="s">
        <v>942</v>
      </c>
      <c r="AF181" s="19"/>
    </row>
    <row r="182" spans="1:34">
      <c r="A182" s="19">
        <v>176</v>
      </c>
      <c r="B182" s="19" t="s">
        <v>655</v>
      </c>
      <c r="C182" s="19" t="s">
        <v>302</v>
      </c>
      <c r="D182" s="19" t="str">
        <f>HYPERLINK("http://www.henontech.com/fieldsafety/harzard/harzard_show.php?rid=1889&amp;url=harzardrecs.php","一操作工在巡检时，由于2#减温减压压力调节阀处焊缝突然漏汽，未能及时躲避，被漏出的1.6Mpa、535℃蒸汽击中左胳膊，造成烫伤，送医院救治。")</f>
        <v>一操作工在巡检时，由于2#减温减压压力调节阀处焊缝突然漏汽，未能及时躲避，被漏出的1.6Mpa、535℃蒸汽击中左胳膊，造成烫伤，送医院救治。</v>
      </c>
      <c r="E182" s="19" t="s">
        <v>962</v>
      </c>
      <c r="F182" s="20" t="s">
        <v>42</v>
      </c>
      <c r="G182" s="21" t="s">
        <v>43</v>
      </c>
      <c r="H182" s="19" t="s">
        <v>44</v>
      </c>
      <c r="I182" s="19" t="s">
        <v>108</v>
      </c>
      <c r="J182" s="19" t="s">
        <v>826</v>
      </c>
      <c r="K182" s="19" t="s">
        <v>64</v>
      </c>
      <c r="L182" s="19" t="s">
        <v>76</v>
      </c>
      <c r="M182" s="19" t="s">
        <v>121</v>
      </c>
      <c r="N182" s="19" t="s">
        <v>963</v>
      </c>
      <c r="O182" s="19" t="s">
        <v>121</v>
      </c>
      <c r="P182" s="19" t="s">
        <v>964</v>
      </c>
      <c r="Q182" s="19" t="s">
        <v>910</v>
      </c>
      <c r="R182" s="19" t="s">
        <v>965</v>
      </c>
      <c r="S182" s="19" t="s">
        <v>966</v>
      </c>
      <c r="T182" s="19" t="s">
        <v>53</v>
      </c>
      <c r="U182" s="19" t="s">
        <v>80</v>
      </c>
      <c r="V182" s="19" t="s">
        <v>69</v>
      </c>
      <c r="W182" s="19" t="s">
        <v>190</v>
      </c>
      <c r="X182" s="19" t="s">
        <v>154</v>
      </c>
      <c r="Y182" s="19"/>
      <c r="Z182" s="19" t="s">
        <v>967</v>
      </c>
      <c r="AA182" s="19">
        <v>1</v>
      </c>
      <c r="AB182" s="19">
        <v>1</v>
      </c>
      <c r="AC182" s="19" t="s">
        <v>58</v>
      </c>
      <c r="AD182" s="19" t="s">
        <v>964</v>
      </c>
      <c r="AE182" s="19" t="s">
        <v>968</v>
      </c>
      <c r="AF182" s="19" t="s">
        <v>969</v>
      </c>
    </row>
    <row r="183" spans="1:34">
      <c r="A183" s="19">
        <v>177</v>
      </c>
      <c r="B183" s="19" t="s">
        <v>655</v>
      </c>
      <c r="C183" s="19" t="s">
        <v>74</v>
      </c>
      <c r="D183" s="19" t="str">
        <f>HYPERLINK("http://www.henontech.com/fieldsafety/harzard/harzard_show.php?rid=1890&amp;url=harzardrecs.php","深度脱硫北路边有施工剩余的废旧钢筋头未及时清理，如果在夜间视线不良的情况下，一名操作工到此处巡检，有可能会造成人员绊倒，手部轻微擦伤，经医务室简单处理后复工。")</f>
        <v>深度脱硫北路边有施工剩余的废旧钢筋头未及时清理，如果在夜间视线不良的情况下，一名操作工到此处巡检，有可能会造成人员绊倒，手部轻微擦伤，经医务室简单处理后复工。</v>
      </c>
      <c r="E183" s="19" t="s">
        <v>970</v>
      </c>
      <c r="F183" s="20" t="s">
        <v>42</v>
      </c>
      <c r="G183" s="22" t="s">
        <v>63</v>
      </c>
      <c r="H183" s="19" t="s">
        <v>44</v>
      </c>
      <c r="I183" s="19" t="s">
        <v>45</v>
      </c>
      <c r="J183" s="19" t="s">
        <v>349</v>
      </c>
      <c r="K183" s="19" t="s">
        <v>110</v>
      </c>
      <c r="L183" s="19" t="s">
        <v>76</v>
      </c>
      <c r="M183" s="19" t="s">
        <v>48</v>
      </c>
      <c r="N183" s="19" t="s">
        <v>241</v>
      </c>
      <c r="O183" s="19" t="s">
        <v>48</v>
      </c>
      <c r="P183" s="19" t="s">
        <v>50</v>
      </c>
      <c r="Q183" s="19" t="s">
        <v>910</v>
      </c>
      <c r="R183" s="19" t="s">
        <v>971</v>
      </c>
      <c r="S183" s="19"/>
      <c r="T183" s="19" t="s">
        <v>53</v>
      </c>
      <c r="U183" s="19" t="s">
        <v>54</v>
      </c>
      <c r="V183" s="19" t="s">
        <v>55</v>
      </c>
      <c r="W183" s="19" t="s">
        <v>56</v>
      </c>
      <c r="X183" s="19"/>
      <c r="Y183" s="19"/>
      <c r="Z183" s="19" t="s">
        <v>972</v>
      </c>
      <c r="AA183" s="19">
        <v>1</v>
      </c>
      <c r="AB183" s="19">
        <v>1</v>
      </c>
      <c r="AC183" s="19" t="s">
        <v>58</v>
      </c>
      <c r="AD183" s="19" t="s">
        <v>50</v>
      </c>
      <c r="AE183" s="19" t="s">
        <v>234</v>
      </c>
      <c r="AF183" s="19"/>
    </row>
    <row r="184" spans="1:34">
      <c r="A184" s="19">
        <v>178</v>
      </c>
      <c r="B184" s="19" t="s">
        <v>655</v>
      </c>
      <c r="C184" s="19" t="s">
        <v>754</v>
      </c>
      <c r="D184" s="19" t="str">
        <f>HYPERLINK("http://www.henontech.com/fieldsafety/harzard/harzard_show.php?rid=1892&amp;url=harzardrecs.php","一号加氨阀填料漏气，巡检人开关阀门时加氨阀填料漏，吸入浓度较高氨气，造成呼吸道感染。")</f>
        <v>一号加氨阀填料漏气，巡检人开关阀门时加氨阀填料漏，吸入浓度较高氨气，造成呼吸道感染。</v>
      </c>
      <c r="E184" s="19" t="s">
        <v>973</v>
      </c>
      <c r="F184" s="20" t="s">
        <v>42</v>
      </c>
      <c r="G184" s="21" t="s">
        <v>43</v>
      </c>
      <c r="H184" s="19" t="s">
        <v>44</v>
      </c>
      <c r="I184" s="19"/>
      <c r="J184" s="19" t="s">
        <v>46</v>
      </c>
      <c r="K184" s="19" t="s">
        <v>47</v>
      </c>
      <c r="L184" s="19" t="s">
        <v>76</v>
      </c>
      <c r="M184" s="19" t="s">
        <v>224</v>
      </c>
      <c r="N184" s="19" t="s">
        <v>974</v>
      </c>
      <c r="O184" s="19" t="s">
        <v>224</v>
      </c>
      <c r="P184" s="19" t="s">
        <v>975</v>
      </c>
      <c r="Q184" s="19" t="s">
        <v>353</v>
      </c>
      <c r="R184" s="19" t="s">
        <v>976</v>
      </c>
      <c r="S184" s="19"/>
      <c r="T184" s="19" t="s">
        <v>53</v>
      </c>
      <c r="U184" s="19" t="s">
        <v>80</v>
      </c>
      <c r="V184" s="19" t="s">
        <v>97</v>
      </c>
      <c r="W184" s="19" t="s">
        <v>70</v>
      </c>
      <c r="X184" s="19" t="s">
        <v>191</v>
      </c>
      <c r="Y184" s="19" t="s">
        <v>191</v>
      </c>
      <c r="Z184" s="19" t="s">
        <v>977</v>
      </c>
      <c r="AA184" s="19">
        <v>1</v>
      </c>
      <c r="AB184" s="19">
        <v>1</v>
      </c>
      <c r="AC184" s="19" t="s">
        <v>58</v>
      </c>
      <c r="AD184" s="19" t="s">
        <v>975</v>
      </c>
      <c r="AE184" s="19" t="s">
        <v>270</v>
      </c>
      <c r="AF184" s="19"/>
    </row>
    <row r="185" spans="1:34">
      <c r="A185" s="19">
        <v>179</v>
      </c>
      <c r="B185" s="19" t="s">
        <v>655</v>
      </c>
      <c r="C185" s="19" t="s">
        <v>273</v>
      </c>
      <c r="D185" s="19" t="str">
        <f>HYPERLINK("http://www.henontech.com/fieldsafety/harzard/harzard_show.php?rid=1895&amp;url=harzardrecs.php","转化三万气柜煤气管道上电动调节阀处保温铝皮脱落，悬挂在管道上，刮大风时，铝皮脱落，把正在下部巡检的操作人员脖颈处划伤，送医院治疗3天，出院复工。")</f>
        <v>转化三万气柜煤气管道上电动调节阀处保温铝皮脱落，悬挂在管道上，刮大风时，铝皮脱落，把正在下部巡检的操作人员脖颈处划伤，送医院治疗3天，出院复工。</v>
      </c>
      <c r="E185" s="19" t="s">
        <v>978</v>
      </c>
      <c r="F185" s="20" t="s">
        <v>42</v>
      </c>
      <c r="G185" s="22" t="s">
        <v>63</v>
      </c>
      <c r="H185" s="19" t="s">
        <v>44</v>
      </c>
      <c r="I185" s="19" t="s">
        <v>45</v>
      </c>
      <c r="J185" s="19" t="s">
        <v>46</v>
      </c>
      <c r="K185" s="19" t="s">
        <v>110</v>
      </c>
      <c r="L185" s="19" t="s">
        <v>76</v>
      </c>
      <c r="M185" s="19" t="s">
        <v>224</v>
      </c>
      <c r="N185" s="19" t="s">
        <v>979</v>
      </c>
      <c r="O185" s="19" t="s">
        <v>224</v>
      </c>
      <c r="P185" s="19" t="s">
        <v>975</v>
      </c>
      <c r="Q185" s="19" t="s">
        <v>630</v>
      </c>
      <c r="R185" s="19" t="s">
        <v>980</v>
      </c>
      <c r="S185" s="19"/>
      <c r="T185" s="19" t="s">
        <v>53</v>
      </c>
      <c r="U185" s="19" t="s">
        <v>80</v>
      </c>
      <c r="V185" s="19" t="s">
        <v>97</v>
      </c>
      <c r="W185" s="19" t="s">
        <v>70</v>
      </c>
      <c r="X185" s="19" t="s">
        <v>338</v>
      </c>
      <c r="Y185" s="19" t="s">
        <v>434</v>
      </c>
      <c r="Z185" s="19" t="s">
        <v>981</v>
      </c>
      <c r="AA185" s="19">
        <v>1</v>
      </c>
      <c r="AB185" s="19">
        <v>1</v>
      </c>
      <c r="AC185" s="19" t="s">
        <v>58</v>
      </c>
      <c r="AD185" s="19" t="s">
        <v>975</v>
      </c>
      <c r="AE185" s="19" t="s">
        <v>299</v>
      </c>
      <c r="AF185" s="19"/>
    </row>
    <row r="186" spans="1:34">
      <c r="A186" s="19">
        <v>180</v>
      </c>
      <c r="B186" s="19" t="s">
        <v>655</v>
      </c>
      <c r="C186" s="19" t="s">
        <v>915</v>
      </c>
      <c r="D186" s="19" t="str">
        <f>HYPERLINK("http://www.henontech.com/fieldsafety/harzard/harzard_show.php?rid=1897&amp;url=harzardrecs.php","除盐水污水池排污沟杂物隔网上部钢筋凸起，夜间光线不良一巡检人员进行巡检时因地沟盖板不平整摔倒，腹部被凸起钢筋刺入，送医治疗抢救及时，损工100天。")</f>
        <v>除盐水污水池排污沟杂物隔网上部钢筋凸起，夜间光线不良一巡检人员进行巡检时因地沟盖板不平整摔倒，腹部被凸起钢筋刺入，送医治疗抢救及时，损工100天。</v>
      </c>
      <c r="E186" s="19" t="s">
        <v>982</v>
      </c>
      <c r="F186" s="20" t="s">
        <v>42</v>
      </c>
      <c r="G186" s="22" t="s">
        <v>63</v>
      </c>
      <c r="H186" s="19" t="s">
        <v>44</v>
      </c>
      <c r="I186" s="19"/>
      <c r="J186" s="19" t="s">
        <v>46</v>
      </c>
      <c r="K186" s="19" t="s">
        <v>47</v>
      </c>
      <c r="L186" s="19"/>
      <c r="M186" s="19" t="s">
        <v>121</v>
      </c>
      <c r="N186" s="19" t="s">
        <v>964</v>
      </c>
      <c r="O186" s="19" t="s">
        <v>121</v>
      </c>
      <c r="P186" s="19" t="s">
        <v>123</v>
      </c>
      <c r="Q186" s="19" t="s">
        <v>910</v>
      </c>
      <c r="R186" s="19" t="s">
        <v>983</v>
      </c>
      <c r="S186" s="19" t="s">
        <v>984</v>
      </c>
      <c r="T186" s="19" t="s">
        <v>53</v>
      </c>
      <c r="U186" s="19" t="s">
        <v>80</v>
      </c>
      <c r="V186" s="19" t="s">
        <v>55</v>
      </c>
      <c r="W186" s="19" t="s">
        <v>81</v>
      </c>
      <c r="X186" s="19" t="s">
        <v>154</v>
      </c>
      <c r="Y186" s="19"/>
      <c r="Z186" s="19" t="s">
        <v>985</v>
      </c>
      <c r="AA186" s="19">
        <v>1</v>
      </c>
      <c r="AB186" s="19">
        <v>1</v>
      </c>
      <c r="AC186" s="19" t="s">
        <v>58</v>
      </c>
      <c r="AD186" s="19" t="s">
        <v>123</v>
      </c>
      <c r="AE186" s="19" t="s">
        <v>763</v>
      </c>
      <c r="AF186" s="19"/>
    </row>
    <row r="187" spans="1:34">
      <c r="A187" s="19">
        <v>181</v>
      </c>
      <c r="B187" s="19" t="s">
        <v>655</v>
      </c>
      <c r="C187" s="19" t="s">
        <v>986</v>
      </c>
      <c r="D187" s="19" t="str">
        <f>HYPERLINK("http://www.henontech.com/fieldsafety/harzard/harzard_show.php?rid=1898&amp;url=harzardrecs.php","除尘风机（变频）联轴器护罩短，夜间一焦炉操作工将部分棉纱缠在右手上对其清理时，焦炉出焦风机由低频升至高频，因棉纱过长被联轴器卷入，同时人员被带入联轴器扭压当场死亡。")</f>
        <v>除尘风机（变频）联轴器护罩短，夜间一焦炉操作工将部分棉纱缠在右手上对其清理时，焦炉出焦风机由低频升至高频，因棉纱过长被联轴器卷入，同时人员被带入联轴器扭压当场死亡。</v>
      </c>
      <c r="E187" s="19" t="s">
        <v>987</v>
      </c>
      <c r="F187" s="23" t="s">
        <v>304</v>
      </c>
      <c r="G187" s="22" t="s">
        <v>63</v>
      </c>
      <c r="H187" s="19" t="s">
        <v>44</v>
      </c>
      <c r="I187" s="19"/>
      <c r="J187" s="19" t="s">
        <v>109</v>
      </c>
      <c r="K187" s="19"/>
      <c r="L187" s="19"/>
      <c r="M187" s="19" t="s">
        <v>121</v>
      </c>
      <c r="N187" s="19" t="s">
        <v>123</v>
      </c>
      <c r="O187" s="19"/>
      <c r="P187" s="19"/>
      <c r="Q187" s="19"/>
      <c r="R187" s="19" t="s">
        <v>988</v>
      </c>
      <c r="S187" s="19" t="s">
        <v>989</v>
      </c>
      <c r="T187" s="19" t="s">
        <v>53</v>
      </c>
      <c r="U187" s="19" t="s">
        <v>236</v>
      </c>
      <c r="V187" s="19" t="s">
        <v>55</v>
      </c>
      <c r="W187" s="19" t="s">
        <v>70</v>
      </c>
      <c r="X187" s="19"/>
      <c r="Y187" s="19"/>
      <c r="Z187" s="19"/>
      <c r="AA187" s="19">
        <v>0</v>
      </c>
      <c r="AB187" s="19"/>
      <c r="AC187" s="19" t="s">
        <v>308</v>
      </c>
      <c r="AD187" s="19"/>
      <c r="AE187" s="19"/>
      <c r="AF187" s="19"/>
    </row>
    <row r="188" spans="1:34">
      <c r="A188" s="19">
        <v>182</v>
      </c>
      <c r="B188" s="19" t="s">
        <v>655</v>
      </c>
      <c r="C188" s="19" t="s">
        <v>309</v>
      </c>
      <c r="D188" s="19" t="str">
        <f>HYPERLINK("http://www.henontech.com/fieldsafety/harzard/harzard_show.php?rid=1899&amp;url=harzardrecs.php","高压配电室1#联络线配电柜在线测温装置温度显示异常，无法判定触头温度是否正常，如温度过高发生断路器触头烧损，会引起设备停电造成财产损失。")</f>
        <v>高压配电室1#联络线配电柜在线测温装置温度显示异常，无法判定触头温度是否正常，如温度过高发生断路器触头烧损，会引起设备停电造成财产损失。</v>
      </c>
      <c r="E188" s="19" t="s">
        <v>990</v>
      </c>
      <c r="F188" s="20" t="s">
        <v>42</v>
      </c>
      <c r="G188" s="22" t="s">
        <v>63</v>
      </c>
      <c r="H188" s="19" t="s">
        <v>44</v>
      </c>
      <c r="I188" s="19" t="s">
        <v>108</v>
      </c>
      <c r="J188" s="19" t="s">
        <v>349</v>
      </c>
      <c r="K188" s="19" t="s">
        <v>110</v>
      </c>
      <c r="L188" s="19" t="s">
        <v>76</v>
      </c>
      <c r="M188" s="19" t="s">
        <v>121</v>
      </c>
      <c r="N188" s="19" t="s">
        <v>991</v>
      </c>
      <c r="O188" s="19" t="s">
        <v>121</v>
      </c>
      <c r="P188" s="19" t="s">
        <v>992</v>
      </c>
      <c r="Q188" s="19" t="s">
        <v>993</v>
      </c>
      <c r="R188" s="19" t="s">
        <v>994</v>
      </c>
      <c r="S188" s="19" t="s">
        <v>995</v>
      </c>
      <c r="T188" s="19" t="s">
        <v>189</v>
      </c>
      <c r="U188" s="19" t="s">
        <v>202</v>
      </c>
      <c r="V188" s="19" t="s">
        <v>97</v>
      </c>
      <c r="W188" s="19" t="s">
        <v>56</v>
      </c>
      <c r="X188" s="19" t="s">
        <v>191</v>
      </c>
      <c r="Y188" s="19"/>
      <c r="Z188" s="19" t="s">
        <v>996</v>
      </c>
      <c r="AA188" s="19">
        <v>1</v>
      </c>
      <c r="AB188" s="19">
        <v>1</v>
      </c>
      <c r="AC188" s="19" t="s">
        <v>58</v>
      </c>
      <c r="AD188" s="19" t="s">
        <v>992</v>
      </c>
      <c r="AE188" s="19" t="s">
        <v>791</v>
      </c>
      <c r="AF188" s="19" t="s">
        <v>997</v>
      </c>
    </row>
    <row r="189" spans="1:34">
      <c r="A189" s="19">
        <v>183</v>
      </c>
      <c r="B189" s="19" t="s">
        <v>234</v>
      </c>
      <c r="C189" s="19" t="s">
        <v>824</v>
      </c>
      <c r="D189" s="19" t="str">
        <f>HYPERLINK("http://www.henontech.com/fieldsafety/harzard/harzard_show.php?rid=1900&amp;url=harzardrecs.php","一员工在巡检3#减温减压时，由于减温水管道破裂，不慎被104℃的汽水混合物喷溅至左小腿，送医救治，诊断为左小腿浅二度烫伤。")</f>
        <v>一员工在巡检3#减温减压时，由于减温水管道破裂，不慎被104℃的汽水混合物喷溅至左小腿，送医救治，诊断为左小腿浅二度烫伤。</v>
      </c>
      <c r="E189" s="19" t="s">
        <v>998</v>
      </c>
      <c r="F189" s="20" t="s">
        <v>42</v>
      </c>
      <c r="G189" s="22" t="s">
        <v>63</v>
      </c>
      <c r="H189" s="19" t="s">
        <v>44</v>
      </c>
      <c r="I189" s="19" t="s">
        <v>108</v>
      </c>
      <c r="J189" s="19" t="s">
        <v>826</v>
      </c>
      <c r="K189" s="19" t="s">
        <v>110</v>
      </c>
      <c r="L189" s="19"/>
      <c r="M189" s="19" t="s">
        <v>121</v>
      </c>
      <c r="N189" s="19" t="s">
        <v>999</v>
      </c>
      <c r="O189" s="19" t="s">
        <v>121</v>
      </c>
      <c r="P189" s="19" t="s">
        <v>1000</v>
      </c>
      <c r="Q189" s="19" t="s">
        <v>1001</v>
      </c>
      <c r="R189" s="19" t="s">
        <v>1002</v>
      </c>
      <c r="S189" s="19" t="s">
        <v>1003</v>
      </c>
      <c r="T189" s="19" t="s">
        <v>53</v>
      </c>
      <c r="U189" s="19" t="s">
        <v>80</v>
      </c>
      <c r="V189" s="19" t="s">
        <v>97</v>
      </c>
      <c r="W189" s="19" t="s">
        <v>70</v>
      </c>
      <c r="X189" s="19" t="s">
        <v>154</v>
      </c>
      <c r="Y189" s="19"/>
      <c r="Z189" s="19" t="s">
        <v>1004</v>
      </c>
      <c r="AA189" s="19">
        <v>1</v>
      </c>
      <c r="AB189" s="19">
        <v>1</v>
      </c>
      <c r="AC189" s="19" t="s">
        <v>58</v>
      </c>
      <c r="AD189" s="19" t="s">
        <v>1000</v>
      </c>
      <c r="AE189" s="19" t="s">
        <v>476</v>
      </c>
      <c r="AF189" s="19"/>
    </row>
    <row r="190" spans="1:34">
      <c r="A190" s="19">
        <v>184</v>
      </c>
      <c r="B190" s="19" t="s">
        <v>234</v>
      </c>
      <c r="C190" s="19" t="s">
        <v>507</v>
      </c>
      <c r="D190" s="19" t="str">
        <f>HYPERLINK("http://www.henontech.com/fieldsafety/harzard/harzard_show.php?rid=1901&amp;url=harzardrecs.php","干燥管安全阀垫子破裂，人员经过时蒸汽压力升高，导致蒸汽喷出烫伤脸部，一人入院治疗30天。")</f>
        <v>干燥管安全阀垫子破裂，人员经过时蒸汽压力升高，导致蒸汽喷出烫伤脸部，一人入院治疗30天。</v>
      </c>
      <c r="E190" s="19" t="s">
        <v>1005</v>
      </c>
      <c r="F190" s="20" t="s">
        <v>42</v>
      </c>
      <c r="G190" s="22" t="s">
        <v>63</v>
      </c>
      <c r="H190" s="19" t="s">
        <v>44</v>
      </c>
      <c r="I190" s="19" t="s">
        <v>108</v>
      </c>
      <c r="J190" s="19" t="s">
        <v>46</v>
      </c>
      <c r="K190" s="19" t="s">
        <v>110</v>
      </c>
      <c r="L190" s="19" t="s">
        <v>76</v>
      </c>
      <c r="M190" s="19" t="s">
        <v>224</v>
      </c>
      <c r="N190" s="19" t="s">
        <v>509</v>
      </c>
      <c r="O190" s="19" t="s">
        <v>224</v>
      </c>
      <c r="P190" s="19" t="s">
        <v>975</v>
      </c>
      <c r="Q190" s="19" t="s">
        <v>1006</v>
      </c>
      <c r="R190" s="19" t="s">
        <v>1007</v>
      </c>
      <c r="S190" s="19"/>
      <c r="T190" s="19" t="s">
        <v>53</v>
      </c>
      <c r="U190" s="19" t="s">
        <v>80</v>
      </c>
      <c r="V190" s="19" t="s">
        <v>97</v>
      </c>
      <c r="W190" s="19" t="s">
        <v>70</v>
      </c>
      <c r="X190" s="19" t="s">
        <v>154</v>
      </c>
      <c r="Y190" s="19" t="s">
        <v>154</v>
      </c>
      <c r="Z190" s="19" t="s">
        <v>1008</v>
      </c>
      <c r="AA190" s="19">
        <v>1</v>
      </c>
      <c r="AB190" s="19">
        <v>1</v>
      </c>
      <c r="AC190" s="19" t="s">
        <v>58</v>
      </c>
      <c r="AD190" s="19" t="s">
        <v>975</v>
      </c>
      <c r="AE190" s="19" t="s">
        <v>242</v>
      </c>
      <c r="AF190" s="19"/>
    </row>
    <row r="191" spans="1:34">
      <c r="A191" s="19">
        <v>185</v>
      </c>
      <c r="B191" s="19" t="s">
        <v>234</v>
      </c>
      <c r="C191" s="19" t="s">
        <v>1009</v>
      </c>
      <c r="D191" s="19" t="str">
        <f>HYPERLINK("http://www.henontech.com/fieldsafety/harzard/harzard_show.php?rid=1903&amp;url=harzardrecs.php","液氨充装站处一防爆照明灯因使用时间较长，外壳固定螺栓因腐蚀失效。充装人员在清理路边卫生时，外壳突然脱落，砸中充装人员肩部锁骨处，充装人员疼痛难忍，立即送医院检查，确认锁骨骨折，治疗15天，体息2个半月")</f>
        <v>液氨充装站处一防爆照明灯因使用时间较长，外壳固定螺栓因腐蚀失效。充装人员在清理路边卫生时，外壳突然脱落，砸中充装人员肩部锁骨处，充装人员疼痛难忍，立即送医院检查，确认锁骨骨折，治疗15天，体息2个半月</v>
      </c>
      <c r="E191" s="19" t="s">
        <v>1010</v>
      </c>
      <c r="F191" s="20" t="s">
        <v>42</v>
      </c>
      <c r="G191" s="22" t="s">
        <v>63</v>
      </c>
      <c r="H191" s="19" t="s">
        <v>44</v>
      </c>
      <c r="I191" s="19" t="s">
        <v>108</v>
      </c>
      <c r="J191" s="19" t="s">
        <v>46</v>
      </c>
      <c r="K191" s="19" t="s">
        <v>47</v>
      </c>
      <c r="L191" s="19" t="s">
        <v>76</v>
      </c>
      <c r="M191" s="19" t="s">
        <v>224</v>
      </c>
      <c r="N191" s="19" t="s">
        <v>1011</v>
      </c>
      <c r="O191" s="19" t="s">
        <v>224</v>
      </c>
      <c r="P191" s="19" t="s">
        <v>975</v>
      </c>
      <c r="Q191" s="19" t="s">
        <v>383</v>
      </c>
      <c r="R191" s="19" t="s">
        <v>1012</v>
      </c>
      <c r="S191" s="19"/>
      <c r="T191" s="19" t="s">
        <v>53</v>
      </c>
      <c r="U191" s="19" t="s">
        <v>54</v>
      </c>
      <c r="V191" s="19" t="s">
        <v>55</v>
      </c>
      <c r="W191" s="19" t="s">
        <v>56</v>
      </c>
      <c r="X191" s="19" t="s">
        <v>228</v>
      </c>
      <c r="Y191" s="19" t="s">
        <v>228</v>
      </c>
      <c r="Z191" s="19" t="s">
        <v>1013</v>
      </c>
      <c r="AA191" s="19">
        <v>1</v>
      </c>
      <c r="AB191" s="19">
        <v>1</v>
      </c>
      <c r="AC191" s="19" t="s">
        <v>58</v>
      </c>
      <c r="AD191" s="19" t="s">
        <v>975</v>
      </c>
      <c r="AE191" s="19" t="s">
        <v>299</v>
      </c>
      <c r="AF191" s="19" t="s">
        <v>1014</v>
      </c>
    </row>
    <row r="192" spans="1:34">
      <c r="A192" s="19">
        <v>186</v>
      </c>
      <c r="B192" s="19" t="s">
        <v>234</v>
      </c>
      <c r="C192" s="19" t="s">
        <v>754</v>
      </c>
      <c r="D192" s="19" t="str">
        <f>HYPERLINK("http://www.henontech.com/fieldsafety/harzard/harzard_show.php?rid=1904&amp;url=harzardrecs.php","宏盛区域消防水池地沟小井盖板缺失，一名操作工在夜间巡检时，经过此处踏入井中造成小腿骨折，住院30天休息90天。")</f>
        <v>宏盛区域消防水池地沟小井盖板缺失，一名操作工在夜间巡检时，经过此处踏入井中造成小腿骨折，住院30天休息90天。</v>
      </c>
      <c r="E192" s="19" t="s">
        <v>1015</v>
      </c>
      <c r="F192" s="20" t="s">
        <v>42</v>
      </c>
      <c r="G192" s="22" t="s">
        <v>63</v>
      </c>
      <c r="H192" s="19" t="s">
        <v>44</v>
      </c>
      <c r="I192" s="19"/>
      <c r="J192" s="19" t="s">
        <v>109</v>
      </c>
      <c r="K192" s="19" t="s">
        <v>102</v>
      </c>
      <c r="L192" s="19"/>
      <c r="M192" s="19" t="s">
        <v>224</v>
      </c>
      <c r="N192" s="19" t="s">
        <v>1016</v>
      </c>
      <c r="O192" s="19" t="s">
        <v>224</v>
      </c>
      <c r="P192" s="19" t="s">
        <v>975</v>
      </c>
      <c r="Q192" s="19" t="s">
        <v>1017</v>
      </c>
      <c r="R192" s="19" t="s">
        <v>1018</v>
      </c>
      <c r="S192" s="19"/>
      <c r="T192" s="19" t="s">
        <v>53</v>
      </c>
      <c r="U192" s="19" t="s">
        <v>80</v>
      </c>
      <c r="V192" s="19" t="s">
        <v>97</v>
      </c>
      <c r="W192" s="19" t="s">
        <v>70</v>
      </c>
      <c r="X192" s="19" t="s">
        <v>191</v>
      </c>
      <c r="Y192" s="19" t="s">
        <v>191</v>
      </c>
      <c r="Z192" s="19" t="s">
        <v>1019</v>
      </c>
      <c r="AA192" s="19">
        <v>1</v>
      </c>
      <c r="AB192" s="19">
        <v>1</v>
      </c>
      <c r="AC192" s="19" t="s">
        <v>58</v>
      </c>
      <c r="AD192" s="19" t="s">
        <v>975</v>
      </c>
      <c r="AE192" s="19" t="s">
        <v>242</v>
      </c>
      <c r="AF192" s="19"/>
    </row>
    <row r="193" spans="1:34">
      <c r="A193" s="19">
        <v>187</v>
      </c>
      <c r="B193" s="19" t="s">
        <v>242</v>
      </c>
      <c r="C193" s="19" t="s">
        <v>1020</v>
      </c>
      <c r="D193" s="19" t="str">
        <f>HYPERLINK("http://www.henontech.com/fieldsafety/harzard/harzard_show.php?rid=1907&amp;url=harzardrecs.php","精炼南墙上侧仪表管线已废弃未拆除，悬挂空中易坠落砸伤巡检人员，造成头部划伤，医务室就医后复工。")</f>
        <v>精炼南墙上侧仪表管线已废弃未拆除，悬挂空中易坠落砸伤巡检人员，造成头部划伤，医务室就医后复工。</v>
      </c>
      <c r="E193" s="19" t="s">
        <v>1021</v>
      </c>
      <c r="F193" s="20" t="s">
        <v>42</v>
      </c>
      <c r="G193" s="22" t="s">
        <v>63</v>
      </c>
      <c r="H193" s="19" t="s">
        <v>44</v>
      </c>
      <c r="I193" s="19"/>
      <c r="J193" s="19" t="s">
        <v>46</v>
      </c>
      <c r="K193" s="19" t="s">
        <v>64</v>
      </c>
      <c r="L193" s="19"/>
      <c r="M193" s="19" t="s">
        <v>224</v>
      </c>
      <c r="N193" s="19" t="s">
        <v>1022</v>
      </c>
      <c r="O193" s="19" t="s">
        <v>224</v>
      </c>
      <c r="P193" s="19" t="s">
        <v>975</v>
      </c>
      <c r="Q193" s="19" t="s">
        <v>1023</v>
      </c>
      <c r="R193" s="19" t="s">
        <v>1024</v>
      </c>
      <c r="S193" s="19"/>
      <c r="T193" s="19" t="s">
        <v>53</v>
      </c>
      <c r="U193" s="19" t="s">
        <v>54</v>
      </c>
      <c r="V193" s="19" t="s">
        <v>97</v>
      </c>
      <c r="W193" s="19" t="s">
        <v>81</v>
      </c>
      <c r="X193" s="19" t="s">
        <v>257</v>
      </c>
      <c r="Y193" s="19" t="s">
        <v>191</v>
      </c>
      <c r="Z193" s="19" t="s">
        <v>1025</v>
      </c>
      <c r="AA193" s="19">
        <v>1</v>
      </c>
      <c r="AB193" s="19">
        <v>0</v>
      </c>
      <c r="AC193" s="19" t="s">
        <v>58</v>
      </c>
      <c r="AD193" s="19" t="s">
        <v>975</v>
      </c>
      <c r="AE193" s="19" t="s">
        <v>791</v>
      </c>
      <c r="AF193" s="19" t="s">
        <v>1026</v>
      </c>
    </row>
    <row r="194" spans="1:34">
      <c r="A194" s="19">
        <v>188</v>
      </c>
      <c r="B194" s="19" t="s">
        <v>242</v>
      </c>
      <c r="C194" s="19" t="s">
        <v>1009</v>
      </c>
      <c r="D194" s="19" t="str">
        <f>HYPERLINK("http://www.henontech.com/fieldsafety/harzard/harzard_show.php?rid=1909&amp;url=harzardrecs.php","一号冰机入口阀填料漏气，巡检人员开阀门时，因入口阀填料漏氨，吸入浓度较高氨气，造成呼吸受阻，呼吸道严重灼伤，送医院治疗三天，岀院复工。")</f>
        <v>一号冰机入口阀填料漏气，巡检人员开阀门时，因入口阀填料漏氨，吸入浓度较高氨气，造成呼吸受阻，呼吸道严重灼伤，送医院治疗三天，岀院复工。</v>
      </c>
      <c r="E194" s="19" t="s">
        <v>1027</v>
      </c>
      <c r="F194" s="20" t="s">
        <v>42</v>
      </c>
      <c r="G194" s="21" t="s">
        <v>43</v>
      </c>
      <c r="H194" s="19" t="s">
        <v>44</v>
      </c>
      <c r="I194" s="19"/>
      <c r="J194" s="19"/>
      <c r="K194" s="19" t="s">
        <v>64</v>
      </c>
      <c r="L194" s="19"/>
      <c r="M194" s="19" t="s">
        <v>224</v>
      </c>
      <c r="N194" s="19" t="s">
        <v>1028</v>
      </c>
      <c r="O194" s="19" t="s">
        <v>224</v>
      </c>
      <c r="P194" s="19" t="s">
        <v>975</v>
      </c>
      <c r="Q194" s="19" t="s">
        <v>83</v>
      </c>
      <c r="R194" s="19" t="s">
        <v>1029</v>
      </c>
      <c r="S194" s="19"/>
      <c r="T194" s="19" t="s">
        <v>53</v>
      </c>
      <c r="U194" s="19" t="s">
        <v>80</v>
      </c>
      <c r="V194" s="19" t="s">
        <v>97</v>
      </c>
      <c r="W194" s="19" t="s">
        <v>70</v>
      </c>
      <c r="X194" s="19" t="s">
        <v>228</v>
      </c>
      <c r="Y194" s="19" t="s">
        <v>228</v>
      </c>
      <c r="Z194" s="19" t="s">
        <v>1030</v>
      </c>
      <c r="AA194" s="19">
        <v>1</v>
      </c>
      <c r="AB194" s="19">
        <v>1</v>
      </c>
      <c r="AC194" s="19" t="s">
        <v>58</v>
      </c>
      <c r="AD194" s="19" t="s">
        <v>975</v>
      </c>
      <c r="AE194" s="19" t="s">
        <v>242</v>
      </c>
      <c r="AF194" s="19"/>
    </row>
    <row r="195" spans="1:34" customHeight="1" ht="42">
      <c r="A195" s="19">
        <v>189</v>
      </c>
      <c r="B195" s="19" t="s">
        <v>242</v>
      </c>
      <c r="C195" s="19" t="s">
        <v>1031</v>
      </c>
      <c r="D195" s="19" t="str">
        <f>HYPERLINK("http://www.henontech.com/fieldsafety/harzard/harzard_show.php?rid=1910&amp;url=harzardrecs.php","75T锅炉西门处电缆沟盖板质量差，当放灰工推车经过时盖板有可能断裂750度左右的红灰淌入电缆沟造成电缆烧毁。")</f>
        <v>75T锅炉西门处电缆沟盖板质量差，当放灰工推车经过时盖板有可能断裂750度左右的红灰淌入电缆沟造成电缆烧毁。</v>
      </c>
      <c r="E195" s="19" t="s">
        <v>1032</v>
      </c>
      <c r="F195" s="20" t="s">
        <v>42</v>
      </c>
      <c r="G195" s="22" t="s">
        <v>63</v>
      </c>
      <c r="H195" s="19" t="s">
        <v>44</v>
      </c>
      <c r="I195" s="19" t="s">
        <v>45</v>
      </c>
      <c r="J195" s="19" t="s">
        <v>826</v>
      </c>
      <c r="K195" s="19"/>
      <c r="L195" s="19"/>
      <c r="M195" s="19" t="s">
        <v>1033</v>
      </c>
      <c r="N195" s="19" t="s">
        <v>1034</v>
      </c>
      <c r="O195" s="19" t="s">
        <v>1033</v>
      </c>
      <c r="P195" s="19" t="s">
        <v>1034</v>
      </c>
      <c r="Q195" s="19" t="s">
        <v>1035</v>
      </c>
      <c r="R195" s="19" t="s">
        <v>1036</v>
      </c>
      <c r="S195" s="19"/>
      <c r="T195" s="19" t="s">
        <v>189</v>
      </c>
      <c r="U195" s="19" t="s">
        <v>236</v>
      </c>
      <c r="V195" s="19" t="s">
        <v>55</v>
      </c>
      <c r="W195" s="19" t="s">
        <v>70</v>
      </c>
      <c r="X195" s="19" t="s">
        <v>154</v>
      </c>
      <c r="Y195" s="19"/>
      <c r="Z195" s="19" t="s">
        <v>1037</v>
      </c>
      <c r="AA195" s="19">
        <v>2</v>
      </c>
      <c r="AB195" s="19">
        <v>1</v>
      </c>
      <c r="AC195" s="19" t="s">
        <v>58</v>
      </c>
      <c r="AD195" s="19" t="s">
        <v>1034</v>
      </c>
      <c r="AE195" s="19" t="s">
        <v>83</v>
      </c>
      <c r="AF195" s="19" t="s">
        <v>1038</v>
      </c>
    </row>
    <row r="196" spans="1:34">
      <c r="A196" s="19">
        <v>190</v>
      </c>
      <c r="B196" s="19" t="s">
        <v>242</v>
      </c>
      <c r="C196" s="19" t="s">
        <v>754</v>
      </c>
      <c r="D196" s="19" t="str">
        <f>HYPERLINK("http://www.henontech.com/fieldsafety/harzard/harzard_show.php?rid=1911&amp;url=harzardrecs.php","压缩岗位，新按装两台行车，地面导轨限制铁，没有明示标志，一操作工，在停车时，跑去操作架关闭操作伐吋，被绊倒，碰伤膝盖，住院治疗十天，损工十天。")</f>
        <v>压缩岗位，新按装两台行车，地面导轨限制铁，没有明示标志，一操作工，在停车时，跑去操作架关闭操作伐吋，被绊倒，碰伤膝盖，住院治疗十天，损工十天。</v>
      </c>
      <c r="E196" s="19" t="s">
        <v>1039</v>
      </c>
      <c r="F196" s="20" t="s">
        <v>42</v>
      </c>
      <c r="G196" s="22" t="s">
        <v>63</v>
      </c>
      <c r="H196" s="19" t="s">
        <v>44</v>
      </c>
      <c r="I196" s="19" t="s">
        <v>45</v>
      </c>
      <c r="J196" s="19" t="s">
        <v>109</v>
      </c>
      <c r="K196" s="19" t="s">
        <v>64</v>
      </c>
      <c r="L196" s="19" t="s">
        <v>76</v>
      </c>
      <c r="M196" s="19" t="s">
        <v>224</v>
      </c>
      <c r="N196" s="19" t="s">
        <v>1040</v>
      </c>
      <c r="O196" s="19" t="s">
        <v>224</v>
      </c>
      <c r="P196" s="19" t="s">
        <v>975</v>
      </c>
      <c r="Q196" s="19" t="s">
        <v>1023</v>
      </c>
      <c r="R196" s="19" t="s">
        <v>1041</v>
      </c>
      <c r="S196" s="19"/>
      <c r="T196" s="19" t="s">
        <v>53</v>
      </c>
      <c r="U196" s="19" t="s">
        <v>54</v>
      </c>
      <c r="V196" s="19" t="s">
        <v>97</v>
      </c>
      <c r="W196" s="19" t="s">
        <v>81</v>
      </c>
      <c r="X196" s="19" t="s">
        <v>191</v>
      </c>
      <c r="Y196" s="19" t="s">
        <v>191</v>
      </c>
      <c r="Z196" s="19" t="s">
        <v>1042</v>
      </c>
      <c r="AA196" s="19">
        <v>1</v>
      </c>
      <c r="AB196" s="19">
        <v>1</v>
      </c>
      <c r="AC196" s="19" t="s">
        <v>58</v>
      </c>
      <c r="AD196" s="19" t="s">
        <v>975</v>
      </c>
      <c r="AE196" s="19" t="s">
        <v>270</v>
      </c>
      <c r="AF196" s="19"/>
    </row>
    <row r="197" spans="1:34">
      <c r="A197" s="19">
        <v>191</v>
      </c>
      <c r="B197" s="19" t="s">
        <v>242</v>
      </c>
      <c r="C197" s="19" t="s">
        <v>273</v>
      </c>
      <c r="D197" s="19" t="str">
        <f>HYPERLINK("http://www.henontech.com/fieldsafety/harzard/harzard_show.php?rid=1915&amp;url=harzardrecs.php","转化大仓库屋顶悬挂一块废旧铝皮，一名巡检工在巡检过程中，从下方走过，铝皮被风吹落，掉落在巡检工肩部，划伤脖子，被送到医务室处理后，就医治疗5天，复工。")</f>
        <v>转化大仓库屋顶悬挂一块废旧铝皮，一名巡检工在巡检过程中，从下方走过，铝皮被风吹落，掉落在巡检工肩部，划伤脖子，被送到医务室处理后，就医治疗5天，复工。</v>
      </c>
      <c r="E197" s="19" t="s">
        <v>1043</v>
      </c>
      <c r="F197" s="20" t="s">
        <v>42</v>
      </c>
      <c r="G197" s="22" t="s">
        <v>63</v>
      </c>
      <c r="H197" s="19" t="s">
        <v>44</v>
      </c>
      <c r="I197" s="19" t="s">
        <v>108</v>
      </c>
      <c r="J197" s="19" t="s">
        <v>580</v>
      </c>
      <c r="K197" s="19" t="s">
        <v>47</v>
      </c>
      <c r="L197" s="19"/>
      <c r="M197" s="19" t="s">
        <v>224</v>
      </c>
      <c r="N197" s="19" t="s">
        <v>975</v>
      </c>
      <c r="O197" s="19" t="s">
        <v>224</v>
      </c>
      <c r="P197" s="19" t="s">
        <v>975</v>
      </c>
      <c r="Q197" s="19" t="s">
        <v>83</v>
      </c>
      <c r="R197" s="19" t="s">
        <v>1044</v>
      </c>
      <c r="S197" s="19"/>
      <c r="T197" s="19" t="s">
        <v>53</v>
      </c>
      <c r="U197" s="19" t="s">
        <v>80</v>
      </c>
      <c r="V197" s="19" t="s">
        <v>97</v>
      </c>
      <c r="W197" s="19" t="s">
        <v>70</v>
      </c>
      <c r="X197" s="19" t="s">
        <v>338</v>
      </c>
      <c r="Y197" s="19" t="s">
        <v>434</v>
      </c>
      <c r="Z197" s="19" t="s">
        <v>1045</v>
      </c>
      <c r="AA197" s="19">
        <v>1</v>
      </c>
      <c r="AB197" s="19">
        <v>1</v>
      </c>
      <c r="AC197" s="19" t="s">
        <v>58</v>
      </c>
      <c r="AD197" s="19" t="s">
        <v>975</v>
      </c>
      <c r="AE197" s="19" t="s">
        <v>221</v>
      </c>
      <c r="AF197" s="19"/>
    </row>
    <row r="198" spans="1:34">
      <c r="A198" s="19">
        <v>192</v>
      </c>
      <c r="B198" s="19" t="s">
        <v>242</v>
      </c>
      <c r="C198" s="19" t="s">
        <v>840</v>
      </c>
      <c r="D198" s="19" t="str">
        <f>HYPERLINK("http://www.henontech.com/fieldsafety/harzard/harzard_show.php?rid=1916&amp;url=harzardrecs.php","空分两空压机之间存有积水，1名巡检人员在巡检时脚底打滑摔倒，右手臂骨折住院15天休息3个月。")</f>
        <v>空分两空压机之间存有积水，1名巡检人员在巡检时脚底打滑摔倒，右手臂骨折住院15天休息3个月。</v>
      </c>
      <c r="E198" s="19" t="s">
        <v>1046</v>
      </c>
      <c r="F198" s="20" t="s">
        <v>42</v>
      </c>
      <c r="G198" s="22" t="s">
        <v>63</v>
      </c>
      <c r="H198" s="19" t="s">
        <v>44</v>
      </c>
      <c r="I198" s="19" t="s">
        <v>120</v>
      </c>
      <c r="J198" s="19" t="s">
        <v>349</v>
      </c>
      <c r="K198" s="19" t="s">
        <v>64</v>
      </c>
      <c r="L198" s="19" t="s">
        <v>599</v>
      </c>
      <c r="M198" s="19" t="s">
        <v>224</v>
      </c>
      <c r="N198" s="19" t="s">
        <v>1047</v>
      </c>
      <c r="O198" s="19" t="s">
        <v>224</v>
      </c>
      <c r="P198" s="19" t="s">
        <v>975</v>
      </c>
      <c r="Q198" s="19" t="s">
        <v>83</v>
      </c>
      <c r="R198" s="19" t="s">
        <v>840</v>
      </c>
      <c r="S198" s="19"/>
      <c r="T198" s="19" t="s">
        <v>53</v>
      </c>
      <c r="U198" s="19" t="s">
        <v>80</v>
      </c>
      <c r="V198" s="19" t="s">
        <v>55</v>
      </c>
      <c r="W198" s="19" t="s">
        <v>81</v>
      </c>
      <c r="X198" s="19" t="s">
        <v>338</v>
      </c>
      <c r="Y198" s="19" t="s">
        <v>1048</v>
      </c>
      <c r="Z198" s="19" t="s">
        <v>1049</v>
      </c>
      <c r="AA198" s="19">
        <v>1</v>
      </c>
      <c r="AB198" s="19">
        <v>1</v>
      </c>
      <c r="AC198" s="19" t="s">
        <v>58</v>
      </c>
      <c r="AD198" s="19" t="s">
        <v>975</v>
      </c>
      <c r="AE198" s="19" t="s">
        <v>299</v>
      </c>
      <c r="AF198" s="19"/>
    </row>
    <row r="199" spans="1:34">
      <c r="A199" s="19">
        <v>193</v>
      </c>
      <c r="B199" s="19" t="s">
        <v>242</v>
      </c>
      <c r="C199" s="19" t="s">
        <v>356</v>
      </c>
      <c r="D199" s="19" t="str">
        <f>HYPERLINK("http://www.henontech.com/fieldsafety/harzard/harzard_show.php?rid=1917&amp;url=harzardrecs.php","DEC碱再生排水管道有漏点，泄露到管道沟内，造成管道沟内管道腐蚀，及时发现，一天内处理完毕。")</f>
        <v>DEC碱再生排水管道有漏点，泄露到管道沟内，造成管道沟内管道腐蚀，及时发现，一天内处理完毕。</v>
      </c>
      <c r="E199" s="19" t="s">
        <v>1050</v>
      </c>
      <c r="F199" s="20" t="s">
        <v>42</v>
      </c>
      <c r="G199" s="22" t="s">
        <v>63</v>
      </c>
      <c r="H199" s="19" t="s">
        <v>44</v>
      </c>
      <c r="I199" s="19"/>
      <c r="J199" s="19" t="s">
        <v>46</v>
      </c>
      <c r="K199" s="19" t="s">
        <v>110</v>
      </c>
      <c r="L199" s="19"/>
      <c r="M199" s="19" t="s">
        <v>149</v>
      </c>
      <c r="N199" s="19" t="s">
        <v>1051</v>
      </c>
      <c r="O199" s="19" t="s">
        <v>149</v>
      </c>
      <c r="P199" s="19" t="s">
        <v>151</v>
      </c>
      <c r="Q199" s="19" t="s">
        <v>1001</v>
      </c>
      <c r="R199" s="19" t="s">
        <v>700</v>
      </c>
      <c r="S199" s="19" t="s">
        <v>1052</v>
      </c>
      <c r="T199" s="19" t="s">
        <v>189</v>
      </c>
      <c r="U199" s="19" t="s">
        <v>202</v>
      </c>
      <c r="V199" s="19" t="s">
        <v>203</v>
      </c>
      <c r="W199" s="19" t="s">
        <v>56</v>
      </c>
      <c r="X199" s="19" t="s">
        <v>154</v>
      </c>
      <c r="Y199" s="19" t="s">
        <v>154</v>
      </c>
      <c r="Z199" s="19" t="s">
        <v>1053</v>
      </c>
      <c r="AA199" s="19">
        <v>1</v>
      </c>
      <c r="AB199" s="19">
        <v>1</v>
      </c>
      <c r="AC199" s="19" t="s">
        <v>58</v>
      </c>
      <c r="AD199" s="19" t="s">
        <v>151</v>
      </c>
      <c r="AE199" s="19" t="s">
        <v>263</v>
      </c>
      <c r="AF199" s="19" t="s">
        <v>1054</v>
      </c>
    </row>
    <row r="200" spans="1:34" customHeight="1" ht="42">
      <c r="A200" s="19">
        <v>194</v>
      </c>
      <c r="B200" s="19" t="s">
        <v>242</v>
      </c>
      <c r="C200" s="19" t="s">
        <v>422</v>
      </c>
      <c r="D200" s="19" t="str">
        <f>HYPERLINK("http://www.henontech.com/fieldsafety/harzard/harzard_show.php?rid=1918&amp;url=harzardrecs.php","东一2#给料机偏心盘螺栓断裂，操作工在巡检时，给料机偏心盘螺栓突然断裂，螺栓飞蹦到操作工脸颊划伤脸，送医院包扎，在家休息3天")</f>
        <v>东一2#给料机偏心盘螺栓断裂，操作工在巡检时，给料机偏心盘螺栓突然断裂，螺栓飞蹦到操作工脸颊划伤脸，送医院包扎，在家休息3天</v>
      </c>
      <c r="E200" s="19" t="s">
        <v>1055</v>
      </c>
      <c r="F200" s="20" t="s">
        <v>42</v>
      </c>
      <c r="G200" s="21" t="s">
        <v>43</v>
      </c>
      <c r="H200" s="19" t="s">
        <v>44</v>
      </c>
      <c r="I200" s="19" t="s">
        <v>108</v>
      </c>
      <c r="J200" s="19" t="s">
        <v>349</v>
      </c>
      <c r="K200" s="19" t="s">
        <v>110</v>
      </c>
      <c r="L200" s="19" t="s">
        <v>76</v>
      </c>
      <c r="M200" s="19" t="s">
        <v>364</v>
      </c>
      <c r="N200" s="19" t="s">
        <v>432</v>
      </c>
      <c r="O200" s="19" t="s">
        <v>364</v>
      </c>
      <c r="P200" s="19" t="s">
        <v>425</v>
      </c>
      <c r="Q200" s="19" t="s">
        <v>263</v>
      </c>
      <c r="R200" s="19" t="s">
        <v>1056</v>
      </c>
      <c r="S200" s="19" t="s">
        <v>1057</v>
      </c>
      <c r="T200" s="19" t="s">
        <v>53</v>
      </c>
      <c r="U200" s="19" t="s">
        <v>54</v>
      </c>
      <c r="V200" s="19" t="s">
        <v>69</v>
      </c>
      <c r="W200" s="19" t="s">
        <v>70</v>
      </c>
      <c r="X200" s="19" t="s">
        <v>154</v>
      </c>
      <c r="Y200" s="19" t="s">
        <v>154</v>
      </c>
      <c r="Z200" s="19" t="s">
        <v>1058</v>
      </c>
      <c r="AA200" s="19">
        <v>2</v>
      </c>
      <c r="AB200" s="19">
        <v>2</v>
      </c>
      <c r="AC200" s="19" t="s">
        <v>58</v>
      </c>
      <c r="AD200" s="19" t="s">
        <v>425</v>
      </c>
      <c r="AE200" s="19" t="s">
        <v>221</v>
      </c>
      <c r="AF200" s="19" t="s">
        <v>1059</v>
      </c>
    </row>
    <row r="201" spans="1:34" customHeight="1" ht="42">
      <c r="A201" s="19">
        <v>195</v>
      </c>
      <c r="B201" s="19" t="s">
        <v>242</v>
      </c>
      <c r="C201" s="19" t="s">
        <v>1060</v>
      </c>
      <c r="D201" s="19" t="str">
        <f>HYPERLINK("http://www.henontech.com/fieldsafety/harzard/harzard_show.php?rid=1919&amp;url=harzardrecs.php","1618破碎机行灯灯口破损线头外漏，操作工清下料筒时光线太暗在用手拿行灯时右手抓在了外漏的线头上，造成右手电伤，在家休养一星期")</f>
        <v>1618破碎机行灯灯口破损线头外漏，操作工清下料筒时光线太暗在用手拿行灯时右手抓在了外漏的线头上，造成右手电伤，在家休养一星期</v>
      </c>
      <c r="E201" s="19" t="s">
        <v>1061</v>
      </c>
      <c r="F201" s="20" t="s">
        <v>42</v>
      </c>
      <c r="G201" s="21" t="s">
        <v>43</v>
      </c>
      <c r="H201" s="19" t="s">
        <v>44</v>
      </c>
      <c r="I201" s="19" t="s">
        <v>108</v>
      </c>
      <c r="J201" s="19" t="s">
        <v>311</v>
      </c>
      <c r="K201" s="19" t="s">
        <v>110</v>
      </c>
      <c r="L201" s="19" t="s">
        <v>76</v>
      </c>
      <c r="M201" s="19" t="s">
        <v>364</v>
      </c>
      <c r="N201" s="19" t="s">
        <v>432</v>
      </c>
      <c r="O201" s="19" t="s">
        <v>364</v>
      </c>
      <c r="P201" s="19" t="s">
        <v>425</v>
      </c>
      <c r="Q201" s="19" t="s">
        <v>263</v>
      </c>
      <c r="R201" s="19" t="s">
        <v>1062</v>
      </c>
      <c r="S201" s="19" t="s">
        <v>1063</v>
      </c>
      <c r="T201" s="19" t="s">
        <v>53</v>
      </c>
      <c r="U201" s="19" t="s">
        <v>54</v>
      </c>
      <c r="V201" s="19" t="s">
        <v>69</v>
      </c>
      <c r="W201" s="19" t="s">
        <v>70</v>
      </c>
      <c r="X201" s="19" t="s">
        <v>191</v>
      </c>
      <c r="Y201" s="19" t="s">
        <v>191</v>
      </c>
      <c r="Z201" s="19" t="s">
        <v>1064</v>
      </c>
      <c r="AA201" s="19">
        <v>2</v>
      </c>
      <c r="AB201" s="19">
        <v>2</v>
      </c>
      <c r="AC201" s="19" t="s">
        <v>58</v>
      </c>
      <c r="AD201" s="19" t="s">
        <v>425</v>
      </c>
      <c r="AE201" s="19" t="s">
        <v>221</v>
      </c>
      <c r="AF201" s="19" t="s">
        <v>1065</v>
      </c>
    </row>
    <row r="202" spans="1:34">
      <c r="A202" s="19">
        <v>196</v>
      </c>
      <c r="B202" s="19" t="s">
        <v>221</v>
      </c>
      <c r="C202" s="19" t="s">
        <v>824</v>
      </c>
      <c r="D202" s="19" t="str">
        <f>HYPERLINK("http://www.henontech.com/fieldsafety/harzard/harzard_show.php?rid=1923&amp;url=harzardrecs.php","汽轮机油箱溢油阀阀杆漏油，如果漏油量过大会造成汽轮机润滑油压降低，导致汽轮机轴瓦烧毁、停机，甚至引发火灾。")</f>
        <v>汽轮机油箱溢油阀阀杆漏油，如果漏油量过大会造成汽轮机润滑油压降低，导致汽轮机轴瓦烧毁、停机，甚至引发火灾。</v>
      </c>
      <c r="E202" s="19" t="s">
        <v>1066</v>
      </c>
      <c r="F202" s="20" t="s">
        <v>42</v>
      </c>
      <c r="G202" s="22" t="s">
        <v>63</v>
      </c>
      <c r="H202" s="19" t="s">
        <v>44</v>
      </c>
      <c r="I202" s="19" t="s">
        <v>108</v>
      </c>
      <c r="J202" s="19" t="s">
        <v>46</v>
      </c>
      <c r="K202" s="19" t="s">
        <v>64</v>
      </c>
      <c r="L202" s="19" t="s">
        <v>76</v>
      </c>
      <c r="M202" s="19" t="s">
        <v>121</v>
      </c>
      <c r="N202" s="19" t="s">
        <v>1067</v>
      </c>
      <c r="O202" s="19" t="s">
        <v>121</v>
      </c>
      <c r="P202" s="19" t="s">
        <v>123</v>
      </c>
      <c r="Q202" s="19" t="s">
        <v>1001</v>
      </c>
      <c r="R202" s="19" t="s">
        <v>1068</v>
      </c>
      <c r="S202" s="19" t="s">
        <v>1069</v>
      </c>
      <c r="T202" s="19" t="s">
        <v>189</v>
      </c>
      <c r="U202" s="19" t="s">
        <v>236</v>
      </c>
      <c r="V202" s="19" t="s">
        <v>97</v>
      </c>
      <c r="W202" s="19" t="s">
        <v>190</v>
      </c>
      <c r="X202" s="19" t="s">
        <v>154</v>
      </c>
      <c r="Y202" s="19"/>
      <c r="Z202" s="19" t="s">
        <v>1070</v>
      </c>
      <c r="AA202" s="19">
        <v>1</v>
      </c>
      <c r="AB202" s="19">
        <v>1</v>
      </c>
      <c r="AC202" s="19" t="s">
        <v>58</v>
      </c>
      <c r="AD202" s="19" t="s">
        <v>123</v>
      </c>
      <c r="AE202" s="19" t="s">
        <v>476</v>
      </c>
      <c r="AF202" s="19"/>
    </row>
    <row r="203" spans="1:34">
      <c r="A203" s="19">
        <v>197</v>
      </c>
      <c r="B203" s="19" t="s">
        <v>221</v>
      </c>
      <c r="C203" s="19" t="s">
        <v>1071</v>
      </c>
      <c r="D203" s="19" t="str">
        <f>HYPERLINK("http://www.henontech.com/fieldsafety/harzard/harzard_show.php?rid=1924&amp;url=harzardrecs.php","操作工在调节蒸汽旁通阀门时，正对蒸汽管线，因未发现黑胶管老化，阀门开启过大，蒸汽压力升高，导致黑胶管炸裂，蒸汽喷出，由于区域空间障碍物较多，人员躲避不及时，造成人员小腿灼伤，住院治疗一个月。")</f>
        <v>操作工在调节蒸汽旁通阀门时，正对蒸汽管线，因未发现黑胶管老化，阀门开启过大，蒸汽压力升高，导致黑胶管炸裂，蒸汽喷出，由于区域空间障碍物较多，人员躲避不及时，造成人员小腿灼伤，住院治疗一个月。</v>
      </c>
      <c r="E203" s="19" t="s">
        <v>1072</v>
      </c>
      <c r="F203" s="20" t="s">
        <v>42</v>
      </c>
      <c r="G203" s="22" t="s">
        <v>63</v>
      </c>
      <c r="H203" s="19" t="s">
        <v>44</v>
      </c>
      <c r="I203" s="19" t="s">
        <v>120</v>
      </c>
      <c r="J203" s="19" t="s">
        <v>826</v>
      </c>
      <c r="K203" s="19"/>
      <c r="L203" s="19"/>
      <c r="M203" s="19" t="s">
        <v>149</v>
      </c>
      <c r="N203" s="19" t="s">
        <v>1073</v>
      </c>
      <c r="O203" s="19" t="s">
        <v>149</v>
      </c>
      <c r="P203" s="19" t="s">
        <v>151</v>
      </c>
      <c r="Q203" s="19" t="s">
        <v>383</v>
      </c>
      <c r="R203" s="19" t="s">
        <v>1074</v>
      </c>
      <c r="S203" s="19"/>
      <c r="T203" s="19" t="s">
        <v>53</v>
      </c>
      <c r="U203" s="19" t="s">
        <v>80</v>
      </c>
      <c r="V203" s="19" t="s">
        <v>69</v>
      </c>
      <c r="W203" s="19" t="s">
        <v>190</v>
      </c>
      <c r="X203" s="19" t="s">
        <v>154</v>
      </c>
      <c r="Y203" s="19" t="s">
        <v>154</v>
      </c>
      <c r="Z203" s="19" t="s">
        <v>1075</v>
      </c>
      <c r="AA203" s="19">
        <v>1</v>
      </c>
      <c r="AB203" s="19">
        <v>1</v>
      </c>
      <c r="AC203" s="19" t="s">
        <v>58</v>
      </c>
      <c r="AD203" s="19" t="s">
        <v>151</v>
      </c>
      <c r="AE203" s="19" t="s">
        <v>270</v>
      </c>
      <c r="AF203" s="19" t="s">
        <v>157</v>
      </c>
    </row>
    <row r="204" spans="1:34">
      <c r="A204" s="19">
        <v>198</v>
      </c>
      <c r="B204" s="19" t="s">
        <v>221</v>
      </c>
      <c r="C204" s="19" t="s">
        <v>302</v>
      </c>
      <c r="D204" s="19" t="str">
        <f>HYPERLINK("http://www.henontech.com/fieldsafety/harzard/harzard_show.php?rid=1926&amp;url=harzardrecs.php","循环水加药间门口无挡鼠板，老鼠进入咬破加药罐，咬坏电缆，造成设备损坏，损失一万元。")</f>
        <v>循环水加药间门口无挡鼠板，老鼠进入咬破加药罐，咬坏电缆，造成设备损坏，损失一万元。</v>
      </c>
      <c r="E204" s="19" t="s">
        <v>1076</v>
      </c>
      <c r="F204" s="20" t="s">
        <v>42</v>
      </c>
      <c r="G204" s="22" t="s">
        <v>63</v>
      </c>
      <c r="H204" s="19" t="s">
        <v>44</v>
      </c>
      <c r="I204" s="19"/>
      <c r="J204" s="19" t="s">
        <v>109</v>
      </c>
      <c r="K204" s="19"/>
      <c r="L204" s="19"/>
      <c r="M204" s="19" t="s">
        <v>121</v>
      </c>
      <c r="N204" s="19" t="s">
        <v>247</v>
      </c>
      <c r="O204" s="19" t="s">
        <v>121</v>
      </c>
      <c r="P204" s="19" t="s">
        <v>964</v>
      </c>
      <c r="Q204" s="19" t="s">
        <v>1001</v>
      </c>
      <c r="R204" s="19" t="s">
        <v>1077</v>
      </c>
      <c r="S204" s="19" t="s">
        <v>1078</v>
      </c>
      <c r="T204" s="19" t="s">
        <v>189</v>
      </c>
      <c r="U204" s="19" t="s">
        <v>202</v>
      </c>
      <c r="V204" s="19" t="s">
        <v>55</v>
      </c>
      <c r="W204" s="19" t="s">
        <v>56</v>
      </c>
      <c r="X204" s="19" t="s">
        <v>154</v>
      </c>
      <c r="Y204" s="19"/>
      <c r="Z204" s="19" t="s">
        <v>1079</v>
      </c>
      <c r="AA204" s="19">
        <v>1</v>
      </c>
      <c r="AB204" s="19">
        <v>1</v>
      </c>
      <c r="AC204" s="19" t="s">
        <v>58</v>
      </c>
      <c r="AD204" s="19" t="s">
        <v>964</v>
      </c>
      <c r="AE204" s="19" t="s">
        <v>968</v>
      </c>
      <c r="AF204" s="19" t="s">
        <v>1080</v>
      </c>
    </row>
    <row r="205" spans="1:34">
      <c r="A205" s="19">
        <v>199</v>
      </c>
      <c r="B205" s="19" t="s">
        <v>221</v>
      </c>
      <c r="C205" s="19" t="s">
        <v>245</v>
      </c>
      <c r="D205" s="19" t="str">
        <f>HYPERLINK("http://www.henontech.com/fieldsafety/harzard/harzard_show.php?rid=1927&amp;url=harzardrecs.php","硫酸管道铺设不合理，硫酸管道与循环水配电室北门斜坡距离0.4米，一巡检人员快速通过绿化带跑至此处时被硫酸管道绊倒，磕在配电室斜坡上，造成人员右手上臂骨折，去医院救治，损工3个月。")</f>
        <v>硫酸管道铺设不合理，硫酸管道与循环水配电室北门斜坡距离0.4米，一巡检人员快速通过绿化带跑至此处时被硫酸管道绊倒，磕在配电室斜坡上，造成人员右手上臂骨折，去医院救治，损工3个月。</v>
      </c>
      <c r="E205" s="19" t="s">
        <v>1081</v>
      </c>
      <c r="F205" s="20" t="s">
        <v>42</v>
      </c>
      <c r="G205" s="22" t="s">
        <v>63</v>
      </c>
      <c r="H205" s="19" t="s">
        <v>44</v>
      </c>
      <c r="I205" s="19" t="s">
        <v>45</v>
      </c>
      <c r="J205" s="19" t="s">
        <v>109</v>
      </c>
      <c r="K205" s="19" t="s">
        <v>47</v>
      </c>
      <c r="L205" s="19"/>
      <c r="M205" s="19" t="s">
        <v>121</v>
      </c>
      <c r="N205" s="19" t="s">
        <v>1082</v>
      </c>
      <c r="O205" s="19" t="s">
        <v>224</v>
      </c>
      <c r="P205" s="19" t="s">
        <v>975</v>
      </c>
      <c r="Q205" s="19" t="s">
        <v>83</v>
      </c>
      <c r="R205" s="19" t="s">
        <v>1083</v>
      </c>
      <c r="S205" s="19"/>
      <c r="T205" s="19" t="s">
        <v>53</v>
      </c>
      <c r="U205" s="19" t="s">
        <v>80</v>
      </c>
      <c r="V205" s="19" t="s">
        <v>55</v>
      </c>
      <c r="W205" s="19" t="s">
        <v>81</v>
      </c>
      <c r="X205" s="19" t="s">
        <v>338</v>
      </c>
      <c r="Y205" s="19" t="s">
        <v>434</v>
      </c>
      <c r="Z205" s="19" t="s">
        <v>1084</v>
      </c>
      <c r="AA205" s="19">
        <v>1</v>
      </c>
      <c r="AB205" s="19">
        <v>1</v>
      </c>
      <c r="AC205" s="19" t="s">
        <v>58</v>
      </c>
      <c r="AD205" s="19" t="s">
        <v>975</v>
      </c>
      <c r="AE205" s="19" t="s">
        <v>492</v>
      </c>
      <c r="AF205" s="19" t="s">
        <v>1085</v>
      </c>
    </row>
    <row r="206" spans="1:34">
      <c r="A206" s="19">
        <v>200</v>
      </c>
      <c r="B206" s="19" t="s">
        <v>221</v>
      </c>
      <c r="C206" s="19" t="s">
        <v>320</v>
      </c>
      <c r="D206" s="19" t="str">
        <f>HYPERLINK("http://www.henontech.com/fieldsafety/harzard/harzard_show.php?rid=1928&amp;url=harzardrecs.php","液位计倒淋管有腐蚀漏点，如果漏点泄漏严重，在开启倒淋时，会造成气液喷溅，人员巡检时精炼液溅入眼内，立即用大量清水清洗。")</f>
        <v>液位计倒淋管有腐蚀漏点，如果漏点泄漏严重，在开启倒淋时，会造成气液喷溅，人员巡检时精炼液溅入眼内，立即用大量清水清洗。</v>
      </c>
      <c r="E206" s="19" t="s">
        <v>1086</v>
      </c>
      <c r="F206" s="20" t="s">
        <v>42</v>
      </c>
      <c r="G206" s="21" t="s">
        <v>43</v>
      </c>
      <c r="H206" s="19" t="s">
        <v>44</v>
      </c>
      <c r="I206" s="19"/>
      <c r="J206" s="19" t="s">
        <v>46</v>
      </c>
      <c r="K206" s="19" t="s">
        <v>47</v>
      </c>
      <c r="L206" s="19" t="s">
        <v>76</v>
      </c>
      <c r="M206" s="19" t="s">
        <v>224</v>
      </c>
      <c r="N206" s="19" t="s">
        <v>1087</v>
      </c>
      <c r="O206" s="19" t="s">
        <v>224</v>
      </c>
      <c r="P206" s="19" t="s">
        <v>975</v>
      </c>
      <c r="Q206" s="19" t="s">
        <v>1017</v>
      </c>
      <c r="R206" s="19" t="s">
        <v>1088</v>
      </c>
      <c r="S206" s="19"/>
      <c r="T206" s="19" t="s">
        <v>53</v>
      </c>
      <c r="U206" s="19" t="s">
        <v>54</v>
      </c>
      <c r="V206" s="19" t="s">
        <v>55</v>
      </c>
      <c r="W206" s="19" t="s">
        <v>56</v>
      </c>
      <c r="X206" s="19" t="s">
        <v>228</v>
      </c>
      <c r="Y206" s="19" t="s">
        <v>228</v>
      </c>
      <c r="Z206" s="19" t="s">
        <v>1089</v>
      </c>
      <c r="AA206" s="19">
        <v>1</v>
      </c>
      <c r="AB206" s="19">
        <v>1</v>
      </c>
      <c r="AC206" s="19" t="s">
        <v>58</v>
      </c>
      <c r="AD206" s="19" t="s">
        <v>975</v>
      </c>
      <c r="AE206" s="19" t="s">
        <v>299</v>
      </c>
      <c r="AF206" s="19"/>
    </row>
    <row r="207" spans="1:34">
      <c r="A207" s="19">
        <v>201</v>
      </c>
      <c r="B207" s="19" t="s">
        <v>221</v>
      </c>
      <c r="C207" s="19" t="s">
        <v>1090</v>
      </c>
      <c r="D207" s="19" t="str">
        <f>HYPERLINK("http://www.henontech.com/fieldsafety/harzard/harzard_show.php?rid=1930&amp;url=harzardrecs.php","转化循环水泵房北侧平台警示牌脱落，平台无警示牌无法提醒巡检人员，雨雪天气巡检人员在平台滑倒，造成腿部划伤，医务室就医后复工。")</f>
        <v>转化循环水泵房北侧平台警示牌脱落，平台无警示牌无法提醒巡检人员，雨雪天气巡检人员在平台滑倒，造成腿部划伤，医务室就医后复工。</v>
      </c>
      <c r="E207" s="19" t="s">
        <v>1091</v>
      </c>
      <c r="F207" s="20" t="s">
        <v>42</v>
      </c>
      <c r="G207" s="22" t="s">
        <v>63</v>
      </c>
      <c r="H207" s="19" t="s">
        <v>44</v>
      </c>
      <c r="I207" s="19"/>
      <c r="J207" s="19" t="s">
        <v>46</v>
      </c>
      <c r="K207" s="19" t="s">
        <v>47</v>
      </c>
      <c r="L207" s="19"/>
      <c r="M207" s="19" t="s">
        <v>224</v>
      </c>
      <c r="N207" s="19" t="s">
        <v>1092</v>
      </c>
      <c r="O207" s="19" t="s">
        <v>224</v>
      </c>
      <c r="P207" s="19" t="s">
        <v>975</v>
      </c>
      <c r="Q207" s="19" t="s">
        <v>83</v>
      </c>
      <c r="R207" s="19" t="s">
        <v>1093</v>
      </c>
      <c r="S207" s="19"/>
      <c r="T207" s="19" t="s">
        <v>53</v>
      </c>
      <c r="U207" s="19" t="s">
        <v>54</v>
      </c>
      <c r="V207" s="19" t="s">
        <v>97</v>
      </c>
      <c r="W207" s="19" t="s">
        <v>81</v>
      </c>
      <c r="X207" s="19" t="s">
        <v>338</v>
      </c>
      <c r="Y207" s="19" t="s">
        <v>434</v>
      </c>
      <c r="Z207" s="19" t="s">
        <v>1094</v>
      </c>
      <c r="AA207" s="19">
        <v>1</v>
      </c>
      <c r="AB207" s="19">
        <v>1</v>
      </c>
      <c r="AC207" s="19" t="s">
        <v>58</v>
      </c>
      <c r="AD207" s="19" t="s">
        <v>975</v>
      </c>
      <c r="AE207" s="19" t="s">
        <v>791</v>
      </c>
      <c r="AF207" s="19"/>
    </row>
    <row r="208" spans="1:34">
      <c r="A208" s="19">
        <v>202</v>
      </c>
      <c r="B208" s="19" t="s">
        <v>221</v>
      </c>
      <c r="C208" s="19" t="s">
        <v>252</v>
      </c>
      <c r="D208" s="19" t="str">
        <f>HYPERLINK("http://www.henontech.com/fieldsafety/harzard/harzard_show.php?rid=1931&amp;url=harzardrecs.php","设备维修后枕木摆放杂乱高低不平，一名巡检人员从此处通过，被枕木绊倒，磕倒在平台上，造成人员脚扭伤需休息一个月损工事故。")</f>
        <v>设备维修后枕木摆放杂乱高低不平，一名巡检人员从此处通过，被枕木绊倒，磕倒在平台上，造成人员脚扭伤需休息一个月损工事故。</v>
      </c>
      <c r="E208" s="19" t="s">
        <v>1095</v>
      </c>
      <c r="F208" s="20" t="s">
        <v>42</v>
      </c>
      <c r="G208" s="22" t="s">
        <v>63</v>
      </c>
      <c r="H208" s="19" t="s">
        <v>44</v>
      </c>
      <c r="I208" s="19" t="s">
        <v>108</v>
      </c>
      <c r="J208" s="19" t="s">
        <v>46</v>
      </c>
      <c r="K208" s="19" t="s">
        <v>47</v>
      </c>
      <c r="L208" s="19" t="s">
        <v>76</v>
      </c>
      <c r="M208" s="19" t="s">
        <v>121</v>
      </c>
      <c r="N208" s="19" t="s">
        <v>288</v>
      </c>
      <c r="O208" s="19" t="s">
        <v>121</v>
      </c>
      <c r="P208" s="19" t="s">
        <v>964</v>
      </c>
      <c r="Q208" s="19" t="s">
        <v>1001</v>
      </c>
      <c r="R208" s="19" t="s">
        <v>1096</v>
      </c>
      <c r="S208" s="19" t="s">
        <v>1097</v>
      </c>
      <c r="T208" s="19" t="s">
        <v>53</v>
      </c>
      <c r="U208" s="19" t="s">
        <v>80</v>
      </c>
      <c r="V208" s="19" t="s">
        <v>55</v>
      </c>
      <c r="W208" s="19" t="s">
        <v>81</v>
      </c>
      <c r="X208" s="19" t="s">
        <v>154</v>
      </c>
      <c r="Y208" s="19"/>
      <c r="Z208" s="19" t="s">
        <v>1098</v>
      </c>
      <c r="AA208" s="19">
        <v>1</v>
      </c>
      <c r="AB208" s="19">
        <v>1</v>
      </c>
      <c r="AC208" s="19" t="s">
        <v>58</v>
      </c>
      <c r="AD208" s="19" t="s">
        <v>964</v>
      </c>
      <c r="AE208" s="19" t="s">
        <v>968</v>
      </c>
      <c r="AF208" s="19" t="s">
        <v>1099</v>
      </c>
    </row>
    <row r="209" spans="1:34">
      <c r="A209" s="19">
        <v>203</v>
      </c>
      <c r="B209" s="19" t="s">
        <v>221</v>
      </c>
      <c r="C209" s="19" t="s">
        <v>182</v>
      </c>
      <c r="D209" s="19" t="str">
        <f>HYPERLINK("http://www.henontech.com/fieldsafety/harzard/harzard_show.php?rid=1932&amp;url=harzardrecs.php","干熄焦1号提升机三层护栏护板开焊伸出，一巡检人员巡检经过时，未及时发现，将其拌倒，身体前俯爬在平台上，导致右手撑轻微擦伤，经简单处理后继续工作。")</f>
        <v>干熄焦1号提升机三层护栏护板开焊伸出，一巡检人员巡检经过时，未及时发现，将其拌倒，身体前俯爬在平台上，导致右手撑轻微擦伤，经简单处理后继续工作。</v>
      </c>
      <c r="E209" s="19" t="s">
        <v>1100</v>
      </c>
      <c r="F209" s="20" t="s">
        <v>42</v>
      </c>
      <c r="G209" s="22" t="s">
        <v>63</v>
      </c>
      <c r="H209" s="19" t="s">
        <v>44</v>
      </c>
      <c r="I209" s="19" t="s">
        <v>108</v>
      </c>
      <c r="J209" s="19" t="s">
        <v>46</v>
      </c>
      <c r="K209" s="19"/>
      <c r="L209" s="19"/>
      <c r="M209" s="19" t="s">
        <v>121</v>
      </c>
      <c r="N209" s="19" t="s">
        <v>254</v>
      </c>
      <c r="O209" s="19" t="s">
        <v>121</v>
      </c>
      <c r="P209" s="19" t="s">
        <v>316</v>
      </c>
      <c r="Q209" s="19" t="s">
        <v>1001</v>
      </c>
      <c r="R209" s="19" t="s">
        <v>1101</v>
      </c>
      <c r="S209" s="19" t="s">
        <v>1102</v>
      </c>
      <c r="T209" s="19" t="s">
        <v>53</v>
      </c>
      <c r="U209" s="19" t="s">
        <v>54</v>
      </c>
      <c r="V209" s="19" t="s">
        <v>55</v>
      </c>
      <c r="W209" s="19" t="s">
        <v>56</v>
      </c>
      <c r="X209" s="19" t="s">
        <v>154</v>
      </c>
      <c r="Y209" s="19"/>
      <c r="Z209" s="19" t="s">
        <v>1103</v>
      </c>
      <c r="AA209" s="19">
        <v>1</v>
      </c>
      <c r="AB209" s="19">
        <v>1</v>
      </c>
      <c r="AC209" s="19" t="s">
        <v>58</v>
      </c>
      <c r="AD209" s="19" t="s">
        <v>316</v>
      </c>
      <c r="AE209" s="19" t="s">
        <v>319</v>
      </c>
      <c r="AF209" s="19"/>
    </row>
    <row r="210" spans="1:34">
      <c r="A210" s="19">
        <v>204</v>
      </c>
      <c r="B210" s="19" t="s">
        <v>221</v>
      </c>
      <c r="C210" s="19" t="s">
        <v>678</v>
      </c>
      <c r="D210" s="19" t="str">
        <f>HYPERLINK("http://www.henontech.com/fieldsafety/harzard/harzard_show.php?rid=1933&amp;url=harzardrecs.php","1#分馏塔爬梯处小门未关闭，一操作工私自攀爬，在攀爬过程中失足跌落地面，造成腿部骨折。住院医疗1个月，修养2个月。")</f>
        <v>1#分馏塔爬梯处小门未关闭，一操作工私自攀爬，在攀爬过程中失足跌落地面，造成腿部骨折。住院医疗1个月，修养2个月。</v>
      </c>
      <c r="E210" s="19" t="s">
        <v>1104</v>
      </c>
      <c r="F210" s="20" t="s">
        <v>42</v>
      </c>
      <c r="G210" s="22" t="s">
        <v>63</v>
      </c>
      <c r="H210" s="19" t="s">
        <v>44</v>
      </c>
      <c r="I210" s="19" t="s">
        <v>120</v>
      </c>
      <c r="J210" s="19" t="s">
        <v>109</v>
      </c>
      <c r="K210" s="19" t="s">
        <v>47</v>
      </c>
      <c r="L210" s="19" t="s">
        <v>76</v>
      </c>
      <c r="M210" s="19" t="s">
        <v>224</v>
      </c>
      <c r="N210" s="19" t="s">
        <v>1105</v>
      </c>
      <c r="O210" s="19" t="s">
        <v>224</v>
      </c>
      <c r="P210" s="19" t="s">
        <v>975</v>
      </c>
      <c r="Q210" s="19" t="s">
        <v>630</v>
      </c>
      <c r="R210" s="19" t="s">
        <v>1106</v>
      </c>
      <c r="S210" s="19"/>
      <c r="T210" s="19" t="s">
        <v>53</v>
      </c>
      <c r="U210" s="19" t="s">
        <v>80</v>
      </c>
      <c r="V210" s="19" t="s">
        <v>69</v>
      </c>
      <c r="W210" s="19" t="s">
        <v>190</v>
      </c>
      <c r="X210" s="19" t="s">
        <v>338</v>
      </c>
      <c r="Y210" s="19" t="s">
        <v>434</v>
      </c>
      <c r="Z210" s="19" t="s">
        <v>1107</v>
      </c>
      <c r="AA210" s="19">
        <v>1</v>
      </c>
      <c r="AB210" s="19">
        <v>1</v>
      </c>
      <c r="AC210" s="19" t="s">
        <v>58</v>
      </c>
      <c r="AD210" s="19" t="s">
        <v>975</v>
      </c>
      <c r="AE210" s="19" t="s">
        <v>791</v>
      </c>
      <c r="AF210" s="19"/>
    </row>
    <row r="211" spans="1:34">
      <c r="A211" s="19">
        <v>205</v>
      </c>
      <c r="B211" s="19" t="s">
        <v>221</v>
      </c>
      <c r="C211" s="19" t="s">
        <v>678</v>
      </c>
      <c r="D211" s="19" t="str">
        <f>HYPERLINK("http://www.henontech.com/fieldsafety/harzard/harzard_show.php?rid=1934&amp;url=harzardrecs.php","空压机地沟盖板未盖好，一名操作工巡检过程中不慎踩空，造成小腿骨折。")</f>
        <v>空压机地沟盖板未盖好，一名操作工巡检过程中不慎踩空，造成小腿骨折。</v>
      </c>
      <c r="E211" s="19" t="s">
        <v>1108</v>
      </c>
      <c r="F211" s="20" t="s">
        <v>42</v>
      </c>
      <c r="G211" s="22" t="s">
        <v>63</v>
      </c>
      <c r="H211" s="19" t="s">
        <v>44</v>
      </c>
      <c r="I211" s="19" t="s">
        <v>358</v>
      </c>
      <c r="J211" s="19" t="s">
        <v>109</v>
      </c>
      <c r="K211" s="19" t="s">
        <v>64</v>
      </c>
      <c r="L211" s="19" t="s">
        <v>76</v>
      </c>
      <c r="M211" s="19" t="s">
        <v>224</v>
      </c>
      <c r="N211" s="19" t="s">
        <v>1109</v>
      </c>
      <c r="O211" s="19" t="s">
        <v>224</v>
      </c>
      <c r="P211" s="19" t="s">
        <v>975</v>
      </c>
      <c r="Q211" s="19" t="s">
        <v>630</v>
      </c>
      <c r="R211" s="19" t="s">
        <v>219</v>
      </c>
      <c r="S211" s="19"/>
      <c r="T211" s="19" t="s">
        <v>53</v>
      </c>
      <c r="U211" s="19" t="s">
        <v>80</v>
      </c>
      <c r="V211" s="19" t="s">
        <v>97</v>
      </c>
      <c r="W211" s="19" t="s">
        <v>70</v>
      </c>
      <c r="X211" s="19" t="s">
        <v>338</v>
      </c>
      <c r="Y211" s="19" t="s">
        <v>434</v>
      </c>
      <c r="Z211" s="19" t="s">
        <v>1110</v>
      </c>
      <c r="AA211" s="19">
        <v>1</v>
      </c>
      <c r="AB211" s="19">
        <v>1</v>
      </c>
      <c r="AC211" s="19" t="s">
        <v>58</v>
      </c>
      <c r="AD211" s="19" t="s">
        <v>975</v>
      </c>
      <c r="AE211" s="19" t="s">
        <v>791</v>
      </c>
      <c r="AF211" s="19"/>
    </row>
    <row r="212" spans="1:34">
      <c r="A212" s="19">
        <v>206</v>
      </c>
      <c r="B212" s="19" t="s">
        <v>221</v>
      </c>
      <c r="C212" s="19" t="s">
        <v>915</v>
      </c>
      <c r="D212" s="19" t="str">
        <f>HYPERLINK("http://www.henontech.com/fieldsafety/harzard/harzard_show.php?rid=1937&amp;url=harzardrecs.php","除盐水站西墙3米高处电缆盖板松动，大风天气，一名员工巡检至此时，盖板脱落，砸伤肩部，送医后诊断为肩部骨折，损工3个月")</f>
        <v>除盐水站西墙3米高处电缆盖板松动，大风天气，一名员工巡检至此时，盖板脱落，砸伤肩部，送医后诊断为肩部骨折，损工3个月</v>
      </c>
      <c r="E212" s="19" t="s">
        <v>1111</v>
      </c>
      <c r="F212" s="20" t="s">
        <v>42</v>
      </c>
      <c r="G212" s="22" t="s">
        <v>63</v>
      </c>
      <c r="H212" s="19" t="s">
        <v>44</v>
      </c>
      <c r="I212" s="19" t="s">
        <v>45</v>
      </c>
      <c r="J212" s="19" t="s">
        <v>46</v>
      </c>
      <c r="K212" s="19"/>
      <c r="L212" s="19"/>
      <c r="M212" s="19" t="s">
        <v>121</v>
      </c>
      <c r="N212" s="19" t="s">
        <v>1112</v>
      </c>
      <c r="O212" s="19" t="s">
        <v>121</v>
      </c>
      <c r="P212" s="19" t="s">
        <v>992</v>
      </c>
      <c r="Q212" s="19" t="s">
        <v>993</v>
      </c>
      <c r="R212" s="19" t="s">
        <v>1113</v>
      </c>
      <c r="S212" s="19" t="s">
        <v>1114</v>
      </c>
      <c r="T212" s="19" t="s">
        <v>53</v>
      </c>
      <c r="U212" s="19" t="s">
        <v>80</v>
      </c>
      <c r="V212" s="19" t="s">
        <v>55</v>
      </c>
      <c r="W212" s="19" t="s">
        <v>81</v>
      </c>
      <c r="X212" s="19" t="s">
        <v>154</v>
      </c>
      <c r="Y212" s="19"/>
      <c r="Z212" s="19" t="s">
        <v>1115</v>
      </c>
      <c r="AA212" s="19">
        <v>1</v>
      </c>
      <c r="AB212" s="19">
        <v>1</v>
      </c>
      <c r="AC212" s="19" t="s">
        <v>58</v>
      </c>
      <c r="AD212" s="19" t="s">
        <v>992</v>
      </c>
      <c r="AE212" s="19" t="s">
        <v>492</v>
      </c>
      <c r="AF212" s="19" t="s">
        <v>1116</v>
      </c>
    </row>
    <row r="213" spans="1:34">
      <c r="A213" s="19">
        <v>207</v>
      </c>
      <c r="B213" s="19" t="s">
        <v>221</v>
      </c>
      <c r="C213" s="19" t="s">
        <v>754</v>
      </c>
      <c r="D213" s="19" t="str">
        <f>HYPERLINK("http://www.henontech.com/fieldsafety/harzard/harzard_show.php?rid=1939&amp;url=harzardrecs.php","一名操作工在调节蒸汽阀门时，正对蒸汽连管，黑胶皮管由于未固定好，阀门开启过程中，导致黑胶皮管窜出，蒸汽喷出，人员躲避不及时，造成一名操作工小腿烫伤，住院治疗半个月，休息半月。")</f>
        <v>一名操作工在调节蒸汽阀门时，正对蒸汽连管，黑胶皮管由于未固定好，阀门开启过程中，导致黑胶皮管窜出，蒸汽喷出，人员躲避不及时，造成一名操作工小腿烫伤，住院治疗半个月，休息半月。</v>
      </c>
      <c r="E213" s="19" t="s">
        <v>1117</v>
      </c>
      <c r="F213" s="23" t="s">
        <v>304</v>
      </c>
      <c r="G213" s="22" t="s">
        <v>63</v>
      </c>
      <c r="H213" s="19" t="s">
        <v>44</v>
      </c>
      <c r="I213" s="19" t="s">
        <v>45</v>
      </c>
      <c r="J213" s="19" t="s">
        <v>109</v>
      </c>
      <c r="K213" s="19" t="s">
        <v>47</v>
      </c>
      <c r="L213" s="19"/>
      <c r="M213" s="19" t="s">
        <v>224</v>
      </c>
      <c r="N213" s="19" t="s">
        <v>1118</v>
      </c>
      <c r="O213" s="19"/>
      <c r="P213" s="19"/>
      <c r="Q213" s="19"/>
      <c r="R213" s="19" t="s">
        <v>1119</v>
      </c>
      <c r="S213" s="19" t="s">
        <v>782</v>
      </c>
      <c r="T213" s="19" t="s">
        <v>53</v>
      </c>
      <c r="U213" s="19" t="s">
        <v>80</v>
      </c>
      <c r="V213" s="19" t="s">
        <v>97</v>
      </c>
      <c r="W213" s="19" t="s">
        <v>70</v>
      </c>
      <c r="X213" s="19"/>
      <c r="Y213" s="19"/>
      <c r="Z213" s="19"/>
      <c r="AA213" s="19">
        <v>0</v>
      </c>
      <c r="AB213" s="19"/>
      <c r="AC213" s="19" t="s">
        <v>308</v>
      </c>
      <c r="AD213" s="19"/>
      <c r="AE213" s="19"/>
      <c r="AF213" s="19"/>
    </row>
    <row r="214" spans="1:34">
      <c r="A214" s="19">
        <v>208</v>
      </c>
      <c r="B214" s="19" t="s">
        <v>221</v>
      </c>
      <c r="C214" s="19" t="s">
        <v>302</v>
      </c>
      <c r="D214" s="19" t="str">
        <f>HYPERLINK("http://www.henontech.com/fieldsafety/harzard/harzard_show.php?rid=1940&amp;url=harzardrecs.php","3号减温减压照明灯电缆铺设不规范，一名员工开阀门时，不慎绊倒，膝盖破皮，去医务室简单处理")</f>
        <v>3号减温减压照明灯电缆铺设不规范，一名员工开阀门时，不慎绊倒，膝盖破皮，去医务室简单处理</v>
      </c>
      <c r="E214" s="19" t="s">
        <v>246</v>
      </c>
      <c r="F214" s="20" t="s">
        <v>42</v>
      </c>
      <c r="G214" s="22" t="s">
        <v>63</v>
      </c>
      <c r="H214" s="19" t="s">
        <v>44</v>
      </c>
      <c r="I214" s="19" t="s">
        <v>45</v>
      </c>
      <c r="J214" s="19" t="s">
        <v>46</v>
      </c>
      <c r="K214" s="19" t="s">
        <v>47</v>
      </c>
      <c r="L214" s="19"/>
      <c r="M214" s="19" t="s">
        <v>121</v>
      </c>
      <c r="N214" s="19" t="s">
        <v>305</v>
      </c>
      <c r="O214" s="19" t="s">
        <v>121</v>
      </c>
      <c r="P214" s="19" t="s">
        <v>964</v>
      </c>
      <c r="Q214" s="19" t="s">
        <v>993</v>
      </c>
      <c r="R214" s="19" t="s">
        <v>1120</v>
      </c>
      <c r="S214" s="19" t="s">
        <v>1121</v>
      </c>
      <c r="T214" s="19" t="s">
        <v>53</v>
      </c>
      <c r="U214" s="19" t="s">
        <v>54</v>
      </c>
      <c r="V214" s="19" t="s">
        <v>97</v>
      </c>
      <c r="W214" s="19" t="s">
        <v>81</v>
      </c>
      <c r="X214" s="19" t="s">
        <v>154</v>
      </c>
      <c r="Y214" s="19"/>
      <c r="Z214" s="19" t="s">
        <v>1122</v>
      </c>
      <c r="AA214" s="19">
        <v>1</v>
      </c>
      <c r="AB214" s="19">
        <v>1</v>
      </c>
      <c r="AC214" s="19" t="s">
        <v>58</v>
      </c>
      <c r="AD214" s="19" t="s">
        <v>964</v>
      </c>
      <c r="AE214" s="19" t="s">
        <v>968</v>
      </c>
      <c r="AF214" s="19" t="s">
        <v>1123</v>
      </c>
    </row>
    <row r="215" spans="1:34">
      <c r="A215" s="19">
        <v>209</v>
      </c>
      <c r="B215" s="19" t="s">
        <v>221</v>
      </c>
      <c r="C215" s="19" t="s">
        <v>302</v>
      </c>
      <c r="D215" s="19" t="str">
        <f>HYPERLINK("http://www.henontech.com/fieldsafety/harzard/harzard_show.php?rid=1941&amp;url=harzardrecs.php","1号提升机变压器室挡鼠板高50厘米，第一层台阶宽剩余约6厘米，一名员工向外迈时，由于台阶过窄，脚步踩蹭扭伤，损工十天")</f>
        <v>1号提升机变压器室挡鼠板高50厘米，第一层台阶宽剩余约6厘米，一名员工向外迈时，由于台阶过窄，脚步踩蹭扭伤，损工十天</v>
      </c>
      <c r="E215" s="19" t="s">
        <v>1124</v>
      </c>
      <c r="F215" s="23" t="s">
        <v>304</v>
      </c>
      <c r="G215" s="22" t="s">
        <v>63</v>
      </c>
      <c r="H215" s="19" t="s">
        <v>44</v>
      </c>
      <c r="I215" s="19" t="s">
        <v>45</v>
      </c>
      <c r="J215" s="19" t="s">
        <v>109</v>
      </c>
      <c r="K215" s="19"/>
      <c r="L215" s="19"/>
      <c r="M215" s="19" t="s">
        <v>121</v>
      </c>
      <c r="N215" s="19" t="s">
        <v>312</v>
      </c>
      <c r="O215" s="19"/>
      <c r="P215" s="19"/>
      <c r="Q215" s="19"/>
      <c r="R215" s="19" t="s">
        <v>1125</v>
      </c>
      <c r="S215" s="19" t="s">
        <v>1126</v>
      </c>
      <c r="T215" s="19" t="s">
        <v>53</v>
      </c>
      <c r="U215" s="19" t="s">
        <v>80</v>
      </c>
      <c r="V215" s="19" t="s">
        <v>55</v>
      </c>
      <c r="W215" s="19" t="s">
        <v>81</v>
      </c>
      <c r="X215" s="19"/>
      <c r="Y215" s="19"/>
      <c r="Z215" s="19"/>
      <c r="AA215" s="19">
        <v>0</v>
      </c>
      <c r="AB215" s="19"/>
      <c r="AC215" s="19" t="s">
        <v>308</v>
      </c>
      <c r="AD215" s="19"/>
      <c r="AE215" s="19"/>
      <c r="AF215" s="19"/>
    </row>
    <row r="216" spans="1:34">
      <c r="A216" s="19">
        <v>210</v>
      </c>
      <c r="B216" s="19" t="s">
        <v>221</v>
      </c>
      <c r="C216" s="19" t="s">
        <v>1127</v>
      </c>
      <c r="D216" s="19" t="str">
        <f>HYPERLINK("http://www.henontech.com/fieldsafety/harzard/harzard_show.php?rid=1942&amp;url=harzardrecs.php","变换蒸汽连管黑胶管未固定好，一名操作工调节蒸汽阀门时，正对蒸汽连管，黑胶管由于未固定好，阀门开启过程中，导致黑胶管窜出，蒸汽喷出，人员躲避不及时，造成一名操作工小烫伤，住院治疗半月，休息半月。")</f>
        <v>变换蒸汽连管黑胶管未固定好，一名操作工调节蒸汽阀门时，正对蒸汽连管，黑胶管由于未固定好，阀门开启过程中，导致黑胶管窜出，蒸汽喷出，人员躲避不及时，造成一名操作工小烫伤，住院治疗半月，休息半月。</v>
      </c>
      <c r="E216" s="19" t="s">
        <v>1128</v>
      </c>
      <c r="F216" s="23" t="s">
        <v>304</v>
      </c>
      <c r="G216" s="22" t="s">
        <v>63</v>
      </c>
      <c r="H216" s="19" t="s">
        <v>44</v>
      </c>
      <c r="I216" s="19" t="s">
        <v>45</v>
      </c>
      <c r="J216" s="19" t="s">
        <v>109</v>
      </c>
      <c r="K216" s="19" t="s">
        <v>47</v>
      </c>
      <c r="L216" s="19" t="s">
        <v>170</v>
      </c>
      <c r="M216" s="19" t="s">
        <v>224</v>
      </c>
      <c r="N216" s="19" t="s">
        <v>1118</v>
      </c>
      <c r="O216" s="19"/>
      <c r="P216" s="19"/>
      <c r="Q216" s="19"/>
      <c r="R216" s="19" t="s">
        <v>1119</v>
      </c>
      <c r="S216" s="19" t="s">
        <v>1129</v>
      </c>
      <c r="T216" s="19" t="s">
        <v>53</v>
      </c>
      <c r="U216" s="19" t="s">
        <v>80</v>
      </c>
      <c r="V216" s="19" t="s">
        <v>97</v>
      </c>
      <c r="W216" s="19" t="s">
        <v>70</v>
      </c>
      <c r="X216" s="19"/>
      <c r="Y216" s="19"/>
      <c r="Z216" s="19"/>
      <c r="AA216" s="19">
        <v>0</v>
      </c>
      <c r="AB216" s="19"/>
      <c r="AC216" s="19" t="s">
        <v>308</v>
      </c>
      <c r="AD216" s="19"/>
      <c r="AE216" s="19"/>
      <c r="AF216" s="19"/>
    </row>
    <row r="217" spans="1:34">
      <c r="A217" s="19">
        <v>211</v>
      </c>
      <c r="B217" s="19" t="s">
        <v>221</v>
      </c>
      <c r="C217" s="19" t="s">
        <v>1127</v>
      </c>
      <c r="D217" s="19" t="str">
        <f>HYPERLINK("http://www.henontech.com/fieldsafety/harzard/harzard_show.php?rid=1943&amp;url=harzardrecs.php","变换蒸汽连管黑胶管未固定好，一名操作工调节蒸汽阀门时，正对蒸汽连管，黑胶管由于未固定好，阀门开启过程中，导致黑胶管窜出，蒸汽喷出，人员躲避不及时，造成一名操作工烫伤，住院治疗半月，休息半月。")</f>
        <v>变换蒸汽连管黑胶管未固定好，一名操作工调节蒸汽阀门时，正对蒸汽连管，黑胶管由于未固定好，阀门开启过程中，导致黑胶管窜出，蒸汽喷出，人员躲避不及时，造成一名操作工烫伤，住院治疗半月，休息半月。</v>
      </c>
      <c r="E217" s="19" t="s">
        <v>1128</v>
      </c>
      <c r="F217" s="23" t="s">
        <v>304</v>
      </c>
      <c r="G217" s="22" t="s">
        <v>63</v>
      </c>
      <c r="H217" s="19" t="s">
        <v>44</v>
      </c>
      <c r="I217" s="19" t="s">
        <v>45</v>
      </c>
      <c r="J217" s="19" t="s">
        <v>109</v>
      </c>
      <c r="K217" s="19" t="s">
        <v>47</v>
      </c>
      <c r="L217" s="19" t="s">
        <v>170</v>
      </c>
      <c r="M217" s="19" t="s">
        <v>224</v>
      </c>
      <c r="N217" s="19" t="s">
        <v>1118</v>
      </c>
      <c r="O217" s="19"/>
      <c r="P217" s="19"/>
      <c r="Q217" s="19"/>
      <c r="R217" s="19" t="s">
        <v>1119</v>
      </c>
      <c r="S217" s="19" t="s">
        <v>1130</v>
      </c>
      <c r="T217" s="19" t="s">
        <v>53</v>
      </c>
      <c r="U217" s="19" t="s">
        <v>80</v>
      </c>
      <c r="V217" s="19" t="s">
        <v>97</v>
      </c>
      <c r="W217" s="19" t="s">
        <v>70</v>
      </c>
      <c r="X217" s="19"/>
      <c r="Y217" s="19"/>
      <c r="Z217" s="19"/>
      <c r="AA217" s="19">
        <v>0</v>
      </c>
      <c r="AB217" s="19"/>
      <c r="AC217" s="19" t="s">
        <v>308</v>
      </c>
      <c r="AD217" s="19"/>
      <c r="AE217" s="19"/>
      <c r="AF217" s="19"/>
    </row>
    <row r="218" spans="1:34">
      <c r="A218" s="19">
        <v>212</v>
      </c>
      <c r="B218" s="19" t="s">
        <v>221</v>
      </c>
      <c r="C218" s="19" t="s">
        <v>623</v>
      </c>
      <c r="D218" s="19" t="str">
        <f>HYPERLINK("http://www.henontech.com/fieldsafety/harzard/harzard_show.php?rid=1944&amp;url=harzardrecs.php","吸氨岗位浓氨槽处地沟处盖板缺陷，一名操作工巡检时，不慎踩入跌倒，造成左脚部扭伤。")</f>
        <v>吸氨岗位浓氨槽处地沟处盖板缺陷，一名操作工巡检时，不慎踩入跌倒，造成左脚部扭伤。</v>
      </c>
      <c r="E218" s="19" t="s">
        <v>1131</v>
      </c>
      <c r="F218" s="20" t="s">
        <v>42</v>
      </c>
      <c r="G218" s="22" t="s">
        <v>63</v>
      </c>
      <c r="H218" s="19" t="s">
        <v>44</v>
      </c>
      <c r="I218" s="19" t="s">
        <v>108</v>
      </c>
      <c r="J218" s="19" t="s">
        <v>109</v>
      </c>
      <c r="K218" s="19" t="s">
        <v>47</v>
      </c>
      <c r="L218" s="19" t="s">
        <v>76</v>
      </c>
      <c r="M218" s="19" t="s">
        <v>224</v>
      </c>
      <c r="N218" s="19" t="s">
        <v>1132</v>
      </c>
      <c r="O218" s="19" t="s">
        <v>224</v>
      </c>
      <c r="P218" s="19" t="s">
        <v>975</v>
      </c>
      <c r="Q218" s="19" t="s">
        <v>1001</v>
      </c>
      <c r="R218" s="19" t="s">
        <v>1133</v>
      </c>
      <c r="S218" s="19"/>
      <c r="T218" s="19" t="s">
        <v>53</v>
      </c>
      <c r="U218" s="19" t="s">
        <v>80</v>
      </c>
      <c r="V218" s="19" t="s">
        <v>97</v>
      </c>
      <c r="W218" s="19" t="s">
        <v>70</v>
      </c>
      <c r="X218" s="19" t="s">
        <v>191</v>
      </c>
      <c r="Y218" s="19" t="s">
        <v>191</v>
      </c>
      <c r="Z218" s="19" t="s">
        <v>1134</v>
      </c>
      <c r="AA218" s="19">
        <v>1</v>
      </c>
      <c r="AB218" s="19">
        <v>1</v>
      </c>
      <c r="AC218" s="19" t="s">
        <v>58</v>
      </c>
      <c r="AD218" s="19" t="s">
        <v>975</v>
      </c>
      <c r="AE218" s="19" t="s">
        <v>270</v>
      </c>
      <c r="AF218" s="19"/>
    </row>
    <row r="219" spans="1:34">
      <c r="A219" s="19">
        <v>213</v>
      </c>
      <c r="B219" s="19" t="s">
        <v>263</v>
      </c>
      <c r="C219" s="19" t="s">
        <v>915</v>
      </c>
      <c r="D219" s="19" t="str">
        <f>HYPERLINK("http://www.henontech.com/fieldsafety/harzard/harzard_show.php?rid=1952&amp;url=harzardrecs.php","除盐水站东侧地沟盖板断裂下沉，夜班一名职工巡检至此时，人员踩空脚部受伤，送医后诊断为脚踝扭伤，损工半个月。")</f>
        <v>除盐水站东侧地沟盖板断裂下沉，夜班一名职工巡检至此时，人员踩空脚部受伤，送医后诊断为脚踝扭伤，损工半个月。</v>
      </c>
      <c r="E219" s="19" t="s">
        <v>1135</v>
      </c>
      <c r="F219" s="20" t="s">
        <v>42</v>
      </c>
      <c r="G219" s="22" t="s">
        <v>63</v>
      </c>
      <c r="H219" s="19" t="s">
        <v>44</v>
      </c>
      <c r="I219" s="19" t="s">
        <v>45</v>
      </c>
      <c r="J219" s="19" t="s">
        <v>46</v>
      </c>
      <c r="K219" s="19"/>
      <c r="L219" s="19"/>
      <c r="M219" s="19" t="s">
        <v>121</v>
      </c>
      <c r="N219" s="19" t="s">
        <v>1136</v>
      </c>
      <c r="O219" s="19" t="s">
        <v>121</v>
      </c>
      <c r="P219" s="19" t="s">
        <v>964</v>
      </c>
      <c r="Q219" s="19" t="s">
        <v>993</v>
      </c>
      <c r="R219" s="19" t="s">
        <v>1137</v>
      </c>
      <c r="S219" s="19" t="s">
        <v>1138</v>
      </c>
      <c r="T219" s="19" t="s">
        <v>53</v>
      </c>
      <c r="U219" s="19" t="s">
        <v>54</v>
      </c>
      <c r="V219" s="19" t="s">
        <v>203</v>
      </c>
      <c r="W219" s="19" t="s">
        <v>56</v>
      </c>
      <c r="X219" s="19" t="s">
        <v>154</v>
      </c>
      <c r="Y219" s="19"/>
      <c r="Z219" s="19" t="s">
        <v>1139</v>
      </c>
      <c r="AA219" s="19">
        <v>1</v>
      </c>
      <c r="AB219" s="19">
        <v>1</v>
      </c>
      <c r="AC219" s="19" t="s">
        <v>58</v>
      </c>
      <c r="AD219" s="19" t="s">
        <v>964</v>
      </c>
      <c r="AE219" s="19" t="s">
        <v>968</v>
      </c>
      <c r="AF219" s="19" t="s">
        <v>1140</v>
      </c>
    </row>
    <row r="220" spans="1:34" customHeight="1" ht="42">
      <c r="A220" s="19">
        <v>214</v>
      </c>
      <c r="B220" s="19" t="s">
        <v>99</v>
      </c>
      <c r="C220" s="19" t="s">
        <v>369</v>
      </c>
      <c r="D220" s="19" t="str">
        <f>HYPERLINK("http://www.henontech.com/fieldsafety/harzard/harzard_show.php?rid=1953&amp;url=harzardrecs.php","脱硫箱东侧蒸汽管道破损造成蒸汽外漏，如果一名操作人员在工作期间经过蒸汽管道时来不及躲避被蒸汽烫伤住院治疗5天后复工")</f>
        <v>脱硫箱东侧蒸汽管道破损造成蒸汽外漏，如果一名操作人员在工作期间经过蒸汽管道时来不及躲避被蒸汽烫伤住院治疗5天后复工</v>
      </c>
      <c r="E220" s="19" t="s">
        <v>1141</v>
      </c>
      <c r="F220" s="20" t="s">
        <v>42</v>
      </c>
      <c r="G220" s="22" t="s">
        <v>63</v>
      </c>
      <c r="H220" s="19" t="s">
        <v>44</v>
      </c>
      <c r="I220" s="19" t="s">
        <v>45</v>
      </c>
      <c r="J220" s="19" t="s">
        <v>46</v>
      </c>
      <c r="K220" s="19" t="s">
        <v>47</v>
      </c>
      <c r="L220" s="19" t="s">
        <v>76</v>
      </c>
      <c r="M220" s="19" t="s">
        <v>48</v>
      </c>
      <c r="N220" s="19" t="s">
        <v>405</v>
      </c>
      <c r="O220" s="19" t="s">
        <v>48</v>
      </c>
      <c r="P220" s="19" t="s">
        <v>50</v>
      </c>
      <c r="Q220" s="19" t="s">
        <v>1142</v>
      </c>
      <c r="R220" s="19" t="s">
        <v>1143</v>
      </c>
      <c r="S220" s="19"/>
      <c r="T220" s="19" t="s">
        <v>53</v>
      </c>
      <c r="U220" s="19" t="s">
        <v>80</v>
      </c>
      <c r="V220" s="19" t="s">
        <v>97</v>
      </c>
      <c r="W220" s="19" t="s">
        <v>70</v>
      </c>
      <c r="X220" s="19"/>
      <c r="Y220" s="19"/>
      <c r="Z220" s="19" t="s">
        <v>1144</v>
      </c>
      <c r="AA220" s="19">
        <v>2</v>
      </c>
      <c r="AB220" s="19">
        <v>2</v>
      </c>
      <c r="AC220" s="19" t="s">
        <v>58</v>
      </c>
      <c r="AD220" s="19" t="s">
        <v>50</v>
      </c>
      <c r="AE220" s="19" t="s">
        <v>83</v>
      </c>
      <c r="AF220" s="19"/>
    </row>
    <row r="221" spans="1:34">
      <c r="A221" s="19">
        <v>215</v>
      </c>
      <c r="B221" s="19" t="s">
        <v>263</v>
      </c>
      <c r="C221" s="19" t="s">
        <v>1145</v>
      </c>
      <c r="D221" s="19" t="str">
        <f>HYPERLINK("http://www.henontech.com/fieldsafety/harzard/harzard_show.php?rid=1954&amp;url=harzardrecs.php","化验用电炉恒温器开关电源防护罩脱落，化验员在频繁蒸样合闸过程中，不小心触碰开关金属片")</f>
        <v>化验用电炉恒温器开关电源防护罩脱落，化验员在频繁蒸样合闸过程中，不小心触碰开关金属片</v>
      </c>
      <c r="E221" s="19" t="s">
        <v>1146</v>
      </c>
      <c r="F221" s="20" t="s">
        <v>42</v>
      </c>
      <c r="G221" s="22" t="s">
        <v>63</v>
      </c>
      <c r="H221" s="19" t="s">
        <v>44</v>
      </c>
      <c r="I221" s="19" t="s">
        <v>45</v>
      </c>
      <c r="J221" s="19" t="s">
        <v>46</v>
      </c>
      <c r="K221" s="19" t="s">
        <v>64</v>
      </c>
      <c r="L221" s="19" t="s">
        <v>76</v>
      </c>
      <c r="M221" s="19" t="s">
        <v>149</v>
      </c>
      <c r="N221" s="19" t="s">
        <v>210</v>
      </c>
      <c r="O221" s="19" t="s">
        <v>149</v>
      </c>
      <c r="P221" s="19" t="s">
        <v>151</v>
      </c>
      <c r="Q221" s="19" t="s">
        <v>1147</v>
      </c>
      <c r="R221" s="19" t="s">
        <v>1148</v>
      </c>
      <c r="S221" s="19" t="s">
        <v>1149</v>
      </c>
      <c r="T221" s="19" t="s">
        <v>53</v>
      </c>
      <c r="U221" s="19" t="s">
        <v>54</v>
      </c>
      <c r="V221" s="19" t="s">
        <v>69</v>
      </c>
      <c r="W221" s="19" t="s">
        <v>70</v>
      </c>
      <c r="X221" s="19" t="s">
        <v>154</v>
      </c>
      <c r="Y221" s="19" t="s">
        <v>154</v>
      </c>
      <c r="Z221" s="19" t="s">
        <v>1150</v>
      </c>
      <c r="AA221" s="19">
        <v>1</v>
      </c>
      <c r="AB221" s="19">
        <v>1</v>
      </c>
      <c r="AC221" s="19" t="s">
        <v>58</v>
      </c>
      <c r="AD221" s="19" t="s">
        <v>151</v>
      </c>
      <c r="AE221" s="19" t="s">
        <v>476</v>
      </c>
      <c r="AF221" s="19"/>
    </row>
    <row r="222" spans="1:34" customHeight="1" ht="42">
      <c r="A222" s="19">
        <v>216</v>
      </c>
      <c r="B222" s="19" t="s">
        <v>263</v>
      </c>
      <c r="C222" s="19" t="s">
        <v>1151</v>
      </c>
      <c r="D222" s="19" t="str">
        <f>HYPERLINK("http://www.henontech.com/fieldsafety/harzard/harzard_show.php?rid=1955&amp;url=harzardrecs.php","热力车间35t锅炉疏水箱北侧盖板塌陷，巡检工一名，在巡检时踩上盖板，盖板因托架腐烂塌陷，致巡检人员腿骨骨折，送医院治疗。")</f>
        <v>热力车间35t锅炉疏水箱北侧盖板塌陷，巡检工一名，在巡检时踩上盖板，盖板因托架腐烂塌陷，致巡检人员腿骨骨折，送医院治疗。</v>
      </c>
      <c r="E222" s="19" t="s">
        <v>1152</v>
      </c>
      <c r="F222" s="20" t="s">
        <v>42</v>
      </c>
      <c r="G222" s="22" t="s">
        <v>63</v>
      </c>
      <c r="H222" s="19" t="s">
        <v>44</v>
      </c>
      <c r="I222" s="19"/>
      <c r="J222" s="19" t="s">
        <v>46</v>
      </c>
      <c r="K222" s="19"/>
      <c r="L222" s="19"/>
      <c r="M222" s="19" t="s">
        <v>1033</v>
      </c>
      <c r="N222" s="19" t="s">
        <v>1153</v>
      </c>
      <c r="O222" s="19" t="s">
        <v>1033</v>
      </c>
      <c r="P222" s="19" t="s">
        <v>1034</v>
      </c>
      <c r="Q222" s="19" t="s">
        <v>993</v>
      </c>
      <c r="R222" s="19" t="s">
        <v>1154</v>
      </c>
      <c r="S222" s="19"/>
      <c r="T222" s="19" t="s">
        <v>53</v>
      </c>
      <c r="U222" s="19" t="s">
        <v>80</v>
      </c>
      <c r="V222" s="19" t="s">
        <v>97</v>
      </c>
      <c r="W222" s="19" t="s">
        <v>70</v>
      </c>
      <c r="X222" s="19" t="s">
        <v>154</v>
      </c>
      <c r="Y222" s="19"/>
      <c r="Z222" s="19" t="s">
        <v>1155</v>
      </c>
      <c r="AA222" s="19">
        <v>2</v>
      </c>
      <c r="AB222" s="19">
        <v>1</v>
      </c>
      <c r="AC222" s="19" t="s">
        <v>58</v>
      </c>
      <c r="AD222" s="19" t="s">
        <v>1034</v>
      </c>
      <c r="AE222" s="19" t="s">
        <v>83</v>
      </c>
      <c r="AF222" s="19" t="s">
        <v>1156</v>
      </c>
    </row>
    <row r="223" spans="1:34">
      <c r="A223" s="19">
        <v>217</v>
      </c>
      <c r="B223" s="19" t="s">
        <v>263</v>
      </c>
      <c r="C223" s="19" t="s">
        <v>329</v>
      </c>
      <c r="D223" s="19" t="str">
        <f>HYPERLINK("http://www.henontech.com/fieldsafety/harzard/harzard_show.php?rid=1956&amp;url=harzardrecs.php","北风机上下段冷凝液罐外排管道支架倾斜，有掉落风险，如果一名操作人员在巡检过程中经过，被掉落的支架砸中左肩，造成左肩轻微骨裂，送医医治七天，在家休养一个月。")</f>
        <v>北风机上下段冷凝液罐外排管道支架倾斜，有掉落风险，如果一名操作人员在巡检过程中经过，被掉落的支架砸中左肩，造成左肩轻微骨裂，送医医治七天，在家休养一个月。</v>
      </c>
      <c r="E223" s="19" t="s">
        <v>1157</v>
      </c>
      <c r="F223" s="20" t="s">
        <v>42</v>
      </c>
      <c r="G223" s="22" t="s">
        <v>63</v>
      </c>
      <c r="H223" s="19" t="s">
        <v>44</v>
      </c>
      <c r="I223" s="19" t="s">
        <v>108</v>
      </c>
      <c r="J223" s="19" t="s">
        <v>46</v>
      </c>
      <c r="K223" s="19" t="s">
        <v>47</v>
      </c>
      <c r="L223" s="19" t="s">
        <v>76</v>
      </c>
      <c r="M223" s="19" t="s">
        <v>48</v>
      </c>
      <c r="N223" s="19" t="s">
        <v>1158</v>
      </c>
      <c r="O223" s="19" t="s">
        <v>48</v>
      </c>
      <c r="P223" s="19" t="s">
        <v>50</v>
      </c>
      <c r="Q223" s="19" t="s">
        <v>1142</v>
      </c>
      <c r="R223" s="19" t="s">
        <v>458</v>
      </c>
      <c r="S223" s="19"/>
      <c r="T223" s="19" t="s">
        <v>53</v>
      </c>
      <c r="U223" s="19" t="s">
        <v>80</v>
      </c>
      <c r="V223" s="19" t="s">
        <v>97</v>
      </c>
      <c r="W223" s="19" t="s">
        <v>70</v>
      </c>
      <c r="X223" s="19"/>
      <c r="Y223" s="19"/>
      <c r="Z223" s="19" t="s">
        <v>1159</v>
      </c>
      <c r="AA223" s="19">
        <v>1</v>
      </c>
      <c r="AB223" s="19">
        <v>1</v>
      </c>
      <c r="AC223" s="19" t="s">
        <v>58</v>
      </c>
      <c r="AD223" s="19" t="s">
        <v>50</v>
      </c>
      <c r="AE223" s="19" t="s">
        <v>83</v>
      </c>
      <c r="AF223" s="19"/>
    </row>
    <row r="224" spans="1:34" customHeight="1" ht="42">
      <c r="A224" s="19">
        <v>218</v>
      </c>
      <c r="B224" s="19" t="s">
        <v>263</v>
      </c>
      <c r="C224" s="19" t="s">
        <v>329</v>
      </c>
      <c r="D224" s="19" t="str">
        <f>HYPERLINK("http://www.henontech.com/fieldsafety/harzard/harzard_show.php?rid=1957&amp;url=harzardrecs.php","北风机2#风机油站护栏与1#风机煤气管道之间离地面3米左右处，搭有一块未固定脚手板，如果一名操作人员在巡检经过该处时，脚手板松动掉落砸中操作人员头部安全帽，造成一人颈椎扭伤，住院治疗5天，休息一月复工")</f>
        <v>北风机2#风机油站护栏与1#风机煤气管道之间离地面3米左右处，搭有一块未固定脚手板，如果一名操作人员在巡检经过该处时，脚手板松动掉落砸中操作人员头部安全帽，造成一人颈椎扭伤，住院治疗5天，休息一月复工</v>
      </c>
      <c r="E224" s="19" t="s">
        <v>1160</v>
      </c>
      <c r="F224" s="20" t="s">
        <v>42</v>
      </c>
      <c r="G224" s="22" t="s">
        <v>63</v>
      </c>
      <c r="H224" s="19" t="s">
        <v>44</v>
      </c>
      <c r="I224" s="19" t="s">
        <v>108</v>
      </c>
      <c r="J224" s="19" t="s">
        <v>46</v>
      </c>
      <c r="K224" s="19" t="s">
        <v>132</v>
      </c>
      <c r="L224" s="19" t="s">
        <v>76</v>
      </c>
      <c r="M224" s="19" t="s">
        <v>48</v>
      </c>
      <c r="N224" s="19" t="s">
        <v>1161</v>
      </c>
      <c r="O224" s="19" t="s">
        <v>48</v>
      </c>
      <c r="P224" s="19" t="s">
        <v>50</v>
      </c>
      <c r="Q224" s="19" t="s">
        <v>1142</v>
      </c>
      <c r="R224" s="19" t="s">
        <v>1162</v>
      </c>
      <c r="S224" s="19"/>
      <c r="T224" s="19" t="s">
        <v>53</v>
      </c>
      <c r="U224" s="19" t="s">
        <v>80</v>
      </c>
      <c r="V224" s="19" t="s">
        <v>97</v>
      </c>
      <c r="W224" s="19" t="s">
        <v>70</v>
      </c>
      <c r="X224" s="19"/>
      <c r="Y224" s="19"/>
      <c r="Z224" s="19" t="s">
        <v>1163</v>
      </c>
      <c r="AA224" s="19">
        <v>2</v>
      </c>
      <c r="AB224" s="19">
        <v>2</v>
      </c>
      <c r="AC224" s="19" t="s">
        <v>58</v>
      </c>
      <c r="AD224" s="19" t="s">
        <v>50</v>
      </c>
      <c r="AE224" s="19" t="s">
        <v>83</v>
      </c>
      <c r="AF224" s="19"/>
    </row>
    <row r="225" spans="1:34">
      <c r="A225" s="19">
        <v>219</v>
      </c>
      <c r="B225" s="19" t="s">
        <v>99</v>
      </c>
      <c r="C225" s="19" t="s">
        <v>754</v>
      </c>
      <c r="D225" s="19" t="str">
        <f>HYPERLINK("http://www.henontech.com/fieldsafety/harzard/harzard_show.php?rid=1958&amp;url=harzardrecs.php","脱硫储备槽爬梯踏板腐蚀严重，部分断裂。脱硫操作工在通过爬梯到达储备槽顶部时，因爬梯踏板腐蚀严重，承重不足，踏板断裂，操作人员跌落地面，造成小腿骨折，住院20天，修养40天，共损工60天")</f>
        <v>脱硫储备槽爬梯踏板腐蚀严重，部分断裂。脱硫操作工在通过爬梯到达储备槽顶部时，因爬梯踏板腐蚀严重，承重不足，踏板断裂，操作人员跌落地面，造成小腿骨折，住院20天，修养40天，共损工60天</v>
      </c>
      <c r="E225" s="19" t="s">
        <v>1164</v>
      </c>
      <c r="F225" s="23" t="s">
        <v>304</v>
      </c>
      <c r="G225" s="22" t="s">
        <v>63</v>
      </c>
      <c r="H225" s="19" t="s">
        <v>44</v>
      </c>
      <c r="I225" s="19" t="s">
        <v>120</v>
      </c>
      <c r="J225" s="19" t="s">
        <v>46</v>
      </c>
      <c r="K225" s="19" t="s">
        <v>47</v>
      </c>
      <c r="L225" s="19" t="s">
        <v>76</v>
      </c>
      <c r="M225" s="19" t="s">
        <v>224</v>
      </c>
      <c r="N225" s="19" t="s">
        <v>546</v>
      </c>
      <c r="O225" s="19"/>
      <c r="P225" s="19"/>
      <c r="Q225" s="19"/>
      <c r="R225" s="19" t="s">
        <v>676</v>
      </c>
      <c r="S225" s="19" t="s">
        <v>1165</v>
      </c>
      <c r="T225" s="19" t="s">
        <v>53</v>
      </c>
      <c r="U225" s="19" t="s">
        <v>80</v>
      </c>
      <c r="V225" s="19" t="s">
        <v>97</v>
      </c>
      <c r="W225" s="19" t="s">
        <v>70</v>
      </c>
      <c r="X225" s="19"/>
      <c r="Y225" s="19"/>
      <c r="Z225" s="19"/>
      <c r="AA225" s="19">
        <v>0</v>
      </c>
      <c r="AB225" s="19"/>
      <c r="AC225" s="19" t="s">
        <v>308</v>
      </c>
      <c r="AD225" s="19"/>
      <c r="AE225" s="19"/>
      <c r="AF225" s="19"/>
    </row>
    <row r="226" spans="1:34">
      <c r="A226" s="19">
        <v>220</v>
      </c>
      <c r="B226" s="19" t="s">
        <v>99</v>
      </c>
      <c r="C226" s="19" t="s">
        <v>399</v>
      </c>
      <c r="D226" s="19" t="str">
        <f>HYPERLINK("http://www.henontech.com/fieldsafety/harzard/harzard_show.php?rid=1960&amp;url=harzardrecs.php","东硫铵结晶泵压力表长时间使用管道震动大导致压力表指针掉落，操作人员无法监控工艺数据，结晶泵管道堵塞导致结晶泵损坏")</f>
        <v>东硫铵结晶泵压力表长时间使用管道震动大导致压力表指针掉落，操作人员无法监控工艺数据，结晶泵管道堵塞导致结晶泵损坏</v>
      </c>
      <c r="E226" s="19" t="s">
        <v>1166</v>
      </c>
      <c r="F226" s="20" t="s">
        <v>42</v>
      </c>
      <c r="G226" s="22" t="s">
        <v>63</v>
      </c>
      <c r="H226" s="19" t="s">
        <v>44</v>
      </c>
      <c r="I226" s="19" t="s">
        <v>108</v>
      </c>
      <c r="J226" s="19" t="s">
        <v>46</v>
      </c>
      <c r="K226" s="19" t="s">
        <v>47</v>
      </c>
      <c r="L226" s="19"/>
      <c r="M226" s="19" t="s">
        <v>48</v>
      </c>
      <c r="N226" s="19" t="s">
        <v>200</v>
      </c>
      <c r="O226" s="19" t="s">
        <v>48</v>
      </c>
      <c r="P226" s="19" t="s">
        <v>50</v>
      </c>
      <c r="Q226" s="19" t="s">
        <v>1142</v>
      </c>
      <c r="R226" s="19" t="s">
        <v>1167</v>
      </c>
      <c r="S226" s="19"/>
      <c r="T226" s="19" t="s">
        <v>189</v>
      </c>
      <c r="U226" s="19" t="s">
        <v>202</v>
      </c>
      <c r="V226" s="19" t="s">
        <v>97</v>
      </c>
      <c r="W226" s="19" t="s">
        <v>56</v>
      </c>
      <c r="X226" s="19"/>
      <c r="Y226" s="19"/>
      <c r="Z226" s="19" t="s">
        <v>1168</v>
      </c>
      <c r="AA226" s="19">
        <v>1</v>
      </c>
      <c r="AB226" s="19">
        <v>1</v>
      </c>
      <c r="AC226" s="19" t="s">
        <v>58</v>
      </c>
      <c r="AD226" s="19" t="s">
        <v>50</v>
      </c>
      <c r="AE226" s="19" t="s">
        <v>99</v>
      </c>
      <c r="AF226" s="19"/>
    </row>
    <row r="227" spans="1:34" customHeight="1" ht="42">
      <c r="A227" s="19">
        <v>221</v>
      </c>
      <c r="B227" s="19" t="s">
        <v>99</v>
      </c>
      <c r="C227" s="19" t="s">
        <v>927</v>
      </c>
      <c r="D227" s="19" t="str">
        <f>HYPERLINK("http://www.henontech.com/fieldsafety/harzard/harzard_show.php?rid=1961&amp;url=harzardrecs.php","北脱硫西南角氨水泵电机护罩破损，螺栓掉落，如果操作工在擦拭设备时，脱落的电机护罩起不到防护作用，会让风扇翅子划伤手指，造成右手手指划伤，经医务室包扎后继续工作。，")</f>
        <v>北脱硫西南角氨水泵电机护罩破损，螺栓掉落，如果操作工在擦拭设备时，脱落的电机护罩起不到防护作用，会让风扇翅子划伤手指，造成右手手指划伤，经医务室包扎后继续工作。，</v>
      </c>
      <c r="E227" s="19" t="s">
        <v>1169</v>
      </c>
      <c r="F227" s="20" t="s">
        <v>42</v>
      </c>
      <c r="G227" s="22" t="s">
        <v>63</v>
      </c>
      <c r="H227" s="19" t="s">
        <v>44</v>
      </c>
      <c r="I227" s="19" t="s">
        <v>45</v>
      </c>
      <c r="J227" s="19" t="s">
        <v>46</v>
      </c>
      <c r="K227" s="19" t="s">
        <v>47</v>
      </c>
      <c r="L227" s="19" t="s">
        <v>76</v>
      </c>
      <c r="M227" s="19" t="s">
        <v>48</v>
      </c>
      <c r="N227" s="19" t="s">
        <v>345</v>
      </c>
      <c r="O227" s="19" t="s">
        <v>48</v>
      </c>
      <c r="P227" s="19" t="s">
        <v>50</v>
      </c>
      <c r="Q227" s="19" t="s">
        <v>1142</v>
      </c>
      <c r="R227" s="19" t="s">
        <v>1170</v>
      </c>
      <c r="S227" s="19"/>
      <c r="T227" s="19" t="s">
        <v>53</v>
      </c>
      <c r="U227" s="19" t="s">
        <v>54</v>
      </c>
      <c r="V227" s="19" t="s">
        <v>55</v>
      </c>
      <c r="W227" s="19" t="s">
        <v>56</v>
      </c>
      <c r="X227" s="19"/>
      <c r="Y227" s="19"/>
      <c r="Z227" s="19" t="s">
        <v>1171</v>
      </c>
      <c r="AA227" s="19">
        <v>2</v>
      </c>
      <c r="AB227" s="19">
        <v>2</v>
      </c>
      <c r="AC227" s="19" t="s">
        <v>58</v>
      </c>
      <c r="AD227" s="19" t="s">
        <v>50</v>
      </c>
      <c r="AE227" s="19" t="s">
        <v>818</v>
      </c>
      <c r="AF227" s="19"/>
    </row>
    <row r="228" spans="1:34">
      <c r="A228" s="19">
        <v>222</v>
      </c>
      <c r="B228" s="19" t="s">
        <v>99</v>
      </c>
      <c r="C228" s="19" t="s">
        <v>194</v>
      </c>
      <c r="D228" s="19" t="str">
        <f>HYPERLINK("http://www.henontech.com/fieldsafety/harzard/harzard_show.php?rid=1962&amp;url=harzardrecs.php","管道阀门维修后未妥善处置保温铝皮，遇大风天气，铝皮掉落划伤一名巡检工左手！")</f>
        <v>管道阀门维修后未妥善处置保温铝皮，遇大风天气，铝皮掉落划伤一名巡检工左手！</v>
      </c>
      <c r="E228" s="19" t="s">
        <v>1172</v>
      </c>
      <c r="F228" s="20" t="s">
        <v>42</v>
      </c>
      <c r="G228" s="22" t="s">
        <v>63</v>
      </c>
      <c r="H228" s="19" t="s">
        <v>44</v>
      </c>
      <c r="I228" s="19" t="s">
        <v>120</v>
      </c>
      <c r="J228" s="19" t="s">
        <v>46</v>
      </c>
      <c r="K228" s="19" t="s">
        <v>47</v>
      </c>
      <c r="L228" s="19"/>
      <c r="M228" s="19" t="s">
        <v>48</v>
      </c>
      <c r="N228" s="19" t="s">
        <v>94</v>
      </c>
      <c r="O228" s="19" t="s">
        <v>48</v>
      </c>
      <c r="P228" s="19" t="s">
        <v>50</v>
      </c>
      <c r="Q228" s="19" t="s">
        <v>1142</v>
      </c>
      <c r="R228" s="19" t="s">
        <v>1173</v>
      </c>
      <c r="S228" s="19"/>
      <c r="T228" s="19" t="s">
        <v>53</v>
      </c>
      <c r="U228" s="19" t="s">
        <v>54</v>
      </c>
      <c r="V228" s="19" t="s">
        <v>97</v>
      </c>
      <c r="W228" s="19" t="s">
        <v>81</v>
      </c>
      <c r="X228" s="19"/>
      <c r="Y228" s="19"/>
      <c r="Z228" s="19" t="s">
        <v>1174</v>
      </c>
      <c r="AA228" s="19">
        <v>1</v>
      </c>
      <c r="AB228" s="19">
        <v>1</v>
      </c>
      <c r="AC228" s="19" t="s">
        <v>58</v>
      </c>
      <c r="AD228" s="19" t="s">
        <v>50</v>
      </c>
      <c r="AE228" s="19" t="s">
        <v>1175</v>
      </c>
      <c r="AF228" s="19"/>
    </row>
    <row r="229" spans="1:34" customHeight="1" ht="42">
      <c r="A229" s="19">
        <v>223</v>
      </c>
      <c r="B229" s="19" t="s">
        <v>99</v>
      </c>
      <c r="C229" s="19" t="s">
        <v>1176</v>
      </c>
      <c r="D229" s="19" t="str">
        <f>HYPERLINK("http://www.henontech.com/fieldsafety/harzard/harzard_show.php?rid=1963&amp;url=harzardrecs.php","4米高烟道上部遗落漆桶一个，大风导致漆桶掉落，砸伤一名巡检工头部、肩部")</f>
        <v>4米高烟道上部遗落漆桶一个，大风导致漆桶掉落，砸伤一名巡检工头部、肩部</v>
      </c>
      <c r="E229" s="19" t="s">
        <v>1177</v>
      </c>
      <c r="F229" s="20" t="s">
        <v>42</v>
      </c>
      <c r="G229" s="22" t="s">
        <v>63</v>
      </c>
      <c r="H229" s="19" t="s">
        <v>44</v>
      </c>
      <c r="I229" s="19" t="s">
        <v>45</v>
      </c>
      <c r="J229" s="19" t="s">
        <v>46</v>
      </c>
      <c r="K229" s="19" t="s">
        <v>47</v>
      </c>
      <c r="L229" s="19"/>
      <c r="M229" s="19" t="s">
        <v>1033</v>
      </c>
      <c r="N229" s="19" t="s">
        <v>1178</v>
      </c>
      <c r="O229" s="19" t="s">
        <v>1033</v>
      </c>
      <c r="P229" s="19" t="s">
        <v>1178</v>
      </c>
      <c r="Q229" s="19" t="s">
        <v>1035</v>
      </c>
      <c r="R229" s="19" t="s">
        <v>1176</v>
      </c>
      <c r="S229" s="19"/>
      <c r="T229" s="19" t="s">
        <v>53</v>
      </c>
      <c r="U229" s="19" t="s">
        <v>80</v>
      </c>
      <c r="V229" s="19" t="s">
        <v>97</v>
      </c>
      <c r="W229" s="19" t="s">
        <v>70</v>
      </c>
      <c r="X229" s="19" t="s">
        <v>257</v>
      </c>
      <c r="Y229" s="19"/>
      <c r="Z229" s="19" t="s">
        <v>1179</v>
      </c>
      <c r="AA229" s="19">
        <v>2</v>
      </c>
      <c r="AB229" s="19">
        <v>2</v>
      </c>
      <c r="AC229" s="19" t="s">
        <v>58</v>
      </c>
      <c r="AD229" s="19" t="s">
        <v>1178</v>
      </c>
      <c r="AE229" s="19" t="s">
        <v>83</v>
      </c>
      <c r="AF229" s="19" t="s">
        <v>1180</v>
      </c>
    </row>
    <row r="230" spans="1:34" customHeight="1" ht="42">
      <c r="A230" s="19">
        <v>224</v>
      </c>
      <c r="B230" s="19" t="s">
        <v>99</v>
      </c>
      <c r="C230" s="19" t="s">
        <v>1181</v>
      </c>
      <c r="D230" s="19" t="str">
        <f>HYPERLINK("http://www.henontech.com/fieldsafety/harzard/harzard_show.php?rid=1964&amp;url=harzardrecs.php","一名操作工巡检时，不慎掉入地沟，造成腿部骨折。")</f>
        <v>一名操作工巡检时，不慎掉入地沟，造成腿部骨折。</v>
      </c>
      <c r="E230" s="19" t="s">
        <v>1182</v>
      </c>
      <c r="F230" s="20" t="s">
        <v>42</v>
      </c>
      <c r="G230" s="22" t="s">
        <v>63</v>
      </c>
      <c r="H230" s="19" t="s">
        <v>44</v>
      </c>
      <c r="I230" s="19" t="s">
        <v>45</v>
      </c>
      <c r="J230" s="19" t="s">
        <v>46</v>
      </c>
      <c r="K230" s="19" t="s">
        <v>47</v>
      </c>
      <c r="L230" s="19"/>
      <c r="M230" s="19" t="s">
        <v>1033</v>
      </c>
      <c r="N230" s="19" t="s">
        <v>1183</v>
      </c>
      <c r="O230" s="19" t="s">
        <v>1033</v>
      </c>
      <c r="P230" s="19" t="s">
        <v>1034</v>
      </c>
      <c r="Q230" s="19" t="s">
        <v>1035</v>
      </c>
      <c r="R230" s="19" t="s">
        <v>1181</v>
      </c>
      <c r="S230" s="19"/>
      <c r="T230" s="19" t="s">
        <v>53</v>
      </c>
      <c r="U230" s="19" t="s">
        <v>80</v>
      </c>
      <c r="V230" s="19" t="s">
        <v>97</v>
      </c>
      <c r="W230" s="19" t="s">
        <v>70</v>
      </c>
      <c r="X230" s="19" t="s">
        <v>154</v>
      </c>
      <c r="Y230" s="19"/>
      <c r="Z230" s="19" t="s">
        <v>1184</v>
      </c>
      <c r="AA230" s="19">
        <v>2</v>
      </c>
      <c r="AB230" s="19">
        <v>1</v>
      </c>
      <c r="AC230" s="19" t="s">
        <v>58</v>
      </c>
      <c r="AD230" s="19" t="s">
        <v>1034</v>
      </c>
      <c r="AE230" s="19" t="s">
        <v>83</v>
      </c>
      <c r="AF230" s="19" t="s">
        <v>1185</v>
      </c>
    </row>
    <row r="231" spans="1:34">
      <c r="A231" s="19">
        <v>225</v>
      </c>
      <c r="B231" s="19" t="s">
        <v>99</v>
      </c>
      <c r="C231" s="19" t="s">
        <v>296</v>
      </c>
      <c r="D231" s="19" t="str">
        <f>HYPERLINK("http://www.henontech.com/fieldsafety/harzard/harzard_show.php?rid=1965&amp;url=harzardrecs.php","热水器与对讲机充电插座同在一个桌面上。如果水阀门关闭不严，导致充电插座下部有水，操作工充电时，电路短路，设备损坏，人员触电。")</f>
        <v>热水器与对讲机充电插座同在一个桌面上。如果水阀门关闭不严，导致充电插座下部有水，操作工充电时，电路短路，设备损坏，人员触电。</v>
      </c>
      <c r="E231" s="19" t="s">
        <v>1186</v>
      </c>
      <c r="F231" s="20" t="s">
        <v>42</v>
      </c>
      <c r="G231" s="22" t="s">
        <v>63</v>
      </c>
      <c r="H231" s="19" t="s">
        <v>44</v>
      </c>
      <c r="I231" s="19" t="s">
        <v>108</v>
      </c>
      <c r="J231" s="19" t="s">
        <v>46</v>
      </c>
      <c r="K231" s="19" t="s">
        <v>110</v>
      </c>
      <c r="L231" s="19" t="s">
        <v>76</v>
      </c>
      <c r="M231" s="19" t="s">
        <v>48</v>
      </c>
      <c r="N231" s="19" t="s">
        <v>298</v>
      </c>
      <c r="O231" s="19" t="s">
        <v>48</v>
      </c>
      <c r="P231" s="19" t="s">
        <v>50</v>
      </c>
      <c r="Q231" s="19" t="s">
        <v>1142</v>
      </c>
      <c r="R231" s="19" t="s">
        <v>206</v>
      </c>
      <c r="S231" s="19"/>
      <c r="T231" s="19" t="s">
        <v>53</v>
      </c>
      <c r="U231" s="19" t="s">
        <v>80</v>
      </c>
      <c r="V231" s="19" t="s">
        <v>97</v>
      </c>
      <c r="W231" s="19" t="s">
        <v>70</v>
      </c>
      <c r="X231" s="19"/>
      <c r="Y231" s="19"/>
      <c r="Z231" s="19" t="s">
        <v>1187</v>
      </c>
      <c r="AA231" s="19">
        <v>1</v>
      </c>
      <c r="AB231" s="19">
        <v>1</v>
      </c>
      <c r="AC231" s="19" t="s">
        <v>58</v>
      </c>
      <c r="AD231" s="19" t="s">
        <v>50</v>
      </c>
      <c r="AE231" s="19" t="s">
        <v>83</v>
      </c>
      <c r="AF231" s="19"/>
    </row>
    <row r="232" spans="1:34">
      <c r="A232" s="19">
        <v>226</v>
      </c>
      <c r="B232" s="19" t="s">
        <v>99</v>
      </c>
      <c r="C232" s="19" t="s">
        <v>1188</v>
      </c>
      <c r="D232" s="19" t="str">
        <f>HYPERLINK("http://www.henontech.com/fieldsafety/harzard/harzard_show.php?rid=1966&amp;url=harzardrecs.php","外来人员检查减温减压时，锅炉上层掉落杂物，砸中外来人员头部，造成外来人员昏迷。")</f>
        <v>外来人员检查减温减压时，锅炉上层掉落杂物，砸中外来人员头部，造成外来人员昏迷。</v>
      </c>
      <c r="E232" s="19" t="s">
        <v>1189</v>
      </c>
      <c r="F232" s="23" t="s">
        <v>304</v>
      </c>
      <c r="G232" s="22" t="s">
        <v>63</v>
      </c>
      <c r="H232" s="19" t="s">
        <v>44</v>
      </c>
      <c r="I232" s="19" t="s">
        <v>184</v>
      </c>
      <c r="J232" s="19" t="s">
        <v>109</v>
      </c>
      <c r="K232" s="19" t="s">
        <v>47</v>
      </c>
      <c r="L232" s="19" t="s">
        <v>170</v>
      </c>
      <c r="M232" s="19" t="s">
        <v>1033</v>
      </c>
      <c r="N232" s="19" t="s">
        <v>1190</v>
      </c>
      <c r="O232" s="19"/>
      <c r="P232" s="19"/>
      <c r="Q232" s="19"/>
      <c r="R232" s="19" t="s">
        <v>1188</v>
      </c>
      <c r="S232" s="19" t="s">
        <v>1191</v>
      </c>
      <c r="T232" s="19" t="s">
        <v>53</v>
      </c>
      <c r="U232" s="19" t="s">
        <v>80</v>
      </c>
      <c r="V232" s="19" t="s">
        <v>97</v>
      </c>
      <c r="W232" s="19" t="s">
        <v>70</v>
      </c>
      <c r="X232" s="19"/>
      <c r="Y232" s="19"/>
      <c r="Z232" s="19"/>
      <c r="AA232" s="19">
        <v>0</v>
      </c>
      <c r="AB232" s="19"/>
      <c r="AC232" s="19" t="s">
        <v>308</v>
      </c>
      <c r="AD232" s="19"/>
      <c r="AE232" s="19"/>
      <c r="AF232" s="19"/>
    </row>
    <row r="233" spans="1:34">
      <c r="A233" s="19">
        <v>227</v>
      </c>
      <c r="B233" s="19" t="s">
        <v>99</v>
      </c>
      <c r="C233" s="19" t="s">
        <v>665</v>
      </c>
      <c r="D233" s="19" t="str">
        <f>HYPERLINK("http://www.henontech.com/fieldsafety/harzard/harzard_show.php?rid=1967&amp;url=harzardrecs.php","液氨大槽紧急切段阀填料漏液氨，一名操作工在巡检液氨大槽时呼入高浓度汽氨，感到胸闷，剧烈咳嗽，送医院治疗住院一星期。出院复工")</f>
        <v>液氨大槽紧急切段阀填料漏液氨，一名操作工在巡检液氨大槽时呼入高浓度汽氨，感到胸闷，剧烈咳嗽，送医院治疗住院一星期。出院复工</v>
      </c>
      <c r="E233" s="19" t="s">
        <v>1192</v>
      </c>
      <c r="F233" s="20" t="s">
        <v>42</v>
      </c>
      <c r="G233" s="21" t="s">
        <v>43</v>
      </c>
      <c r="H233" s="19" t="s">
        <v>44</v>
      </c>
      <c r="I233" s="19" t="s">
        <v>120</v>
      </c>
      <c r="J233" s="19" t="s">
        <v>46</v>
      </c>
      <c r="K233" s="19" t="s">
        <v>47</v>
      </c>
      <c r="L233" s="19" t="s">
        <v>76</v>
      </c>
      <c r="M233" s="19" t="s">
        <v>224</v>
      </c>
      <c r="N233" s="19" t="s">
        <v>1193</v>
      </c>
      <c r="O233" s="19" t="s">
        <v>224</v>
      </c>
      <c r="P233" s="19" t="s">
        <v>226</v>
      </c>
      <c r="Q233" s="19" t="s">
        <v>419</v>
      </c>
      <c r="R233" s="19" t="s">
        <v>1194</v>
      </c>
      <c r="S233" s="19"/>
      <c r="T233" s="19" t="s">
        <v>53</v>
      </c>
      <c r="U233" s="19" t="s">
        <v>80</v>
      </c>
      <c r="V233" s="19" t="s">
        <v>69</v>
      </c>
      <c r="W233" s="19" t="s">
        <v>190</v>
      </c>
      <c r="X233" s="19" t="s">
        <v>126</v>
      </c>
      <c r="Y233" s="19" t="s">
        <v>126</v>
      </c>
      <c r="Z233" s="19" t="s">
        <v>1195</v>
      </c>
      <c r="AA233" s="19">
        <v>1</v>
      </c>
      <c r="AB233" s="19">
        <v>1</v>
      </c>
      <c r="AC233" s="19" t="s">
        <v>58</v>
      </c>
      <c r="AD233" s="19" t="s">
        <v>226</v>
      </c>
      <c r="AE233" s="19" t="s">
        <v>83</v>
      </c>
      <c r="AF233" s="19"/>
    </row>
    <row r="234" spans="1:34">
      <c r="A234" s="19">
        <v>228</v>
      </c>
      <c r="B234" s="19" t="s">
        <v>99</v>
      </c>
      <c r="C234" s="19" t="s">
        <v>1196</v>
      </c>
      <c r="D234" s="19" t="str">
        <f>HYPERLINK("http://www.henontech.com/fieldsafety/harzard/harzard_show.php?rid=1968&amp;url=harzardrecs.php","除盐水池四周无防护栏，人员操作或巡检时存在坠落危险，造成人员伤害")</f>
        <v>除盐水池四周无防护栏，人员操作或巡检时存在坠落危险，造成人员伤害</v>
      </c>
      <c r="E234" s="19" t="s">
        <v>1197</v>
      </c>
      <c r="F234" s="23" t="s">
        <v>304</v>
      </c>
      <c r="G234" s="22" t="s">
        <v>63</v>
      </c>
      <c r="H234" s="19" t="s">
        <v>44</v>
      </c>
      <c r="I234" s="19" t="s">
        <v>108</v>
      </c>
      <c r="J234" s="19" t="s">
        <v>46</v>
      </c>
      <c r="K234" s="19" t="s">
        <v>47</v>
      </c>
      <c r="L234" s="19" t="s">
        <v>703</v>
      </c>
      <c r="M234" s="19" t="s">
        <v>1033</v>
      </c>
      <c r="N234" s="19" t="s">
        <v>1198</v>
      </c>
      <c r="O234" s="19"/>
      <c r="P234" s="19"/>
      <c r="Q234" s="19"/>
      <c r="R234" s="19" t="s">
        <v>1199</v>
      </c>
      <c r="S234" s="19" t="s">
        <v>1200</v>
      </c>
      <c r="T234" s="19" t="s">
        <v>53</v>
      </c>
      <c r="U234" s="19" t="s">
        <v>80</v>
      </c>
      <c r="V234" s="19" t="s">
        <v>97</v>
      </c>
      <c r="W234" s="19" t="s">
        <v>70</v>
      </c>
      <c r="X234" s="19"/>
      <c r="Y234" s="19"/>
      <c r="Z234" s="19"/>
      <c r="AA234" s="19">
        <v>0</v>
      </c>
      <c r="AB234" s="19"/>
      <c r="AC234" s="19" t="s">
        <v>308</v>
      </c>
      <c r="AD234" s="19"/>
      <c r="AE234" s="19"/>
      <c r="AF234" s="19"/>
    </row>
    <row r="235" spans="1:34">
      <c r="A235" s="19">
        <v>229</v>
      </c>
      <c r="B235" s="19" t="s">
        <v>248</v>
      </c>
      <c r="C235" s="19" t="s">
        <v>194</v>
      </c>
      <c r="D235" s="19" t="str">
        <f>HYPERLINK("http://www.henontech.com/fieldsafety/harzard/harzard_show.php?rid=1970&amp;url=harzardrecs.php","粗苯北系统富油槽废气回收改造完成后顶部螺栓未清理，如果一名操作工巡检经过富油槽时顶部螺栓掉落造成操作工脸部划伤，到医务室处理伤口后回家休息两天后能够正常上班")</f>
        <v>粗苯北系统富油槽废气回收改造完成后顶部螺栓未清理，如果一名操作工巡检经过富油槽时顶部螺栓掉落造成操作工脸部划伤，到医务室处理伤口后回家休息两天后能够正常上班</v>
      </c>
      <c r="E235" s="19" t="s">
        <v>1201</v>
      </c>
      <c r="F235" s="23" t="s">
        <v>304</v>
      </c>
      <c r="G235" s="22" t="s">
        <v>63</v>
      </c>
      <c r="H235" s="19" t="s">
        <v>44</v>
      </c>
      <c r="I235" s="19" t="s">
        <v>108</v>
      </c>
      <c r="J235" s="19" t="s">
        <v>349</v>
      </c>
      <c r="K235" s="19" t="s">
        <v>47</v>
      </c>
      <c r="L235" s="19" t="s">
        <v>76</v>
      </c>
      <c r="M235" s="19" t="s">
        <v>48</v>
      </c>
      <c r="N235" s="19" t="s">
        <v>594</v>
      </c>
      <c r="O235" s="19"/>
      <c r="P235" s="19"/>
      <c r="Q235" s="19"/>
      <c r="R235" s="19" t="s">
        <v>1202</v>
      </c>
      <c r="S235" s="19" t="s">
        <v>1203</v>
      </c>
      <c r="T235" s="19" t="s">
        <v>53</v>
      </c>
      <c r="U235" s="19" t="s">
        <v>54</v>
      </c>
      <c r="V235" s="19" t="s">
        <v>55</v>
      </c>
      <c r="W235" s="19" t="s">
        <v>56</v>
      </c>
      <c r="X235" s="19"/>
      <c r="Y235" s="19"/>
      <c r="Z235" s="19"/>
      <c r="AA235" s="19">
        <v>0</v>
      </c>
      <c r="AB235" s="19"/>
      <c r="AC235" s="19" t="s">
        <v>308</v>
      </c>
      <c r="AD235" s="19"/>
      <c r="AE235" s="19"/>
      <c r="AF235" s="19"/>
    </row>
    <row r="236" spans="1:34">
      <c r="A236" s="19">
        <v>230</v>
      </c>
      <c r="B236" s="19" t="s">
        <v>248</v>
      </c>
      <c r="C236" s="19" t="s">
        <v>92</v>
      </c>
      <c r="D236" s="19" t="str">
        <f>HYPERLINK("http://www.henontech.com/fieldsafety/harzard/harzard_show.php?rid=1971&amp;url=harzardrecs.php","粗苯北系统贫油槽顶部放散管道拆除后未撤走，假如粗苯操作工在贫油槽附近清理卫生时，贫油槽顶部废弃的放散管从贫油槽顶部坠落致使一名操作工砸中头部，送医院抢救经医院抢救无效身亡")</f>
        <v>粗苯北系统贫油槽顶部放散管道拆除后未撤走，假如粗苯操作工在贫油槽附近清理卫生时，贫油槽顶部废弃的放散管从贫油槽顶部坠落致使一名操作工砸中头部，送医院抢救经医院抢救无效身亡</v>
      </c>
      <c r="E236" s="19" t="s">
        <v>1204</v>
      </c>
      <c r="F236" s="20" t="s">
        <v>42</v>
      </c>
      <c r="G236" s="22" t="s">
        <v>63</v>
      </c>
      <c r="H236" s="19" t="s">
        <v>44</v>
      </c>
      <c r="I236" s="19" t="s">
        <v>108</v>
      </c>
      <c r="J236" s="19" t="s">
        <v>349</v>
      </c>
      <c r="K236" s="19" t="s">
        <v>47</v>
      </c>
      <c r="L236" s="19" t="s">
        <v>76</v>
      </c>
      <c r="M236" s="19" t="s">
        <v>48</v>
      </c>
      <c r="N236" s="19" t="s">
        <v>585</v>
      </c>
      <c r="O236" s="19" t="s">
        <v>48</v>
      </c>
      <c r="P236" s="19" t="s">
        <v>50</v>
      </c>
      <c r="Q236" s="19" t="s">
        <v>1035</v>
      </c>
      <c r="R236" s="19" t="s">
        <v>1205</v>
      </c>
      <c r="S236" s="19" t="s">
        <v>1206</v>
      </c>
      <c r="T236" s="19" t="s">
        <v>53</v>
      </c>
      <c r="U236" s="19" t="s">
        <v>236</v>
      </c>
      <c r="V236" s="19" t="s">
        <v>69</v>
      </c>
      <c r="W236" s="19" t="s">
        <v>190</v>
      </c>
      <c r="X236" s="19"/>
      <c r="Y236" s="19"/>
      <c r="Z236" s="19" t="s">
        <v>1207</v>
      </c>
      <c r="AA236" s="19">
        <v>1</v>
      </c>
      <c r="AB236" s="19">
        <v>1</v>
      </c>
      <c r="AC236" s="19" t="s">
        <v>58</v>
      </c>
      <c r="AD236" s="19" t="s">
        <v>50</v>
      </c>
      <c r="AE236" s="19" t="s">
        <v>83</v>
      </c>
      <c r="AF236" s="19"/>
    </row>
    <row r="237" spans="1:34">
      <c r="A237" s="19">
        <v>231</v>
      </c>
      <c r="B237" s="19" t="s">
        <v>248</v>
      </c>
      <c r="C237" s="19" t="s">
        <v>384</v>
      </c>
      <c r="D237" s="19" t="str">
        <f>HYPERLINK("http://www.henontech.com/fieldsafety/harzard/harzard_show.php?rid=1972&amp;url=harzardrecs.php","下段冷凝液罐平台腐蚀破损。如果一名操作工廵检时，不慎踩入破损处，造成腿部划伤，住院治疗。")</f>
        <v>下段冷凝液罐平台腐蚀破损。如果一名操作工廵检时，不慎踩入破损处，造成腿部划伤，住院治疗。</v>
      </c>
      <c r="E237" s="19" t="s">
        <v>1208</v>
      </c>
      <c r="F237" s="20" t="s">
        <v>42</v>
      </c>
      <c r="G237" s="22" t="s">
        <v>63</v>
      </c>
      <c r="H237" s="19" t="s">
        <v>44</v>
      </c>
      <c r="I237" s="19" t="s">
        <v>108</v>
      </c>
      <c r="J237" s="19" t="s">
        <v>46</v>
      </c>
      <c r="K237" s="19" t="s">
        <v>110</v>
      </c>
      <c r="L237" s="19"/>
      <c r="M237" s="19" t="s">
        <v>48</v>
      </c>
      <c r="N237" s="19" t="s">
        <v>1209</v>
      </c>
      <c r="O237" s="19" t="s">
        <v>48</v>
      </c>
      <c r="P237" s="19" t="s">
        <v>50</v>
      </c>
      <c r="Q237" s="19" t="s">
        <v>1035</v>
      </c>
      <c r="R237" s="19" t="s">
        <v>1210</v>
      </c>
      <c r="S237" s="19" t="s">
        <v>1211</v>
      </c>
      <c r="T237" s="19" t="s">
        <v>53</v>
      </c>
      <c r="U237" s="19" t="s">
        <v>80</v>
      </c>
      <c r="V237" s="19" t="s">
        <v>97</v>
      </c>
      <c r="W237" s="19" t="s">
        <v>70</v>
      </c>
      <c r="X237" s="19"/>
      <c r="Y237" s="19"/>
      <c r="Z237" s="19" t="s">
        <v>1212</v>
      </c>
      <c r="AA237" s="19">
        <v>1</v>
      </c>
      <c r="AB237" s="19">
        <v>1</v>
      </c>
      <c r="AC237" s="19" t="s">
        <v>58</v>
      </c>
      <c r="AD237" s="19" t="s">
        <v>50</v>
      </c>
      <c r="AE237" s="19" t="s">
        <v>290</v>
      </c>
      <c r="AF237" s="19"/>
    </row>
    <row r="238" spans="1:34">
      <c r="A238" s="19">
        <v>232</v>
      </c>
      <c r="B238" s="19" t="s">
        <v>248</v>
      </c>
      <c r="C238" s="19" t="s">
        <v>1213</v>
      </c>
      <c r="D238" s="19" t="str">
        <f>HYPERLINK("http://www.henontech.com/fieldsafety/harzard/harzard_show.php?rid=1976&amp;url=harzardrecs.php","东硫铵小母液泵电机后防护罩损坏变形，造成电机后降温风扇破损，无法起到降温效果。巡检人员未发现长时间使用会造成电机发热烧毁。")</f>
        <v>东硫铵小母液泵电机后防护罩损坏变形，造成电机后降温风扇破损，无法起到降温效果。巡检人员未发现长时间使用会造成电机发热烧毁。</v>
      </c>
      <c r="E238" s="19" t="s">
        <v>1214</v>
      </c>
      <c r="F238" s="20" t="s">
        <v>42</v>
      </c>
      <c r="G238" s="22" t="s">
        <v>63</v>
      </c>
      <c r="H238" s="19" t="s">
        <v>44</v>
      </c>
      <c r="I238" s="19"/>
      <c r="J238" s="19" t="s">
        <v>46</v>
      </c>
      <c r="K238" s="19" t="s">
        <v>47</v>
      </c>
      <c r="L238" s="19"/>
      <c r="M238" s="19" t="s">
        <v>48</v>
      </c>
      <c r="N238" s="19" t="s">
        <v>103</v>
      </c>
      <c r="O238" s="19" t="s">
        <v>48</v>
      </c>
      <c r="P238" s="19" t="s">
        <v>50</v>
      </c>
      <c r="Q238" s="19" t="s">
        <v>1147</v>
      </c>
      <c r="R238" s="19" t="s">
        <v>1215</v>
      </c>
      <c r="S238" s="19"/>
      <c r="T238" s="19" t="s">
        <v>189</v>
      </c>
      <c r="U238" s="19" t="s">
        <v>202</v>
      </c>
      <c r="V238" s="19" t="s">
        <v>55</v>
      </c>
      <c r="W238" s="19" t="s">
        <v>56</v>
      </c>
      <c r="X238" s="19"/>
      <c r="Y238" s="19"/>
      <c r="Z238" s="19" t="s">
        <v>1216</v>
      </c>
      <c r="AA238" s="19">
        <v>1</v>
      </c>
      <c r="AB238" s="19">
        <v>1</v>
      </c>
      <c r="AC238" s="19" t="s">
        <v>58</v>
      </c>
      <c r="AD238" s="19" t="s">
        <v>50</v>
      </c>
      <c r="AE238" s="19" t="s">
        <v>818</v>
      </c>
      <c r="AF238" s="19"/>
    </row>
    <row r="239" spans="1:34">
      <c r="A239" s="19">
        <v>233</v>
      </c>
      <c r="B239" s="19" t="s">
        <v>248</v>
      </c>
      <c r="C239" s="19" t="s">
        <v>623</v>
      </c>
      <c r="D239" s="19" t="str">
        <f>HYPERLINK("http://www.henontech.com/fieldsafety/harzard/harzard_show.php?rid=1977&amp;url=harzardrecs.php","化工厂氨水储槽浓氨槽氨水取样阀乳胶管老化，一名操作工在取样时，氨水不慎溅入眼内，送医务室救治。")</f>
        <v>化工厂氨水储槽浓氨槽氨水取样阀乳胶管老化，一名操作工在取样时，氨水不慎溅入眼内，送医务室救治。</v>
      </c>
      <c r="E239" s="19" t="s">
        <v>1217</v>
      </c>
      <c r="F239" s="20" t="s">
        <v>42</v>
      </c>
      <c r="G239" s="22" t="s">
        <v>63</v>
      </c>
      <c r="H239" s="19" t="s">
        <v>44</v>
      </c>
      <c r="I239" s="19" t="s">
        <v>120</v>
      </c>
      <c r="J239" s="19" t="s">
        <v>46</v>
      </c>
      <c r="K239" s="19" t="s">
        <v>47</v>
      </c>
      <c r="L239" s="19" t="s">
        <v>76</v>
      </c>
      <c r="M239" s="19" t="s">
        <v>224</v>
      </c>
      <c r="N239" s="19" t="s">
        <v>1218</v>
      </c>
      <c r="O239" s="19" t="s">
        <v>224</v>
      </c>
      <c r="P239" s="19" t="s">
        <v>226</v>
      </c>
      <c r="Q239" s="19" t="s">
        <v>877</v>
      </c>
      <c r="R239" s="19" t="s">
        <v>1219</v>
      </c>
      <c r="S239" s="19"/>
      <c r="T239" s="19" t="s">
        <v>53</v>
      </c>
      <c r="U239" s="19" t="s">
        <v>80</v>
      </c>
      <c r="V239" s="19" t="s">
        <v>97</v>
      </c>
      <c r="W239" s="19" t="s">
        <v>70</v>
      </c>
      <c r="X239" s="19" t="s">
        <v>126</v>
      </c>
      <c r="Y239" s="19" t="s">
        <v>126</v>
      </c>
      <c r="Z239" s="19" t="s">
        <v>1220</v>
      </c>
      <c r="AA239" s="19">
        <v>1</v>
      </c>
      <c r="AB239" s="19">
        <v>1</v>
      </c>
      <c r="AC239" s="19" t="s">
        <v>58</v>
      </c>
      <c r="AD239" s="19" t="s">
        <v>226</v>
      </c>
      <c r="AE239" s="19" t="s">
        <v>836</v>
      </c>
      <c r="AF239" s="19"/>
    </row>
    <row r="240" spans="1:34">
      <c r="A240" s="19">
        <v>234</v>
      </c>
      <c r="B240" s="19" t="s">
        <v>299</v>
      </c>
      <c r="C240" s="19" t="s">
        <v>1213</v>
      </c>
      <c r="D240" s="19" t="str">
        <f>HYPERLINK("http://www.henontech.com/fieldsafety/harzard/harzard_show.php?rid=1978&amp;url=harzardrecs.php","西硫铵地沟水泥盖板腐蚀，操作工晚上经过此处时没住意，不慎掉入地沟，造成左腿皮肤擦伤和骨折。")</f>
        <v>西硫铵地沟水泥盖板腐蚀，操作工晚上经过此处时没住意，不慎掉入地沟，造成左腿皮肤擦伤和骨折。</v>
      </c>
      <c r="E240" s="19" t="s">
        <v>1221</v>
      </c>
      <c r="F240" s="20" t="s">
        <v>42</v>
      </c>
      <c r="G240" s="22" t="s">
        <v>63</v>
      </c>
      <c r="H240" s="19" t="s">
        <v>44</v>
      </c>
      <c r="I240" s="19" t="s">
        <v>45</v>
      </c>
      <c r="J240" s="19" t="s">
        <v>46</v>
      </c>
      <c r="K240" s="19" t="s">
        <v>47</v>
      </c>
      <c r="L240" s="19" t="s">
        <v>76</v>
      </c>
      <c r="M240" s="19" t="s">
        <v>48</v>
      </c>
      <c r="N240" s="19" t="s">
        <v>1222</v>
      </c>
      <c r="O240" s="19" t="s">
        <v>48</v>
      </c>
      <c r="P240" s="19" t="s">
        <v>50</v>
      </c>
      <c r="Q240" s="19" t="s">
        <v>630</v>
      </c>
      <c r="R240" s="19" t="s">
        <v>437</v>
      </c>
      <c r="S240" s="19" t="s">
        <v>1223</v>
      </c>
      <c r="T240" s="19" t="s">
        <v>53</v>
      </c>
      <c r="U240" s="19" t="s">
        <v>54</v>
      </c>
      <c r="V240" s="19" t="s">
        <v>55</v>
      </c>
      <c r="W240" s="19" t="s">
        <v>56</v>
      </c>
      <c r="X240" s="19"/>
      <c r="Y240" s="19"/>
      <c r="Z240" s="19" t="s">
        <v>1224</v>
      </c>
      <c r="AA240" s="19">
        <v>1</v>
      </c>
      <c r="AB240" s="19">
        <v>1</v>
      </c>
      <c r="AC240" s="19" t="s">
        <v>58</v>
      </c>
      <c r="AD240" s="19" t="s">
        <v>50</v>
      </c>
      <c r="AE240" s="19" t="s">
        <v>290</v>
      </c>
      <c r="AF240" s="19"/>
    </row>
    <row r="241" spans="1:34">
      <c r="A241" s="19">
        <v>235</v>
      </c>
      <c r="B241" s="19" t="s">
        <v>248</v>
      </c>
      <c r="C241" s="19" t="s">
        <v>222</v>
      </c>
      <c r="D241" s="19" t="str">
        <f>HYPERLINK("http://www.henontech.com/fieldsafety/harzard/harzard_show.php?rid=1979&amp;url=harzardrecs.php","沉淀槽踏板腐蚀严重，部分断裂。脱硫操作人员在沉淀槽爬梯上时，爬梯踏板承重不足，忽然断裂，操作人员跌落地面，造成小腿骨折，住院治疗20天，修养40天")</f>
        <v>沉淀槽踏板腐蚀严重，部分断裂。脱硫操作人员在沉淀槽爬梯上时，爬梯踏板承重不足，忽然断裂，操作人员跌落地面，造成小腿骨折，住院治疗20天，修养40天</v>
      </c>
      <c r="E241" s="19" t="s">
        <v>1225</v>
      </c>
      <c r="F241" s="20" t="s">
        <v>42</v>
      </c>
      <c r="G241" s="22" t="s">
        <v>63</v>
      </c>
      <c r="H241" s="19" t="s">
        <v>44</v>
      </c>
      <c r="I241" s="19" t="s">
        <v>120</v>
      </c>
      <c r="J241" s="19" t="s">
        <v>46</v>
      </c>
      <c r="K241" s="19" t="s">
        <v>47</v>
      </c>
      <c r="L241" s="19" t="s">
        <v>76</v>
      </c>
      <c r="M241" s="19" t="s">
        <v>224</v>
      </c>
      <c r="N241" s="19" t="s">
        <v>546</v>
      </c>
      <c r="O241" s="19" t="s">
        <v>224</v>
      </c>
      <c r="P241" s="19" t="s">
        <v>975</v>
      </c>
      <c r="Q241" s="19" t="s">
        <v>1147</v>
      </c>
      <c r="R241" s="19" t="s">
        <v>1226</v>
      </c>
      <c r="S241" s="19"/>
      <c r="T241" s="19" t="s">
        <v>53</v>
      </c>
      <c r="U241" s="19" t="s">
        <v>80</v>
      </c>
      <c r="V241" s="19" t="s">
        <v>97</v>
      </c>
      <c r="W241" s="19" t="s">
        <v>70</v>
      </c>
      <c r="X241" s="19" t="s">
        <v>228</v>
      </c>
      <c r="Y241" s="19" t="s">
        <v>228</v>
      </c>
      <c r="Z241" s="19" t="s">
        <v>1227</v>
      </c>
      <c r="AA241" s="19">
        <v>1</v>
      </c>
      <c r="AB241" s="19">
        <v>1</v>
      </c>
      <c r="AC241" s="19" t="s">
        <v>58</v>
      </c>
      <c r="AD241" s="19" t="s">
        <v>975</v>
      </c>
      <c r="AE241" s="19" t="s">
        <v>270</v>
      </c>
      <c r="AF241" s="19"/>
    </row>
    <row r="242" spans="1:34">
      <c r="A242" s="19">
        <v>236</v>
      </c>
      <c r="B242" s="19" t="s">
        <v>299</v>
      </c>
      <c r="C242" s="19" t="s">
        <v>100</v>
      </c>
      <c r="D242" s="19" t="str">
        <f>HYPERLINK("http://www.henontech.com/fieldsafety/harzard/harzard_show.php?rid=1980&amp;url=harzardrecs.php","东冷凝澄清槽顶压焦油阀门处盖板缺失，如果一名操作工在压焦油时开阀门不慎左脚踩空，造成左小腿轻微划伤，不影响正常工作。")</f>
        <v>东冷凝澄清槽顶压焦油阀门处盖板缺失，如果一名操作工在压焦油时开阀门不慎左脚踩空，造成左小腿轻微划伤，不影响正常工作。</v>
      </c>
      <c r="E242" s="19" t="s">
        <v>1228</v>
      </c>
      <c r="F242" s="20" t="s">
        <v>42</v>
      </c>
      <c r="G242" s="22" t="s">
        <v>63</v>
      </c>
      <c r="H242" s="19" t="s">
        <v>44</v>
      </c>
      <c r="I242" s="19" t="s">
        <v>120</v>
      </c>
      <c r="J242" s="19" t="s">
        <v>46</v>
      </c>
      <c r="K242" s="19" t="s">
        <v>47</v>
      </c>
      <c r="L242" s="19" t="s">
        <v>76</v>
      </c>
      <c r="M242" s="19" t="s">
        <v>48</v>
      </c>
      <c r="N242" s="19" t="s">
        <v>483</v>
      </c>
      <c r="O242" s="19" t="s">
        <v>48</v>
      </c>
      <c r="P242" s="19" t="s">
        <v>50</v>
      </c>
      <c r="Q242" s="19" t="s">
        <v>1147</v>
      </c>
      <c r="R242" s="19" t="s">
        <v>1229</v>
      </c>
      <c r="S242" s="19"/>
      <c r="T242" s="19" t="s">
        <v>53</v>
      </c>
      <c r="U242" s="19" t="s">
        <v>54</v>
      </c>
      <c r="V242" s="19" t="s">
        <v>97</v>
      </c>
      <c r="W242" s="19" t="s">
        <v>81</v>
      </c>
      <c r="X242" s="19"/>
      <c r="Y242" s="19"/>
      <c r="Z242" s="19" t="s">
        <v>1230</v>
      </c>
      <c r="AA242" s="19">
        <v>1</v>
      </c>
      <c r="AB242" s="19">
        <v>1</v>
      </c>
      <c r="AC242" s="19" t="s">
        <v>58</v>
      </c>
      <c r="AD242" s="19" t="s">
        <v>50</v>
      </c>
      <c r="AE242" s="19" t="s">
        <v>83</v>
      </c>
      <c r="AF242" s="19"/>
    </row>
    <row r="243" spans="1:34">
      <c r="A243" s="19">
        <v>237</v>
      </c>
      <c r="B243" s="19" t="s">
        <v>299</v>
      </c>
      <c r="C243" s="19" t="s">
        <v>927</v>
      </c>
      <c r="D243" s="19" t="str">
        <f>HYPERLINK("http://www.henontech.com/fieldsafety/harzard/harzard_show.php?rid=1981&amp;url=harzardrecs.php","维修人员维修碱液泵，未按要求佩戴防护罩，以及防护手套，如果碱液泵拆卸过程中有碱液喷溅，会造成维修人员脸部被碱液灼伤红肿，上医务室处理后回家休养三天后复工，正常上班。")</f>
        <v>维修人员维修碱液泵，未按要求佩戴防护罩，以及防护手套，如果碱液泵拆卸过程中有碱液喷溅，会造成维修人员脸部被碱液灼伤红肿，上医务室处理后回家休养三天后复工，正常上班。</v>
      </c>
      <c r="E243" s="19" t="s">
        <v>1231</v>
      </c>
      <c r="F243" s="20" t="s">
        <v>42</v>
      </c>
      <c r="G243" s="22" t="s">
        <v>63</v>
      </c>
      <c r="H243" s="19" t="s">
        <v>44</v>
      </c>
      <c r="I243" s="19" t="s">
        <v>120</v>
      </c>
      <c r="J243" s="19" t="s">
        <v>46</v>
      </c>
      <c r="K243" s="19" t="s">
        <v>47</v>
      </c>
      <c r="L243" s="19"/>
      <c r="M243" s="19" t="s">
        <v>48</v>
      </c>
      <c r="N243" s="19" t="s">
        <v>163</v>
      </c>
      <c r="O243" s="19" t="s">
        <v>48</v>
      </c>
      <c r="P243" s="19" t="s">
        <v>50</v>
      </c>
      <c r="Q243" s="19" t="s">
        <v>630</v>
      </c>
      <c r="R243" s="19" t="s">
        <v>1232</v>
      </c>
      <c r="S243" s="19"/>
      <c r="T243" s="19" t="s">
        <v>53</v>
      </c>
      <c r="U243" s="19" t="s">
        <v>80</v>
      </c>
      <c r="V243" s="19" t="s">
        <v>55</v>
      </c>
      <c r="W243" s="19" t="s">
        <v>81</v>
      </c>
      <c r="X243" s="19"/>
      <c r="Y243" s="19"/>
      <c r="Z243" s="19" t="s">
        <v>1233</v>
      </c>
      <c r="AA243" s="19">
        <v>1</v>
      </c>
      <c r="AB243" s="19">
        <v>1</v>
      </c>
      <c r="AC243" s="19" t="s">
        <v>58</v>
      </c>
      <c r="AD243" s="19" t="s">
        <v>50</v>
      </c>
      <c r="AE243" s="19" t="s">
        <v>877</v>
      </c>
      <c r="AF243" s="19"/>
    </row>
    <row r="244" spans="1:34">
      <c r="A244" s="19">
        <v>238</v>
      </c>
      <c r="B244" s="19" t="s">
        <v>299</v>
      </c>
      <c r="C244" s="19" t="s">
        <v>623</v>
      </c>
      <c r="D244" s="19" t="str">
        <f>HYPERLINK("http://www.henontech.com/fieldsafety/harzard/harzard_show.php?rid=1985&amp;url=harzardrecs.php","一吸氨巡检工在巡检至外供氨水泵出口管线处，氨水管线破漏氨水，氨水飞溅到眼睛里，马上送往医务室治疗。")</f>
        <v>一吸氨巡检工在巡检至外供氨水泵出口管线处，氨水管线破漏氨水，氨水飞溅到眼睛里，马上送往医务室治疗。</v>
      </c>
      <c r="E244" s="19" t="s">
        <v>1234</v>
      </c>
      <c r="F244" s="20" t="s">
        <v>42</v>
      </c>
      <c r="G244" s="22" t="s">
        <v>63</v>
      </c>
      <c r="H244" s="19" t="s">
        <v>44</v>
      </c>
      <c r="I244" s="19"/>
      <c r="J244" s="19"/>
      <c r="K244" s="19" t="s">
        <v>47</v>
      </c>
      <c r="L244" s="19"/>
      <c r="M244" s="19" t="s">
        <v>224</v>
      </c>
      <c r="N244" s="19" t="s">
        <v>1235</v>
      </c>
      <c r="O244" s="19" t="s">
        <v>224</v>
      </c>
      <c r="P244" s="19" t="s">
        <v>226</v>
      </c>
      <c r="Q244" s="19" t="s">
        <v>1147</v>
      </c>
      <c r="R244" s="19" t="s">
        <v>1236</v>
      </c>
      <c r="S244" s="19"/>
      <c r="T244" s="19" t="s">
        <v>53</v>
      </c>
      <c r="U244" s="19" t="s">
        <v>54</v>
      </c>
      <c r="V244" s="19" t="s">
        <v>55</v>
      </c>
      <c r="W244" s="19" t="s">
        <v>56</v>
      </c>
      <c r="X244" s="19" t="s">
        <v>191</v>
      </c>
      <c r="Y244" s="19" t="s">
        <v>191</v>
      </c>
      <c r="Z244" s="19" t="s">
        <v>1237</v>
      </c>
      <c r="AA244" s="19">
        <v>1</v>
      </c>
      <c r="AB244" s="19">
        <v>1</v>
      </c>
      <c r="AC244" s="19" t="s">
        <v>58</v>
      </c>
      <c r="AD244" s="19" t="s">
        <v>226</v>
      </c>
      <c r="AE244" s="19" t="s">
        <v>766</v>
      </c>
      <c r="AF244" s="19"/>
    </row>
    <row r="245" spans="1:34">
      <c r="A245" s="19">
        <v>239</v>
      </c>
      <c r="B245" s="19" t="s">
        <v>299</v>
      </c>
      <c r="C245" s="19" t="s">
        <v>1238</v>
      </c>
      <c r="D245" s="19" t="str">
        <f>HYPERLINK("http://www.henontech.com/fieldsafety/harzard/harzard_show.php?rid=1986&amp;url=harzardrecs.php","维修人员在设备顶部更换法兰螺栓时，未佩戴安全带，用力紧固螺栓时，因用力过大，从高处设备上坠落，造成右小臂骨折，多处擦伤，送医院治疗。")</f>
        <v>维修人员在设备顶部更换法兰螺栓时，未佩戴安全带，用力紧固螺栓时，因用力过大，从高处设备上坠落，造成右小臂骨折，多处擦伤，送医院治疗。</v>
      </c>
      <c r="E245" s="19" t="s">
        <v>1239</v>
      </c>
      <c r="F245" s="20" t="s">
        <v>42</v>
      </c>
      <c r="G245" s="24" t="s">
        <v>322</v>
      </c>
      <c r="H245" s="19" t="s">
        <v>44</v>
      </c>
      <c r="I245" s="19" t="s">
        <v>184</v>
      </c>
      <c r="J245" s="19" t="s">
        <v>109</v>
      </c>
      <c r="K245" s="19" t="s">
        <v>110</v>
      </c>
      <c r="L245" s="19" t="s">
        <v>76</v>
      </c>
      <c r="M245" s="19" t="s">
        <v>224</v>
      </c>
      <c r="N245" s="19" t="s">
        <v>1240</v>
      </c>
      <c r="O245" s="19" t="s">
        <v>224</v>
      </c>
      <c r="P245" s="19" t="s">
        <v>282</v>
      </c>
      <c r="Q245" s="19" t="s">
        <v>383</v>
      </c>
      <c r="R245" s="19" t="s">
        <v>1241</v>
      </c>
      <c r="S245" s="19"/>
      <c r="T245" s="19" t="s">
        <v>53</v>
      </c>
      <c r="U245" s="19" t="s">
        <v>80</v>
      </c>
      <c r="V245" s="19" t="s">
        <v>97</v>
      </c>
      <c r="W245" s="19" t="s">
        <v>70</v>
      </c>
      <c r="X245" s="19" t="s">
        <v>126</v>
      </c>
      <c r="Y245" s="19" t="s">
        <v>126</v>
      </c>
      <c r="Z245" s="19" t="s">
        <v>1242</v>
      </c>
      <c r="AA245" s="19">
        <v>1</v>
      </c>
      <c r="AB245" s="19">
        <v>1</v>
      </c>
      <c r="AC245" s="19" t="s">
        <v>58</v>
      </c>
      <c r="AD245" s="19" t="s">
        <v>282</v>
      </c>
      <c r="AE245" s="19" t="s">
        <v>299</v>
      </c>
      <c r="AF245" s="19" t="s">
        <v>1243</v>
      </c>
    </row>
    <row r="246" spans="1:34">
      <c r="A246" s="19">
        <v>240</v>
      </c>
      <c r="B246" s="19" t="s">
        <v>299</v>
      </c>
      <c r="C246" s="19" t="s">
        <v>678</v>
      </c>
      <c r="D246" s="19" t="str">
        <f>HYPERLINK("http://www.henontech.com/fieldsafety/harzard/harzard_show.php?rid=1987&amp;url=harzardrecs.php","阿特拉斯空压机供油温度高，操作工加降温水冷却，通知维修清洗油冷器后，冷却水管未及时收起，夜间操作工巡检时，由于视线不清，不慎被水管绊倒，造成脚踝扭伤，送医救治。")</f>
        <v>阿特拉斯空压机供油温度高，操作工加降温水冷却，通知维修清洗油冷器后，冷却水管未及时收起，夜间操作工巡检时，由于视线不清，不慎被水管绊倒，造成脚踝扭伤，送医救治。</v>
      </c>
      <c r="E246" s="19" t="s">
        <v>1244</v>
      </c>
      <c r="F246" s="20" t="s">
        <v>42</v>
      </c>
      <c r="G246" s="22" t="s">
        <v>63</v>
      </c>
      <c r="H246" s="19" t="s">
        <v>44</v>
      </c>
      <c r="I246" s="19" t="s">
        <v>120</v>
      </c>
      <c r="J246" s="19" t="s">
        <v>46</v>
      </c>
      <c r="K246" s="19" t="s">
        <v>110</v>
      </c>
      <c r="L246" s="19" t="s">
        <v>76</v>
      </c>
      <c r="M246" s="19" t="s">
        <v>224</v>
      </c>
      <c r="N246" s="19" t="s">
        <v>1245</v>
      </c>
      <c r="O246" s="19" t="s">
        <v>224</v>
      </c>
      <c r="P246" s="19" t="s">
        <v>336</v>
      </c>
      <c r="Q246" s="19" t="s">
        <v>630</v>
      </c>
      <c r="R246" s="19" t="s">
        <v>840</v>
      </c>
      <c r="S246" s="19"/>
      <c r="T246" s="19" t="s">
        <v>53</v>
      </c>
      <c r="U246" s="19" t="s">
        <v>80</v>
      </c>
      <c r="V246" s="19" t="s">
        <v>69</v>
      </c>
      <c r="W246" s="19" t="s">
        <v>190</v>
      </c>
      <c r="X246" s="19" t="s">
        <v>338</v>
      </c>
      <c r="Y246" s="19" t="s">
        <v>434</v>
      </c>
      <c r="Z246" s="19" t="s">
        <v>1246</v>
      </c>
      <c r="AA246" s="19">
        <v>1</v>
      </c>
      <c r="AB246" s="19">
        <v>1</v>
      </c>
      <c r="AC246" s="19" t="s">
        <v>58</v>
      </c>
      <c r="AD246" s="19" t="s">
        <v>336</v>
      </c>
      <c r="AE246" s="19" t="s">
        <v>877</v>
      </c>
      <c r="AF246" s="19" t="s">
        <v>1247</v>
      </c>
    </row>
    <row r="247" spans="1:34">
      <c r="A247" s="19">
        <v>241</v>
      </c>
      <c r="B247" s="19" t="s">
        <v>270</v>
      </c>
      <c r="C247" s="19" t="s">
        <v>1238</v>
      </c>
      <c r="D247" s="19" t="str">
        <f>HYPERLINK("http://www.henontech.com/fieldsafety/harzard/harzard_show.php?rid=1992&amp;url=harzardrecs.php","夜间操作工巡查2#压缩机时压缩机操作平台处黑皮管子，由于夜间光线差，操作工走到平台处时，不小心被平台处黑皮管线绊倒")</f>
        <v>夜间操作工巡查2#压缩机时压缩机操作平台处黑皮管子，由于夜间光线差，操作工走到平台处时，不小心被平台处黑皮管线绊倒</v>
      </c>
      <c r="E247" s="19" t="s">
        <v>1248</v>
      </c>
      <c r="F247" s="20" t="s">
        <v>42</v>
      </c>
      <c r="G247" s="22" t="s">
        <v>63</v>
      </c>
      <c r="H247" s="19" t="s">
        <v>44</v>
      </c>
      <c r="I247" s="19" t="s">
        <v>45</v>
      </c>
      <c r="J247" s="19" t="s">
        <v>580</v>
      </c>
      <c r="K247" s="19" t="s">
        <v>47</v>
      </c>
      <c r="L247" s="19" t="s">
        <v>76</v>
      </c>
      <c r="M247" s="19" t="s">
        <v>224</v>
      </c>
      <c r="N247" s="19" t="s">
        <v>1249</v>
      </c>
      <c r="O247" s="19" t="s">
        <v>224</v>
      </c>
      <c r="P247" s="19" t="s">
        <v>975</v>
      </c>
      <c r="Q247" s="19" t="s">
        <v>740</v>
      </c>
      <c r="R247" s="19" t="s">
        <v>1250</v>
      </c>
      <c r="S247" s="19"/>
      <c r="T247" s="19" t="s">
        <v>53</v>
      </c>
      <c r="U247" s="19" t="s">
        <v>80</v>
      </c>
      <c r="V247" s="19" t="s">
        <v>97</v>
      </c>
      <c r="W247" s="19" t="s">
        <v>70</v>
      </c>
      <c r="X247" s="19" t="s">
        <v>126</v>
      </c>
      <c r="Y247" s="19" t="s">
        <v>126</v>
      </c>
      <c r="Z247" s="19" t="s">
        <v>1251</v>
      </c>
      <c r="AA247" s="19">
        <v>1</v>
      </c>
      <c r="AB247" s="19">
        <v>1</v>
      </c>
      <c r="AC247" s="19" t="s">
        <v>58</v>
      </c>
      <c r="AD247" s="19" t="s">
        <v>975</v>
      </c>
      <c r="AE247" s="19" t="s">
        <v>513</v>
      </c>
      <c r="AF247" s="19" t="s">
        <v>1252</v>
      </c>
    </row>
    <row r="248" spans="1:34" customHeight="1" ht="42">
      <c r="A248" s="19">
        <v>242</v>
      </c>
      <c r="B248" s="19" t="s">
        <v>270</v>
      </c>
      <c r="C248" s="19" t="s">
        <v>329</v>
      </c>
      <c r="D248" s="19" t="str">
        <f>HYPERLINK("http://www.henontech.com/fieldsafety/harzard/harzard_show.php?rid=1994&amp;url=harzardrecs.php","东风机2号风机机体下液管爬梯处有一横管，现已废弃不用，如果一名操作工在上爬梯时，头部顶到横管上，致使人员滑落，造成操作工右脚腕扭伤，在家休养5天后正常上班")</f>
        <v>东风机2号风机机体下液管爬梯处有一横管，现已废弃不用，如果一名操作工在上爬梯时，头部顶到横管上，致使人员滑落，造成操作工右脚腕扭伤，在家休养5天后正常上班</v>
      </c>
      <c r="E248" s="19" t="s">
        <v>1253</v>
      </c>
      <c r="F248" s="20" t="s">
        <v>42</v>
      </c>
      <c r="G248" s="22" t="s">
        <v>63</v>
      </c>
      <c r="H248" s="19" t="s">
        <v>44</v>
      </c>
      <c r="I248" s="19"/>
      <c r="J248" s="19" t="s">
        <v>46</v>
      </c>
      <c r="K248" s="19" t="s">
        <v>64</v>
      </c>
      <c r="L248" s="19" t="s">
        <v>76</v>
      </c>
      <c r="M248" s="19" t="s">
        <v>48</v>
      </c>
      <c r="N248" s="19" t="s">
        <v>331</v>
      </c>
      <c r="O248" s="19" t="s">
        <v>48</v>
      </c>
      <c r="P248" s="19" t="s">
        <v>50</v>
      </c>
      <c r="Q248" s="19" t="s">
        <v>630</v>
      </c>
      <c r="R248" s="19" t="s">
        <v>1254</v>
      </c>
      <c r="S248" s="19"/>
      <c r="T248" s="19" t="s">
        <v>53</v>
      </c>
      <c r="U248" s="19" t="s">
        <v>80</v>
      </c>
      <c r="V248" s="19" t="s">
        <v>97</v>
      </c>
      <c r="W248" s="19" t="s">
        <v>70</v>
      </c>
      <c r="X248" s="19"/>
      <c r="Y248" s="19"/>
      <c r="Z248" s="19" t="s">
        <v>1255</v>
      </c>
      <c r="AA248" s="19">
        <v>2</v>
      </c>
      <c r="AB248" s="19">
        <v>2</v>
      </c>
      <c r="AC248" s="19" t="s">
        <v>58</v>
      </c>
      <c r="AD248" s="19" t="s">
        <v>50</v>
      </c>
      <c r="AE248" s="19" t="s">
        <v>83</v>
      </c>
      <c r="AF248" s="19"/>
    </row>
    <row r="249" spans="1:34">
      <c r="A249" s="19">
        <v>243</v>
      </c>
      <c r="B249" s="19" t="s">
        <v>270</v>
      </c>
      <c r="C249" s="19" t="s">
        <v>320</v>
      </c>
      <c r="D249" s="19" t="str">
        <f>HYPERLINK("http://www.henontech.com/fieldsafety/harzard/harzard_show.php?rid=1996&amp;url=harzardrecs.php","上班期间，一名操作工在巡检是走到气体分析仪时，听到有漏气声音，没有及时反应过来，造成一氧化碳中毒，另一名巡检人员及时发现，穿戴空气呼吸器将中毒人员转移到空气流畅地方并送医救治。")</f>
        <v>上班期间，一名操作工在巡检是走到气体分析仪时，听到有漏气声音，没有及时反应过来，造成一氧化碳中毒，另一名巡检人员及时发现，穿戴空气呼吸器将中毒人员转移到空气流畅地方并送医救治。</v>
      </c>
      <c r="E249" s="19" t="s">
        <v>1256</v>
      </c>
      <c r="F249" s="23" t="s">
        <v>304</v>
      </c>
      <c r="G249" s="22" t="s">
        <v>63</v>
      </c>
      <c r="H249" s="19" t="s">
        <v>44</v>
      </c>
      <c r="I249" s="19" t="s">
        <v>108</v>
      </c>
      <c r="J249" s="19" t="s">
        <v>46</v>
      </c>
      <c r="K249" s="19" t="s">
        <v>110</v>
      </c>
      <c r="L249" s="19" t="s">
        <v>76</v>
      </c>
      <c r="M249" s="19" t="s">
        <v>224</v>
      </c>
      <c r="N249" s="19" t="s">
        <v>1257</v>
      </c>
      <c r="O249" s="19"/>
      <c r="P249" s="19"/>
      <c r="Q249" s="19"/>
      <c r="R249" s="19" t="s">
        <v>1258</v>
      </c>
      <c r="S249" s="19" t="s">
        <v>1259</v>
      </c>
      <c r="T249" s="19" t="s">
        <v>53</v>
      </c>
      <c r="U249" s="19" t="s">
        <v>80</v>
      </c>
      <c r="V249" s="19" t="s">
        <v>97</v>
      </c>
      <c r="W249" s="19" t="s">
        <v>70</v>
      </c>
      <c r="X249" s="19"/>
      <c r="Y249" s="19"/>
      <c r="Z249" s="19"/>
      <c r="AA249" s="19">
        <v>0</v>
      </c>
      <c r="AB249" s="19"/>
      <c r="AC249" s="19" t="s">
        <v>308</v>
      </c>
      <c r="AD249" s="19"/>
      <c r="AE249" s="19"/>
      <c r="AF249" s="19"/>
    </row>
    <row r="250" spans="1:34">
      <c r="A250" s="19">
        <v>244</v>
      </c>
      <c r="B250" s="19" t="s">
        <v>270</v>
      </c>
      <c r="C250" s="19" t="s">
        <v>1260</v>
      </c>
      <c r="D250" s="19" t="str">
        <f>HYPERLINK("http://www.henontech.com/fieldsafety/harzard/harzard_show.php?rid=1997&amp;url=harzardrecs.php","一名巡检工到2号废锅液位计处巡检发现法兰电传液位计垫子破蒸汽泄露通知维修，维修工维修时防护不当被蒸汽烫伤脸部送医院治疗")</f>
        <v>一名巡检工到2号废锅液位计处巡检发现法兰电传液位计垫子破蒸汽泄露通知维修，维修工维修时防护不当被蒸汽烫伤脸部送医院治疗</v>
      </c>
      <c r="E250" s="19" t="s">
        <v>1261</v>
      </c>
      <c r="F250" s="20" t="s">
        <v>42</v>
      </c>
      <c r="G250" s="22" t="s">
        <v>63</v>
      </c>
      <c r="H250" s="19" t="s">
        <v>44</v>
      </c>
      <c r="I250" s="19" t="s">
        <v>45</v>
      </c>
      <c r="J250" s="19" t="s">
        <v>46</v>
      </c>
      <c r="K250" s="19" t="s">
        <v>110</v>
      </c>
      <c r="L250" s="19" t="s">
        <v>76</v>
      </c>
      <c r="M250" s="19" t="s">
        <v>224</v>
      </c>
      <c r="N250" s="19" t="s">
        <v>335</v>
      </c>
      <c r="O250" s="19" t="s">
        <v>224</v>
      </c>
      <c r="P250" s="19" t="s">
        <v>336</v>
      </c>
      <c r="Q250" s="19" t="s">
        <v>630</v>
      </c>
      <c r="R250" s="19" t="s">
        <v>1262</v>
      </c>
      <c r="S250" s="19"/>
      <c r="T250" s="19" t="s">
        <v>53</v>
      </c>
      <c r="U250" s="19" t="s">
        <v>80</v>
      </c>
      <c r="V250" s="19" t="s">
        <v>69</v>
      </c>
      <c r="W250" s="19" t="s">
        <v>190</v>
      </c>
      <c r="X250" s="19" t="s">
        <v>338</v>
      </c>
      <c r="Y250" s="19" t="s">
        <v>434</v>
      </c>
      <c r="Z250" s="19" t="s">
        <v>1263</v>
      </c>
      <c r="AA250" s="19">
        <v>1</v>
      </c>
      <c r="AB250" s="19">
        <v>1</v>
      </c>
      <c r="AC250" s="19" t="s">
        <v>58</v>
      </c>
      <c r="AD250" s="19" t="s">
        <v>336</v>
      </c>
      <c r="AE250" s="19" t="s">
        <v>877</v>
      </c>
      <c r="AF250" s="19" t="s">
        <v>1264</v>
      </c>
    </row>
    <row r="251" spans="1:34">
      <c r="A251" s="19">
        <v>245</v>
      </c>
      <c r="B251" s="19" t="s">
        <v>270</v>
      </c>
      <c r="C251" s="19" t="s">
        <v>1265</v>
      </c>
      <c r="D251" s="19" t="str">
        <f>HYPERLINK("http://www.henontech.com/fieldsafety/harzard/harzard_show.php?rid=1998&amp;url=harzardrecs.php","离心晶分池入口管线阀门泄露，一名操作工在夜间操作时因为光线暗，又没有佩戴防护镜导致泄露的氨水溅入眼中，导致眼睛灼伤，紧急清理后送医治疗一周。")</f>
        <v>离心晶分池入口管线阀门泄露，一名操作工在夜间操作时因为光线暗，又没有佩戴防护镜导致泄露的氨水溅入眼中，导致眼睛灼伤，紧急清理后送医治疗一周。</v>
      </c>
      <c r="E251" s="19" t="s">
        <v>1266</v>
      </c>
      <c r="F251" s="20" t="s">
        <v>42</v>
      </c>
      <c r="G251" s="22" t="s">
        <v>63</v>
      </c>
      <c r="H251" s="19" t="s">
        <v>44</v>
      </c>
      <c r="I251" s="19" t="s">
        <v>108</v>
      </c>
      <c r="J251" s="19" t="s">
        <v>46</v>
      </c>
      <c r="K251" s="19" t="s">
        <v>47</v>
      </c>
      <c r="L251" s="19" t="s">
        <v>76</v>
      </c>
      <c r="M251" s="19" t="s">
        <v>224</v>
      </c>
      <c r="N251" s="19" t="s">
        <v>1267</v>
      </c>
      <c r="O251" s="19" t="s">
        <v>224</v>
      </c>
      <c r="P251" s="19" t="s">
        <v>336</v>
      </c>
      <c r="Q251" s="19" t="s">
        <v>630</v>
      </c>
      <c r="R251" s="19" t="s">
        <v>1268</v>
      </c>
      <c r="S251" s="19"/>
      <c r="T251" s="19" t="s">
        <v>53</v>
      </c>
      <c r="U251" s="19" t="s">
        <v>80</v>
      </c>
      <c r="V251" s="19" t="s">
        <v>69</v>
      </c>
      <c r="W251" s="19" t="s">
        <v>190</v>
      </c>
      <c r="X251" s="19" t="s">
        <v>191</v>
      </c>
      <c r="Y251" s="19" t="s">
        <v>191</v>
      </c>
      <c r="Z251" s="19" t="s">
        <v>1269</v>
      </c>
      <c r="AA251" s="19">
        <v>1</v>
      </c>
      <c r="AB251" s="19">
        <v>1</v>
      </c>
      <c r="AC251" s="19" t="s">
        <v>58</v>
      </c>
      <c r="AD251" s="19" t="s">
        <v>336</v>
      </c>
      <c r="AE251" s="19" t="s">
        <v>877</v>
      </c>
      <c r="AF251" s="19" t="s">
        <v>1270</v>
      </c>
    </row>
    <row r="252" spans="1:34">
      <c r="A252" s="19">
        <v>246</v>
      </c>
      <c r="B252" s="19" t="s">
        <v>270</v>
      </c>
      <c r="C252" s="19" t="s">
        <v>678</v>
      </c>
      <c r="D252" s="19" t="str">
        <f>HYPERLINK("http://www.henontech.com/fieldsafety/harzard/harzard_show.php?rid=1999&amp;url=harzardrecs.php","操作工往液氧储槽排放液氧时发现取样阀垫子泄露，通知维修。维修工维修时因防护不当不慎被液氧冻伤右手，送医院简单治疗。")</f>
        <v>操作工往液氧储槽排放液氧时发现取样阀垫子泄露，通知维修。维修工维修时因防护不当不慎被液氧冻伤右手，送医院简单治疗。</v>
      </c>
      <c r="E252" s="19" t="s">
        <v>1271</v>
      </c>
      <c r="F252" s="20" t="s">
        <v>42</v>
      </c>
      <c r="G252" s="22" t="s">
        <v>63</v>
      </c>
      <c r="H252" s="19" t="s">
        <v>44</v>
      </c>
      <c r="I252" s="19" t="s">
        <v>45</v>
      </c>
      <c r="J252" s="19" t="s">
        <v>46</v>
      </c>
      <c r="K252" s="19" t="s">
        <v>110</v>
      </c>
      <c r="L252" s="19" t="s">
        <v>76</v>
      </c>
      <c r="M252" s="19" t="s">
        <v>224</v>
      </c>
      <c r="N252" s="19" t="s">
        <v>1272</v>
      </c>
      <c r="O252" s="19" t="s">
        <v>224</v>
      </c>
      <c r="P252" s="19" t="s">
        <v>336</v>
      </c>
      <c r="Q252" s="19" t="s">
        <v>592</v>
      </c>
      <c r="R252" s="19" t="s">
        <v>1273</v>
      </c>
      <c r="S252" s="19"/>
      <c r="T252" s="19" t="s">
        <v>53</v>
      </c>
      <c r="U252" s="19" t="s">
        <v>80</v>
      </c>
      <c r="V252" s="19" t="s">
        <v>69</v>
      </c>
      <c r="W252" s="19" t="s">
        <v>190</v>
      </c>
      <c r="X252" s="19" t="s">
        <v>338</v>
      </c>
      <c r="Y252" s="19" t="s">
        <v>434</v>
      </c>
      <c r="Z252" s="19" t="s">
        <v>1274</v>
      </c>
      <c r="AA252" s="19">
        <v>1</v>
      </c>
      <c r="AB252" s="19">
        <v>1</v>
      </c>
      <c r="AC252" s="19" t="s">
        <v>58</v>
      </c>
      <c r="AD252" s="19" t="s">
        <v>336</v>
      </c>
      <c r="AE252" s="19" t="s">
        <v>877</v>
      </c>
      <c r="AF252" s="19" t="s">
        <v>1275</v>
      </c>
    </row>
    <row r="253" spans="1:34">
      <c r="A253" s="19">
        <v>247</v>
      </c>
      <c r="B253" s="19" t="s">
        <v>83</v>
      </c>
      <c r="C253" s="19" t="s">
        <v>846</v>
      </c>
      <c r="D253" s="19" t="str">
        <f>HYPERLINK("http://www.henontech.com/fieldsafety/harzard/harzard_show.php?rid=2000&amp;url=harzardrecs.php","一名操作工在调节蒸汽阀门时，正对蒸汽连管倒淋，黑胶皮管由于未固定好，阀门开启过大过程中，导致黑胶皮管窜出，蒸汽喷出，人员躲避不及时，造成一名操作工小腿烫伤，住院治疗半月，休息半月。")</f>
        <v>一名操作工在调节蒸汽阀门时，正对蒸汽连管倒淋，黑胶皮管由于未固定好，阀门开启过大过程中，导致黑胶皮管窜出，蒸汽喷出，人员躲避不及时，造成一名操作工小腿烫伤，住院治疗半月，休息半月。</v>
      </c>
      <c r="E253" s="19" t="s">
        <v>1128</v>
      </c>
      <c r="F253" s="20" t="s">
        <v>42</v>
      </c>
      <c r="G253" s="22" t="s">
        <v>63</v>
      </c>
      <c r="H253" s="19" t="s">
        <v>44</v>
      </c>
      <c r="I253" s="19" t="s">
        <v>45</v>
      </c>
      <c r="J253" s="19" t="s">
        <v>109</v>
      </c>
      <c r="K253" s="19" t="s">
        <v>47</v>
      </c>
      <c r="L253" s="19"/>
      <c r="M253" s="19" t="s">
        <v>224</v>
      </c>
      <c r="N253" s="19" t="s">
        <v>1118</v>
      </c>
      <c r="O253" s="19" t="s">
        <v>224</v>
      </c>
      <c r="P253" s="19" t="s">
        <v>975</v>
      </c>
      <c r="Q253" s="19" t="s">
        <v>592</v>
      </c>
      <c r="R253" s="19" t="s">
        <v>1276</v>
      </c>
      <c r="S253" s="19"/>
      <c r="T253" s="19" t="s">
        <v>53</v>
      </c>
      <c r="U253" s="19" t="s">
        <v>80</v>
      </c>
      <c r="V253" s="19" t="s">
        <v>97</v>
      </c>
      <c r="W253" s="19" t="s">
        <v>70</v>
      </c>
      <c r="X253" s="19"/>
      <c r="Y253" s="19"/>
      <c r="Z253" s="19" t="s">
        <v>1277</v>
      </c>
      <c r="AA253" s="19">
        <v>1</v>
      </c>
      <c r="AB253" s="19">
        <v>0</v>
      </c>
      <c r="AC253" s="19" t="s">
        <v>58</v>
      </c>
      <c r="AD253" s="19" t="s">
        <v>975</v>
      </c>
      <c r="AE253" s="19" t="s">
        <v>791</v>
      </c>
      <c r="AF253" s="19" t="s">
        <v>1026</v>
      </c>
    </row>
    <row r="254" spans="1:34">
      <c r="A254" s="19">
        <v>248</v>
      </c>
      <c r="B254" s="19" t="s">
        <v>83</v>
      </c>
      <c r="C254" s="19" t="s">
        <v>222</v>
      </c>
      <c r="D254" s="19" t="str">
        <f>HYPERLINK("http://www.henontech.com/fieldsafety/harzard/harzard_show.php?rid=2001&amp;url=harzardrecs.php","鼓风机房屋后爬梯无警告标识，一名操作工爬梯时没引起注意，爬梯脚没踩稳下滑，手抓住扶手，引起手部手腕拉伤")</f>
        <v>鼓风机房屋后爬梯无警告标识，一名操作工爬梯时没引起注意，爬梯脚没踩稳下滑，手抓住扶手，引起手部手腕拉伤</v>
      </c>
      <c r="E254" s="19" t="s">
        <v>1278</v>
      </c>
      <c r="F254" s="20" t="s">
        <v>42</v>
      </c>
      <c r="G254" s="22" t="s">
        <v>63</v>
      </c>
      <c r="H254" s="19" t="s">
        <v>44</v>
      </c>
      <c r="I254" s="19" t="s">
        <v>108</v>
      </c>
      <c r="J254" s="19" t="s">
        <v>46</v>
      </c>
      <c r="K254" s="19" t="s">
        <v>47</v>
      </c>
      <c r="L254" s="19"/>
      <c r="M254" s="19" t="s">
        <v>224</v>
      </c>
      <c r="N254" s="19" t="s">
        <v>1279</v>
      </c>
      <c r="O254" s="19" t="s">
        <v>224</v>
      </c>
      <c r="P254" s="19" t="s">
        <v>226</v>
      </c>
      <c r="Q254" s="19" t="s">
        <v>592</v>
      </c>
      <c r="R254" s="19" t="s">
        <v>1280</v>
      </c>
      <c r="S254" s="19"/>
      <c r="T254" s="19" t="s">
        <v>53</v>
      </c>
      <c r="U254" s="19" t="s">
        <v>54</v>
      </c>
      <c r="V254" s="19" t="s">
        <v>97</v>
      </c>
      <c r="W254" s="19" t="s">
        <v>81</v>
      </c>
      <c r="X254" s="19"/>
      <c r="Y254" s="19"/>
      <c r="Z254" s="19" t="s">
        <v>1281</v>
      </c>
      <c r="AA254" s="19">
        <v>1</v>
      </c>
      <c r="AB254" s="19">
        <v>1</v>
      </c>
      <c r="AC254" s="19" t="s">
        <v>58</v>
      </c>
      <c r="AD254" s="19" t="s">
        <v>226</v>
      </c>
      <c r="AE254" s="19" t="s">
        <v>766</v>
      </c>
      <c r="AF254" s="19"/>
    </row>
    <row r="255" spans="1:34">
      <c r="A255" s="19">
        <v>249</v>
      </c>
      <c r="B255" s="19" t="s">
        <v>83</v>
      </c>
      <c r="C255" s="19" t="s">
        <v>1282</v>
      </c>
      <c r="D255" s="19" t="str">
        <f>HYPERLINK("http://www.henontech.com/fieldsafety/harzard/harzard_show.php?rid=2002&amp;url=harzardrecs.php","叉车停车后未拉手刹，叉车司机在上车时突然溜车，压伤右脚拇指，送医院治疗。")</f>
        <v>叉车停车后未拉手刹，叉车司机在上车时突然溜车，压伤右脚拇指，送医院治疗。</v>
      </c>
      <c r="E255" s="19" t="s">
        <v>1283</v>
      </c>
      <c r="F255" s="20" t="s">
        <v>42</v>
      </c>
      <c r="G255" s="21" t="s">
        <v>43</v>
      </c>
      <c r="H255" s="19" t="s">
        <v>44</v>
      </c>
      <c r="I255" s="19"/>
      <c r="J255" s="19" t="s">
        <v>349</v>
      </c>
      <c r="K255" s="19" t="s">
        <v>110</v>
      </c>
      <c r="L255" s="19"/>
      <c r="M255" s="19" t="s">
        <v>224</v>
      </c>
      <c r="N255" s="19" t="s">
        <v>1284</v>
      </c>
      <c r="O255" s="19" t="s">
        <v>224</v>
      </c>
      <c r="P255" s="19" t="s">
        <v>226</v>
      </c>
      <c r="Q255" s="19" t="s">
        <v>601</v>
      </c>
      <c r="R255" s="19" t="s">
        <v>1285</v>
      </c>
      <c r="S255" s="19"/>
      <c r="T255" s="19" t="s">
        <v>53</v>
      </c>
      <c r="U255" s="19" t="s">
        <v>80</v>
      </c>
      <c r="V255" s="19" t="s">
        <v>97</v>
      </c>
      <c r="W255" s="19" t="s">
        <v>70</v>
      </c>
      <c r="X255" s="19" t="s">
        <v>126</v>
      </c>
      <c r="Y255" s="19" t="s">
        <v>126</v>
      </c>
      <c r="Z255" s="19" t="s">
        <v>1286</v>
      </c>
      <c r="AA255" s="19">
        <v>1</v>
      </c>
      <c r="AB255" s="19">
        <v>1</v>
      </c>
      <c r="AC255" s="19" t="s">
        <v>58</v>
      </c>
      <c r="AD255" s="19" t="s">
        <v>226</v>
      </c>
      <c r="AE255" s="19" t="s">
        <v>836</v>
      </c>
      <c r="AF255" s="19"/>
    </row>
    <row r="256" spans="1:34">
      <c r="A256" s="19">
        <v>250</v>
      </c>
      <c r="B256" s="19" t="s">
        <v>83</v>
      </c>
      <c r="C256" s="19" t="s">
        <v>1238</v>
      </c>
      <c r="D256" s="19" t="str">
        <f>HYPERLINK("http://www.henontech.com/fieldsafety/harzard/harzard_show.php?rid=2003&amp;url=harzardrecs.php","化工厂2#压缩机电机基础侧有宽缝隙，未进行覆盖。如果压缩机巡检工对压缩机电机进行巡检时，脚不慎掉入该缝隙，造成崴伤脚腕，损工治疗。")</f>
        <v>化工厂2#压缩机电机基础侧有宽缝隙，未进行覆盖。如果压缩机巡检工对压缩机电机进行巡检时，脚不慎掉入该缝隙，造成崴伤脚腕，损工治疗。</v>
      </c>
      <c r="E256" s="19" t="s">
        <v>1287</v>
      </c>
      <c r="F256" s="20" t="s">
        <v>42</v>
      </c>
      <c r="G256" s="22" t="s">
        <v>63</v>
      </c>
      <c r="H256" s="19" t="s">
        <v>44</v>
      </c>
      <c r="I256" s="19" t="s">
        <v>358</v>
      </c>
      <c r="J256" s="19" t="s">
        <v>46</v>
      </c>
      <c r="K256" s="19" t="s">
        <v>64</v>
      </c>
      <c r="L256" s="19" t="s">
        <v>76</v>
      </c>
      <c r="M256" s="19" t="s">
        <v>224</v>
      </c>
      <c r="N256" s="19" t="s">
        <v>281</v>
      </c>
      <c r="O256" s="19" t="s">
        <v>224</v>
      </c>
      <c r="P256" s="19" t="s">
        <v>226</v>
      </c>
      <c r="Q256" s="19" t="s">
        <v>877</v>
      </c>
      <c r="R256" s="19" t="s">
        <v>1288</v>
      </c>
      <c r="S256" s="19"/>
      <c r="T256" s="19" t="s">
        <v>53</v>
      </c>
      <c r="U256" s="19" t="s">
        <v>80</v>
      </c>
      <c r="V256" s="19" t="s">
        <v>97</v>
      </c>
      <c r="W256" s="19" t="s">
        <v>70</v>
      </c>
      <c r="X256" s="19" t="s">
        <v>126</v>
      </c>
      <c r="Y256" s="19" t="s">
        <v>126</v>
      </c>
      <c r="Z256" s="19" t="s">
        <v>1289</v>
      </c>
      <c r="AA256" s="19">
        <v>1</v>
      </c>
      <c r="AB256" s="19">
        <v>1</v>
      </c>
      <c r="AC256" s="19" t="s">
        <v>58</v>
      </c>
      <c r="AD256" s="19" t="s">
        <v>226</v>
      </c>
      <c r="AE256" s="19" t="s">
        <v>836</v>
      </c>
      <c r="AF256" s="19"/>
    </row>
    <row r="257" spans="1:34">
      <c r="A257" s="19">
        <v>251</v>
      </c>
      <c r="B257" s="19" t="s">
        <v>83</v>
      </c>
      <c r="C257" s="19" t="s">
        <v>754</v>
      </c>
      <c r="D257" s="19" t="str">
        <f>HYPERLINK("http://www.henontech.com/fieldsafety/harzard/harzard_show.php?rid=2004&amp;url=harzardrecs.php","分析人员使用硫酸后，把硫酸平放置在平台边沿，分析人员在做分析时不小心把硫酸瓶碰落到地面，硫酸瓶破裂溅出的硫酸落到了分析人员的双脚脚面上，紧急处置后送医务室治疗。")</f>
        <v>分析人员使用硫酸后，把硫酸平放置在平台边沿，分析人员在做分析时不小心把硫酸瓶碰落到地面，硫酸瓶破裂溅出的硫酸落到了分析人员的双脚脚面上，紧急处置后送医务室治疗。</v>
      </c>
      <c r="E257" s="19" t="s">
        <v>1290</v>
      </c>
      <c r="F257" s="20" t="s">
        <v>42</v>
      </c>
      <c r="G257" s="21" t="s">
        <v>43</v>
      </c>
      <c r="H257" s="19" t="s">
        <v>44</v>
      </c>
      <c r="I257" s="19" t="s">
        <v>120</v>
      </c>
      <c r="J257" s="19" t="s">
        <v>531</v>
      </c>
      <c r="K257" s="19" t="s">
        <v>64</v>
      </c>
      <c r="L257" s="19" t="s">
        <v>76</v>
      </c>
      <c r="M257" s="19" t="s">
        <v>224</v>
      </c>
      <c r="N257" s="19" t="s">
        <v>1291</v>
      </c>
      <c r="O257" s="19" t="s">
        <v>224</v>
      </c>
      <c r="P257" s="19" t="s">
        <v>226</v>
      </c>
      <c r="Q257" s="19" t="s">
        <v>419</v>
      </c>
      <c r="R257" s="19" t="s">
        <v>1292</v>
      </c>
      <c r="S257" s="19"/>
      <c r="T257" s="19" t="s">
        <v>53</v>
      </c>
      <c r="U257" s="19" t="s">
        <v>80</v>
      </c>
      <c r="V257" s="19" t="s">
        <v>97</v>
      </c>
      <c r="W257" s="19" t="s">
        <v>70</v>
      </c>
      <c r="X257" s="19" t="s">
        <v>126</v>
      </c>
      <c r="Y257" s="19" t="s">
        <v>126</v>
      </c>
      <c r="Z257" s="19" t="s">
        <v>1293</v>
      </c>
      <c r="AA257" s="19">
        <v>1</v>
      </c>
      <c r="AB257" s="19">
        <v>1</v>
      </c>
      <c r="AC257" s="19" t="s">
        <v>58</v>
      </c>
      <c r="AD257" s="19" t="s">
        <v>226</v>
      </c>
      <c r="AE257" s="19" t="s">
        <v>83</v>
      </c>
      <c r="AF257" s="19"/>
    </row>
    <row r="258" spans="1:34">
      <c r="A258" s="19">
        <v>252</v>
      </c>
      <c r="B258" s="19" t="s">
        <v>83</v>
      </c>
      <c r="C258" s="19" t="s">
        <v>384</v>
      </c>
      <c r="D258" s="19" t="str">
        <f>HYPERLINK("http://www.henontech.com/fieldsafety/harzard/harzard_show.php?rid=2005&amp;url=harzardrecs.php","3#初冷器冲洗下液管的蒸汽阀门盘根漏蒸汽，一名操作工在开蒸汽冲洗下液管时如果手部防护措施不到位导致蒸汽把右手面烫伤，经医务室简单处理，正常工作。")</f>
        <v>3#初冷器冲洗下液管的蒸汽阀门盘根漏蒸汽，一名操作工在开蒸汽冲洗下液管时如果手部防护措施不到位导致蒸汽把右手面烫伤，经医务室简单处理，正常工作。</v>
      </c>
      <c r="E258" s="19" t="s">
        <v>1294</v>
      </c>
      <c r="F258" s="20" t="s">
        <v>42</v>
      </c>
      <c r="G258" s="22" t="s">
        <v>63</v>
      </c>
      <c r="H258" s="19" t="s">
        <v>44</v>
      </c>
      <c r="I258" s="19" t="s">
        <v>45</v>
      </c>
      <c r="J258" s="19" t="s">
        <v>46</v>
      </c>
      <c r="K258" s="19" t="s">
        <v>102</v>
      </c>
      <c r="L258" s="19" t="s">
        <v>76</v>
      </c>
      <c r="M258" s="19" t="s">
        <v>48</v>
      </c>
      <c r="N258" s="19" t="s">
        <v>784</v>
      </c>
      <c r="O258" s="19" t="s">
        <v>48</v>
      </c>
      <c r="P258" s="19" t="s">
        <v>50</v>
      </c>
      <c r="Q258" s="19" t="s">
        <v>592</v>
      </c>
      <c r="R258" s="19" t="s">
        <v>1295</v>
      </c>
      <c r="S258" s="19"/>
      <c r="T258" s="19" t="s">
        <v>53</v>
      </c>
      <c r="U258" s="19" t="s">
        <v>54</v>
      </c>
      <c r="V258" s="19" t="s">
        <v>55</v>
      </c>
      <c r="W258" s="19" t="s">
        <v>56</v>
      </c>
      <c r="X258" s="19"/>
      <c r="Y258" s="19"/>
      <c r="Z258" s="19" t="s">
        <v>1296</v>
      </c>
      <c r="AA258" s="19">
        <v>1</v>
      </c>
      <c r="AB258" s="19">
        <v>1</v>
      </c>
      <c r="AC258" s="19" t="s">
        <v>58</v>
      </c>
      <c r="AD258" s="19" t="s">
        <v>50</v>
      </c>
      <c r="AE258" s="19" t="s">
        <v>948</v>
      </c>
      <c r="AF258" s="19"/>
    </row>
    <row r="259" spans="1:34">
      <c r="A259" s="19">
        <v>253</v>
      </c>
      <c r="B259" s="19" t="s">
        <v>83</v>
      </c>
      <c r="C259" s="19" t="s">
        <v>273</v>
      </c>
      <c r="D259" s="19" t="str">
        <f>HYPERLINK("http://www.henontech.com/fieldsafety/harzard/harzard_show.php?rid=2006&amp;url=harzardrecs.php","2#废锅南侧过桥无扶手，在一个下雨的夜晚一名操作工在穿越过桥时，脚底打滑，由于没有扶手支撑身体，从过桥上跌落到地面。")</f>
        <v>2#废锅南侧过桥无扶手，在一个下雨的夜晚一名操作工在穿越过桥时，脚底打滑，由于没有扶手支撑身体，从过桥上跌落到地面。</v>
      </c>
      <c r="E259" s="19" t="s">
        <v>1297</v>
      </c>
      <c r="F259" s="20" t="s">
        <v>42</v>
      </c>
      <c r="G259" s="22" t="s">
        <v>63</v>
      </c>
      <c r="H259" s="19" t="s">
        <v>44</v>
      </c>
      <c r="I259" s="19"/>
      <c r="J259" s="19" t="s">
        <v>46</v>
      </c>
      <c r="K259" s="19" t="s">
        <v>110</v>
      </c>
      <c r="L259" s="19" t="s">
        <v>76</v>
      </c>
      <c r="M259" s="19" t="s">
        <v>224</v>
      </c>
      <c r="N259" s="19" t="s">
        <v>1298</v>
      </c>
      <c r="O259" s="19" t="s">
        <v>224</v>
      </c>
      <c r="P259" s="19" t="s">
        <v>226</v>
      </c>
      <c r="Q259" s="19" t="s">
        <v>592</v>
      </c>
      <c r="R259" s="19" t="s">
        <v>1299</v>
      </c>
      <c r="S259" s="19"/>
      <c r="T259" s="19" t="s">
        <v>53</v>
      </c>
      <c r="U259" s="19" t="s">
        <v>80</v>
      </c>
      <c r="V259" s="19" t="s">
        <v>55</v>
      </c>
      <c r="W259" s="19" t="s">
        <v>81</v>
      </c>
      <c r="X259" s="19" t="s">
        <v>338</v>
      </c>
      <c r="Y259" s="19" t="s">
        <v>434</v>
      </c>
      <c r="Z259" s="19" t="s">
        <v>1300</v>
      </c>
      <c r="AA259" s="19">
        <v>1</v>
      </c>
      <c r="AB259" s="19">
        <v>0</v>
      </c>
      <c r="AC259" s="19" t="s">
        <v>58</v>
      </c>
      <c r="AD259" s="19" t="s">
        <v>226</v>
      </c>
      <c r="AE259" s="19" t="s">
        <v>513</v>
      </c>
      <c r="AF259" s="19" t="s">
        <v>1301</v>
      </c>
    </row>
    <row r="260" spans="1:34">
      <c r="A260" s="19">
        <v>254</v>
      </c>
      <c r="B260" s="19" t="s">
        <v>83</v>
      </c>
      <c r="C260" s="19" t="s">
        <v>519</v>
      </c>
      <c r="D260" s="19" t="str">
        <f>HYPERLINK("http://www.henontech.com/fieldsafety/harzard/harzard_show.php?rid=2007&amp;url=harzardrecs.php","5.5米推焦车检修推焦杆时，由于吊笼钢丝绳老化断裂，导致两名维修人员从5米的高处掉落到地面，造成重伤。")</f>
        <v>5.5米推焦车检修推焦杆时，由于吊笼钢丝绳老化断裂，导致两名维修人员从5米的高处掉落到地面，造成重伤。</v>
      </c>
      <c r="E260" s="19" t="s">
        <v>1302</v>
      </c>
      <c r="F260" s="23" t="s">
        <v>304</v>
      </c>
      <c r="G260" s="22" t="s">
        <v>63</v>
      </c>
      <c r="H260" s="19" t="s">
        <v>44</v>
      </c>
      <c r="I260" s="19" t="s">
        <v>108</v>
      </c>
      <c r="J260" s="19" t="s">
        <v>46</v>
      </c>
      <c r="K260" s="19" t="s">
        <v>132</v>
      </c>
      <c r="L260" s="19" t="s">
        <v>76</v>
      </c>
      <c r="M260" s="19" t="s">
        <v>121</v>
      </c>
      <c r="N260" s="19" t="s">
        <v>1303</v>
      </c>
      <c r="O260" s="19"/>
      <c r="P260" s="19"/>
      <c r="Q260" s="19"/>
      <c r="R260" s="19" t="s">
        <v>1304</v>
      </c>
      <c r="S260" s="19" t="s">
        <v>1305</v>
      </c>
      <c r="T260" s="19" t="s">
        <v>53</v>
      </c>
      <c r="U260" s="19" t="s">
        <v>80</v>
      </c>
      <c r="V260" s="19" t="s">
        <v>69</v>
      </c>
      <c r="W260" s="19" t="s">
        <v>190</v>
      </c>
      <c r="X260" s="19"/>
      <c r="Y260" s="19"/>
      <c r="Z260" s="19"/>
      <c r="AA260" s="19">
        <v>0</v>
      </c>
      <c r="AB260" s="19"/>
      <c r="AC260" s="19" t="s">
        <v>308</v>
      </c>
      <c r="AD260" s="19"/>
      <c r="AE260" s="19"/>
      <c r="AF260" s="19"/>
    </row>
    <row r="261" spans="1:34" customHeight="1" ht="42">
      <c r="A261" s="19">
        <v>255</v>
      </c>
      <c r="B261" s="19" t="s">
        <v>83</v>
      </c>
      <c r="C261" s="19" t="s">
        <v>566</v>
      </c>
      <c r="D261" s="19" t="str">
        <f>HYPERLINK("http://www.henontech.com/fieldsafety/harzard/harzard_show.php?rid=2008&amp;url=harzardrecs.php","焦护栏因使用年限较长，腐蚀严重，造成人员摔伤")</f>
        <v>焦护栏因使用年限较长，腐蚀严重，造成人员摔伤</v>
      </c>
      <c r="E261" s="19" t="s">
        <v>1306</v>
      </c>
      <c r="F261" s="20" t="s">
        <v>42</v>
      </c>
      <c r="G261" s="22" t="s">
        <v>63</v>
      </c>
      <c r="H261" s="19" t="s">
        <v>44</v>
      </c>
      <c r="I261" s="19"/>
      <c r="J261" s="19" t="s">
        <v>580</v>
      </c>
      <c r="K261" s="19" t="s">
        <v>47</v>
      </c>
      <c r="L261" s="19"/>
      <c r="M261" s="19" t="s">
        <v>121</v>
      </c>
      <c r="N261" s="19" t="s">
        <v>1307</v>
      </c>
      <c r="O261" s="19" t="s">
        <v>121</v>
      </c>
      <c r="P261" s="19" t="s">
        <v>568</v>
      </c>
      <c r="Q261" s="19" t="s">
        <v>592</v>
      </c>
      <c r="R261" s="19" t="s">
        <v>1308</v>
      </c>
      <c r="S261" s="19"/>
      <c r="T261" s="19" t="s">
        <v>53</v>
      </c>
      <c r="U261" s="19" t="s">
        <v>54</v>
      </c>
      <c r="V261" s="19" t="s">
        <v>55</v>
      </c>
      <c r="W261" s="19" t="s">
        <v>56</v>
      </c>
      <c r="X261" s="19" t="s">
        <v>126</v>
      </c>
      <c r="Y261" s="19" t="s">
        <v>126</v>
      </c>
      <c r="Z261" s="19" t="s">
        <v>1309</v>
      </c>
      <c r="AA261" s="19">
        <v>2</v>
      </c>
      <c r="AB261" s="19">
        <v>0</v>
      </c>
      <c r="AC261" s="19" t="s">
        <v>58</v>
      </c>
      <c r="AD261" s="19" t="s">
        <v>568</v>
      </c>
      <c r="AE261" s="19" t="s">
        <v>572</v>
      </c>
      <c r="AF261" s="19" t="s">
        <v>573</v>
      </c>
    </row>
    <row r="262" spans="1:34">
      <c r="A262" s="19">
        <v>256</v>
      </c>
      <c r="B262" s="19" t="s">
        <v>83</v>
      </c>
      <c r="C262" s="19" t="s">
        <v>754</v>
      </c>
      <c r="D262" s="19" t="str">
        <f>HYPERLINK("http://www.henontech.com/fieldsafety/harzard/harzard_show.php?rid=2009&amp;url=harzardrecs.php","叉车充电室配电盒内电源线拆线后未用绝缘胶带包扎，叉车司机送电充电时碰触到裸露的电源线发生触电，漏电保护器动作跳闸，叉车司机及时脱离触电。")</f>
        <v>叉车充电室配电盒内电源线拆线后未用绝缘胶带包扎，叉车司机送电充电时碰触到裸露的电源线发生触电，漏电保护器动作跳闸，叉车司机及时脱离触电。</v>
      </c>
      <c r="E262" s="19" t="s">
        <v>1310</v>
      </c>
      <c r="F262" s="20" t="s">
        <v>42</v>
      </c>
      <c r="G262" s="22" t="s">
        <v>63</v>
      </c>
      <c r="H262" s="19" t="s">
        <v>44</v>
      </c>
      <c r="I262" s="19" t="s">
        <v>108</v>
      </c>
      <c r="J262" s="19" t="s">
        <v>311</v>
      </c>
      <c r="K262" s="19" t="s">
        <v>64</v>
      </c>
      <c r="L262" s="19" t="s">
        <v>76</v>
      </c>
      <c r="M262" s="19" t="s">
        <v>224</v>
      </c>
      <c r="N262" s="19" t="s">
        <v>1311</v>
      </c>
      <c r="O262" s="19" t="s">
        <v>224</v>
      </c>
      <c r="P262" s="19" t="s">
        <v>282</v>
      </c>
      <c r="Q262" s="19" t="s">
        <v>290</v>
      </c>
      <c r="R262" s="19" t="s">
        <v>1312</v>
      </c>
      <c r="S262" s="19"/>
      <c r="T262" s="19" t="s">
        <v>53</v>
      </c>
      <c r="U262" s="19" t="s">
        <v>202</v>
      </c>
      <c r="V262" s="19" t="s">
        <v>97</v>
      </c>
      <c r="W262" s="19" t="s">
        <v>56</v>
      </c>
      <c r="X262" s="19" t="s">
        <v>154</v>
      </c>
      <c r="Y262" s="19"/>
      <c r="Z262" s="19" t="s">
        <v>1313</v>
      </c>
      <c r="AA262" s="19">
        <v>1</v>
      </c>
      <c r="AB262" s="19">
        <v>1</v>
      </c>
      <c r="AC262" s="19" t="s">
        <v>58</v>
      </c>
      <c r="AD262" s="19" t="s">
        <v>282</v>
      </c>
      <c r="AE262" s="19" t="s">
        <v>513</v>
      </c>
      <c r="AF262" s="19"/>
    </row>
    <row r="263" spans="1:34">
      <c r="A263" s="19">
        <v>257</v>
      </c>
      <c r="B263" s="19" t="s">
        <v>83</v>
      </c>
      <c r="C263" s="19" t="s">
        <v>1060</v>
      </c>
      <c r="D263" s="19" t="str">
        <f>HYPERLINK("http://www.henontech.com/fieldsafety/harzard/harzard_show.php?rid=2010&amp;url=harzardrecs.php","一侧窗户框缺失,玻璃裸露，操作人员在清理卫生时容易被裸露的玻璃割伤手部，经医务室包扎后继续工作，5日后康复，造成一人限工事故")</f>
        <v>一侧窗户框缺失,玻璃裸露，操作人员在清理卫生时容易被裸露的玻璃割伤手部，经医务室包扎后继续工作，5日后康复，造成一人限工事故</v>
      </c>
      <c r="E263" s="19" t="s">
        <v>1314</v>
      </c>
      <c r="F263" s="20" t="s">
        <v>42</v>
      </c>
      <c r="G263" s="22" t="s">
        <v>63</v>
      </c>
      <c r="H263" s="19" t="s">
        <v>44</v>
      </c>
      <c r="I263" s="19" t="s">
        <v>108</v>
      </c>
      <c r="J263" s="19" t="s">
        <v>46</v>
      </c>
      <c r="K263" s="19" t="s">
        <v>64</v>
      </c>
      <c r="L263" s="19" t="s">
        <v>76</v>
      </c>
      <c r="M263" s="19" t="s">
        <v>350</v>
      </c>
      <c r="N263" s="19" t="s">
        <v>363</v>
      </c>
      <c r="O263" s="19" t="s">
        <v>364</v>
      </c>
      <c r="P263" s="19" t="s">
        <v>365</v>
      </c>
      <c r="Q263" s="19" t="s">
        <v>1315</v>
      </c>
      <c r="R263" s="19" t="s">
        <v>1316</v>
      </c>
      <c r="S263" s="19"/>
      <c r="T263" s="19" t="s">
        <v>53</v>
      </c>
      <c r="U263" s="19" t="s">
        <v>80</v>
      </c>
      <c r="V263" s="19" t="s">
        <v>69</v>
      </c>
      <c r="W263" s="19" t="s">
        <v>190</v>
      </c>
      <c r="X263" s="19"/>
      <c r="Y263" s="19"/>
      <c r="Z263" s="19" t="s">
        <v>1317</v>
      </c>
      <c r="AA263" s="19">
        <v>1</v>
      </c>
      <c r="AB263" s="19">
        <v>1</v>
      </c>
      <c r="AC263" s="19" t="s">
        <v>58</v>
      </c>
      <c r="AD263" s="19" t="s">
        <v>365</v>
      </c>
      <c r="AE263" s="19" t="s">
        <v>942</v>
      </c>
      <c r="AF263" s="19" t="s">
        <v>1318</v>
      </c>
    </row>
    <row r="264" spans="1:34">
      <c r="A264" s="19">
        <v>258</v>
      </c>
      <c r="B264" s="19" t="s">
        <v>83</v>
      </c>
      <c r="C264" s="19" t="s">
        <v>566</v>
      </c>
      <c r="D264" s="19" t="str">
        <f>HYPERLINK("http://www.henontech.com/fieldsafety/harzard/harzard_show.php?rid=2011&amp;url=harzardrecs.php","4.3米焦炉脱硫脱硝风机联轴器护罩未复位，假如一名操作人员在设备运转时，靠近设备检查轴承温度，可能会造成手臂骨折，住院治疗30天")</f>
        <v>4.3米焦炉脱硫脱硝风机联轴器护罩未复位，假如一名操作人员在设备运转时，靠近设备检查轴承温度，可能会造成手臂骨折，住院治疗30天</v>
      </c>
      <c r="E264" s="19" t="s">
        <v>119</v>
      </c>
      <c r="F264" s="23" t="s">
        <v>304</v>
      </c>
      <c r="G264" s="22" t="s">
        <v>63</v>
      </c>
      <c r="H264" s="19" t="s">
        <v>44</v>
      </c>
      <c r="I264" s="19" t="s">
        <v>108</v>
      </c>
      <c r="J264" s="19" t="s">
        <v>46</v>
      </c>
      <c r="K264" s="19" t="s">
        <v>110</v>
      </c>
      <c r="L264" s="19" t="s">
        <v>76</v>
      </c>
      <c r="M264" s="19" t="s">
        <v>121</v>
      </c>
      <c r="N264" s="19" t="s">
        <v>1319</v>
      </c>
      <c r="O264" s="19"/>
      <c r="P264" s="19"/>
      <c r="Q264" s="19"/>
      <c r="R264" s="19" t="s">
        <v>1320</v>
      </c>
      <c r="S264" s="19" t="s">
        <v>1321</v>
      </c>
      <c r="T264" s="19" t="s">
        <v>53</v>
      </c>
      <c r="U264" s="19" t="s">
        <v>80</v>
      </c>
      <c r="V264" s="19" t="s">
        <v>97</v>
      </c>
      <c r="W264" s="19" t="s">
        <v>70</v>
      </c>
      <c r="X264" s="19"/>
      <c r="Y264" s="19"/>
      <c r="Z264" s="19"/>
      <c r="AA264" s="19">
        <v>0</v>
      </c>
      <c r="AB264" s="19"/>
      <c r="AC264" s="19" t="s">
        <v>308</v>
      </c>
      <c r="AD264" s="19"/>
      <c r="AE264" s="19"/>
      <c r="AF264" s="19"/>
    </row>
    <row r="265" spans="1:34" customHeight="1" ht="42">
      <c r="A265" s="19">
        <v>259</v>
      </c>
      <c r="B265" s="19" t="s">
        <v>83</v>
      </c>
      <c r="C265" s="19" t="s">
        <v>574</v>
      </c>
      <c r="D265" s="19" t="str">
        <f>HYPERLINK("http://www.henontech.com/fieldsafety/harzard/harzard_show.php?rid=2012&amp;url=harzardrecs.php","4.3米脱硫脱硝高压风机护栏及降温水管绑有多处铁丝，如果一名巡检工高速行走时不慎碰触铁丝，造成脸部被铁丝划伤，送医务室轻微包扎后恢复健康。")</f>
        <v>4.3米脱硫脱硝高压风机护栏及降温水管绑有多处铁丝，如果一名巡检工高速行走时不慎碰触铁丝，造成脸部被铁丝划伤，送医务室轻微包扎后恢复健康。</v>
      </c>
      <c r="E265" s="19" t="s">
        <v>1322</v>
      </c>
      <c r="F265" s="20" t="s">
        <v>42</v>
      </c>
      <c r="G265" s="22" t="s">
        <v>63</v>
      </c>
      <c r="H265" s="19" t="s">
        <v>44</v>
      </c>
      <c r="I265" s="19"/>
      <c r="J265" s="19"/>
      <c r="K265" s="19" t="s">
        <v>47</v>
      </c>
      <c r="L265" s="19"/>
      <c r="M265" s="19" t="s">
        <v>350</v>
      </c>
      <c r="N265" s="19" t="s">
        <v>351</v>
      </c>
      <c r="O265" s="19" t="s">
        <v>121</v>
      </c>
      <c r="P265" s="19" t="s">
        <v>568</v>
      </c>
      <c r="Q265" s="19" t="s">
        <v>592</v>
      </c>
      <c r="R265" s="19" t="s">
        <v>577</v>
      </c>
      <c r="S265" s="19"/>
      <c r="T265" s="19" t="s">
        <v>53</v>
      </c>
      <c r="U265" s="19" t="s">
        <v>54</v>
      </c>
      <c r="V265" s="19" t="s">
        <v>97</v>
      </c>
      <c r="W265" s="19" t="s">
        <v>81</v>
      </c>
      <c r="X265" s="19" t="s">
        <v>126</v>
      </c>
      <c r="Y265" s="19" t="s">
        <v>126</v>
      </c>
      <c r="Z265" s="19" t="s">
        <v>1323</v>
      </c>
      <c r="AA265" s="19">
        <v>2</v>
      </c>
      <c r="AB265" s="19">
        <v>0</v>
      </c>
      <c r="AC265" s="19" t="s">
        <v>58</v>
      </c>
      <c r="AD265" s="19" t="s">
        <v>568</v>
      </c>
      <c r="AE265" s="19" t="s">
        <v>572</v>
      </c>
      <c r="AF265" s="19" t="s">
        <v>573</v>
      </c>
    </row>
    <row r="266" spans="1:34">
      <c r="A266" s="19">
        <v>260</v>
      </c>
      <c r="B266" s="19" t="s">
        <v>83</v>
      </c>
      <c r="C266" s="19" t="s">
        <v>743</v>
      </c>
      <c r="D266" s="19" t="str">
        <f>HYPERLINK("http://www.henontech.com/fieldsafety/harzard/harzard_show.php?rid=2013&amp;url=harzardrecs.php","在操作过程中由于工具放置不牢一名操作工巡检时铁棒滑落将操作工脚面砸伤送院治疗")</f>
        <v>在操作过程中由于工具放置不牢一名操作工巡检时铁棒滑落将操作工脚面砸伤送院治疗</v>
      </c>
      <c r="E266" s="19" t="s">
        <v>1324</v>
      </c>
      <c r="F266" s="23" t="s">
        <v>304</v>
      </c>
      <c r="G266" s="22" t="s">
        <v>63</v>
      </c>
      <c r="H266" s="19" t="s">
        <v>44</v>
      </c>
      <c r="I266" s="19" t="s">
        <v>120</v>
      </c>
      <c r="J266" s="19" t="s">
        <v>46</v>
      </c>
      <c r="K266" s="19" t="s">
        <v>64</v>
      </c>
      <c r="L266" s="19"/>
      <c r="M266" s="19" t="s">
        <v>224</v>
      </c>
      <c r="N266" s="19" t="s">
        <v>1325</v>
      </c>
      <c r="O266" s="19"/>
      <c r="P266" s="19"/>
      <c r="Q266" s="19"/>
      <c r="R266" s="19" t="s">
        <v>224</v>
      </c>
      <c r="S266" s="19" t="s">
        <v>1326</v>
      </c>
      <c r="T266" s="19" t="s">
        <v>53</v>
      </c>
      <c r="U266" s="19" t="s">
        <v>202</v>
      </c>
      <c r="V266" s="19" t="s">
        <v>69</v>
      </c>
      <c r="W266" s="19" t="s">
        <v>56</v>
      </c>
      <c r="X266" s="19"/>
      <c r="Y266" s="19"/>
      <c r="Z266" s="19"/>
      <c r="AA266" s="19">
        <v>0</v>
      </c>
      <c r="AB266" s="19"/>
      <c r="AC266" s="19" t="s">
        <v>308</v>
      </c>
      <c r="AD266" s="19"/>
      <c r="AE266" s="19"/>
      <c r="AF266" s="19"/>
    </row>
    <row r="267" spans="1:34">
      <c r="A267" s="19">
        <v>261</v>
      </c>
      <c r="B267" s="19" t="s">
        <v>83</v>
      </c>
      <c r="C267" s="19" t="s">
        <v>320</v>
      </c>
      <c r="D267" s="19" t="str">
        <f>HYPERLINK("http://www.henontech.com/fieldsafety/harzard/harzard_show.php?rid=2014&amp;url=harzardrecs.php","冰机操作工在停2号冰机期间，突然出口阀填料漏氨气，操作工当时感到胸闷，呼吸困难，立即跑到空气流畅地方休息片刻，并送医务室救治。")</f>
        <v>冰机操作工在停2号冰机期间，突然出口阀填料漏氨气，操作工当时感到胸闷，呼吸困难，立即跑到空气流畅地方休息片刻，并送医务室救治。</v>
      </c>
      <c r="E267" s="19" t="s">
        <v>1327</v>
      </c>
      <c r="F267" s="20" t="s">
        <v>42</v>
      </c>
      <c r="G267" s="21" t="s">
        <v>43</v>
      </c>
      <c r="H267" s="19" t="s">
        <v>44</v>
      </c>
      <c r="I267" s="19" t="s">
        <v>108</v>
      </c>
      <c r="J267" s="19" t="s">
        <v>46</v>
      </c>
      <c r="K267" s="19" t="s">
        <v>64</v>
      </c>
      <c r="L267" s="19"/>
      <c r="M267" s="19" t="s">
        <v>224</v>
      </c>
      <c r="N267" s="19" t="s">
        <v>1257</v>
      </c>
      <c r="O267" s="19" t="s">
        <v>224</v>
      </c>
      <c r="P267" s="19" t="s">
        <v>226</v>
      </c>
      <c r="Q267" s="19" t="s">
        <v>1017</v>
      </c>
      <c r="R267" s="19" t="s">
        <v>1328</v>
      </c>
      <c r="S267" s="19"/>
      <c r="T267" s="19" t="s">
        <v>53</v>
      </c>
      <c r="U267" s="19" t="s">
        <v>54</v>
      </c>
      <c r="V267" s="19" t="s">
        <v>97</v>
      </c>
      <c r="W267" s="19" t="s">
        <v>81</v>
      </c>
      <c r="X267" s="19" t="s">
        <v>154</v>
      </c>
      <c r="Y267" s="19" t="s">
        <v>154</v>
      </c>
      <c r="Z267" s="19" t="s">
        <v>1329</v>
      </c>
      <c r="AA267" s="19">
        <v>1</v>
      </c>
      <c r="AB267" s="19">
        <v>1</v>
      </c>
      <c r="AC267" s="19" t="s">
        <v>58</v>
      </c>
      <c r="AD267" s="19" t="s">
        <v>226</v>
      </c>
      <c r="AE267" s="19" t="s">
        <v>836</v>
      </c>
      <c r="AF267" s="19"/>
    </row>
    <row r="268" spans="1:34">
      <c r="A268" s="19">
        <v>262</v>
      </c>
      <c r="B268" s="19" t="s">
        <v>83</v>
      </c>
      <c r="C268" s="19" t="s">
        <v>743</v>
      </c>
      <c r="D268" s="19" t="str">
        <f>HYPERLINK("http://www.henontech.com/fieldsafety/harzard/harzard_show.php?rid=2015&amp;url=harzardrecs.php","在操作过程中由于工具放置不牢一名操作工巡检时工具滑落将操作工脚面砸伤送院治疗")</f>
        <v>在操作过程中由于工具放置不牢一名操作工巡检时工具滑落将操作工脚面砸伤送院治疗</v>
      </c>
      <c r="E268" s="19" t="s">
        <v>1324</v>
      </c>
      <c r="F268" s="20" t="s">
        <v>42</v>
      </c>
      <c r="G268" s="22" t="s">
        <v>63</v>
      </c>
      <c r="H268" s="19" t="s">
        <v>44</v>
      </c>
      <c r="I268" s="19"/>
      <c r="J268" s="19" t="s">
        <v>46</v>
      </c>
      <c r="K268" s="19" t="s">
        <v>64</v>
      </c>
      <c r="L268" s="19"/>
      <c r="M268" s="19" t="s">
        <v>224</v>
      </c>
      <c r="N268" s="19" t="s">
        <v>1325</v>
      </c>
      <c r="O268" s="19" t="s">
        <v>224</v>
      </c>
      <c r="P268" s="19" t="s">
        <v>226</v>
      </c>
      <c r="Q268" s="19" t="s">
        <v>592</v>
      </c>
      <c r="R268" s="19" t="s">
        <v>224</v>
      </c>
      <c r="S268" s="19"/>
      <c r="T268" s="19" t="s">
        <v>53</v>
      </c>
      <c r="U268" s="19" t="s">
        <v>54</v>
      </c>
      <c r="V268" s="19" t="s">
        <v>69</v>
      </c>
      <c r="W268" s="19" t="s">
        <v>70</v>
      </c>
      <c r="X268" s="19" t="s">
        <v>126</v>
      </c>
      <c r="Y268" s="19" t="s">
        <v>126</v>
      </c>
      <c r="Z268" s="19" t="s">
        <v>1330</v>
      </c>
      <c r="AA268" s="19">
        <v>1</v>
      </c>
      <c r="AB268" s="19">
        <v>1</v>
      </c>
      <c r="AC268" s="19" t="s">
        <v>58</v>
      </c>
      <c r="AD268" s="19" t="s">
        <v>226</v>
      </c>
      <c r="AE268" s="19" t="s">
        <v>513</v>
      </c>
      <c r="AF268" s="19"/>
    </row>
    <row r="269" spans="1:34" customHeight="1" ht="42">
      <c r="A269" s="19">
        <v>263</v>
      </c>
      <c r="B269" s="19" t="s">
        <v>1331</v>
      </c>
      <c r="C269" s="19" t="s">
        <v>168</v>
      </c>
      <c r="D269" s="19" t="str">
        <f>HYPERLINK("http://www.henontech.com/fieldsafety/harzard/harzard_show.php?rid=2673&amp;url=harzardrecs.php","机侧集气管顶部压缩空气管线乱放，如果巡检人员经过不注意被绊倒面部着地导致鼻梁骨骨折，送医院治疗后回家休养15天。")</f>
        <v>机侧集气管顶部压缩空气管线乱放，如果巡检人员经过不注意被绊倒面部着地导致鼻梁骨骨折，送医院治疗后回家休养15天。</v>
      </c>
      <c r="E269" s="19" t="s">
        <v>1332</v>
      </c>
      <c r="F269" s="20" t="s">
        <v>42</v>
      </c>
      <c r="G269" s="22" t="s">
        <v>63</v>
      </c>
      <c r="H269" s="19" t="s">
        <v>44</v>
      </c>
      <c r="I269" s="19" t="s">
        <v>108</v>
      </c>
      <c r="J269" s="19" t="s">
        <v>349</v>
      </c>
      <c r="K269" s="19" t="s">
        <v>47</v>
      </c>
      <c r="L269" s="19" t="s">
        <v>76</v>
      </c>
      <c r="M269" s="19" t="s">
        <v>121</v>
      </c>
      <c r="N269" s="19" t="s">
        <v>870</v>
      </c>
      <c r="O269" s="19" t="s">
        <v>121</v>
      </c>
      <c r="P269" s="19" t="s">
        <v>568</v>
      </c>
      <c r="Q269" s="19" t="s">
        <v>1333</v>
      </c>
      <c r="R269" s="19" t="s">
        <v>871</v>
      </c>
      <c r="S269" s="19"/>
      <c r="T269" s="19" t="s">
        <v>53</v>
      </c>
      <c r="U269" s="19" t="s">
        <v>80</v>
      </c>
      <c r="V269" s="19" t="s">
        <v>97</v>
      </c>
      <c r="W269" s="19" t="s">
        <v>70</v>
      </c>
      <c r="X269" s="19"/>
      <c r="Y269" s="19"/>
      <c r="Z269" s="19" t="s">
        <v>1334</v>
      </c>
      <c r="AA269" s="19">
        <v>2</v>
      </c>
      <c r="AB269" s="19">
        <v>2</v>
      </c>
      <c r="AC269" s="19" t="s">
        <v>58</v>
      </c>
      <c r="AD269" s="19" t="s">
        <v>568</v>
      </c>
      <c r="AE269" s="19" t="s">
        <v>1335</v>
      </c>
      <c r="AF269" s="19" t="s">
        <v>1336</v>
      </c>
    </row>
    <row r="270" spans="1:34" customHeight="1" ht="42">
      <c r="A270" s="19">
        <v>264</v>
      </c>
      <c r="B270" s="19" t="s">
        <v>1337</v>
      </c>
      <c r="C270" s="19" t="s">
        <v>519</v>
      </c>
      <c r="D270" s="19" t="str">
        <f>HYPERLINK("http://www.henontech.com/fieldsafety/harzard/harzard_show.php?rid=2690&amp;url=harzardrecs.php","一出炉工在夜间工作时，由于刮板机篦子缺陷造成右脚掉入正在运转的刮板机内受伤，及时送医治诊断为右脚骨折，住院1个月回家休息6个月后康复。")</f>
        <v>一出炉工在夜间工作时，由于刮板机篦子缺陷造成右脚掉入正在运转的刮板机内受伤，及时送医治诊断为右脚骨折，住院1个月回家休息6个月后康复。</v>
      </c>
      <c r="E270" s="19" t="s">
        <v>1338</v>
      </c>
      <c r="F270" s="20" t="s">
        <v>42</v>
      </c>
      <c r="G270" s="21" t="s">
        <v>43</v>
      </c>
      <c r="H270" s="19" t="s">
        <v>44</v>
      </c>
      <c r="I270" s="19" t="s">
        <v>108</v>
      </c>
      <c r="J270" s="19" t="s">
        <v>46</v>
      </c>
      <c r="K270" s="19" t="s">
        <v>132</v>
      </c>
      <c r="L270" s="19" t="s">
        <v>76</v>
      </c>
      <c r="M270" s="19" t="s">
        <v>121</v>
      </c>
      <c r="N270" s="19" t="s">
        <v>521</v>
      </c>
      <c r="O270" s="19" t="s">
        <v>121</v>
      </c>
      <c r="P270" s="19" t="s">
        <v>568</v>
      </c>
      <c r="Q270" s="19" t="s">
        <v>1333</v>
      </c>
      <c r="R270" s="19" t="s">
        <v>1339</v>
      </c>
      <c r="S270" s="19"/>
      <c r="T270" s="19" t="s">
        <v>53</v>
      </c>
      <c r="U270" s="19" t="s">
        <v>80</v>
      </c>
      <c r="V270" s="19" t="s">
        <v>97</v>
      </c>
      <c r="W270" s="19" t="s">
        <v>70</v>
      </c>
      <c r="X270" s="19" t="s">
        <v>154</v>
      </c>
      <c r="Y270" s="19"/>
      <c r="Z270" s="19" t="s">
        <v>1340</v>
      </c>
      <c r="AA270" s="19">
        <v>2</v>
      </c>
      <c r="AB270" s="19">
        <v>2</v>
      </c>
      <c r="AC270" s="19" t="s">
        <v>58</v>
      </c>
      <c r="AD270" s="19" t="s">
        <v>568</v>
      </c>
      <c r="AE270" s="19" t="s">
        <v>1335</v>
      </c>
      <c r="AF270" s="19" t="s">
        <v>1341</v>
      </c>
    </row>
    <row r="271" spans="1:34">
      <c r="A271" s="19">
        <v>265</v>
      </c>
      <c r="B271" s="19" t="s">
        <v>1342</v>
      </c>
      <c r="C271" s="19" t="s">
        <v>309</v>
      </c>
      <c r="D271" s="19" t="str">
        <f>HYPERLINK("http://www.henontech.com/fieldsafety/harzard/harzard_show.php?rid=2909&amp;url=harzardrecs.php","东侧空压机油滤器超时保养未及时修复报警停机，且西侧备用空压机故障无法开启，造成干熄焦系统仪表风压力低于0.4Mpa使气动阀无法远程控制，停炉检修五天，造成经济损失140万元。")</f>
        <v>东侧空压机油滤器超时保养未及时修复报警停机，且西侧备用空压机故障无法开启，造成干熄焦系统仪表风压力低于0.4Mpa使气动阀无法远程控制，停炉检修五天，造成经济损失140万元。</v>
      </c>
      <c r="E271" s="19" t="s">
        <v>1343</v>
      </c>
      <c r="F271" s="20" t="s">
        <v>42</v>
      </c>
      <c r="G271" s="22" t="s">
        <v>63</v>
      </c>
      <c r="H271" s="19" t="s">
        <v>44</v>
      </c>
      <c r="I271" s="19" t="s">
        <v>108</v>
      </c>
      <c r="J271" s="19" t="s">
        <v>349</v>
      </c>
      <c r="K271" s="19" t="s">
        <v>110</v>
      </c>
      <c r="L271" s="19" t="s">
        <v>76</v>
      </c>
      <c r="M271" s="19" t="s">
        <v>121</v>
      </c>
      <c r="N271" s="19" t="s">
        <v>991</v>
      </c>
      <c r="O271" s="19" t="s">
        <v>121</v>
      </c>
      <c r="P271" s="19" t="s">
        <v>964</v>
      </c>
      <c r="Q271" s="19" t="s">
        <v>1344</v>
      </c>
      <c r="R271" s="19" t="s">
        <v>215</v>
      </c>
      <c r="S271" s="19" t="s">
        <v>1345</v>
      </c>
      <c r="T271" s="19" t="s">
        <v>189</v>
      </c>
      <c r="U271" s="19" t="s">
        <v>236</v>
      </c>
      <c r="V271" s="19" t="s">
        <v>69</v>
      </c>
      <c r="W271" s="19" t="s">
        <v>190</v>
      </c>
      <c r="X271" s="19" t="s">
        <v>126</v>
      </c>
      <c r="Y271" s="19"/>
      <c r="Z271" s="19" t="s">
        <v>1346</v>
      </c>
      <c r="AA271" s="19">
        <v>1</v>
      </c>
      <c r="AB271" s="19">
        <v>1</v>
      </c>
      <c r="AC271" s="19" t="s">
        <v>58</v>
      </c>
      <c r="AD271" s="19" t="s">
        <v>964</v>
      </c>
      <c r="AE271" s="19" t="s">
        <v>1347</v>
      </c>
      <c r="AF271" s="19" t="s">
        <v>1348</v>
      </c>
    </row>
    <row r="272" spans="1:34">
      <c r="A272" s="19">
        <v>266</v>
      </c>
      <c r="B272" s="19" t="s">
        <v>1349</v>
      </c>
      <c r="C272" s="19" t="s">
        <v>544</v>
      </c>
      <c r="D272" s="19" t="str">
        <f>HYPERLINK("http://www.henontech.com/fieldsafety/harzard/harzard_show.php?rid=2987&amp;url=harzardrecs.php","通风管道开裂，一职工在通风管道下方打扫卫生时，被掉落的通风道砸伤，送医检查后肩胛骨骨折，住院10天，在家休养3个月。")</f>
        <v>通风管道开裂，一职工在通风管道下方打扫卫生时，被掉落的通风道砸伤，送医检查后肩胛骨骨折，住院10天，在家休养3个月。</v>
      </c>
      <c r="E272" s="19" t="s">
        <v>1350</v>
      </c>
      <c r="F272" s="20" t="s">
        <v>42</v>
      </c>
      <c r="G272" s="22" t="s">
        <v>63</v>
      </c>
      <c r="H272" s="19" t="s">
        <v>44</v>
      </c>
      <c r="I272" s="19" t="s">
        <v>108</v>
      </c>
      <c r="J272" s="19" t="s">
        <v>46</v>
      </c>
      <c r="K272" s="19" t="s">
        <v>102</v>
      </c>
      <c r="L272" s="19" t="s">
        <v>76</v>
      </c>
      <c r="M272" s="19" t="s">
        <v>121</v>
      </c>
      <c r="N272" s="19" t="s">
        <v>909</v>
      </c>
      <c r="O272" s="19" t="s">
        <v>121</v>
      </c>
      <c r="P272" s="19" t="s">
        <v>812</v>
      </c>
      <c r="Q272" s="19" t="s">
        <v>1351</v>
      </c>
      <c r="R272" s="19" t="s">
        <v>1352</v>
      </c>
      <c r="S272" s="19" t="s">
        <v>1353</v>
      </c>
      <c r="T272" s="19" t="s">
        <v>53</v>
      </c>
      <c r="U272" s="19" t="s">
        <v>80</v>
      </c>
      <c r="V272" s="19" t="s">
        <v>55</v>
      </c>
      <c r="W272" s="19" t="s">
        <v>81</v>
      </c>
      <c r="X272" s="19" t="s">
        <v>154</v>
      </c>
      <c r="Y272" s="19"/>
      <c r="Z272" s="19" t="s">
        <v>1354</v>
      </c>
      <c r="AA272" s="19">
        <v>1</v>
      </c>
      <c r="AB272" s="19">
        <v>1</v>
      </c>
      <c r="AC272" s="19" t="s">
        <v>58</v>
      </c>
      <c r="AD272" s="19" t="s">
        <v>812</v>
      </c>
      <c r="AE272" s="19" t="s">
        <v>1351</v>
      </c>
      <c r="AF272" s="19" t="s">
        <v>1355</v>
      </c>
    </row>
    <row r="273" spans="1:34" customHeight="1" ht="42">
      <c r="A273" s="19">
        <v>267</v>
      </c>
      <c r="B273" s="19" t="s">
        <v>1356</v>
      </c>
      <c r="C273" s="19" t="s">
        <v>1357</v>
      </c>
      <c r="D273" s="19" t="str">
        <f>HYPERLINK("http://www.henontech.com/fieldsafety/harzard/harzard_show.php?rid=3216&amp;url=harzardrecs.php","一维修工检修高压风机时，违章攀爬没有检修平台和护栏防护的高压风机，不慎从2米高的高压风机底座顶部跌落蹲在地上不起，就医后检查腰椎受损。")</f>
        <v>一维修工检修高压风机时，违章攀爬没有检修平台和护栏防护的高压风机，不慎从2米高的高压风机底座顶部跌落蹲在地上不起，就医后检查腰椎受损。</v>
      </c>
      <c r="E273" s="19" t="s">
        <v>1358</v>
      </c>
      <c r="F273" s="20" t="s">
        <v>42</v>
      </c>
      <c r="G273" s="22" t="s">
        <v>63</v>
      </c>
      <c r="H273" s="19" t="s">
        <v>44</v>
      </c>
      <c r="I273" s="19" t="s">
        <v>45</v>
      </c>
      <c r="J273" s="19" t="s">
        <v>46</v>
      </c>
      <c r="K273" s="19" t="s">
        <v>47</v>
      </c>
      <c r="L273" s="19" t="s">
        <v>599</v>
      </c>
      <c r="M273" s="19" t="s">
        <v>121</v>
      </c>
      <c r="N273" s="19" t="s">
        <v>576</v>
      </c>
      <c r="O273" s="19" t="s">
        <v>121</v>
      </c>
      <c r="P273" s="19" t="s">
        <v>316</v>
      </c>
      <c r="Q273" s="19" t="s">
        <v>1359</v>
      </c>
      <c r="R273" s="19" t="s">
        <v>1320</v>
      </c>
      <c r="S273" s="19"/>
      <c r="T273" s="19" t="s">
        <v>53</v>
      </c>
      <c r="U273" s="19" t="s">
        <v>80</v>
      </c>
      <c r="V273" s="19" t="s">
        <v>55</v>
      </c>
      <c r="W273" s="19" t="s">
        <v>81</v>
      </c>
      <c r="X273" s="19" t="s">
        <v>191</v>
      </c>
      <c r="Y273" s="19"/>
      <c r="Z273" s="19" t="s">
        <v>1360</v>
      </c>
      <c r="AA273" s="19">
        <v>2</v>
      </c>
      <c r="AB273" s="19">
        <v>2</v>
      </c>
      <c r="AC273" s="19" t="s">
        <v>58</v>
      </c>
      <c r="AD273" s="19" t="s">
        <v>316</v>
      </c>
      <c r="AE273" s="19" t="s">
        <v>1361</v>
      </c>
      <c r="AF273" s="19" t="s">
        <v>1362</v>
      </c>
    </row>
    <row r="274" spans="1:34" customHeight="1" ht="42">
      <c r="A274" s="19">
        <v>268</v>
      </c>
      <c r="B274" s="19" t="s">
        <v>1363</v>
      </c>
      <c r="C274" s="19" t="s">
        <v>1357</v>
      </c>
      <c r="D274" s="19" t="str">
        <f>HYPERLINK("http://www.henontech.com/fieldsafety/harzard/harzard_show.php?rid=3232&amp;url=harzardrecs.php","5.5米熄焦塔墙皮破损，如果一名职工在熄焦塔下推车时，熄焦塔墙皮破裂碎块落下，正好砸到该职工脸上，造成脸部划伤。")</f>
        <v>5.5米熄焦塔墙皮破损，如果一名职工在熄焦塔下推车时，熄焦塔墙皮破裂碎块落下，正好砸到该职工脸上，造成脸部划伤。</v>
      </c>
      <c r="E274" s="19" t="s">
        <v>1364</v>
      </c>
      <c r="F274" s="20" t="s">
        <v>42</v>
      </c>
      <c r="G274" s="22" t="s">
        <v>63</v>
      </c>
      <c r="H274" s="19" t="s">
        <v>44</v>
      </c>
      <c r="I274" s="19" t="s">
        <v>120</v>
      </c>
      <c r="J274" s="19" t="s">
        <v>46</v>
      </c>
      <c r="K274" s="19" t="s">
        <v>47</v>
      </c>
      <c r="L274" s="19" t="s">
        <v>76</v>
      </c>
      <c r="M274" s="19" t="s">
        <v>121</v>
      </c>
      <c r="N274" s="19" t="s">
        <v>831</v>
      </c>
      <c r="O274" s="19" t="s">
        <v>121</v>
      </c>
      <c r="P274" s="19" t="s">
        <v>568</v>
      </c>
      <c r="Q274" s="19" t="s">
        <v>1359</v>
      </c>
      <c r="R274" s="19" t="s">
        <v>1365</v>
      </c>
      <c r="S274" s="19"/>
      <c r="T274" s="19" t="s">
        <v>53</v>
      </c>
      <c r="U274" s="19" t="s">
        <v>54</v>
      </c>
      <c r="V274" s="19" t="s">
        <v>55</v>
      </c>
      <c r="W274" s="19" t="s">
        <v>56</v>
      </c>
      <c r="X274" s="19" t="s">
        <v>191</v>
      </c>
      <c r="Y274" s="19"/>
      <c r="Z274" s="19" t="s">
        <v>1366</v>
      </c>
      <c r="AA274" s="19">
        <v>2</v>
      </c>
      <c r="AB274" s="19">
        <v>1</v>
      </c>
      <c r="AC274" s="19" t="s">
        <v>58</v>
      </c>
      <c r="AD274" s="19" t="s">
        <v>568</v>
      </c>
      <c r="AE274" s="19" t="s">
        <v>1335</v>
      </c>
      <c r="AF274" s="19" t="s">
        <v>1367</v>
      </c>
    </row>
    <row r="275" spans="1:34">
      <c r="A275" s="19">
        <v>269</v>
      </c>
      <c r="B275" s="19" t="s">
        <v>1368</v>
      </c>
      <c r="C275" s="19" t="s">
        <v>1369</v>
      </c>
      <c r="D275" s="19" t="str">
        <f>HYPERLINK("http://www.henontech.com/fieldsafety/harzard/harzard_show.php?rid=3322&amp;url=harzardrecs.php","电仪人员维修设备电源模块时如果未做好断电措施，可能发生人员手臂触电，须送医院救治")</f>
        <v>电仪人员维修设备电源模块时如果未做好断电措施，可能发生人员手臂触电，须送医院救治</v>
      </c>
      <c r="E275" s="19" t="s">
        <v>1370</v>
      </c>
      <c r="F275" s="23" t="s">
        <v>304</v>
      </c>
      <c r="G275" s="22" t="s">
        <v>63</v>
      </c>
      <c r="H275" s="19" t="s">
        <v>44</v>
      </c>
      <c r="I275" s="19" t="s">
        <v>120</v>
      </c>
      <c r="J275" s="19" t="s">
        <v>311</v>
      </c>
      <c r="K275" s="19" t="s">
        <v>110</v>
      </c>
      <c r="L275" s="19" t="s">
        <v>76</v>
      </c>
      <c r="M275" s="19" t="s">
        <v>1033</v>
      </c>
      <c r="N275" s="19" t="s">
        <v>1073</v>
      </c>
      <c r="O275" s="19"/>
      <c r="P275" s="19"/>
      <c r="Q275" s="19"/>
      <c r="R275" s="19" t="s">
        <v>1371</v>
      </c>
      <c r="S275" s="19" t="s">
        <v>1372</v>
      </c>
      <c r="T275" s="19" t="s">
        <v>53</v>
      </c>
      <c r="U275" s="19" t="s">
        <v>54</v>
      </c>
      <c r="V275" s="19" t="s">
        <v>97</v>
      </c>
      <c r="W275" s="19" t="s">
        <v>81</v>
      </c>
      <c r="X275" s="19"/>
      <c r="Y275" s="19"/>
      <c r="Z275" s="19"/>
      <c r="AA275" s="19">
        <v>0</v>
      </c>
      <c r="AB275" s="19"/>
      <c r="AC275" s="19" t="s">
        <v>308</v>
      </c>
      <c r="AD275" s="19"/>
      <c r="AE275" s="19"/>
      <c r="AF275" s="19"/>
    </row>
    <row r="276" spans="1:34" customHeight="1" ht="42">
      <c r="A276" s="19">
        <v>270</v>
      </c>
      <c r="B276" s="19" t="s">
        <v>1373</v>
      </c>
      <c r="C276" s="19" t="s">
        <v>1357</v>
      </c>
      <c r="D276" s="19" t="str">
        <f>HYPERLINK("http://www.henontech.com/fieldsafety/harzard/harzard_show.php?rid=3551&amp;url=harzardrecs.php","5.5米焦炉2名操作工，在除尘干管进行清理作业，高度5米，1人未系安全带，假如从管道边缘踩空坠落，可能会造成颈部着地，发生一人死亡事故")</f>
        <v>5.5米焦炉2名操作工，在除尘干管进行清理作业，高度5米，1人未系安全带，假如从管道边缘踩空坠落，可能会造成颈部着地，发生一人死亡事故</v>
      </c>
      <c r="E276" s="19" t="s">
        <v>1374</v>
      </c>
      <c r="F276" s="20" t="s">
        <v>42</v>
      </c>
      <c r="G276" s="21" t="s">
        <v>43</v>
      </c>
      <c r="H276" s="19" t="s">
        <v>44</v>
      </c>
      <c r="I276" s="19"/>
      <c r="J276" s="19" t="s">
        <v>46</v>
      </c>
      <c r="K276" s="19" t="s">
        <v>110</v>
      </c>
      <c r="L276" s="19" t="s">
        <v>76</v>
      </c>
      <c r="M276" s="19" t="s">
        <v>121</v>
      </c>
      <c r="N276" s="19" t="s">
        <v>1319</v>
      </c>
      <c r="O276" s="19" t="s">
        <v>121</v>
      </c>
      <c r="P276" s="19" t="s">
        <v>568</v>
      </c>
      <c r="Q276" s="19" t="s">
        <v>1375</v>
      </c>
      <c r="R276" s="19" t="s">
        <v>672</v>
      </c>
      <c r="S276" s="19"/>
      <c r="T276" s="19" t="s">
        <v>53</v>
      </c>
      <c r="U276" s="19" t="s">
        <v>236</v>
      </c>
      <c r="V276" s="19" t="s">
        <v>69</v>
      </c>
      <c r="W276" s="19" t="s">
        <v>190</v>
      </c>
      <c r="X276" s="19" t="s">
        <v>191</v>
      </c>
      <c r="Y276" s="19"/>
      <c r="Z276" s="19" t="s">
        <v>1376</v>
      </c>
      <c r="AA276" s="19">
        <v>2</v>
      </c>
      <c r="AB276" s="19">
        <v>2</v>
      </c>
      <c r="AC276" s="19" t="s">
        <v>58</v>
      </c>
      <c r="AD276" s="19" t="s">
        <v>568</v>
      </c>
      <c r="AE276" s="19" t="s">
        <v>1335</v>
      </c>
      <c r="AF276" s="19" t="s">
        <v>1377</v>
      </c>
    </row>
    <row r="277" spans="1:34" customHeight="1" ht="42">
      <c r="A277" s="19">
        <v>271</v>
      </c>
      <c r="B277" s="19" t="s">
        <v>1373</v>
      </c>
      <c r="C277" s="19" t="s">
        <v>1357</v>
      </c>
      <c r="D277" s="19" t="str">
        <f>HYPERLINK("http://www.henontech.com/fieldsafety/harzard/harzard_show.php?rid=3552&amp;url=harzardrecs.php","5.5米推焦车，一名外协人员，在无人监护，无本单位电工接电的情况下私自接电，不慎触电，造成一名外协人员触电死亡。")</f>
        <v>5.5米推焦车，一名外协人员，在无人监护，无本单位电工接电的情况下私自接电，不慎触电，造成一名外协人员触电死亡。</v>
      </c>
      <c r="E277" s="19" t="s">
        <v>1378</v>
      </c>
      <c r="F277" s="20" t="s">
        <v>42</v>
      </c>
      <c r="G277" s="21" t="s">
        <v>43</v>
      </c>
      <c r="H277" s="19" t="s">
        <v>44</v>
      </c>
      <c r="I277" s="19"/>
      <c r="J277" s="19" t="s">
        <v>311</v>
      </c>
      <c r="K277" s="19" t="s">
        <v>110</v>
      </c>
      <c r="L277" s="19" t="s">
        <v>76</v>
      </c>
      <c r="M277" s="19" t="s">
        <v>121</v>
      </c>
      <c r="N277" s="19" t="s">
        <v>1379</v>
      </c>
      <c r="O277" s="19" t="s">
        <v>121</v>
      </c>
      <c r="P277" s="19" t="s">
        <v>568</v>
      </c>
      <c r="Q277" s="19" t="s">
        <v>1375</v>
      </c>
      <c r="R277" s="19" t="s">
        <v>1380</v>
      </c>
      <c r="S277" s="19"/>
      <c r="T277" s="19" t="s">
        <v>53</v>
      </c>
      <c r="U277" s="19" t="s">
        <v>236</v>
      </c>
      <c r="V277" s="19" t="s">
        <v>69</v>
      </c>
      <c r="W277" s="19" t="s">
        <v>190</v>
      </c>
      <c r="X277" s="19" t="s">
        <v>1381</v>
      </c>
      <c r="Y277" s="19"/>
      <c r="Z277" s="19" t="s">
        <v>1382</v>
      </c>
      <c r="AA277" s="19">
        <v>2</v>
      </c>
      <c r="AB277" s="19">
        <v>2</v>
      </c>
      <c r="AC277" s="19" t="s">
        <v>58</v>
      </c>
      <c r="AD277" s="19" t="s">
        <v>568</v>
      </c>
      <c r="AE277" s="19" t="s">
        <v>1335</v>
      </c>
      <c r="AF277" s="19" t="s">
        <v>1383</v>
      </c>
    </row>
    <row r="278" spans="1:34" customHeight="1" ht="42">
      <c r="A278" s="19">
        <v>272</v>
      </c>
      <c r="B278" s="19" t="s">
        <v>1373</v>
      </c>
      <c r="C278" s="19" t="s">
        <v>1357</v>
      </c>
      <c r="D278" s="19" t="str">
        <f>HYPERLINK("http://www.henontech.com/fieldsafety/harzard/harzard_show.php?rid=3555&amp;url=harzardrecs.php","5.5米焦炉地下室废气油缸底座螺栓松动，导致油缸开闭行程过大，换向作业不到位，影响生产作业安全，造成重大设备安全事故")</f>
        <v>5.5米焦炉地下室废气油缸底座螺栓松动，导致油缸开闭行程过大，换向作业不到位，影响生产作业安全，造成重大设备安全事故</v>
      </c>
      <c r="E278" s="19" t="s">
        <v>1384</v>
      </c>
      <c r="F278" s="20" t="s">
        <v>42</v>
      </c>
      <c r="G278" s="21" t="s">
        <v>43</v>
      </c>
      <c r="H278" s="19" t="s">
        <v>44</v>
      </c>
      <c r="I278" s="19" t="s">
        <v>108</v>
      </c>
      <c r="J278" s="19" t="s">
        <v>46</v>
      </c>
      <c r="K278" s="19" t="s">
        <v>110</v>
      </c>
      <c r="L278" s="19" t="s">
        <v>76</v>
      </c>
      <c r="M278" s="19" t="s">
        <v>121</v>
      </c>
      <c r="N278" s="19" t="s">
        <v>1385</v>
      </c>
      <c r="O278" s="19" t="s">
        <v>121</v>
      </c>
      <c r="P278" s="19" t="s">
        <v>812</v>
      </c>
      <c r="Q278" s="19" t="s">
        <v>1375</v>
      </c>
      <c r="R278" s="19" t="s">
        <v>174</v>
      </c>
      <c r="S278" s="19"/>
      <c r="T278" s="19" t="s">
        <v>189</v>
      </c>
      <c r="U278" s="19" t="s">
        <v>80</v>
      </c>
      <c r="V278" s="19" t="s">
        <v>97</v>
      </c>
      <c r="W278" s="19" t="s">
        <v>70</v>
      </c>
      <c r="X278" s="19" t="s">
        <v>154</v>
      </c>
      <c r="Y278" s="19"/>
      <c r="Z278" s="19" t="s">
        <v>1386</v>
      </c>
      <c r="AA278" s="19">
        <v>2</v>
      </c>
      <c r="AB278" s="19">
        <v>2</v>
      </c>
      <c r="AC278" s="19" t="s">
        <v>58</v>
      </c>
      <c r="AD278" s="19" t="s">
        <v>812</v>
      </c>
      <c r="AE278" s="19" t="s">
        <v>1387</v>
      </c>
      <c r="AF278" s="19" t="s">
        <v>1388</v>
      </c>
    </row>
    <row r="279" spans="1:34" customHeight="1" ht="42">
      <c r="A279" s="19">
        <v>273</v>
      </c>
      <c r="B279" s="19" t="s">
        <v>1373</v>
      </c>
      <c r="C279" s="19" t="s">
        <v>1389</v>
      </c>
      <c r="D279" s="19" t="str">
        <f>HYPERLINK("http://www.henontech.com/fieldsafety/harzard/harzard_show.php?rid=3559&amp;url=harzardrecs.php","一名操作工在清理桥管过程中，未带防护面罩，加如压力不稳，造成面部烧伤，送医院治疗，轻微烧伤，休养10天。")</f>
        <v>一名操作工在清理桥管过程中，未带防护面罩，加如压力不稳，造成面部烧伤，送医院治疗，轻微烧伤，休养10天。</v>
      </c>
      <c r="E279" s="19" t="s">
        <v>1390</v>
      </c>
      <c r="F279" s="20" t="s">
        <v>42</v>
      </c>
      <c r="G279" s="21" t="s">
        <v>43</v>
      </c>
      <c r="H279" s="19" t="s">
        <v>44</v>
      </c>
      <c r="I279" s="19" t="s">
        <v>108</v>
      </c>
      <c r="J279" s="19" t="s">
        <v>349</v>
      </c>
      <c r="K279" s="19" t="s">
        <v>110</v>
      </c>
      <c r="L279" s="19" t="s">
        <v>76</v>
      </c>
      <c r="M279" s="19" t="s">
        <v>121</v>
      </c>
      <c r="N279" s="19" t="s">
        <v>1109</v>
      </c>
      <c r="O279" s="19" t="s">
        <v>121</v>
      </c>
      <c r="P279" s="19" t="s">
        <v>568</v>
      </c>
      <c r="Q279" s="19" t="s">
        <v>1375</v>
      </c>
      <c r="R279" s="19" t="s">
        <v>1391</v>
      </c>
      <c r="S279" s="19"/>
      <c r="T279" s="19" t="s">
        <v>53</v>
      </c>
      <c r="U279" s="19" t="s">
        <v>80</v>
      </c>
      <c r="V279" s="19" t="s">
        <v>97</v>
      </c>
      <c r="W279" s="19" t="s">
        <v>70</v>
      </c>
      <c r="X279" s="19" t="s">
        <v>191</v>
      </c>
      <c r="Y279" s="19"/>
      <c r="Z279" s="19" t="s">
        <v>1392</v>
      </c>
      <c r="AA279" s="19">
        <v>2</v>
      </c>
      <c r="AB279" s="19">
        <v>2</v>
      </c>
      <c r="AC279" s="19" t="s">
        <v>58</v>
      </c>
      <c r="AD279" s="19" t="s">
        <v>568</v>
      </c>
      <c r="AE279" s="19" t="s">
        <v>1335</v>
      </c>
      <c r="AF279" s="19" t="s">
        <v>1393</v>
      </c>
    </row>
    <row r="280" spans="1:34">
      <c r="A280" s="19">
        <v>274</v>
      </c>
      <c r="B280" s="19" t="s">
        <v>1394</v>
      </c>
      <c r="C280" s="19" t="s">
        <v>1395</v>
      </c>
      <c r="D280" s="19" t="str">
        <f>HYPERLINK("http://www.henontech.com/fieldsafety/harzard/harzard_show.php?rid=3579&amp;url=harzardrecs.php","脱铵二楼除尘器放水管过高，无过挢，无安全警示，一名脱硫巡检工在巡检时不慎被绊倒造成左胳膊前臂骨折，入院治疗。")</f>
        <v>脱铵二楼除尘器放水管过高，无过挢，无安全警示，一名脱硫巡检工在巡检时不慎被绊倒造成左胳膊前臂骨折，入院治疗。</v>
      </c>
      <c r="E280" s="19" t="s">
        <v>1396</v>
      </c>
      <c r="F280" s="20" t="s">
        <v>42</v>
      </c>
      <c r="G280" s="22" t="s">
        <v>63</v>
      </c>
      <c r="H280" s="19" t="s">
        <v>44</v>
      </c>
      <c r="I280" s="19" t="s">
        <v>45</v>
      </c>
      <c r="J280" s="19" t="s">
        <v>46</v>
      </c>
      <c r="K280" s="19"/>
      <c r="L280" s="19"/>
      <c r="M280" s="19" t="s">
        <v>1033</v>
      </c>
      <c r="N280" s="19" t="s">
        <v>1397</v>
      </c>
      <c r="O280" s="19" t="s">
        <v>1033</v>
      </c>
      <c r="P280" s="19" t="s">
        <v>1034</v>
      </c>
      <c r="Q280" s="19" t="s">
        <v>1398</v>
      </c>
      <c r="R280" s="19" t="s">
        <v>1399</v>
      </c>
      <c r="S280" s="19"/>
      <c r="T280" s="19" t="s">
        <v>53</v>
      </c>
      <c r="U280" s="19" t="s">
        <v>80</v>
      </c>
      <c r="V280" s="19" t="s">
        <v>97</v>
      </c>
      <c r="W280" s="19" t="s">
        <v>70</v>
      </c>
      <c r="X280" s="19"/>
      <c r="Y280" s="19"/>
      <c r="Z280" s="19" t="s">
        <v>1400</v>
      </c>
      <c r="AA280" s="19">
        <v>1</v>
      </c>
      <c r="AB280" s="19">
        <v>1</v>
      </c>
      <c r="AC280" s="19" t="s">
        <v>58</v>
      </c>
      <c r="AD280" s="19" t="s">
        <v>1034</v>
      </c>
      <c r="AE280" s="19" t="s">
        <v>1401</v>
      </c>
      <c r="AF280" s="19"/>
    </row>
    <row r="281" spans="1:34">
      <c r="A281" s="19">
        <v>275</v>
      </c>
      <c r="B281" s="19" t="s">
        <v>1402</v>
      </c>
      <c r="C281" s="19" t="s">
        <v>1403</v>
      </c>
      <c r="D281" s="19" t="str">
        <f>HYPERLINK("http://www.henontech.com/fieldsafety/harzard/harzard_show.php?rid=3587&amp;url=harzardrecs.php","空调冷凝水未引入排水沟造成地面打滑巡查人员摔倒受伤")</f>
        <v>空调冷凝水未引入排水沟造成地面打滑巡查人员摔倒受伤</v>
      </c>
      <c r="E281" s="19" t="s">
        <v>1404</v>
      </c>
      <c r="F281" s="23" t="s">
        <v>304</v>
      </c>
      <c r="G281" s="22" t="s">
        <v>63</v>
      </c>
      <c r="H281" s="19" t="s">
        <v>44</v>
      </c>
      <c r="I281" s="19" t="s">
        <v>45</v>
      </c>
      <c r="J281" s="19" t="s">
        <v>349</v>
      </c>
      <c r="K281" s="19" t="s">
        <v>47</v>
      </c>
      <c r="L281" s="19" t="s">
        <v>76</v>
      </c>
      <c r="M281" s="19" t="s">
        <v>1033</v>
      </c>
      <c r="N281" s="19" t="s">
        <v>1405</v>
      </c>
      <c r="O281" s="19"/>
      <c r="P281" s="19"/>
      <c r="Q281" s="19"/>
      <c r="R281" s="19" t="s">
        <v>1406</v>
      </c>
      <c r="S281" s="19" t="s">
        <v>1372</v>
      </c>
      <c r="T281" s="19" t="s">
        <v>53</v>
      </c>
      <c r="U281" s="19" t="s">
        <v>54</v>
      </c>
      <c r="V281" s="19" t="s">
        <v>97</v>
      </c>
      <c r="W281" s="19" t="s">
        <v>81</v>
      </c>
      <c r="X281" s="19"/>
      <c r="Y281" s="19"/>
      <c r="Z281" s="19"/>
      <c r="AA281" s="19">
        <v>0</v>
      </c>
      <c r="AB281" s="19"/>
      <c r="AC281" s="19" t="s">
        <v>308</v>
      </c>
      <c r="AD281" s="19"/>
      <c r="AE281" s="19"/>
      <c r="AF281" s="19"/>
    </row>
    <row r="282" spans="1:34" customHeight="1" ht="42">
      <c r="A282" s="19">
        <v>276</v>
      </c>
      <c r="B282" s="19" t="s">
        <v>1359</v>
      </c>
      <c r="C282" s="19" t="s">
        <v>494</v>
      </c>
      <c r="D282" s="19" t="str">
        <f>HYPERLINK("http://www.henontech.com/fieldsafety/harzard/harzard_show.php?rid=3626&amp;url=harzardrecs.php","一管道高出集气管操作平台20公分无防护和警示标识，一操作工夜间经过此处时不慎被绊倒，左手臂磕到顺水槽上造成骨折")</f>
        <v>一管道高出集气管操作平台20公分无防护和警示标识，一操作工夜间经过此处时不慎被绊倒，左手臂磕到顺水槽上造成骨折</v>
      </c>
      <c r="E282" s="19" t="s">
        <v>1407</v>
      </c>
      <c r="F282" s="20" t="s">
        <v>42</v>
      </c>
      <c r="G282" s="22" t="s">
        <v>63</v>
      </c>
      <c r="H282" s="19" t="s">
        <v>44</v>
      </c>
      <c r="I282" s="19" t="s">
        <v>120</v>
      </c>
      <c r="J282" s="19" t="s">
        <v>109</v>
      </c>
      <c r="K282" s="19" t="s">
        <v>47</v>
      </c>
      <c r="L282" s="19" t="s">
        <v>76</v>
      </c>
      <c r="M282" s="19" t="s">
        <v>121</v>
      </c>
      <c r="N282" s="19" t="s">
        <v>799</v>
      </c>
      <c r="O282" s="19" t="s">
        <v>121</v>
      </c>
      <c r="P282" s="19" t="s">
        <v>568</v>
      </c>
      <c r="Q282" s="19" t="s">
        <v>1408</v>
      </c>
      <c r="R282" s="19" t="s">
        <v>1391</v>
      </c>
      <c r="S282" s="19"/>
      <c r="T282" s="19" t="s">
        <v>53</v>
      </c>
      <c r="U282" s="19" t="s">
        <v>80</v>
      </c>
      <c r="V282" s="19" t="s">
        <v>97</v>
      </c>
      <c r="W282" s="19" t="s">
        <v>70</v>
      </c>
      <c r="X282" s="19" t="s">
        <v>191</v>
      </c>
      <c r="Y282" s="19"/>
      <c r="Z282" s="19" t="s">
        <v>1409</v>
      </c>
      <c r="AA282" s="19">
        <v>2</v>
      </c>
      <c r="AB282" s="19">
        <v>1</v>
      </c>
      <c r="AC282" s="19" t="s">
        <v>58</v>
      </c>
      <c r="AD282" s="19" t="s">
        <v>568</v>
      </c>
      <c r="AE282" s="19" t="s">
        <v>1335</v>
      </c>
      <c r="AF282" s="19" t="s">
        <v>1410</v>
      </c>
    </row>
    <row r="283" spans="1:34" customHeight="1" ht="42">
      <c r="A283" s="19">
        <v>277</v>
      </c>
      <c r="B283" s="19" t="s">
        <v>1359</v>
      </c>
      <c r="C283" s="19" t="s">
        <v>544</v>
      </c>
      <c r="D283" s="19" t="str">
        <f>HYPERLINK("http://www.henontech.com/fieldsafety/harzard/harzard_show.php?rid=3627&amp;url=harzardrecs.php","熄焦道轨西侧水泥墙面剥离，若一操作工清扫卫生时，墙面恰巧掉落到右腿上划伤脚踝，经医务室包扎后休息10天，")</f>
        <v>熄焦道轨西侧水泥墙面剥离，若一操作工清扫卫生时，墙面恰巧掉落到右腿上划伤脚踝，经医务室包扎后休息10天，</v>
      </c>
      <c r="E283" s="19" t="s">
        <v>1411</v>
      </c>
      <c r="F283" s="20" t="s">
        <v>42</v>
      </c>
      <c r="G283" s="21" t="s">
        <v>43</v>
      </c>
      <c r="H283" s="19" t="s">
        <v>44</v>
      </c>
      <c r="I283" s="19" t="s">
        <v>45</v>
      </c>
      <c r="J283" s="19" t="s">
        <v>46</v>
      </c>
      <c r="K283" s="19"/>
      <c r="L283" s="19"/>
      <c r="M283" s="19" t="s">
        <v>121</v>
      </c>
      <c r="N283" s="19" t="s">
        <v>880</v>
      </c>
      <c r="O283" s="19" t="s">
        <v>121</v>
      </c>
      <c r="P283" s="19" t="s">
        <v>812</v>
      </c>
      <c r="Q283" s="19" t="s">
        <v>1408</v>
      </c>
      <c r="R283" s="19" t="s">
        <v>1412</v>
      </c>
      <c r="S283" s="19"/>
      <c r="T283" s="19" t="s">
        <v>53</v>
      </c>
      <c r="U283" s="19" t="s">
        <v>80</v>
      </c>
      <c r="V283" s="19" t="s">
        <v>55</v>
      </c>
      <c r="W283" s="19" t="s">
        <v>81</v>
      </c>
      <c r="X283" s="19" t="s">
        <v>191</v>
      </c>
      <c r="Y283" s="19"/>
      <c r="Z283" s="19" t="s">
        <v>1413</v>
      </c>
      <c r="AA283" s="19">
        <v>2</v>
      </c>
      <c r="AB283" s="19">
        <v>1</v>
      </c>
      <c r="AC283" s="19" t="s">
        <v>58</v>
      </c>
      <c r="AD283" s="19" t="s">
        <v>812</v>
      </c>
      <c r="AE283" s="19" t="s">
        <v>1414</v>
      </c>
      <c r="AF283" s="19" t="s">
        <v>1415</v>
      </c>
    </row>
    <row r="284" spans="1:34" customHeight="1" ht="42">
      <c r="A284" s="19">
        <v>278</v>
      </c>
      <c r="B284" s="19" t="s">
        <v>1416</v>
      </c>
      <c r="C284" s="19" t="s">
        <v>1417</v>
      </c>
      <c r="D284" s="19" t="str">
        <f>HYPERLINK("http://www.henontech.com/fieldsafety/harzard/harzard_show.php?rid=3675&amp;url=harzardrecs.php","20米高的彩钢瓦开裂松动未固定，受风力、震动等环境因素影响,造成彩钢瓦坠落，受高处坠落的冲击力，巡检人员从此经过砸到头部死亡。")</f>
        <v>20米高的彩钢瓦开裂松动未固定，受风力、震动等环境因素影响,造成彩钢瓦坠落，受高处坠落的冲击力，巡检人员从此经过砸到头部死亡。</v>
      </c>
      <c r="E284" s="19" t="s">
        <v>1418</v>
      </c>
      <c r="F284" s="20" t="s">
        <v>42</v>
      </c>
      <c r="G284" s="22" t="s">
        <v>63</v>
      </c>
      <c r="H284" s="19" t="s">
        <v>44</v>
      </c>
      <c r="I284" s="19" t="s">
        <v>108</v>
      </c>
      <c r="J284" s="19" t="s">
        <v>349</v>
      </c>
      <c r="K284" s="19" t="s">
        <v>47</v>
      </c>
      <c r="L284" s="19" t="s">
        <v>170</v>
      </c>
      <c r="M284" s="19" t="s">
        <v>121</v>
      </c>
      <c r="N284" s="19" t="s">
        <v>1419</v>
      </c>
      <c r="O284" s="19" t="s">
        <v>121</v>
      </c>
      <c r="P284" s="19" t="s">
        <v>568</v>
      </c>
      <c r="Q284" s="19" t="s">
        <v>1420</v>
      </c>
      <c r="R284" s="19" t="s">
        <v>1421</v>
      </c>
      <c r="S284" s="19"/>
      <c r="T284" s="19" t="s">
        <v>53</v>
      </c>
      <c r="U284" s="19" t="s">
        <v>236</v>
      </c>
      <c r="V284" s="19" t="s">
        <v>97</v>
      </c>
      <c r="W284" s="19" t="s">
        <v>190</v>
      </c>
      <c r="X284" s="19" t="s">
        <v>191</v>
      </c>
      <c r="Y284" s="19"/>
      <c r="Z284" s="19" t="s">
        <v>1422</v>
      </c>
      <c r="AA284" s="19">
        <v>2</v>
      </c>
      <c r="AB284" s="19">
        <v>2</v>
      </c>
      <c r="AC284" s="19" t="s">
        <v>58</v>
      </c>
      <c r="AD284" s="19" t="s">
        <v>568</v>
      </c>
      <c r="AE284" s="19" t="s">
        <v>1335</v>
      </c>
      <c r="AF284" s="19" t="s">
        <v>1423</v>
      </c>
    </row>
    <row r="285" spans="1:34" customHeight="1" ht="42">
      <c r="A285" s="19">
        <v>279</v>
      </c>
      <c r="B285" s="19" t="s">
        <v>1424</v>
      </c>
      <c r="C285" s="19" t="s">
        <v>1357</v>
      </c>
      <c r="D285" s="19" t="str">
        <f>HYPERLINK("http://www.henontech.com/fieldsafety/harzard/harzard_show.php?rid=3696&amp;url=harzardrecs.php","筛焦楼地面环境除尘，电机平台因无防护栏，操作工在擦拭设备时，不慎从两米多高的平台跌落，造成小腿骨折，送医救治。")</f>
        <v>筛焦楼地面环境除尘，电机平台因无防护栏，操作工在擦拭设备时，不慎从两米多高的平台跌落，造成小腿骨折，送医救治。</v>
      </c>
      <c r="E285" s="19" t="s">
        <v>1425</v>
      </c>
      <c r="F285" s="20" t="s">
        <v>42</v>
      </c>
      <c r="G285" s="22" t="s">
        <v>63</v>
      </c>
      <c r="H285" s="19" t="s">
        <v>44</v>
      </c>
      <c r="I285" s="19" t="s">
        <v>120</v>
      </c>
      <c r="J285" s="19" t="s">
        <v>46</v>
      </c>
      <c r="K285" s="19" t="s">
        <v>47</v>
      </c>
      <c r="L285" s="19" t="s">
        <v>170</v>
      </c>
      <c r="M285" s="19" t="s">
        <v>121</v>
      </c>
      <c r="N285" s="19" t="s">
        <v>1426</v>
      </c>
      <c r="O285" s="19" t="s">
        <v>121</v>
      </c>
      <c r="P285" s="19" t="s">
        <v>316</v>
      </c>
      <c r="Q285" s="19" t="s">
        <v>1420</v>
      </c>
      <c r="R285" s="19" t="s">
        <v>1427</v>
      </c>
      <c r="S285" s="19"/>
      <c r="T285" s="19" t="s">
        <v>53</v>
      </c>
      <c r="U285" s="19" t="s">
        <v>80</v>
      </c>
      <c r="V285" s="19" t="s">
        <v>55</v>
      </c>
      <c r="W285" s="19" t="s">
        <v>81</v>
      </c>
      <c r="X285" s="19" t="s">
        <v>191</v>
      </c>
      <c r="Y285" s="19"/>
      <c r="Z285" s="19" t="s">
        <v>1428</v>
      </c>
      <c r="AA285" s="19">
        <v>2</v>
      </c>
      <c r="AB285" s="19">
        <v>2</v>
      </c>
      <c r="AC285" s="19" t="s">
        <v>58</v>
      </c>
      <c r="AD285" s="19" t="s">
        <v>316</v>
      </c>
      <c r="AE285" s="19" t="s">
        <v>1361</v>
      </c>
      <c r="AF285" s="19"/>
    </row>
    <row r="286" spans="1:34" customHeight="1" ht="42">
      <c r="A286" s="19">
        <v>280</v>
      </c>
      <c r="B286" s="19" t="s">
        <v>1429</v>
      </c>
      <c r="C286" s="19" t="s">
        <v>1430</v>
      </c>
      <c r="D286" s="19" t="str">
        <f>HYPERLINK("http://www.henontech.com/fieldsafety/harzard/harzard_show.php?rid=3803&amp;url=harzardrecs.php","轴流风机管道破裂，造成当焦炉地下室煤气泄漏时无法正常排出室外")</f>
        <v>轴流风机管道破裂，造成当焦炉地下室煤气泄漏时无法正常排出室外</v>
      </c>
      <c r="E286" s="19" t="s">
        <v>1431</v>
      </c>
      <c r="F286" s="20" t="s">
        <v>42</v>
      </c>
      <c r="G286" s="22" t="s">
        <v>63</v>
      </c>
      <c r="H286" s="19" t="s">
        <v>44</v>
      </c>
      <c r="I286" s="19" t="s">
        <v>108</v>
      </c>
      <c r="J286" s="19" t="s">
        <v>46</v>
      </c>
      <c r="K286" s="19" t="s">
        <v>64</v>
      </c>
      <c r="L286" s="19" t="s">
        <v>76</v>
      </c>
      <c r="M286" s="19" t="s">
        <v>121</v>
      </c>
      <c r="N286" s="19" t="s">
        <v>217</v>
      </c>
      <c r="O286" s="19" t="s">
        <v>121</v>
      </c>
      <c r="P286" s="19" t="s">
        <v>812</v>
      </c>
      <c r="Q286" s="19" t="s">
        <v>1420</v>
      </c>
      <c r="R286" s="19" t="s">
        <v>1432</v>
      </c>
      <c r="S286" s="19"/>
      <c r="T286" s="19" t="s">
        <v>53</v>
      </c>
      <c r="U286" s="19" t="s">
        <v>236</v>
      </c>
      <c r="V286" s="19" t="s">
        <v>55</v>
      </c>
      <c r="W286" s="19" t="s">
        <v>70</v>
      </c>
      <c r="X286" s="19" t="s">
        <v>154</v>
      </c>
      <c r="Y286" s="19"/>
      <c r="Z286" s="19" t="s">
        <v>1433</v>
      </c>
      <c r="AA286" s="19">
        <v>2</v>
      </c>
      <c r="AB286" s="19">
        <v>2</v>
      </c>
      <c r="AC286" s="19" t="s">
        <v>58</v>
      </c>
      <c r="AD286" s="19" t="s">
        <v>812</v>
      </c>
      <c r="AE286" s="19" t="s">
        <v>1434</v>
      </c>
      <c r="AF286" s="19" t="s">
        <v>1435</v>
      </c>
    </row>
    <row r="287" spans="1:34">
      <c r="A287" s="19">
        <v>281</v>
      </c>
      <c r="B287" s="19" t="s">
        <v>1436</v>
      </c>
      <c r="C287" s="19" t="s">
        <v>252</v>
      </c>
      <c r="D287" s="19" t="str">
        <f>HYPERLINK("http://www.henontech.com/fieldsafety/harzard/harzard_show.php?rid=3898&amp;url=harzardrecs.php","平台踏板不牢，巡检人员检查除尘喷吹情况时，脚底踏板开裂，巡检人员从5米平台坠落至地面。")</f>
        <v>平台踏板不牢，巡检人员检查除尘喷吹情况时，脚底踏板开裂，巡检人员从5米平台坠落至地面。</v>
      </c>
      <c r="E287" s="19" t="s">
        <v>1437</v>
      </c>
      <c r="F287" s="20" t="s">
        <v>42</v>
      </c>
      <c r="G287" s="22" t="s">
        <v>63</v>
      </c>
      <c r="H287" s="19" t="s">
        <v>44</v>
      </c>
      <c r="I287" s="19" t="s">
        <v>108</v>
      </c>
      <c r="J287" s="19" t="s">
        <v>46</v>
      </c>
      <c r="K287" s="19" t="s">
        <v>110</v>
      </c>
      <c r="L287" s="19" t="s">
        <v>76</v>
      </c>
      <c r="M287" s="19" t="s">
        <v>121</v>
      </c>
      <c r="N287" s="19" t="s">
        <v>289</v>
      </c>
      <c r="O287" s="19" t="s">
        <v>121</v>
      </c>
      <c r="P287" s="19" t="s">
        <v>316</v>
      </c>
      <c r="Q287" s="19" t="s">
        <v>1438</v>
      </c>
      <c r="R287" s="19" t="s">
        <v>1439</v>
      </c>
      <c r="S287" s="19" t="s">
        <v>1440</v>
      </c>
      <c r="T287" s="19" t="s">
        <v>53</v>
      </c>
      <c r="U287" s="19" t="s">
        <v>236</v>
      </c>
      <c r="V287" s="19" t="s">
        <v>97</v>
      </c>
      <c r="W287" s="19" t="s">
        <v>190</v>
      </c>
      <c r="X287" s="19" t="s">
        <v>154</v>
      </c>
      <c r="Y287" s="19"/>
      <c r="Z287" s="19" t="s">
        <v>1441</v>
      </c>
      <c r="AA287" s="19">
        <v>1</v>
      </c>
      <c r="AB287" s="19">
        <v>1</v>
      </c>
      <c r="AC287" s="19" t="s">
        <v>58</v>
      </c>
      <c r="AD287" s="19" t="s">
        <v>316</v>
      </c>
      <c r="AE287" s="19" t="s">
        <v>1361</v>
      </c>
      <c r="AF287" s="19" t="s">
        <v>1442</v>
      </c>
    </row>
    <row r="288" spans="1:34">
      <c r="A288" s="19">
        <v>282</v>
      </c>
      <c r="B288" s="19" t="s">
        <v>1443</v>
      </c>
      <c r="C288" s="19" t="s">
        <v>1444</v>
      </c>
      <c r="D288" s="19" t="str">
        <f>HYPERLINK("http://www.henontech.com/fieldsafety/harzard/harzard_show.php?rid=3985&amp;url=harzardrecs.php","南脱硫操作室门框铁片翘起一名操作工不小心可是会被拌倒，可能造成手腕扭伤。")</f>
        <v>南脱硫操作室门框铁片翘起一名操作工不小心可是会被拌倒，可能造成手腕扭伤。</v>
      </c>
      <c r="E288" s="19" t="s">
        <v>1445</v>
      </c>
      <c r="F288" s="23" t="s">
        <v>304</v>
      </c>
      <c r="G288" s="22" t="s">
        <v>63</v>
      </c>
      <c r="H288" s="19" t="s">
        <v>44</v>
      </c>
      <c r="I288" s="19"/>
      <c r="J288" s="19" t="s">
        <v>46</v>
      </c>
      <c r="K288" s="19"/>
      <c r="L288" s="19"/>
      <c r="M288" s="19" t="s">
        <v>48</v>
      </c>
      <c r="N288" s="19" t="s">
        <v>1446</v>
      </c>
      <c r="O288" s="19"/>
      <c r="P288" s="19"/>
      <c r="Q288" s="19"/>
      <c r="R288" s="19" t="s">
        <v>1447</v>
      </c>
      <c r="S288" s="19" t="s">
        <v>1372</v>
      </c>
      <c r="T288" s="19" t="s">
        <v>53</v>
      </c>
      <c r="U288" s="19" t="s">
        <v>54</v>
      </c>
      <c r="V288" s="19" t="s">
        <v>55</v>
      </c>
      <c r="W288" s="19" t="s">
        <v>56</v>
      </c>
      <c r="X288" s="19"/>
      <c r="Y288" s="19"/>
      <c r="Z288" s="19"/>
      <c r="AA288" s="19">
        <v>0</v>
      </c>
      <c r="AB288" s="19"/>
      <c r="AC288" s="19" t="s">
        <v>308</v>
      </c>
      <c r="AD288" s="19"/>
      <c r="AE288" s="19"/>
      <c r="AF288" s="19"/>
    </row>
    <row r="289" spans="1:34">
      <c r="A289" s="19">
        <v>283</v>
      </c>
      <c r="B289" s="19" t="s">
        <v>1448</v>
      </c>
      <c r="C289" s="19" t="s">
        <v>1449</v>
      </c>
      <c r="D289" s="19" t="str">
        <f>HYPERLINK("http://www.henontech.com/fieldsafety/harzard/harzard_show.php?rid=4050&amp;url=harzardrecs.php","碳化平台封头吊装作业过程中，电动葫芦开关未放置安全位置，控制开关被封头砸毁漏电，导致一拆装人员触电，送医院抢救无效死亡。")</f>
        <v>碳化平台封头吊装作业过程中，电动葫芦开关未放置安全位置，控制开关被封头砸毁漏电，导致一拆装人员触电，送医院抢救无效死亡。</v>
      </c>
      <c r="E289" s="19" t="s">
        <v>1450</v>
      </c>
      <c r="F289" s="23" t="s">
        <v>304</v>
      </c>
      <c r="G289" s="22" t="s">
        <v>63</v>
      </c>
      <c r="H289" s="19" t="s">
        <v>44</v>
      </c>
      <c r="I289" s="19" t="s">
        <v>120</v>
      </c>
      <c r="J289" s="19" t="s">
        <v>311</v>
      </c>
      <c r="K289" s="19" t="s">
        <v>47</v>
      </c>
      <c r="L289" s="19"/>
      <c r="M289" s="19" t="s">
        <v>1033</v>
      </c>
      <c r="N289" s="19" t="s">
        <v>1451</v>
      </c>
      <c r="O289" s="19"/>
      <c r="P289" s="19"/>
      <c r="Q289" s="19"/>
      <c r="R289" s="19" t="s">
        <v>224</v>
      </c>
      <c r="S289" s="19" t="s">
        <v>1372</v>
      </c>
      <c r="T289" s="19" t="s">
        <v>53</v>
      </c>
      <c r="U289" s="19" t="s">
        <v>236</v>
      </c>
      <c r="V289" s="19" t="s">
        <v>55</v>
      </c>
      <c r="W289" s="19" t="s">
        <v>70</v>
      </c>
      <c r="X289" s="19"/>
      <c r="Y289" s="19"/>
      <c r="Z289" s="19"/>
      <c r="AA289" s="19">
        <v>0</v>
      </c>
      <c r="AB289" s="19"/>
      <c r="AC289" s="19" t="s">
        <v>308</v>
      </c>
      <c r="AD289" s="19"/>
      <c r="AE289" s="19"/>
      <c r="AF289" s="19"/>
    </row>
    <row r="290" spans="1:34" customHeight="1" ht="42">
      <c r="A290" s="19">
        <v>284</v>
      </c>
      <c r="B290" s="19" t="s">
        <v>1452</v>
      </c>
      <c r="C290" s="19" t="s">
        <v>1453</v>
      </c>
      <c r="D290" s="19" t="str">
        <f>HYPERLINK("http://www.henontech.com/fieldsafety/harzard/harzard_show.php?rid=4270&amp;url=harzardrecs.php","锅炉操作工使用完工具后因存放不规范，导致一名操作工在巡检时工具从高空坠落砸伤操作工左肩锁骨。")</f>
        <v>锅炉操作工使用完工具后因存放不规范，导致一名操作工在巡检时工具从高空坠落砸伤操作工左肩锁骨。</v>
      </c>
      <c r="E290" s="19" t="s">
        <v>1454</v>
      </c>
      <c r="F290" s="25" t="s">
        <v>1455</v>
      </c>
      <c r="G290" s="22" t="s">
        <v>63</v>
      </c>
      <c r="H290" s="19" t="s">
        <v>44</v>
      </c>
      <c r="I290" s="19"/>
      <c r="J290" s="19" t="s">
        <v>46</v>
      </c>
      <c r="K290" s="19" t="s">
        <v>64</v>
      </c>
      <c r="L290" s="19"/>
      <c r="M290" s="19" t="s">
        <v>1033</v>
      </c>
      <c r="N290" s="19" t="s">
        <v>1456</v>
      </c>
      <c r="O290" s="19" t="s">
        <v>1033</v>
      </c>
      <c r="P290" s="19" t="s">
        <v>1153</v>
      </c>
      <c r="Q290" s="19" t="s">
        <v>1457</v>
      </c>
      <c r="R290" s="19" t="s">
        <v>1458</v>
      </c>
      <c r="S290" s="19"/>
      <c r="T290" s="19" t="s">
        <v>53</v>
      </c>
      <c r="U290" s="19" t="s">
        <v>80</v>
      </c>
      <c r="V290" s="19" t="s">
        <v>97</v>
      </c>
      <c r="W290" s="19" t="s">
        <v>70</v>
      </c>
      <c r="X290" s="19" t="s">
        <v>154</v>
      </c>
      <c r="Y290" s="19"/>
      <c r="Z290" s="19" t="s">
        <v>1459</v>
      </c>
      <c r="AA290" s="19">
        <v>2</v>
      </c>
      <c r="AB290" s="19"/>
      <c r="AC290" s="19" t="s">
        <v>308</v>
      </c>
      <c r="AD290" s="19"/>
      <c r="AE290" s="19"/>
      <c r="AF290" s="19"/>
    </row>
    <row r="291" spans="1:34">
      <c r="A291" s="19">
        <v>285</v>
      </c>
      <c r="B291" s="19" t="s">
        <v>1452</v>
      </c>
      <c r="C291" s="19" t="s">
        <v>1460</v>
      </c>
      <c r="D291" s="19" t="str">
        <f>HYPERLINK("http://www.henontech.com/fieldsafety/harzard/harzard_show.php?rid=4279&amp;url=harzardrecs.php","加药间絮凝剂泵药品溢出造成桥架内电缆腐蚀短路，设备停电，造成生产事故")</f>
        <v>加药间絮凝剂泵药品溢出造成桥架内电缆腐蚀短路，设备停电，造成生产事故</v>
      </c>
      <c r="E291" s="19" t="s">
        <v>1461</v>
      </c>
      <c r="F291" s="23" t="s">
        <v>304</v>
      </c>
      <c r="G291" s="22" t="s">
        <v>63</v>
      </c>
      <c r="H291" s="19" t="s">
        <v>44</v>
      </c>
      <c r="I291" s="19" t="s">
        <v>108</v>
      </c>
      <c r="J291" s="19" t="s">
        <v>46</v>
      </c>
      <c r="K291" s="19" t="s">
        <v>64</v>
      </c>
      <c r="L291" s="19" t="s">
        <v>76</v>
      </c>
      <c r="M291" s="19" t="s">
        <v>1033</v>
      </c>
      <c r="N291" s="19" t="s">
        <v>1462</v>
      </c>
      <c r="O291" s="19"/>
      <c r="P291" s="19"/>
      <c r="Q291" s="19"/>
      <c r="R291" s="19" t="s">
        <v>700</v>
      </c>
      <c r="S291" s="19" t="s">
        <v>1372</v>
      </c>
      <c r="T291" s="19" t="s">
        <v>189</v>
      </c>
      <c r="U291" s="19" t="s">
        <v>202</v>
      </c>
      <c r="V291" s="19" t="s">
        <v>55</v>
      </c>
      <c r="W291" s="19" t="s">
        <v>56</v>
      </c>
      <c r="X291" s="19"/>
      <c r="Y291" s="19"/>
      <c r="Z291" s="19"/>
      <c r="AA291" s="19">
        <v>0</v>
      </c>
      <c r="AB291" s="19"/>
      <c r="AC291" s="19" t="s">
        <v>308</v>
      </c>
      <c r="AD291" s="19"/>
      <c r="AE291" s="19"/>
      <c r="AF291" s="19"/>
    </row>
    <row r="292" spans="1:34" customHeight="1" ht="42">
      <c r="A292" s="19">
        <v>286</v>
      </c>
      <c r="B292" s="19" t="s">
        <v>1452</v>
      </c>
      <c r="C292" s="19" t="s">
        <v>1460</v>
      </c>
      <c r="D292" s="19" t="str">
        <f>HYPERLINK("http://www.henontech.com/fieldsafety/harzard/harzard_show.php?rid=4284&amp;url=harzardrecs.php","热力老化水电源柜隔离刀闸灭弧罩缺失，在拉合过程中造成短路，使上一级开关跳闸，造成大面积停电")</f>
        <v>热力老化水电源柜隔离刀闸灭弧罩缺失，在拉合过程中造成短路，使上一级开关跳闸，造成大面积停电</v>
      </c>
      <c r="E292" s="19" t="s">
        <v>1463</v>
      </c>
      <c r="F292" s="25" t="s">
        <v>1455</v>
      </c>
      <c r="G292" s="22" t="s">
        <v>63</v>
      </c>
      <c r="H292" s="19" t="s">
        <v>44</v>
      </c>
      <c r="I292" s="19" t="s">
        <v>108</v>
      </c>
      <c r="J292" s="19" t="s">
        <v>46</v>
      </c>
      <c r="K292" s="19"/>
      <c r="L292" s="19" t="s">
        <v>76</v>
      </c>
      <c r="M292" s="19" t="s">
        <v>1033</v>
      </c>
      <c r="N292" s="19" t="s">
        <v>1464</v>
      </c>
      <c r="O292" s="19" t="s">
        <v>1033</v>
      </c>
      <c r="P292" s="19" t="s">
        <v>1464</v>
      </c>
      <c r="Q292" s="19" t="s">
        <v>1457</v>
      </c>
      <c r="R292" s="19" t="s">
        <v>1465</v>
      </c>
      <c r="S292" s="19"/>
      <c r="T292" s="19" t="s">
        <v>189</v>
      </c>
      <c r="U292" s="19" t="s">
        <v>202</v>
      </c>
      <c r="V292" s="19" t="s">
        <v>55</v>
      </c>
      <c r="W292" s="19" t="s">
        <v>56</v>
      </c>
      <c r="X292" s="19" t="s">
        <v>154</v>
      </c>
      <c r="Y292" s="19" t="s">
        <v>154</v>
      </c>
      <c r="Z292" s="19" t="s">
        <v>1466</v>
      </c>
      <c r="AA292" s="19">
        <v>2</v>
      </c>
      <c r="AB292" s="19"/>
      <c r="AC292" s="19" t="s">
        <v>308</v>
      </c>
      <c r="AD292" s="19"/>
      <c r="AE292" s="19"/>
      <c r="AF292" s="19"/>
    </row>
    <row r="293" spans="1:34">
      <c r="A293" s="19">
        <v>287</v>
      </c>
      <c r="B293" s="19" t="s">
        <v>1467</v>
      </c>
      <c r="C293" s="19" t="s">
        <v>1468</v>
      </c>
      <c r="D293" s="19" t="str">
        <f>HYPERLINK("http://www.henontech.com/fieldsafety/harzard/harzard_show.php?rid=4296&amp;url=harzardrecs.php","75T锅炉煤仓顶部引孔防护网未封盖，一巡检工巡查至此，可能发生坠落，导致右腿骨折，送医院就医，住院3个月，在家休养3个月，损工6个月")</f>
        <v>75T锅炉煤仓顶部引孔防护网未封盖，一巡检工巡查至此，可能发生坠落，导致右腿骨折，送医院就医，住院3个月，在家休养3个月，损工6个月</v>
      </c>
      <c r="E293" s="19" t="s">
        <v>1469</v>
      </c>
      <c r="F293" s="23" t="s">
        <v>304</v>
      </c>
      <c r="G293" s="22" t="s">
        <v>63</v>
      </c>
      <c r="H293" s="19" t="s">
        <v>44</v>
      </c>
      <c r="I293" s="19" t="s">
        <v>120</v>
      </c>
      <c r="J293" s="19" t="s">
        <v>46</v>
      </c>
      <c r="K293" s="19" t="s">
        <v>64</v>
      </c>
      <c r="L293" s="19" t="s">
        <v>76</v>
      </c>
      <c r="M293" s="19" t="s">
        <v>1033</v>
      </c>
      <c r="N293" s="19" t="s">
        <v>1470</v>
      </c>
      <c r="O293" s="19"/>
      <c r="P293" s="19"/>
      <c r="Q293" s="19"/>
      <c r="R293" s="19" t="s">
        <v>1471</v>
      </c>
      <c r="S293" s="19" t="s">
        <v>1472</v>
      </c>
      <c r="T293" s="19" t="s">
        <v>53</v>
      </c>
      <c r="U293" s="19" t="s">
        <v>80</v>
      </c>
      <c r="V293" s="19" t="s">
        <v>97</v>
      </c>
      <c r="W293" s="19" t="s">
        <v>70</v>
      </c>
      <c r="X293" s="19"/>
      <c r="Y293" s="19"/>
      <c r="Z293" s="19"/>
      <c r="AA293" s="19">
        <v>0</v>
      </c>
      <c r="AB293" s="19"/>
      <c r="AC293" s="19" t="s">
        <v>308</v>
      </c>
      <c r="AD293" s="19"/>
      <c r="AE293" s="19"/>
      <c r="AF293" s="19"/>
    </row>
    <row r="294" spans="1:34" customHeight="1" ht="42">
      <c r="A294" s="19">
        <v>288</v>
      </c>
      <c r="B294" s="19" t="s">
        <v>1473</v>
      </c>
      <c r="C294" s="19" t="s">
        <v>1468</v>
      </c>
      <c r="D294" s="19" t="str">
        <f>HYPERLINK("http://www.henontech.com/fieldsafety/harzard/harzard_show.php?rid=4379&amp;url=harzardrecs.php","75t锅炉主给水管道漏水，水温102摄氏度，如果一名员工在此处打扫卫生不慎被热水烫伤胳膊，住院治疗10天，在家休养1个月恢复健康")</f>
        <v>75t锅炉主给水管道漏水，水温102摄氏度，如果一名员工在此处打扫卫生不慎被热水烫伤胳膊，住院治疗10天，在家休养1个月恢复健康</v>
      </c>
      <c r="E294" s="19" t="s">
        <v>1474</v>
      </c>
      <c r="F294" s="20" t="s">
        <v>42</v>
      </c>
      <c r="G294" s="22" t="s">
        <v>63</v>
      </c>
      <c r="H294" s="19" t="s">
        <v>44</v>
      </c>
      <c r="I294" s="19"/>
      <c r="J294" s="19" t="s">
        <v>826</v>
      </c>
      <c r="K294" s="19"/>
      <c r="L294" s="19"/>
      <c r="M294" s="19" t="s">
        <v>1033</v>
      </c>
      <c r="N294" s="19" t="s">
        <v>50</v>
      </c>
      <c r="O294" s="19" t="s">
        <v>1033</v>
      </c>
      <c r="P294" s="19" t="s">
        <v>1034</v>
      </c>
      <c r="Q294" s="19" t="s">
        <v>1457</v>
      </c>
      <c r="R294" s="19" t="s">
        <v>1475</v>
      </c>
      <c r="S294" s="19"/>
      <c r="T294" s="19" t="s">
        <v>53</v>
      </c>
      <c r="U294" s="19" t="s">
        <v>80</v>
      </c>
      <c r="V294" s="19" t="s">
        <v>97</v>
      </c>
      <c r="W294" s="19" t="s">
        <v>70</v>
      </c>
      <c r="X294" s="19"/>
      <c r="Y294" s="19"/>
      <c r="Z294" s="19" t="s">
        <v>1476</v>
      </c>
      <c r="AA294" s="19">
        <v>2</v>
      </c>
      <c r="AB294" s="19">
        <v>2</v>
      </c>
      <c r="AC294" s="19" t="s">
        <v>58</v>
      </c>
      <c r="AD294" s="19" t="s">
        <v>1034</v>
      </c>
      <c r="AE294" s="19" t="s">
        <v>1401</v>
      </c>
      <c r="AF294" s="19"/>
    </row>
    <row r="295" spans="1:34">
      <c r="A295" s="19">
        <v>289</v>
      </c>
      <c r="B295" s="19" t="s">
        <v>1477</v>
      </c>
      <c r="C295" s="19" t="s">
        <v>1478</v>
      </c>
      <c r="D295" s="19" t="str">
        <f>HYPERLINK("http://www.henontech.com/fieldsafety/harzard/harzard_show.php?rid=4412&amp;url=harzardrecs.php","照明箱内接线排未用绝缘板遮挡！易发生触电造成人员伤害")</f>
        <v>照明箱内接线排未用绝缘板遮挡！易发生触电造成人员伤害</v>
      </c>
      <c r="E295" s="19" t="s">
        <v>1479</v>
      </c>
      <c r="F295" s="23" t="s">
        <v>304</v>
      </c>
      <c r="G295" s="22" t="s">
        <v>63</v>
      </c>
      <c r="H295" s="19" t="s">
        <v>44</v>
      </c>
      <c r="I295" s="19" t="s">
        <v>45</v>
      </c>
      <c r="J295" s="19" t="s">
        <v>311</v>
      </c>
      <c r="K295" s="19" t="s">
        <v>110</v>
      </c>
      <c r="L295" s="19" t="s">
        <v>76</v>
      </c>
      <c r="M295" s="19" t="s">
        <v>1033</v>
      </c>
      <c r="N295" s="19" t="s">
        <v>1405</v>
      </c>
      <c r="O295" s="19"/>
      <c r="P295" s="19"/>
      <c r="Q295" s="19"/>
      <c r="R295" s="19" t="s">
        <v>1480</v>
      </c>
      <c r="S295" s="19" t="s">
        <v>1481</v>
      </c>
      <c r="T295" s="19" t="s">
        <v>53</v>
      </c>
      <c r="U295" s="19" t="s">
        <v>202</v>
      </c>
      <c r="V295" s="19" t="s">
        <v>55</v>
      </c>
      <c r="W295" s="19" t="s">
        <v>56</v>
      </c>
      <c r="X295" s="19"/>
      <c r="Y295" s="19"/>
      <c r="Z295" s="19"/>
      <c r="AA295" s="19">
        <v>0</v>
      </c>
      <c r="AB295" s="19"/>
      <c r="AC295" s="19" t="s">
        <v>308</v>
      </c>
      <c r="AD295" s="19"/>
      <c r="AE295" s="19"/>
      <c r="AF295" s="19"/>
    </row>
    <row r="296" spans="1:34" customHeight="1" ht="42">
      <c r="A296" s="19">
        <v>290</v>
      </c>
      <c r="B296" s="19" t="s">
        <v>1477</v>
      </c>
      <c r="C296" s="19" t="s">
        <v>1482</v>
      </c>
      <c r="D296" s="19" t="str">
        <f>HYPERLINK("http://www.henontech.com/fieldsafety/harzard/harzard_show.php?rid=4430&amp;url=harzardrecs.php","5.5米捣固挡风板破损严重，一名职工在巡检时被坠落的挡风板砸重头部，送医院医治无效，当场身亡。")</f>
        <v>5.5米捣固挡风板破损严重，一名职工在巡检时被坠落的挡风板砸重头部，送医院医治无效，当场身亡。</v>
      </c>
      <c r="E296" s="19" t="s">
        <v>1483</v>
      </c>
      <c r="F296" s="20" t="s">
        <v>42</v>
      </c>
      <c r="G296" s="21" t="s">
        <v>43</v>
      </c>
      <c r="H296" s="19" t="s">
        <v>232</v>
      </c>
      <c r="I296" s="19" t="s">
        <v>45</v>
      </c>
      <c r="J296" s="19" t="s">
        <v>46</v>
      </c>
      <c r="K296" s="19" t="s">
        <v>102</v>
      </c>
      <c r="L296" s="19" t="s">
        <v>76</v>
      </c>
      <c r="M296" s="19" t="s">
        <v>121</v>
      </c>
      <c r="N296" s="19" t="s">
        <v>1484</v>
      </c>
      <c r="O296" s="19" t="s">
        <v>121</v>
      </c>
      <c r="P296" s="19" t="s">
        <v>316</v>
      </c>
      <c r="Q296" s="19" t="s">
        <v>1375</v>
      </c>
      <c r="R296" s="19" t="s">
        <v>1485</v>
      </c>
      <c r="S296" s="19"/>
      <c r="T296" s="19" t="s">
        <v>53</v>
      </c>
      <c r="U296" s="19" t="s">
        <v>236</v>
      </c>
      <c r="V296" s="19" t="s">
        <v>97</v>
      </c>
      <c r="W296" s="19" t="s">
        <v>190</v>
      </c>
      <c r="X296" s="19" t="s">
        <v>191</v>
      </c>
      <c r="Y296" s="19"/>
      <c r="Z296" s="19" t="s">
        <v>1486</v>
      </c>
      <c r="AA296" s="19">
        <v>2</v>
      </c>
      <c r="AB296" s="19">
        <v>2</v>
      </c>
      <c r="AC296" s="19" t="s">
        <v>58</v>
      </c>
      <c r="AD296" s="19" t="s">
        <v>316</v>
      </c>
      <c r="AE296" s="19" t="s">
        <v>1361</v>
      </c>
      <c r="AF296" s="19"/>
    </row>
    <row r="297" spans="1:34">
      <c r="A297" s="19">
        <v>291</v>
      </c>
      <c r="B297" s="19" t="s">
        <v>1487</v>
      </c>
      <c r="C297" s="19" t="s">
        <v>1488</v>
      </c>
      <c r="D297" s="19" t="str">
        <f>HYPERLINK("http://www.henontech.com/fieldsafety/harzard/harzard_show.php?rid=4471&amp;url=harzardrecs.php","稠厚器及离心机防水多处损坏")</f>
        <v>稠厚器及离心机防水多处损坏</v>
      </c>
      <c r="E297" s="19" t="s">
        <v>1489</v>
      </c>
      <c r="F297" s="23" t="s">
        <v>304</v>
      </c>
      <c r="G297" s="22" t="s">
        <v>63</v>
      </c>
      <c r="H297" s="19" t="s">
        <v>44</v>
      </c>
      <c r="I297" s="19"/>
      <c r="J297" s="19" t="s">
        <v>46</v>
      </c>
      <c r="K297" s="19" t="s">
        <v>64</v>
      </c>
      <c r="L297" s="19"/>
      <c r="M297" s="19" t="s">
        <v>1033</v>
      </c>
      <c r="N297" s="19" t="s">
        <v>1490</v>
      </c>
      <c r="O297" s="19"/>
      <c r="P297" s="19"/>
      <c r="Q297" s="19"/>
      <c r="R297" s="19" t="s">
        <v>1491</v>
      </c>
      <c r="S297" s="19" t="s">
        <v>1492</v>
      </c>
      <c r="T297" s="19" t="s">
        <v>53</v>
      </c>
      <c r="U297" s="19" t="s">
        <v>54</v>
      </c>
      <c r="V297" s="19" t="s">
        <v>55</v>
      </c>
      <c r="W297" s="19" t="s">
        <v>56</v>
      </c>
      <c r="X297" s="19"/>
      <c r="Y297" s="19"/>
      <c r="Z297" s="19"/>
      <c r="AA297" s="19">
        <v>0</v>
      </c>
      <c r="AB297" s="19"/>
      <c r="AC297" s="19" t="s">
        <v>308</v>
      </c>
      <c r="AD297" s="19"/>
      <c r="AE297" s="19"/>
      <c r="AF297" s="19"/>
    </row>
    <row r="298" spans="1:34" customHeight="1" ht="42">
      <c r="A298" s="19">
        <v>292</v>
      </c>
      <c r="B298" s="19" t="s">
        <v>1487</v>
      </c>
      <c r="C298" s="19" t="s">
        <v>1482</v>
      </c>
      <c r="D298" s="19" t="str">
        <f>HYPERLINK("http://www.henontech.com/fieldsafety/harzard/harzard_show.php?rid=4477&amp;url=harzardrecs.php","一捣固工在送完煤后清理托煤板，假如不慎脚下打滑掉入5米多深的煤箱内，恰巧头部着地。")</f>
        <v>一捣固工在送完煤后清理托煤板，假如不慎脚下打滑掉入5米多深的煤箱内，恰巧头部着地。</v>
      </c>
      <c r="E298" s="19" t="s">
        <v>1493</v>
      </c>
      <c r="F298" s="20" t="s">
        <v>42</v>
      </c>
      <c r="G298" s="21" t="s">
        <v>43</v>
      </c>
      <c r="H298" s="19" t="s">
        <v>44</v>
      </c>
      <c r="I298" s="19" t="s">
        <v>120</v>
      </c>
      <c r="J298" s="19" t="s">
        <v>109</v>
      </c>
      <c r="K298" s="19" t="s">
        <v>47</v>
      </c>
      <c r="L298" s="19" t="s">
        <v>76</v>
      </c>
      <c r="M298" s="19" t="s">
        <v>121</v>
      </c>
      <c r="N298" s="19" t="s">
        <v>870</v>
      </c>
      <c r="O298" s="19" t="s">
        <v>121</v>
      </c>
      <c r="P298" s="19" t="s">
        <v>568</v>
      </c>
      <c r="Q298" s="19" t="s">
        <v>1494</v>
      </c>
      <c r="R298" s="19" t="s">
        <v>663</v>
      </c>
      <c r="S298" s="19"/>
      <c r="T298" s="19" t="s">
        <v>53</v>
      </c>
      <c r="U298" s="19" t="s">
        <v>236</v>
      </c>
      <c r="V298" s="19" t="s">
        <v>55</v>
      </c>
      <c r="W298" s="19" t="s">
        <v>70</v>
      </c>
      <c r="X298" s="19" t="s">
        <v>1495</v>
      </c>
      <c r="Y298" s="19"/>
      <c r="Z298" s="19" t="s">
        <v>1496</v>
      </c>
      <c r="AA298" s="19">
        <v>2</v>
      </c>
      <c r="AB298" s="19">
        <v>2</v>
      </c>
      <c r="AC298" s="19" t="s">
        <v>58</v>
      </c>
      <c r="AD298" s="19" t="s">
        <v>568</v>
      </c>
      <c r="AE298" s="19" t="s">
        <v>1335</v>
      </c>
      <c r="AF298" s="19" t="s">
        <v>1497</v>
      </c>
    </row>
    <row r="299" spans="1:34">
      <c r="A299" s="19">
        <v>293</v>
      </c>
      <c r="B299" s="19" t="s">
        <v>1408</v>
      </c>
      <c r="C299" s="19" t="s">
        <v>767</v>
      </c>
      <c r="D299" s="19" t="str">
        <f>HYPERLINK("http://www.henontech.com/fieldsafety/harzard/harzard_show.php?rid=4490&amp;url=harzardrecs.php","粗苯管式炉煤气管道，未安装气动紧急切断阀，假如发生紧急停电煤气过低未及时处置，炉膛火焰回火可能引发煤气设备着火爆炸，造成爆炸附近五名人员被破片击中二人当场死亡三人重伤")</f>
        <v>粗苯管式炉煤气管道，未安装气动紧急切断阀，假如发生紧急停电煤气过低未及时处置，炉膛火焰回火可能引发煤气设备着火爆炸，造成爆炸附近五名人员被破片击中二人当场死亡三人重伤</v>
      </c>
      <c r="E299" s="19" t="s">
        <v>1498</v>
      </c>
      <c r="F299" s="20" t="s">
        <v>42</v>
      </c>
      <c r="G299" s="22" t="s">
        <v>63</v>
      </c>
      <c r="H299" s="19" t="s">
        <v>44</v>
      </c>
      <c r="I299" s="19" t="s">
        <v>45</v>
      </c>
      <c r="J299" s="19" t="s">
        <v>46</v>
      </c>
      <c r="K299" s="19" t="s">
        <v>47</v>
      </c>
      <c r="L299" s="19" t="s">
        <v>76</v>
      </c>
      <c r="M299" s="19" t="s">
        <v>48</v>
      </c>
      <c r="N299" s="19" t="s">
        <v>1499</v>
      </c>
      <c r="O299" s="19" t="s">
        <v>48</v>
      </c>
      <c r="P299" s="19" t="s">
        <v>50</v>
      </c>
      <c r="Q299" s="19" t="s">
        <v>1500</v>
      </c>
      <c r="R299" s="19" t="s">
        <v>1501</v>
      </c>
      <c r="S299" s="19"/>
      <c r="T299" s="19" t="s">
        <v>53</v>
      </c>
      <c r="U299" s="19" t="s">
        <v>236</v>
      </c>
      <c r="V299" s="19" t="s">
        <v>55</v>
      </c>
      <c r="W299" s="19" t="s">
        <v>70</v>
      </c>
      <c r="X299" s="19"/>
      <c r="Y299" s="19"/>
      <c r="Z299" s="19" t="s">
        <v>1502</v>
      </c>
      <c r="AA299" s="19">
        <v>1</v>
      </c>
      <c r="AB299" s="19">
        <v>0</v>
      </c>
      <c r="AC299" s="19" t="s">
        <v>58</v>
      </c>
      <c r="AD299" s="19" t="s">
        <v>50</v>
      </c>
      <c r="AE299" s="19" t="s">
        <v>1503</v>
      </c>
      <c r="AF299" s="19" t="s">
        <v>1504</v>
      </c>
    </row>
    <row r="300" spans="1:34">
      <c r="A300" s="19">
        <v>294</v>
      </c>
      <c r="B300" s="19" t="s">
        <v>1408</v>
      </c>
      <c r="C300" s="19" t="s">
        <v>1505</v>
      </c>
      <c r="D300" s="19" t="str">
        <f>HYPERLINK("http://www.henontech.com/fieldsafety/harzard/harzard_show.php?rid=4497&amp;url=harzardrecs.php","浓水池溢水沟无盖板，一巡检工巡检至此左脚落入其内，导致左脚扭伤")</f>
        <v>浓水池溢水沟无盖板，一巡检工巡检至此左脚落入其内，导致左脚扭伤</v>
      </c>
      <c r="E300" s="19" t="s">
        <v>1506</v>
      </c>
      <c r="F300" s="23" t="s">
        <v>304</v>
      </c>
      <c r="G300" s="22" t="s">
        <v>63</v>
      </c>
      <c r="H300" s="19" t="s">
        <v>44</v>
      </c>
      <c r="I300" s="19" t="s">
        <v>120</v>
      </c>
      <c r="J300" s="19" t="s">
        <v>109</v>
      </c>
      <c r="K300" s="19" t="s">
        <v>47</v>
      </c>
      <c r="L300" s="19" t="s">
        <v>76</v>
      </c>
      <c r="M300" s="19" t="s">
        <v>1033</v>
      </c>
      <c r="N300" s="19" t="s">
        <v>1507</v>
      </c>
      <c r="O300" s="19"/>
      <c r="P300" s="19"/>
      <c r="Q300" s="19"/>
      <c r="R300" s="19" t="s">
        <v>1508</v>
      </c>
      <c r="S300" s="19" t="s">
        <v>1372</v>
      </c>
      <c r="T300" s="19" t="s">
        <v>53</v>
      </c>
      <c r="U300" s="19" t="s">
        <v>54</v>
      </c>
      <c r="V300" s="19" t="s">
        <v>55</v>
      </c>
      <c r="W300" s="19" t="s">
        <v>56</v>
      </c>
      <c r="X300" s="19"/>
      <c r="Y300" s="19"/>
      <c r="Z300" s="19"/>
      <c r="AA300" s="19">
        <v>0</v>
      </c>
      <c r="AB300" s="19"/>
      <c r="AC300" s="19" t="s">
        <v>308</v>
      </c>
      <c r="AD300" s="19"/>
      <c r="AE300" s="19"/>
      <c r="AF300" s="19"/>
    </row>
    <row r="301" spans="1:34" customHeight="1" ht="42">
      <c r="A301" s="19">
        <v>295</v>
      </c>
      <c r="B301" s="19" t="s">
        <v>1408</v>
      </c>
      <c r="C301" s="19" t="s">
        <v>1468</v>
      </c>
      <c r="D301" s="19" t="str">
        <f>HYPERLINK("http://www.henontech.com/fieldsafety/harzard/harzard_show.php?rid=4501&amp;url=harzardrecs.php","75T锅炉北侧排水沟有一段未盖盖板，假如一名职工在巡查时由于该区域照明不良，致该操作工右腿误踏入下水道内，造成右小腿骨折，同事送医院进行治疗。")</f>
        <v>75T锅炉北侧排水沟有一段未盖盖板，假如一名职工在巡查时由于该区域照明不良，致该操作工右腿误踏入下水道内，造成右小腿骨折，同事送医院进行治疗。</v>
      </c>
      <c r="E301" s="19" t="s">
        <v>1509</v>
      </c>
      <c r="F301" s="20" t="s">
        <v>42</v>
      </c>
      <c r="G301" s="22" t="s">
        <v>63</v>
      </c>
      <c r="H301" s="19" t="s">
        <v>44</v>
      </c>
      <c r="I301" s="19"/>
      <c r="J301" s="19" t="s">
        <v>109</v>
      </c>
      <c r="K301" s="19" t="s">
        <v>47</v>
      </c>
      <c r="L301" s="19"/>
      <c r="M301" s="19" t="s">
        <v>1033</v>
      </c>
      <c r="N301" s="19" t="s">
        <v>1510</v>
      </c>
      <c r="O301" s="19" t="s">
        <v>1033</v>
      </c>
      <c r="P301" s="19" t="s">
        <v>1034</v>
      </c>
      <c r="Q301" s="19" t="s">
        <v>1457</v>
      </c>
      <c r="R301" s="19" t="s">
        <v>1468</v>
      </c>
      <c r="S301" s="19"/>
      <c r="T301" s="19" t="s">
        <v>53</v>
      </c>
      <c r="U301" s="19" t="s">
        <v>80</v>
      </c>
      <c r="V301" s="19" t="s">
        <v>55</v>
      </c>
      <c r="W301" s="19" t="s">
        <v>81</v>
      </c>
      <c r="X301" s="19" t="s">
        <v>154</v>
      </c>
      <c r="Y301" s="19"/>
      <c r="Z301" s="19" t="s">
        <v>1511</v>
      </c>
      <c r="AA301" s="19">
        <v>2</v>
      </c>
      <c r="AB301" s="19">
        <v>2</v>
      </c>
      <c r="AC301" s="19" t="s">
        <v>58</v>
      </c>
      <c r="AD301" s="19" t="s">
        <v>1034</v>
      </c>
      <c r="AE301" s="19" t="s">
        <v>1512</v>
      </c>
      <c r="AF301" s="19"/>
    </row>
    <row r="302" spans="1:34" customHeight="1" ht="42">
      <c r="A302" s="19">
        <v>296</v>
      </c>
      <c r="B302" s="19" t="s">
        <v>1408</v>
      </c>
      <c r="C302" s="19" t="s">
        <v>1488</v>
      </c>
      <c r="D302" s="19" t="str">
        <f>HYPERLINK("http://www.henontech.com/fieldsafety/harzard/harzard_show.php?rid=4517&amp;url=harzardrecs.php","脱硫塔平台护拦上有保温铝皮，刮风时铝皮坠落正好落到1名巡检人员头上，巡检人员脸部被铝皮划伤。")</f>
        <v>脱硫塔平台护拦上有保温铝皮，刮风时铝皮坠落正好落到1名巡检人员头上，巡检人员脸部被铝皮划伤。</v>
      </c>
      <c r="E302" s="19" t="s">
        <v>1513</v>
      </c>
      <c r="F302" s="25" t="s">
        <v>1455</v>
      </c>
      <c r="G302" s="22" t="s">
        <v>63</v>
      </c>
      <c r="H302" s="19" t="s">
        <v>44</v>
      </c>
      <c r="I302" s="19" t="s">
        <v>120</v>
      </c>
      <c r="J302" s="19" t="s">
        <v>580</v>
      </c>
      <c r="K302" s="19" t="s">
        <v>47</v>
      </c>
      <c r="L302" s="19" t="s">
        <v>599</v>
      </c>
      <c r="M302" s="19" t="s">
        <v>1033</v>
      </c>
      <c r="N302" s="19" t="s">
        <v>1047</v>
      </c>
      <c r="O302" s="19" t="s">
        <v>1033</v>
      </c>
      <c r="P302" s="19" t="s">
        <v>1153</v>
      </c>
      <c r="Q302" s="19" t="s">
        <v>1457</v>
      </c>
      <c r="R302" s="19" t="s">
        <v>1514</v>
      </c>
      <c r="S302" s="19"/>
      <c r="T302" s="19" t="s">
        <v>53</v>
      </c>
      <c r="U302" s="19" t="s">
        <v>54</v>
      </c>
      <c r="V302" s="19" t="s">
        <v>97</v>
      </c>
      <c r="W302" s="19" t="s">
        <v>81</v>
      </c>
      <c r="X302" s="19" t="s">
        <v>154</v>
      </c>
      <c r="Y302" s="19"/>
      <c r="Z302" s="19" t="s">
        <v>1515</v>
      </c>
      <c r="AA302" s="19">
        <v>2</v>
      </c>
      <c r="AB302" s="19"/>
      <c r="AC302" s="19" t="s">
        <v>308</v>
      </c>
      <c r="AD302" s="19"/>
      <c r="AE302" s="19"/>
      <c r="AF302" s="19"/>
    </row>
    <row r="303" spans="1:34">
      <c r="A303" s="19">
        <v>297</v>
      </c>
      <c r="B303" s="19" t="s">
        <v>1408</v>
      </c>
      <c r="C303" s="19" t="s">
        <v>1488</v>
      </c>
      <c r="D303" s="19" t="str">
        <f>HYPERLINK("http://www.henontech.com/fieldsafety/harzard/harzard_show.php?rid=4518&amp;url=harzardrecs.php","脱硫塔平台护拦上有保温铝皮，刮风时铝皮坠落正好落到1名巡检人员头上，巡检人员脸部被铝皮划伤。")</f>
        <v>脱硫塔平台护拦上有保温铝皮，刮风时铝皮坠落正好落到1名巡检人员头上，巡检人员脸部被铝皮划伤。</v>
      </c>
      <c r="E303" s="19" t="s">
        <v>1513</v>
      </c>
      <c r="F303" s="23" t="s">
        <v>304</v>
      </c>
      <c r="G303" s="22" t="s">
        <v>63</v>
      </c>
      <c r="H303" s="19" t="s">
        <v>44</v>
      </c>
      <c r="I303" s="19" t="s">
        <v>120</v>
      </c>
      <c r="J303" s="19" t="s">
        <v>580</v>
      </c>
      <c r="K303" s="19" t="s">
        <v>47</v>
      </c>
      <c r="L303" s="19" t="s">
        <v>599</v>
      </c>
      <c r="M303" s="19" t="s">
        <v>1033</v>
      </c>
      <c r="N303" s="19" t="s">
        <v>1047</v>
      </c>
      <c r="O303" s="19"/>
      <c r="P303" s="19"/>
      <c r="Q303" s="19"/>
      <c r="R303" s="19" t="s">
        <v>1514</v>
      </c>
      <c r="S303" s="19" t="s">
        <v>801</v>
      </c>
      <c r="T303" s="19" t="s">
        <v>53</v>
      </c>
      <c r="U303" s="19" t="s">
        <v>54</v>
      </c>
      <c r="V303" s="19" t="s">
        <v>97</v>
      </c>
      <c r="W303" s="19" t="s">
        <v>81</v>
      </c>
      <c r="X303" s="19"/>
      <c r="Y303" s="19"/>
      <c r="Z303" s="19"/>
      <c r="AA303" s="19">
        <v>0</v>
      </c>
      <c r="AB303" s="19"/>
      <c r="AC303" s="19" t="s">
        <v>308</v>
      </c>
      <c r="AD303" s="19"/>
      <c r="AE303" s="19"/>
      <c r="AF303" s="19"/>
    </row>
    <row r="304" spans="1:34">
      <c r="A304" s="19">
        <v>298</v>
      </c>
      <c r="B304" s="19" t="s">
        <v>1516</v>
      </c>
      <c r="C304" s="19" t="s">
        <v>1517</v>
      </c>
      <c r="D304" s="19" t="str">
        <f>HYPERLINK("http://www.henontech.com/fieldsafety/harzard/harzard_show.php?rid=4521&amp;url=harzardrecs.php","一名锅炉操作工在巡检到35t锅炉东门时，因疏水开度稍大，蒸汽将其左腿烫伤，需住院治疗。")</f>
        <v>一名锅炉操作工在巡检到35t锅炉东门时，因疏水开度稍大，蒸汽将其左腿烫伤，需住院治疗。</v>
      </c>
      <c r="E304" s="19" t="s">
        <v>1518</v>
      </c>
      <c r="F304" s="23" t="s">
        <v>304</v>
      </c>
      <c r="G304" s="22" t="s">
        <v>63</v>
      </c>
      <c r="H304" s="19" t="s">
        <v>44</v>
      </c>
      <c r="I304" s="19" t="s">
        <v>120</v>
      </c>
      <c r="J304" s="19" t="s">
        <v>109</v>
      </c>
      <c r="K304" s="19" t="s">
        <v>47</v>
      </c>
      <c r="L304" s="19" t="s">
        <v>76</v>
      </c>
      <c r="M304" s="19" t="s">
        <v>1033</v>
      </c>
      <c r="N304" s="19" t="s">
        <v>1153</v>
      </c>
      <c r="O304" s="19"/>
      <c r="P304" s="19"/>
      <c r="Q304" s="19"/>
      <c r="R304" s="19" t="s">
        <v>1519</v>
      </c>
      <c r="S304" s="19" t="s">
        <v>1372</v>
      </c>
      <c r="T304" s="19" t="s">
        <v>53</v>
      </c>
      <c r="U304" s="19" t="s">
        <v>54</v>
      </c>
      <c r="V304" s="19" t="s">
        <v>55</v>
      </c>
      <c r="W304" s="19" t="s">
        <v>56</v>
      </c>
      <c r="X304" s="19"/>
      <c r="Y304" s="19"/>
      <c r="Z304" s="19"/>
      <c r="AA304" s="19">
        <v>0</v>
      </c>
      <c r="AB304" s="19"/>
      <c r="AC304" s="19" t="s">
        <v>308</v>
      </c>
      <c r="AD304" s="19"/>
      <c r="AE304" s="19"/>
      <c r="AF304" s="19"/>
    </row>
    <row r="305" spans="1:34" customHeight="1" ht="42">
      <c r="A305" s="19">
        <v>299</v>
      </c>
      <c r="B305" s="19" t="s">
        <v>1516</v>
      </c>
      <c r="C305" s="19" t="s">
        <v>1520</v>
      </c>
      <c r="D305" s="19" t="str">
        <f>HYPERLINK("http://www.henontech.com/fieldsafety/harzard/harzard_show.php?rid=4525&amp;url=harzardrecs.php","拦焦车顶部无护栏，维修工到上面检维修作业时，一人不慎从4米多高的顶部跌落至三层平台，头部磕在槽钢横梁上，随即送医，抢救无效死亡")</f>
        <v>拦焦车顶部无护栏，维修工到上面检维修作业时，一人不慎从4米多高的顶部跌落至三层平台，头部磕在槽钢横梁上，随即送医，抢救无效死亡</v>
      </c>
      <c r="E305" s="19" t="s">
        <v>861</v>
      </c>
      <c r="F305" s="20" t="s">
        <v>42</v>
      </c>
      <c r="G305" s="22" t="s">
        <v>63</v>
      </c>
      <c r="H305" s="19" t="s">
        <v>44</v>
      </c>
      <c r="I305" s="19" t="s">
        <v>108</v>
      </c>
      <c r="J305" s="19" t="s">
        <v>46</v>
      </c>
      <c r="K305" s="19" t="s">
        <v>47</v>
      </c>
      <c r="L305" s="19" t="s">
        <v>76</v>
      </c>
      <c r="M305" s="19" t="s">
        <v>121</v>
      </c>
      <c r="N305" s="19" t="s">
        <v>549</v>
      </c>
      <c r="O305" s="19" t="s">
        <v>121</v>
      </c>
      <c r="P305" s="19" t="s">
        <v>316</v>
      </c>
      <c r="Q305" s="19" t="s">
        <v>1375</v>
      </c>
      <c r="R305" s="19" t="s">
        <v>1521</v>
      </c>
      <c r="S305" s="19"/>
      <c r="T305" s="19" t="s">
        <v>53</v>
      </c>
      <c r="U305" s="19" t="s">
        <v>236</v>
      </c>
      <c r="V305" s="19" t="s">
        <v>97</v>
      </c>
      <c r="W305" s="19" t="s">
        <v>190</v>
      </c>
      <c r="X305" s="19" t="s">
        <v>191</v>
      </c>
      <c r="Y305" s="19"/>
      <c r="Z305" s="19" t="s">
        <v>1522</v>
      </c>
      <c r="AA305" s="19">
        <v>2</v>
      </c>
      <c r="AB305" s="19">
        <v>2</v>
      </c>
      <c r="AC305" s="19" t="s">
        <v>58</v>
      </c>
      <c r="AD305" s="19" t="s">
        <v>316</v>
      </c>
      <c r="AE305" s="19" t="s">
        <v>1361</v>
      </c>
      <c r="AF305" s="19" t="s">
        <v>1523</v>
      </c>
    </row>
    <row r="306" spans="1:34" customHeight="1" ht="42">
      <c r="A306" s="19">
        <v>300</v>
      </c>
      <c r="B306" s="19" t="s">
        <v>1516</v>
      </c>
      <c r="C306" s="19" t="s">
        <v>1482</v>
      </c>
      <c r="D306" s="19" t="str">
        <f>HYPERLINK("http://www.henontech.com/fieldsafety/harzard/harzard_show.php?rid=4530&amp;url=harzardrecs.php","捣固仓底南墙彩钢瓦腐烂严重，一操作工在此处清理卫生时，从高处坠落的彩钢瓦砸中又肩，送医院检查又肩骨折，住院治疗1个月，休息1个月。")</f>
        <v>捣固仓底南墙彩钢瓦腐烂严重，一操作工在此处清理卫生时，从高处坠落的彩钢瓦砸中又肩，送医院检查又肩骨折，住院治疗1个月，休息1个月。</v>
      </c>
      <c r="E306" s="19" t="s">
        <v>1524</v>
      </c>
      <c r="F306" s="20" t="s">
        <v>42</v>
      </c>
      <c r="G306" s="22" t="s">
        <v>63</v>
      </c>
      <c r="H306" s="19" t="s">
        <v>44</v>
      </c>
      <c r="I306" s="19" t="s">
        <v>45</v>
      </c>
      <c r="J306" s="19" t="s">
        <v>46</v>
      </c>
      <c r="K306" s="19" t="s">
        <v>47</v>
      </c>
      <c r="L306" s="19" t="s">
        <v>76</v>
      </c>
      <c r="M306" s="19" t="s">
        <v>121</v>
      </c>
      <c r="N306" s="19" t="s">
        <v>1525</v>
      </c>
      <c r="O306" s="19" t="s">
        <v>121</v>
      </c>
      <c r="P306" s="19" t="s">
        <v>316</v>
      </c>
      <c r="Q306" s="19" t="s">
        <v>1375</v>
      </c>
      <c r="R306" s="19" t="s">
        <v>1526</v>
      </c>
      <c r="S306" s="19"/>
      <c r="T306" s="19" t="s">
        <v>53</v>
      </c>
      <c r="U306" s="19" t="s">
        <v>80</v>
      </c>
      <c r="V306" s="19" t="s">
        <v>97</v>
      </c>
      <c r="W306" s="19" t="s">
        <v>70</v>
      </c>
      <c r="X306" s="19" t="s">
        <v>191</v>
      </c>
      <c r="Y306" s="19"/>
      <c r="Z306" s="19" t="s">
        <v>1527</v>
      </c>
      <c r="AA306" s="19">
        <v>2</v>
      </c>
      <c r="AB306" s="19">
        <v>2</v>
      </c>
      <c r="AC306" s="19" t="s">
        <v>58</v>
      </c>
      <c r="AD306" s="19" t="s">
        <v>316</v>
      </c>
      <c r="AE306" s="19" t="s">
        <v>1361</v>
      </c>
      <c r="AF306" s="19"/>
    </row>
    <row r="307" spans="1:34">
      <c r="A307" s="19">
        <v>301</v>
      </c>
      <c r="B307" s="19" t="s">
        <v>1528</v>
      </c>
      <c r="C307" s="19" t="s">
        <v>1529</v>
      </c>
      <c r="D307" s="19" t="str">
        <f>HYPERLINK("http://www.henontech.com/fieldsafety/harzard/harzard_show.php?rid=5344&amp;url=harzardrecs.php","操作工在锅炉放灰管处放灰时，可能被喷溅出的高温炉灰烫伤")</f>
        <v>操作工在锅炉放灰管处放灰时，可能被喷溅出的高温炉灰烫伤</v>
      </c>
      <c r="E307" s="19" t="s">
        <v>1530</v>
      </c>
      <c r="F307" s="23" t="s">
        <v>304</v>
      </c>
      <c r="G307" s="22" t="s">
        <v>63</v>
      </c>
      <c r="H307" s="19" t="s">
        <v>44</v>
      </c>
      <c r="I307" s="19" t="s">
        <v>45</v>
      </c>
      <c r="J307" s="19" t="s">
        <v>46</v>
      </c>
      <c r="K307" s="19" t="s">
        <v>110</v>
      </c>
      <c r="L307" s="19"/>
      <c r="M307" s="19" t="s">
        <v>1033</v>
      </c>
      <c r="N307" s="19" t="s">
        <v>1531</v>
      </c>
      <c r="O307" s="19"/>
      <c r="P307" s="19"/>
      <c r="Q307" s="19"/>
      <c r="R307" s="19" t="s">
        <v>1532</v>
      </c>
      <c r="S307" s="19" t="s">
        <v>1372</v>
      </c>
      <c r="T307" s="19" t="s">
        <v>53</v>
      </c>
      <c r="U307" s="19" t="s">
        <v>80</v>
      </c>
      <c r="V307" s="19" t="s">
        <v>55</v>
      </c>
      <c r="W307" s="19" t="s">
        <v>81</v>
      </c>
      <c r="X307" s="19"/>
      <c r="Y307" s="19"/>
      <c r="Z307" s="19"/>
      <c r="AA307" s="19">
        <v>0</v>
      </c>
      <c r="AB307" s="19"/>
      <c r="AC307" s="19" t="s">
        <v>308</v>
      </c>
      <c r="AD307" s="19"/>
      <c r="AE307" s="19"/>
      <c r="AF307" s="19"/>
    </row>
    <row r="308" spans="1:34" customHeight="1" ht="42">
      <c r="A308" s="19">
        <v>302</v>
      </c>
      <c r="B308" s="19" t="s">
        <v>1533</v>
      </c>
      <c r="C308" s="19" t="s">
        <v>1460</v>
      </c>
      <c r="D308" s="19" t="str">
        <f>HYPERLINK("http://www.henontech.com/fieldsafety/harzard/harzard_show.php?rid=5468&amp;url=harzardrecs.php","絮凝剂阻尼器漏液，由于操作工没有带护目镜，操作工在操作中絮凝剂药液溅入眼中。")</f>
        <v>絮凝剂阻尼器漏液，由于操作工没有带护目镜，操作工在操作中絮凝剂药液溅入眼中。</v>
      </c>
      <c r="E308" s="19" t="s">
        <v>1534</v>
      </c>
      <c r="F308" s="20" t="s">
        <v>42</v>
      </c>
      <c r="G308" s="22" t="s">
        <v>63</v>
      </c>
      <c r="H308" s="19" t="s">
        <v>44</v>
      </c>
      <c r="I308" s="19" t="s">
        <v>45</v>
      </c>
      <c r="J308" s="19" t="s">
        <v>531</v>
      </c>
      <c r="K308" s="19" t="s">
        <v>64</v>
      </c>
      <c r="L308" s="19"/>
      <c r="M308" s="19" t="s">
        <v>1033</v>
      </c>
      <c r="N308" s="19" t="s">
        <v>1535</v>
      </c>
      <c r="O308" s="19" t="s">
        <v>1033</v>
      </c>
      <c r="P308" s="19" t="s">
        <v>1034</v>
      </c>
      <c r="Q308" s="19" t="s">
        <v>1398</v>
      </c>
      <c r="R308" s="19" t="s">
        <v>1536</v>
      </c>
      <c r="S308" s="19"/>
      <c r="T308" s="19" t="s">
        <v>53</v>
      </c>
      <c r="U308" s="19" t="s">
        <v>54</v>
      </c>
      <c r="V308" s="19" t="s">
        <v>97</v>
      </c>
      <c r="W308" s="19" t="s">
        <v>81</v>
      </c>
      <c r="X308" s="19"/>
      <c r="Y308" s="19"/>
      <c r="Z308" s="19" t="s">
        <v>1537</v>
      </c>
      <c r="AA308" s="19">
        <v>2</v>
      </c>
      <c r="AB308" s="19">
        <v>2</v>
      </c>
      <c r="AC308" s="19" t="s">
        <v>58</v>
      </c>
      <c r="AD308" s="19" t="s">
        <v>1034</v>
      </c>
      <c r="AE308" s="19" t="s">
        <v>1401</v>
      </c>
      <c r="AF308" s="19"/>
    </row>
    <row r="309" spans="1:34">
      <c r="A309" s="19">
        <v>303</v>
      </c>
      <c r="B309" s="19" t="s">
        <v>1538</v>
      </c>
      <c r="C309" s="19" t="s">
        <v>676</v>
      </c>
      <c r="D309" s="19" t="str">
        <f>HYPERLINK("http://www.henontech.com/fieldsafety/harzard/harzard_show.php?rid=5501&amp;url=harzardrecs.php","二级槽排水管处封堵不严，一巡检工巡检至此，可能导致右脚扭伤，送医院就医，在家休养七天，损工七天")</f>
        <v>二级槽排水管处封堵不严，一巡检工巡检至此，可能导致右脚扭伤，送医院就医，在家休养七天，损工七天</v>
      </c>
      <c r="E309" s="19" t="s">
        <v>1506</v>
      </c>
      <c r="F309" s="23" t="s">
        <v>304</v>
      </c>
      <c r="G309" s="22" t="s">
        <v>63</v>
      </c>
      <c r="H309" s="19" t="s">
        <v>44</v>
      </c>
      <c r="I309" s="19" t="s">
        <v>120</v>
      </c>
      <c r="J309" s="19" t="s">
        <v>109</v>
      </c>
      <c r="K309" s="19" t="s">
        <v>47</v>
      </c>
      <c r="L309" s="19" t="s">
        <v>76</v>
      </c>
      <c r="M309" s="19" t="s">
        <v>1033</v>
      </c>
      <c r="N309" s="19" t="s">
        <v>1539</v>
      </c>
      <c r="O309" s="19"/>
      <c r="P309" s="19"/>
      <c r="Q309" s="19"/>
      <c r="R309" s="19" t="s">
        <v>1540</v>
      </c>
      <c r="S309" s="19" t="s">
        <v>1372</v>
      </c>
      <c r="T309" s="19" t="s">
        <v>53</v>
      </c>
      <c r="U309" s="19" t="s">
        <v>80</v>
      </c>
      <c r="V309" s="19" t="s">
        <v>55</v>
      </c>
      <c r="W309" s="19" t="s">
        <v>81</v>
      </c>
      <c r="X309" s="19"/>
      <c r="Y309" s="19"/>
      <c r="Z309" s="19"/>
      <c r="AA309" s="19">
        <v>0</v>
      </c>
      <c r="AB309" s="19"/>
      <c r="AC309" s="19" t="s">
        <v>308</v>
      </c>
      <c r="AD309" s="19"/>
      <c r="AE309" s="19"/>
      <c r="AF309" s="19"/>
    </row>
    <row r="310" spans="1:34">
      <c r="A310" s="19">
        <v>304</v>
      </c>
      <c r="B310" s="19" t="s">
        <v>1538</v>
      </c>
      <c r="C310" s="19" t="s">
        <v>1541</v>
      </c>
      <c r="D310" s="19" t="str">
        <f>HYPERLINK("http://www.henontech.com/fieldsafety/harzard/harzard_show.php?rid=5508&amp;url=harzardrecs.php","在10KV焦化4#线08开关柜停电检修过程中，无专人监护，若操作人员误操作将相邻开关柜09开关柜停电，造成日升公司加氢装置突然停电。")</f>
        <v>在10KV焦化4#线08开关柜停电检修过程中，无专人监护，若操作人员误操作将相邻开关柜09开关柜停电，造成日升公司加氢装置突然停电。</v>
      </c>
      <c r="E310" s="19" t="s">
        <v>1542</v>
      </c>
      <c r="F310" s="23" t="s">
        <v>304</v>
      </c>
      <c r="G310" s="22" t="s">
        <v>63</v>
      </c>
      <c r="H310" s="19" t="s">
        <v>44</v>
      </c>
      <c r="I310" s="19" t="s">
        <v>358</v>
      </c>
      <c r="J310" s="19"/>
      <c r="K310" s="19"/>
      <c r="L310" s="19"/>
      <c r="M310" s="19" t="s">
        <v>1543</v>
      </c>
      <c r="N310" s="19" t="s">
        <v>1544</v>
      </c>
      <c r="O310" s="19"/>
      <c r="P310" s="19"/>
      <c r="Q310" s="19"/>
      <c r="R310" s="19" t="s">
        <v>1545</v>
      </c>
      <c r="S310" s="19" t="s">
        <v>1546</v>
      </c>
      <c r="T310" s="19" t="s">
        <v>189</v>
      </c>
      <c r="U310" s="19" t="s">
        <v>54</v>
      </c>
      <c r="V310" s="19" t="s">
        <v>55</v>
      </c>
      <c r="W310" s="19" t="s">
        <v>56</v>
      </c>
      <c r="X310" s="19"/>
      <c r="Y310" s="19"/>
      <c r="Z310" s="19"/>
      <c r="AA310" s="19">
        <v>0</v>
      </c>
      <c r="AB310" s="19"/>
      <c r="AC310" s="19" t="s">
        <v>308</v>
      </c>
      <c r="AD310" s="19"/>
      <c r="AE310" s="19"/>
      <c r="AF310" s="19"/>
    </row>
    <row r="311" spans="1:34">
      <c r="A311" s="19">
        <v>305</v>
      </c>
      <c r="B311" s="19" t="s">
        <v>1547</v>
      </c>
      <c r="C311" s="19" t="s">
        <v>1460</v>
      </c>
      <c r="D311" s="19" t="str">
        <f>HYPERLINK("http://www.henontech.com/fieldsafety/harzard/harzard_show.php?rid=5559&amp;url=harzardrecs.php","35T化学水除盐水箱平台无护栏，一名操作工开关阀门时不慎踩空跌落摔伤，造成全身多处骨折。")</f>
        <v>35T化学水除盐水箱平台无护栏，一名操作工开关阀门时不慎踩空跌落摔伤，造成全身多处骨折。</v>
      </c>
      <c r="E311" s="19" t="s">
        <v>1548</v>
      </c>
      <c r="F311" s="23" t="s">
        <v>304</v>
      </c>
      <c r="G311" s="22" t="s">
        <v>63</v>
      </c>
      <c r="H311" s="19" t="s">
        <v>44</v>
      </c>
      <c r="I311" s="19"/>
      <c r="J311" s="19" t="s">
        <v>46</v>
      </c>
      <c r="K311" s="19" t="s">
        <v>102</v>
      </c>
      <c r="L311" s="19"/>
      <c r="M311" s="19" t="s">
        <v>1033</v>
      </c>
      <c r="N311" s="19" t="s">
        <v>1549</v>
      </c>
      <c r="O311" s="19"/>
      <c r="P311" s="19"/>
      <c r="Q311" s="19"/>
      <c r="R311" s="19" t="s">
        <v>1550</v>
      </c>
      <c r="S311" s="19" t="s">
        <v>1551</v>
      </c>
      <c r="T311" s="19" t="s">
        <v>53</v>
      </c>
      <c r="U311" s="19" t="s">
        <v>80</v>
      </c>
      <c r="V311" s="19" t="s">
        <v>97</v>
      </c>
      <c r="W311" s="19" t="s">
        <v>70</v>
      </c>
      <c r="X311" s="19"/>
      <c r="Y311" s="19"/>
      <c r="Z311" s="19"/>
      <c r="AA311" s="19">
        <v>0</v>
      </c>
      <c r="AB311" s="19"/>
      <c r="AC311" s="19" t="s">
        <v>308</v>
      </c>
      <c r="AD311" s="19"/>
      <c r="AE311" s="19"/>
      <c r="AF311" s="19"/>
    </row>
    <row r="312" spans="1:34">
      <c r="A312" s="19">
        <v>306</v>
      </c>
      <c r="B312" s="19" t="s">
        <v>1547</v>
      </c>
      <c r="C312" s="19" t="s">
        <v>1552</v>
      </c>
      <c r="D312" s="19" t="str">
        <f>HYPERLINK("http://www.henontech.com/fieldsafety/harzard/harzard_show.php?rid=5560&amp;url=harzardrecs.php","由于阀门切换处无平台一名锅炉操作人员去切换阀门时一只脚踩空伤造成左腿被管架划伤需到医院治疗")</f>
        <v>由于阀门切换处无平台一名锅炉操作人员去切换阀门时一只脚踩空伤造成左腿被管架划伤需到医院治疗</v>
      </c>
      <c r="E312" s="19" t="s">
        <v>1553</v>
      </c>
      <c r="F312" s="23" t="s">
        <v>304</v>
      </c>
      <c r="G312" s="22" t="s">
        <v>63</v>
      </c>
      <c r="H312" s="19" t="s">
        <v>44</v>
      </c>
      <c r="I312" s="19"/>
      <c r="J312" s="19" t="s">
        <v>46</v>
      </c>
      <c r="K312" s="19" t="s">
        <v>47</v>
      </c>
      <c r="L312" s="19"/>
      <c r="M312" s="19" t="s">
        <v>1033</v>
      </c>
      <c r="N312" s="19" t="s">
        <v>1554</v>
      </c>
      <c r="O312" s="19"/>
      <c r="P312" s="19"/>
      <c r="Q312" s="19"/>
      <c r="R312" s="19" t="s">
        <v>1555</v>
      </c>
      <c r="S312" s="19" t="s">
        <v>1372</v>
      </c>
      <c r="T312" s="19" t="s">
        <v>53</v>
      </c>
      <c r="U312" s="19" t="s">
        <v>54</v>
      </c>
      <c r="V312" s="19" t="s">
        <v>97</v>
      </c>
      <c r="W312" s="19" t="s">
        <v>81</v>
      </c>
      <c r="X312" s="19"/>
      <c r="Y312" s="19"/>
      <c r="Z312" s="19"/>
      <c r="AA312" s="19">
        <v>0</v>
      </c>
      <c r="AB312" s="19"/>
      <c r="AC312" s="19" t="s">
        <v>308</v>
      </c>
      <c r="AD312" s="19"/>
      <c r="AE312" s="19"/>
      <c r="AF312" s="19"/>
    </row>
    <row r="313" spans="1:34" customHeight="1" ht="42">
      <c r="A313" s="19">
        <v>307</v>
      </c>
      <c r="B313" s="19" t="s">
        <v>1547</v>
      </c>
      <c r="C313" s="19" t="s">
        <v>1449</v>
      </c>
      <c r="D313" s="19" t="str">
        <f>HYPERLINK("http://www.henontech.com/fieldsafety/harzard/harzard_show.php?rid=5572&amp;url=harzardrecs.php","硫铵二楼北侧平台无护栏，无安全警示，一名硫铵操作工在清理振动筛时，不慎从平台上坠落，造成左腿骨折。")</f>
        <v>硫铵二楼北侧平台无护栏，无安全警示，一名硫铵操作工在清理振动筛时，不慎从平台上坠落，造成左腿骨折。</v>
      </c>
      <c r="E313" s="19" t="s">
        <v>1556</v>
      </c>
      <c r="F313" s="20" t="s">
        <v>42</v>
      </c>
      <c r="G313" s="22" t="s">
        <v>63</v>
      </c>
      <c r="H313" s="19" t="s">
        <v>44</v>
      </c>
      <c r="I313" s="19" t="s">
        <v>45</v>
      </c>
      <c r="J313" s="19" t="s">
        <v>46</v>
      </c>
      <c r="K313" s="19"/>
      <c r="L313" s="19"/>
      <c r="M313" s="19" t="s">
        <v>1033</v>
      </c>
      <c r="N313" s="19" t="s">
        <v>1557</v>
      </c>
      <c r="O313" s="19" t="s">
        <v>1033</v>
      </c>
      <c r="P313" s="19" t="s">
        <v>1034</v>
      </c>
      <c r="Q313" s="19" t="s">
        <v>1457</v>
      </c>
      <c r="R313" s="19" t="s">
        <v>1395</v>
      </c>
      <c r="S313" s="19"/>
      <c r="T313" s="19" t="s">
        <v>53</v>
      </c>
      <c r="U313" s="19" t="s">
        <v>80</v>
      </c>
      <c r="V313" s="19" t="s">
        <v>97</v>
      </c>
      <c r="W313" s="19" t="s">
        <v>70</v>
      </c>
      <c r="X313" s="19" t="s">
        <v>154</v>
      </c>
      <c r="Y313" s="19"/>
      <c r="Z313" s="19" t="s">
        <v>1558</v>
      </c>
      <c r="AA313" s="19">
        <v>2</v>
      </c>
      <c r="AB313" s="19">
        <v>2</v>
      </c>
      <c r="AC313" s="19" t="s">
        <v>58</v>
      </c>
      <c r="AD313" s="19" t="s">
        <v>1034</v>
      </c>
      <c r="AE313" s="19" t="s">
        <v>1401</v>
      </c>
      <c r="AF313" s="19"/>
    </row>
    <row r="314" spans="1:34">
      <c r="A314" s="19">
        <v>308</v>
      </c>
      <c r="B314" s="19" t="s">
        <v>1547</v>
      </c>
      <c r="C314" s="19" t="s">
        <v>1449</v>
      </c>
      <c r="D314" s="19" t="str">
        <f>HYPERLINK("http://www.henontech.com/fieldsafety/harzard/harzard_show.php?rid=5579&amp;url=harzardrecs.php","硫铵二楼桭动筛北侧观察口无护拦，一操作工在清理桭动筛时，不慎人从平台掉落，造成右脚损伤，住院治疗，损工一周！")</f>
        <v>硫铵二楼桭动筛北侧观察口无护拦，一操作工在清理桭动筛时，不慎人从平台掉落，造成右脚损伤，住院治疗，损工一周！</v>
      </c>
      <c r="E314" s="19" t="s">
        <v>1559</v>
      </c>
      <c r="F314" s="23" t="s">
        <v>304</v>
      </c>
      <c r="G314" s="22" t="s">
        <v>63</v>
      </c>
      <c r="H314" s="19" t="s">
        <v>44</v>
      </c>
      <c r="I314" s="19" t="s">
        <v>120</v>
      </c>
      <c r="J314" s="19" t="s">
        <v>109</v>
      </c>
      <c r="K314" s="19"/>
      <c r="L314" s="19"/>
      <c r="M314" s="19" t="s">
        <v>1033</v>
      </c>
      <c r="N314" s="19" t="s">
        <v>1560</v>
      </c>
      <c r="O314" s="19"/>
      <c r="P314" s="19"/>
      <c r="Q314" s="19"/>
      <c r="R314" s="19" t="s">
        <v>1395</v>
      </c>
      <c r="S314" s="19" t="s">
        <v>801</v>
      </c>
      <c r="T314" s="19" t="s">
        <v>53</v>
      </c>
      <c r="U314" s="19" t="s">
        <v>80</v>
      </c>
      <c r="V314" s="19" t="s">
        <v>97</v>
      </c>
      <c r="W314" s="19" t="s">
        <v>70</v>
      </c>
      <c r="X314" s="19"/>
      <c r="Y314" s="19"/>
      <c r="Z314" s="19"/>
      <c r="AA314" s="19">
        <v>0</v>
      </c>
      <c r="AB314" s="19"/>
      <c r="AC314" s="19" t="s">
        <v>308</v>
      </c>
      <c r="AD314" s="19"/>
      <c r="AE314" s="19"/>
      <c r="AF314" s="19"/>
    </row>
    <row r="315" spans="1:34">
      <c r="A315" s="19">
        <v>309</v>
      </c>
      <c r="B315" s="19" t="s">
        <v>1547</v>
      </c>
      <c r="C315" s="19" t="s">
        <v>1460</v>
      </c>
      <c r="D315" s="19" t="str">
        <f>HYPERLINK("http://www.henontech.com/fieldsafety/harzard/harzard_show.php?rid=5580&amp;url=harzardrecs.php","作业人员巡检时发现絮凝剂阻尼器破损漏液")</f>
        <v>作业人员巡检时发现絮凝剂阻尼器破损漏液</v>
      </c>
      <c r="E315" s="19" t="s">
        <v>1561</v>
      </c>
      <c r="F315" s="23" t="s">
        <v>304</v>
      </c>
      <c r="G315" s="22" t="s">
        <v>63</v>
      </c>
      <c r="H315" s="19" t="s">
        <v>44</v>
      </c>
      <c r="I315" s="19" t="s">
        <v>45</v>
      </c>
      <c r="J315" s="19" t="s">
        <v>46</v>
      </c>
      <c r="K315" s="19"/>
      <c r="L315" s="19"/>
      <c r="M315" s="19" t="s">
        <v>1033</v>
      </c>
      <c r="N315" s="19" t="s">
        <v>1462</v>
      </c>
      <c r="O315" s="19"/>
      <c r="P315" s="19"/>
      <c r="Q315" s="19"/>
      <c r="R315" s="19" t="s">
        <v>1562</v>
      </c>
      <c r="S315" s="19" t="s">
        <v>1563</v>
      </c>
      <c r="T315" s="19" t="s">
        <v>53</v>
      </c>
      <c r="U315" s="19" t="s">
        <v>54</v>
      </c>
      <c r="V315" s="19" t="s">
        <v>55</v>
      </c>
      <c r="W315" s="19" t="s">
        <v>56</v>
      </c>
      <c r="X315" s="19"/>
      <c r="Y315" s="19"/>
      <c r="Z315" s="19"/>
      <c r="AA315" s="19">
        <v>0</v>
      </c>
      <c r="AB315" s="19"/>
      <c r="AC315" s="19" t="s">
        <v>308</v>
      </c>
      <c r="AD315" s="19"/>
      <c r="AE315" s="19"/>
      <c r="AF315" s="19"/>
    </row>
    <row r="316" spans="1:34" customHeight="1" ht="42">
      <c r="A316" s="19">
        <v>310</v>
      </c>
      <c r="B316" s="19" t="s">
        <v>1564</v>
      </c>
      <c r="C316" s="19" t="s">
        <v>1444</v>
      </c>
      <c r="D316" s="19" t="str">
        <f>HYPERLINK("http://www.henontech.com/fieldsafety/harzard/harzard_show.php?rid=5622&amp;url=harzardrecs.php","深井外供管线上方有一段保温铝皮脱落，人员巡检时路过，可能被掉落的铝皮划伤脖子，去医务室处理后继续上班")</f>
        <v>深井外供管线上方有一段保温铝皮脱落，人员巡检时路过，可能被掉落的铝皮划伤脖子，去医务室处理后继续上班</v>
      </c>
      <c r="E316" s="19" t="s">
        <v>1565</v>
      </c>
      <c r="F316" s="25" t="s">
        <v>1455</v>
      </c>
      <c r="G316" s="22" t="s">
        <v>63</v>
      </c>
      <c r="H316" s="19" t="s">
        <v>44</v>
      </c>
      <c r="I316" s="19" t="s">
        <v>45</v>
      </c>
      <c r="J316" s="19" t="s">
        <v>46</v>
      </c>
      <c r="K316" s="19" t="s">
        <v>110</v>
      </c>
      <c r="L316" s="19" t="s">
        <v>76</v>
      </c>
      <c r="M316" s="19" t="s">
        <v>1033</v>
      </c>
      <c r="N316" s="19" t="s">
        <v>731</v>
      </c>
      <c r="O316" s="19" t="s">
        <v>1033</v>
      </c>
      <c r="P316" s="19" t="s">
        <v>1178</v>
      </c>
      <c r="Q316" s="19" t="s">
        <v>1457</v>
      </c>
      <c r="R316" s="19" t="s">
        <v>1566</v>
      </c>
      <c r="S316" s="19"/>
      <c r="T316" s="19" t="s">
        <v>53</v>
      </c>
      <c r="U316" s="19" t="s">
        <v>54</v>
      </c>
      <c r="V316" s="19" t="s">
        <v>55</v>
      </c>
      <c r="W316" s="19" t="s">
        <v>56</v>
      </c>
      <c r="X316" s="19" t="s">
        <v>154</v>
      </c>
      <c r="Y316" s="19"/>
      <c r="Z316" s="19" t="s">
        <v>1515</v>
      </c>
      <c r="AA316" s="19">
        <v>2</v>
      </c>
      <c r="AB316" s="19"/>
      <c r="AC316" s="19" t="s">
        <v>308</v>
      </c>
      <c r="AD316" s="19"/>
      <c r="AE316" s="19"/>
      <c r="AF316" s="19"/>
    </row>
    <row r="317" spans="1:34">
      <c r="A317" s="19">
        <v>311</v>
      </c>
      <c r="B317" s="19" t="s">
        <v>1564</v>
      </c>
      <c r="C317" s="19" t="s">
        <v>1529</v>
      </c>
      <c r="D317" s="19" t="str">
        <f>HYPERLINK("http://www.henontech.com/fieldsafety/harzard/harzard_show.php?rid=5626&amp;url=harzardrecs.php","75T给水管道阀门垫子损坏，造成热水喷溅，一名操作工在夜间巡检值此，可能烫伤右小腿，送医院治疗一周康复。")</f>
        <v>75T给水管道阀门垫子损坏，造成热水喷溅，一名操作工在夜间巡检值此，可能烫伤右小腿，送医院治疗一周康复。</v>
      </c>
      <c r="E317" s="19" t="s">
        <v>1567</v>
      </c>
      <c r="F317" s="23" t="s">
        <v>304</v>
      </c>
      <c r="G317" s="22" t="s">
        <v>63</v>
      </c>
      <c r="H317" s="19" t="s">
        <v>44</v>
      </c>
      <c r="I317" s="19"/>
      <c r="J317" s="19" t="s">
        <v>46</v>
      </c>
      <c r="K317" s="19" t="s">
        <v>110</v>
      </c>
      <c r="L317" s="19" t="s">
        <v>76</v>
      </c>
      <c r="M317" s="19" t="s">
        <v>1033</v>
      </c>
      <c r="N317" s="19" t="s">
        <v>1568</v>
      </c>
      <c r="O317" s="19"/>
      <c r="P317" s="19"/>
      <c r="Q317" s="19"/>
      <c r="R317" s="19" t="s">
        <v>1569</v>
      </c>
      <c r="S317" s="19" t="s">
        <v>801</v>
      </c>
      <c r="T317" s="19" t="s">
        <v>53</v>
      </c>
      <c r="U317" s="19" t="s">
        <v>80</v>
      </c>
      <c r="V317" s="19" t="s">
        <v>55</v>
      </c>
      <c r="W317" s="19" t="s">
        <v>81</v>
      </c>
      <c r="X317" s="19"/>
      <c r="Y317" s="19"/>
      <c r="Z317" s="19"/>
      <c r="AA317" s="19">
        <v>0</v>
      </c>
      <c r="AB317" s="19"/>
      <c r="AC317" s="19" t="s">
        <v>308</v>
      </c>
      <c r="AD317" s="19"/>
      <c r="AE317" s="19"/>
      <c r="AF317" s="19"/>
    </row>
    <row r="318" spans="1:34">
      <c r="A318" s="19">
        <v>312</v>
      </c>
      <c r="B318" s="19" t="s">
        <v>1564</v>
      </c>
      <c r="C318" s="19" t="s">
        <v>1570</v>
      </c>
      <c r="D318" s="19" t="str">
        <f>HYPERLINK("http://www.henontech.com/fieldsafety/harzard/harzard_show.php?rid=5640&amp;url=harzardrecs.php","氨水输送泵回流管法兰处泄露，发现不及时极易造成人员伤害与环境污染。造成一巡检人员眼部灼伤，送医治疗损工7天。")</f>
        <v>氨水输送泵回流管法兰处泄露，发现不及时极易造成人员伤害与环境污染。造成一巡检人员眼部灼伤，送医治疗损工7天。</v>
      </c>
      <c r="E318" s="19" t="s">
        <v>1571</v>
      </c>
      <c r="F318" s="20" t="s">
        <v>42</v>
      </c>
      <c r="G318" s="22" t="s">
        <v>63</v>
      </c>
      <c r="H318" s="19" t="s">
        <v>44</v>
      </c>
      <c r="I318" s="19" t="s">
        <v>108</v>
      </c>
      <c r="J318" s="19" t="s">
        <v>46</v>
      </c>
      <c r="K318" s="19" t="s">
        <v>47</v>
      </c>
      <c r="L318" s="19"/>
      <c r="M318" s="19" t="s">
        <v>224</v>
      </c>
      <c r="N318" s="19" t="s">
        <v>1572</v>
      </c>
      <c r="O318" s="19" t="s">
        <v>224</v>
      </c>
      <c r="P318" s="19" t="s">
        <v>625</v>
      </c>
      <c r="Q318" s="19" t="s">
        <v>1573</v>
      </c>
      <c r="R318" s="19" t="s">
        <v>1574</v>
      </c>
      <c r="S318" s="19"/>
      <c r="T318" s="19" t="s">
        <v>53</v>
      </c>
      <c r="U318" s="19" t="s">
        <v>54</v>
      </c>
      <c r="V318" s="19" t="s">
        <v>97</v>
      </c>
      <c r="W318" s="19" t="s">
        <v>81</v>
      </c>
      <c r="X318" s="19" t="s">
        <v>154</v>
      </c>
      <c r="Y318" s="19"/>
      <c r="Z318" s="19" t="s">
        <v>1575</v>
      </c>
      <c r="AA318" s="19">
        <v>1</v>
      </c>
      <c r="AB318" s="19">
        <v>0</v>
      </c>
      <c r="AC318" s="19" t="s">
        <v>58</v>
      </c>
      <c r="AD318" s="19" t="s">
        <v>625</v>
      </c>
      <c r="AE318" s="19" t="s">
        <v>1576</v>
      </c>
      <c r="AF318" s="19"/>
    </row>
    <row r="319" spans="1:34" customHeight="1" ht="42">
      <c r="A319" s="19">
        <v>313</v>
      </c>
      <c r="B319" s="19" t="s">
        <v>1577</v>
      </c>
      <c r="C319" s="19" t="s">
        <v>1444</v>
      </c>
      <c r="D319" s="19" t="str">
        <f>HYPERLINK("http://www.henontech.com/fieldsafety/harzard/harzard_show.php?rid=5668&amp;url=harzardrecs.php","电缆没有规范架起或者埋设")</f>
        <v>电缆没有规范架起或者埋设</v>
      </c>
      <c r="E319" s="19" t="s">
        <v>1578</v>
      </c>
      <c r="F319" s="25" t="s">
        <v>1455</v>
      </c>
      <c r="G319" s="22" t="s">
        <v>63</v>
      </c>
      <c r="H319" s="19" t="s">
        <v>482</v>
      </c>
      <c r="I319" s="19" t="s">
        <v>120</v>
      </c>
      <c r="J319" s="19" t="s">
        <v>109</v>
      </c>
      <c r="K319" s="19" t="s">
        <v>47</v>
      </c>
      <c r="L319" s="19" t="s">
        <v>1579</v>
      </c>
      <c r="M319" s="19" t="s">
        <v>1033</v>
      </c>
      <c r="N319" s="19" t="s">
        <v>1580</v>
      </c>
      <c r="O319" s="19" t="s">
        <v>1033</v>
      </c>
      <c r="P319" s="19" t="s">
        <v>1464</v>
      </c>
      <c r="Q319" s="19" t="s">
        <v>1457</v>
      </c>
      <c r="R319" s="19" t="s">
        <v>1581</v>
      </c>
      <c r="S319" s="19"/>
      <c r="T319" s="19" t="s">
        <v>53</v>
      </c>
      <c r="U319" s="19" t="s">
        <v>236</v>
      </c>
      <c r="V319" s="19" t="s">
        <v>55</v>
      </c>
      <c r="W319" s="19" t="s">
        <v>70</v>
      </c>
      <c r="X319" s="19" t="s">
        <v>154</v>
      </c>
      <c r="Y319" s="19"/>
      <c r="Z319" s="19" t="s">
        <v>1582</v>
      </c>
      <c r="AA319" s="19">
        <v>2</v>
      </c>
      <c r="AB319" s="19"/>
      <c r="AC319" s="19" t="s">
        <v>308</v>
      </c>
      <c r="AD319" s="19"/>
      <c r="AE319" s="19"/>
      <c r="AF319" s="19"/>
    </row>
    <row r="320" spans="1:34">
      <c r="A320" s="19">
        <v>314</v>
      </c>
      <c r="B320" s="19" t="s">
        <v>1583</v>
      </c>
      <c r="C320" s="19" t="s">
        <v>1460</v>
      </c>
      <c r="D320" s="19" t="str">
        <f>HYPERLINK("http://www.henontech.com/fieldsafety/harzard/harzard_show.php?rid=5759&amp;url=harzardrecs.php","操作工在巡检时发现阻垢剂管线漏液，走近观察漏液具体部位，由于没有佩戴护目镜，药液溅入眼中")</f>
        <v>操作工在巡检时发现阻垢剂管线漏液，走近观察漏液具体部位，由于没有佩戴护目镜，药液溅入眼中</v>
      </c>
      <c r="E320" s="19" t="s">
        <v>1584</v>
      </c>
      <c r="F320" s="23" t="s">
        <v>304</v>
      </c>
      <c r="G320" s="22" t="s">
        <v>63</v>
      </c>
      <c r="H320" s="19" t="s">
        <v>44</v>
      </c>
      <c r="I320" s="19" t="s">
        <v>45</v>
      </c>
      <c r="J320" s="19" t="s">
        <v>531</v>
      </c>
      <c r="K320" s="19" t="s">
        <v>64</v>
      </c>
      <c r="L320" s="19"/>
      <c r="M320" s="19" t="s">
        <v>1033</v>
      </c>
      <c r="N320" s="19" t="s">
        <v>1585</v>
      </c>
      <c r="O320" s="19"/>
      <c r="P320" s="19"/>
      <c r="Q320" s="19"/>
      <c r="R320" s="19" t="s">
        <v>1586</v>
      </c>
      <c r="S320" s="19" t="s">
        <v>1372</v>
      </c>
      <c r="T320" s="19" t="s">
        <v>53</v>
      </c>
      <c r="U320" s="19" t="s">
        <v>54</v>
      </c>
      <c r="V320" s="19" t="s">
        <v>97</v>
      </c>
      <c r="W320" s="19" t="s">
        <v>81</v>
      </c>
      <c r="X320" s="19"/>
      <c r="Y320" s="19"/>
      <c r="Z320" s="19"/>
      <c r="AA320" s="19">
        <v>0</v>
      </c>
      <c r="AB320" s="19"/>
      <c r="AC320" s="19" t="s">
        <v>308</v>
      </c>
      <c r="AD320" s="19"/>
      <c r="AE320" s="19"/>
      <c r="AF320" s="19"/>
    </row>
    <row r="321" spans="1:34">
      <c r="A321" s="19">
        <v>315</v>
      </c>
      <c r="B321" s="19" t="s">
        <v>1500</v>
      </c>
      <c r="C321" s="19" t="s">
        <v>1529</v>
      </c>
      <c r="D321" s="19" t="str">
        <f>HYPERLINK("http://www.henontech.com/fieldsafety/harzard/harzard_show.php?rid=5816&amp;url=harzardrecs.php","75吨平台压力变送器导压管腐蚀严重漏蒸汽")</f>
        <v>75吨平台压力变送器导压管腐蚀严重漏蒸汽</v>
      </c>
      <c r="E321" s="19" t="s">
        <v>1587</v>
      </c>
      <c r="F321" s="23" t="s">
        <v>304</v>
      </c>
      <c r="G321" s="22" t="s">
        <v>63</v>
      </c>
      <c r="H321" s="19" t="s">
        <v>44</v>
      </c>
      <c r="I321" s="19" t="s">
        <v>108</v>
      </c>
      <c r="J321" s="19"/>
      <c r="K321" s="19"/>
      <c r="L321" s="19"/>
      <c r="M321" s="19" t="s">
        <v>1033</v>
      </c>
      <c r="N321" s="19" t="s">
        <v>1464</v>
      </c>
      <c r="O321" s="19"/>
      <c r="P321" s="19"/>
      <c r="Q321" s="19"/>
      <c r="R321" s="19" t="s">
        <v>1588</v>
      </c>
      <c r="S321" s="19" t="s">
        <v>1372</v>
      </c>
      <c r="T321" s="19" t="s">
        <v>53</v>
      </c>
      <c r="U321" s="19" t="s">
        <v>54</v>
      </c>
      <c r="V321" s="19" t="s">
        <v>55</v>
      </c>
      <c r="W321" s="19" t="s">
        <v>56</v>
      </c>
      <c r="X321" s="19"/>
      <c r="Y321" s="19"/>
      <c r="Z321" s="19"/>
      <c r="AA321" s="19">
        <v>0</v>
      </c>
      <c r="AB321" s="19"/>
      <c r="AC321" s="19" t="s">
        <v>308</v>
      </c>
      <c r="AD321" s="19"/>
      <c r="AE321" s="19"/>
      <c r="AF321" s="19"/>
    </row>
    <row r="322" spans="1:34">
      <c r="A322" s="19">
        <v>316</v>
      </c>
      <c r="B322" s="19" t="s">
        <v>1589</v>
      </c>
      <c r="C322" s="19" t="s">
        <v>1590</v>
      </c>
      <c r="D322" s="19" t="str">
        <f>HYPERLINK("http://www.henontech.com/fieldsafety/harzard/harzard_show.php?rid=5977&amp;url=harzardrecs.php","操作工在给水封抽水时不小心滑倒跌入池中")</f>
        <v>操作工在给水封抽水时不小心滑倒跌入池中</v>
      </c>
      <c r="E322" s="19" t="s">
        <v>1591</v>
      </c>
      <c r="F322" s="23" t="s">
        <v>304</v>
      </c>
      <c r="G322" s="22" t="s">
        <v>63</v>
      </c>
      <c r="H322" s="19" t="s">
        <v>482</v>
      </c>
      <c r="I322" s="19"/>
      <c r="J322" s="19" t="s">
        <v>46</v>
      </c>
      <c r="K322" s="19" t="s">
        <v>47</v>
      </c>
      <c r="L322" s="19"/>
      <c r="M322" s="19" t="s">
        <v>1033</v>
      </c>
      <c r="N322" s="19" t="s">
        <v>1490</v>
      </c>
      <c r="O322" s="19"/>
      <c r="P322" s="19"/>
      <c r="Q322" s="19"/>
      <c r="R322" s="19" t="s">
        <v>1592</v>
      </c>
      <c r="S322" s="19" t="s">
        <v>1372</v>
      </c>
      <c r="T322" s="19" t="s">
        <v>53</v>
      </c>
      <c r="U322" s="19" t="s">
        <v>54</v>
      </c>
      <c r="V322" s="19" t="s">
        <v>55</v>
      </c>
      <c r="W322" s="19" t="s">
        <v>56</v>
      </c>
      <c r="X322" s="19"/>
      <c r="Y322" s="19"/>
      <c r="Z322" s="19"/>
      <c r="AA322" s="19">
        <v>0</v>
      </c>
      <c r="AB322" s="19"/>
      <c r="AC322" s="19" t="s">
        <v>308</v>
      </c>
      <c r="AD322" s="19"/>
      <c r="AE322" s="19"/>
      <c r="AF322" s="19"/>
    </row>
    <row r="323" spans="1:34" customHeight="1" ht="42">
      <c r="A323" s="19">
        <v>317</v>
      </c>
      <c r="B323" s="19" t="s">
        <v>1593</v>
      </c>
      <c r="C323" s="19" t="s">
        <v>1594</v>
      </c>
      <c r="D323" s="19" t="str">
        <f>HYPERLINK("http://www.henontech.com/fieldsafety/harzard/harzard_show.php?rid=6041&amp;url=harzardrecs.php","操作人员打开人孔时，因平台间隙过大不慎坠落，造成腿部骨折")</f>
        <v>操作人员打开人孔时，因平台间隙过大不慎坠落，造成腿部骨折</v>
      </c>
      <c r="E323" s="19" t="s">
        <v>1595</v>
      </c>
      <c r="F323" s="25" t="s">
        <v>1455</v>
      </c>
      <c r="G323" s="22" t="s">
        <v>63</v>
      </c>
      <c r="H323" s="19" t="s">
        <v>44</v>
      </c>
      <c r="I323" s="19" t="s">
        <v>120</v>
      </c>
      <c r="J323" s="19" t="s">
        <v>46</v>
      </c>
      <c r="K323" s="19" t="s">
        <v>47</v>
      </c>
      <c r="L323" s="19" t="s">
        <v>76</v>
      </c>
      <c r="M323" s="19" t="s">
        <v>1033</v>
      </c>
      <c r="N323" s="19" t="s">
        <v>1198</v>
      </c>
      <c r="O323" s="19" t="s">
        <v>1033</v>
      </c>
      <c r="P323" s="19" t="s">
        <v>1034</v>
      </c>
      <c r="Q323" s="19" t="s">
        <v>1457</v>
      </c>
      <c r="R323" s="19" t="s">
        <v>1596</v>
      </c>
      <c r="S323" s="19"/>
      <c r="T323" s="19" t="s">
        <v>53</v>
      </c>
      <c r="U323" s="19" t="s">
        <v>54</v>
      </c>
      <c r="V323" s="19" t="s">
        <v>55</v>
      </c>
      <c r="W323" s="19" t="s">
        <v>56</v>
      </c>
      <c r="X323" s="19" t="s">
        <v>154</v>
      </c>
      <c r="Y323" s="19"/>
      <c r="Z323" s="19" t="s">
        <v>1597</v>
      </c>
      <c r="AA323" s="19">
        <v>2</v>
      </c>
      <c r="AB323" s="19"/>
      <c r="AC323" s="19" t="s">
        <v>308</v>
      </c>
      <c r="AD323" s="19"/>
      <c r="AE323" s="19"/>
      <c r="AF323" s="19"/>
    </row>
    <row r="324" spans="1:34" customHeight="1" ht="42">
      <c r="A324" s="19">
        <v>318</v>
      </c>
      <c r="B324" s="19" t="s">
        <v>1593</v>
      </c>
      <c r="C324" s="19" t="s">
        <v>1598</v>
      </c>
      <c r="D324" s="19" t="str">
        <f>HYPERLINK("http://www.henontech.com/fieldsafety/harzard/harzard_show.php?rid=6043&amp;url=harzardrecs.php","5.5米熄焦塔高十五米，一员工在地面扫地时，塔内砖块松动坠落，砸中其肩部，造成肩胛骨粉碎性骨折，送急诊手术治疗，修养一年，鉴定五级伤残。")</f>
        <v>5.5米熄焦塔高十五米，一员工在地面扫地时，塔内砖块松动坠落，砸中其肩部，造成肩胛骨粉碎性骨折，送急诊手术治疗，修养一年，鉴定五级伤残。</v>
      </c>
      <c r="E324" s="19" t="s">
        <v>1599</v>
      </c>
      <c r="F324" s="20" t="s">
        <v>42</v>
      </c>
      <c r="G324" s="21" t="s">
        <v>43</v>
      </c>
      <c r="H324" s="19" t="s">
        <v>44</v>
      </c>
      <c r="I324" s="19"/>
      <c r="J324" s="19" t="s">
        <v>46</v>
      </c>
      <c r="K324" s="19"/>
      <c r="L324" s="19"/>
      <c r="M324" s="19" t="s">
        <v>121</v>
      </c>
      <c r="N324" s="19" t="s">
        <v>1600</v>
      </c>
      <c r="O324" s="19" t="s">
        <v>121</v>
      </c>
      <c r="P324" s="19" t="s">
        <v>568</v>
      </c>
      <c r="Q324" s="19" t="s">
        <v>1601</v>
      </c>
      <c r="R324" s="19" t="s">
        <v>1365</v>
      </c>
      <c r="S324" s="19"/>
      <c r="T324" s="19" t="s">
        <v>53</v>
      </c>
      <c r="U324" s="19" t="s">
        <v>236</v>
      </c>
      <c r="V324" s="19" t="s">
        <v>97</v>
      </c>
      <c r="W324" s="19" t="s">
        <v>190</v>
      </c>
      <c r="X324" s="19" t="s">
        <v>191</v>
      </c>
      <c r="Y324" s="19"/>
      <c r="Z324" s="19" t="s">
        <v>1602</v>
      </c>
      <c r="AA324" s="19">
        <v>2</v>
      </c>
      <c r="AB324" s="19">
        <v>2</v>
      </c>
      <c r="AC324" s="19" t="s">
        <v>58</v>
      </c>
      <c r="AD324" s="19" t="s">
        <v>568</v>
      </c>
      <c r="AE324" s="19" t="s">
        <v>1335</v>
      </c>
      <c r="AF324" s="19" t="s">
        <v>1603</v>
      </c>
    </row>
    <row r="325" spans="1:34" customHeight="1" ht="42">
      <c r="A325" s="19">
        <v>319</v>
      </c>
      <c r="B325" s="19" t="s">
        <v>1593</v>
      </c>
      <c r="C325" s="19" t="s">
        <v>1604</v>
      </c>
      <c r="D325" s="19" t="str">
        <f>HYPERLINK("http://www.henontech.com/fieldsafety/harzard/harzard_show.php?rid=6057&amp;url=harzardrecs.php","拦焦岗位塌焦，在清理红焦时不慎将红焦落在对面人员的身上，造成右半身灼伤，及时送医治疗，造成右半身轻度灼伤，在医治疗一周后回家休养十五天。")</f>
        <v>拦焦岗位塌焦，在清理红焦时不慎将红焦落在对面人员的身上，造成右半身灼伤，及时送医治疗，造成右半身轻度灼伤，在医治疗一周后回家休养十五天。</v>
      </c>
      <c r="E325" s="19" t="s">
        <v>1605</v>
      </c>
      <c r="F325" s="20" t="s">
        <v>42</v>
      </c>
      <c r="G325" s="22" t="s">
        <v>63</v>
      </c>
      <c r="H325" s="19" t="s">
        <v>44</v>
      </c>
      <c r="I325" s="19" t="s">
        <v>120</v>
      </c>
      <c r="J325" s="19" t="s">
        <v>826</v>
      </c>
      <c r="K325" s="19" t="s">
        <v>47</v>
      </c>
      <c r="L325" s="19" t="s">
        <v>76</v>
      </c>
      <c r="M325" s="19" t="s">
        <v>121</v>
      </c>
      <c r="N325" s="19" t="s">
        <v>1606</v>
      </c>
      <c r="O325" s="19" t="s">
        <v>121</v>
      </c>
      <c r="P325" s="19" t="s">
        <v>568</v>
      </c>
      <c r="Q325" s="19" t="s">
        <v>1601</v>
      </c>
      <c r="R325" s="19" t="s">
        <v>1607</v>
      </c>
      <c r="S325" s="19"/>
      <c r="T325" s="19" t="s">
        <v>53</v>
      </c>
      <c r="U325" s="19" t="s">
        <v>80</v>
      </c>
      <c r="V325" s="19" t="s">
        <v>97</v>
      </c>
      <c r="W325" s="19" t="s">
        <v>70</v>
      </c>
      <c r="X325" s="19" t="s">
        <v>191</v>
      </c>
      <c r="Y325" s="19"/>
      <c r="Z325" s="19" t="s">
        <v>1608</v>
      </c>
      <c r="AA325" s="19">
        <v>2</v>
      </c>
      <c r="AB325" s="19">
        <v>2</v>
      </c>
      <c r="AC325" s="19" t="s">
        <v>58</v>
      </c>
      <c r="AD325" s="19" t="s">
        <v>568</v>
      </c>
      <c r="AE325" s="19" t="s">
        <v>1335</v>
      </c>
      <c r="AF325" s="19" t="s">
        <v>1609</v>
      </c>
    </row>
    <row r="326" spans="1:34">
      <c r="A326" s="19">
        <v>320</v>
      </c>
      <c r="B326" s="19" t="s">
        <v>1610</v>
      </c>
      <c r="C326" s="19" t="s">
        <v>1611</v>
      </c>
      <c r="D326" s="19" t="str">
        <f>HYPERLINK("http://www.henontech.com/fieldsafety/harzard/harzard_show.php?rid=6080&amp;url=harzardrecs.php","排水沟盖板破损造成巡检人员脚部擦伤")</f>
        <v>排水沟盖板破损造成巡检人员脚部擦伤</v>
      </c>
      <c r="E326" s="19" t="s">
        <v>1612</v>
      </c>
      <c r="F326" s="23" t="s">
        <v>304</v>
      </c>
      <c r="G326" s="22" t="s">
        <v>63</v>
      </c>
      <c r="H326" s="19" t="s">
        <v>44</v>
      </c>
      <c r="I326" s="19" t="s">
        <v>108</v>
      </c>
      <c r="J326" s="19" t="s">
        <v>46</v>
      </c>
      <c r="K326" s="19" t="s">
        <v>47</v>
      </c>
      <c r="L326" s="19" t="s">
        <v>76</v>
      </c>
      <c r="M326" s="19" t="s">
        <v>1033</v>
      </c>
      <c r="N326" s="19" t="s">
        <v>1405</v>
      </c>
      <c r="O326" s="19"/>
      <c r="P326" s="19"/>
      <c r="Q326" s="19"/>
      <c r="R326" s="19" t="s">
        <v>1613</v>
      </c>
      <c r="S326" s="19" t="s">
        <v>1372</v>
      </c>
      <c r="T326" s="19" t="s">
        <v>53</v>
      </c>
      <c r="U326" s="19" t="s">
        <v>54</v>
      </c>
      <c r="V326" s="19" t="s">
        <v>69</v>
      </c>
      <c r="W326" s="19" t="s">
        <v>70</v>
      </c>
      <c r="X326" s="19"/>
      <c r="Y326" s="19"/>
      <c r="Z326" s="19"/>
      <c r="AA326" s="19">
        <v>0</v>
      </c>
      <c r="AB326" s="19"/>
      <c r="AC326" s="19" t="s">
        <v>308</v>
      </c>
      <c r="AD326" s="19"/>
      <c r="AE326" s="19"/>
      <c r="AF326" s="19"/>
    </row>
    <row r="327" spans="1:34">
      <c r="A327" s="19">
        <v>321</v>
      </c>
      <c r="B327" s="19" t="s">
        <v>1614</v>
      </c>
      <c r="C327" s="19" t="s">
        <v>1594</v>
      </c>
      <c r="D327" s="19" t="str">
        <f>HYPERLINK("http://www.henontech.com/fieldsafety/harzard/harzard_show.php?rid=6124&amp;url=harzardrecs.php","操作人员调节阀门时因与平台间隙过大，不慎踩空掉落造成腿部肌肉拉伤。")</f>
        <v>操作人员调节阀门时因与平台间隙过大，不慎踩空掉落造成腿部肌肉拉伤。</v>
      </c>
      <c r="E327" s="19" t="s">
        <v>1615</v>
      </c>
      <c r="F327" s="23" t="s">
        <v>304</v>
      </c>
      <c r="G327" s="22" t="s">
        <v>63</v>
      </c>
      <c r="H327" s="19" t="s">
        <v>44</v>
      </c>
      <c r="I327" s="19" t="s">
        <v>108</v>
      </c>
      <c r="J327" s="19" t="s">
        <v>46</v>
      </c>
      <c r="K327" s="19" t="s">
        <v>47</v>
      </c>
      <c r="L327" s="19"/>
      <c r="M327" s="19" t="s">
        <v>1033</v>
      </c>
      <c r="N327" s="19" t="s">
        <v>1616</v>
      </c>
      <c r="O327" s="19"/>
      <c r="P327" s="19"/>
      <c r="Q327" s="19"/>
      <c r="R327" s="19" t="s">
        <v>1617</v>
      </c>
      <c r="S327" s="19" t="s">
        <v>1372</v>
      </c>
      <c r="T327" s="19" t="s">
        <v>53</v>
      </c>
      <c r="U327" s="19" t="s">
        <v>54</v>
      </c>
      <c r="V327" s="19" t="s">
        <v>97</v>
      </c>
      <c r="W327" s="19" t="s">
        <v>81</v>
      </c>
      <c r="X327" s="19"/>
      <c r="Y327" s="19"/>
      <c r="Z327" s="19"/>
      <c r="AA327" s="19">
        <v>0</v>
      </c>
      <c r="AB327" s="19"/>
      <c r="AC327" s="19" t="s">
        <v>308</v>
      </c>
      <c r="AD327" s="19"/>
      <c r="AE327" s="19"/>
      <c r="AF327" s="19"/>
    </row>
    <row r="328" spans="1:34">
      <c r="A328" s="19">
        <v>322</v>
      </c>
      <c r="B328" s="19" t="s">
        <v>1618</v>
      </c>
      <c r="C328" s="19" t="s">
        <v>1619</v>
      </c>
      <c r="D328" s="19" t="str">
        <f>HYPERLINK("http://www.henontech.com/fieldsafety/harzard/harzard_show.php?rid=6229&amp;url=harzardrecs.php","一名巡检工巡检循环水泵，下楼梯时被抽水的管线绊倒，造成手部受伤。")</f>
        <v>一名巡检工巡检循环水泵，下楼梯时被抽水的管线绊倒，造成手部受伤。</v>
      </c>
      <c r="E328" s="19" t="s">
        <v>1620</v>
      </c>
      <c r="F328" s="23" t="s">
        <v>304</v>
      </c>
      <c r="G328" s="22" t="s">
        <v>63</v>
      </c>
      <c r="H328" s="19" t="s">
        <v>44</v>
      </c>
      <c r="I328" s="19" t="s">
        <v>45</v>
      </c>
      <c r="J328" s="19" t="s">
        <v>46</v>
      </c>
      <c r="K328" s="19" t="s">
        <v>47</v>
      </c>
      <c r="L328" s="19"/>
      <c r="M328" s="19" t="s">
        <v>1033</v>
      </c>
      <c r="N328" s="19" t="s">
        <v>1183</v>
      </c>
      <c r="O328" s="19"/>
      <c r="P328" s="19"/>
      <c r="Q328" s="19"/>
      <c r="R328" s="19" t="s">
        <v>1621</v>
      </c>
      <c r="S328" s="19" t="s">
        <v>1372</v>
      </c>
      <c r="T328" s="19" t="s">
        <v>53</v>
      </c>
      <c r="U328" s="19" t="s">
        <v>80</v>
      </c>
      <c r="V328" s="19" t="s">
        <v>97</v>
      </c>
      <c r="W328" s="19" t="s">
        <v>70</v>
      </c>
      <c r="X328" s="19"/>
      <c r="Y328" s="19"/>
      <c r="Z328" s="19"/>
      <c r="AA328" s="19">
        <v>0</v>
      </c>
      <c r="AB328" s="19"/>
      <c r="AC328" s="19" t="s">
        <v>308</v>
      </c>
      <c r="AD328" s="19"/>
      <c r="AE328" s="19"/>
      <c r="AF328" s="19"/>
    </row>
    <row r="329" spans="1:34">
      <c r="A329" s="19">
        <v>323</v>
      </c>
      <c r="B329" s="19" t="s">
        <v>1618</v>
      </c>
      <c r="C329" s="19" t="s">
        <v>1622</v>
      </c>
      <c r="D329" s="19" t="str">
        <f>HYPERLINK("http://www.henontech.com/fieldsafety/harzard/harzard_show.php?rid=6249&amp;url=harzardrecs.php","一名维修工维修油站顶部阀门上下油站时踏空造成腿部摔伤")</f>
        <v>一名维修工维修油站顶部阀门上下油站时踏空造成腿部摔伤</v>
      </c>
      <c r="E329" s="19" t="s">
        <v>1623</v>
      </c>
      <c r="F329" s="23" t="s">
        <v>304</v>
      </c>
      <c r="G329" s="22" t="s">
        <v>63</v>
      </c>
      <c r="H329" s="19" t="s">
        <v>44</v>
      </c>
      <c r="I329" s="19" t="s">
        <v>108</v>
      </c>
      <c r="J329" s="19" t="s">
        <v>46</v>
      </c>
      <c r="K329" s="19" t="s">
        <v>102</v>
      </c>
      <c r="L329" s="19" t="s">
        <v>599</v>
      </c>
      <c r="M329" s="19" t="s">
        <v>1033</v>
      </c>
      <c r="N329" s="19" t="s">
        <v>1624</v>
      </c>
      <c r="O329" s="19"/>
      <c r="P329" s="19"/>
      <c r="Q329" s="19"/>
      <c r="R329" s="19" t="s">
        <v>1622</v>
      </c>
      <c r="S329" s="19" t="s">
        <v>1372</v>
      </c>
      <c r="T329" s="19" t="s">
        <v>53</v>
      </c>
      <c r="U329" s="19" t="s">
        <v>54</v>
      </c>
      <c r="V329" s="19" t="s">
        <v>69</v>
      </c>
      <c r="W329" s="19" t="s">
        <v>70</v>
      </c>
      <c r="X329" s="19"/>
      <c r="Y329" s="19"/>
      <c r="Z329" s="19"/>
      <c r="AA329" s="19">
        <v>0</v>
      </c>
      <c r="AB329" s="19"/>
      <c r="AC329" s="19" t="s">
        <v>308</v>
      </c>
      <c r="AD329" s="19"/>
      <c r="AE329" s="19"/>
      <c r="AF329" s="19"/>
    </row>
    <row r="330" spans="1:34">
      <c r="A330" s="19">
        <v>324</v>
      </c>
      <c r="B330" s="19" t="s">
        <v>1618</v>
      </c>
      <c r="C330" s="19" t="s">
        <v>1594</v>
      </c>
      <c r="D330" s="19" t="str">
        <f>HYPERLINK("http://www.henontech.com/fieldsafety/harzard/harzard_show.php?rid=6304&amp;url=harzardrecs.php","75t锅炉输水管漏蒸汽，一巡检工巡检至此，可能造成手部烫伤，送医院就医后，在家休养3天，损工3天")</f>
        <v>75t锅炉输水管漏蒸汽，一巡检工巡检至此，可能造成手部烫伤，送医院就医后，在家休养3天，损工3天</v>
      </c>
      <c r="E330" s="19" t="s">
        <v>1625</v>
      </c>
      <c r="F330" s="23" t="s">
        <v>304</v>
      </c>
      <c r="G330" s="22" t="s">
        <v>63</v>
      </c>
      <c r="H330" s="19" t="s">
        <v>44</v>
      </c>
      <c r="I330" s="19" t="s">
        <v>120</v>
      </c>
      <c r="J330" s="19" t="s">
        <v>46</v>
      </c>
      <c r="K330" s="19" t="s">
        <v>47</v>
      </c>
      <c r="L330" s="19" t="s">
        <v>76</v>
      </c>
      <c r="M330" s="19" t="s">
        <v>1033</v>
      </c>
      <c r="N330" s="19" t="s">
        <v>1470</v>
      </c>
      <c r="O330" s="19"/>
      <c r="P330" s="19"/>
      <c r="Q330" s="19"/>
      <c r="R330" s="19" t="s">
        <v>1626</v>
      </c>
      <c r="S330" s="19" t="s">
        <v>1372</v>
      </c>
      <c r="T330" s="19" t="s">
        <v>53</v>
      </c>
      <c r="U330" s="19" t="s">
        <v>80</v>
      </c>
      <c r="V330" s="19" t="s">
        <v>55</v>
      </c>
      <c r="W330" s="19" t="s">
        <v>81</v>
      </c>
      <c r="X330" s="19"/>
      <c r="Y330" s="19"/>
      <c r="Z330" s="19"/>
      <c r="AA330" s="19">
        <v>0</v>
      </c>
      <c r="AB330" s="19"/>
      <c r="AC330" s="19" t="s">
        <v>308</v>
      </c>
      <c r="AD330" s="19"/>
      <c r="AE330" s="19"/>
      <c r="AF330" s="19"/>
    </row>
    <row r="331" spans="1:34" customHeight="1" ht="42">
      <c r="A331" s="19">
        <v>325</v>
      </c>
      <c r="B331" s="19" t="s">
        <v>1618</v>
      </c>
      <c r="C331" s="19" t="s">
        <v>1627</v>
      </c>
      <c r="D331" s="19" t="str">
        <f>HYPERLINK("http://www.henontech.com/fieldsafety/harzard/harzard_show.php?rid=6317&amp;url=harzardrecs.php","操作工在加药时，踩在往南第二块盖板时，由于盖板腐蚀严重破损，致使操作工摔伤，住院治疗。")</f>
        <v>操作工在加药时，踩在往南第二块盖板时，由于盖板腐蚀严重破损，致使操作工摔伤，住院治疗。</v>
      </c>
      <c r="E331" s="19" t="s">
        <v>1628</v>
      </c>
      <c r="F331" s="20" t="s">
        <v>42</v>
      </c>
      <c r="G331" s="22" t="s">
        <v>63</v>
      </c>
      <c r="H331" s="19" t="s">
        <v>44</v>
      </c>
      <c r="I331" s="19" t="s">
        <v>120</v>
      </c>
      <c r="J331" s="19" t="s">
        <v>46</v>
      </c>
      <c r="K331" s="19" t="s">
        <v>64</v>
      </c>
      <c r="L331" s="19" t="s">
        <v>76</v>
      </c>
      <c r="M331" s="19" t="s">
        <v>1033</v>
      </c>
      <c r="N331" s="19" t="s">
        <v>1153</v>
      </c>
      <c r="O331" s="19" t="s">
        <v>1033</v>
      </c>
      <c r="P331" s="19" t="s">
        <v>1034</v>
      </c>
      <c r="Q331" s="19" t="s">
        <v>1457</v>
      </c>
      <c r="R331" s="19" t="s">
        <v>700</v>
      </c>
      <c r="S331" s="19"/>
      <c r="T331" s="19" t="s">
        <v>53</v>
      </c>
      <c r="U331" s="19" t="s">
        <v>54</v>
      </c>
      <c r="V331" s="19" t="s">
        <v>55</v>
      </c>
      <c r="W331" s="19" t="s">
        <v>56</v>
      </c>
      <c r="X331" s="19" t="s">
        <v>154</v>
      </c>
      <c r="Y331" s="19"/>
      <c r="Z331" s="19" t="s">
        <v>1629</v>
      </c>
      <c r="AA331" s="19">
        <v>2</v>
      </c>
      <c r="AB331" s="19">
        <v>2</v>
      </c>
      <c r="AC331" s="19" t="s">
        <v>58</v>
      </c>
      <c r="AD331" s="19" t="s">
        <v>1034</v>
      </c>
      <c r="AE331" s="19" t="s">
        <v>1512</v>
      </c>
      <c r="AF331" s="19"/>
    </row>
    <row r="332" spans="1:34" customHeight="1" ht="42">
      <c r="A332" s="19">
        <v>326</v>
      </c>
      <c r="B332" s="19" t="s">
        <v>1494</v>
      </c>
      <c r="C332" s="19" t="s">
        <v>1619</v>
      </c>
      <c r="D332" s="19" t="str">
        <f>HYPERLINK("http://www.henontech.com/fieldsafety/harzard/harzard_show.php?rid=6325&amp;url=harzardrecs.php","2#循环泵处电缆杂乱，容易造成巡检人员绊倒，需截裁处理")</f>
        <v>2#循环泵处电缆杂乱，容易造成巡检人员绊倒，需截裁处理</v>
      </c>
      <c r="E332" s="19" t="s">
        <v>1630</v>
      </c>
      <c r="F332" s="25" t="s">
        <v>1455</v>
      </c>
      <c r="G332" s="22" t="s">
        <v>63</v>
      </c>
      <c r="H332" s="19" t="s">
        <v>44</v>
      </c>
      <c r="I332" s="19"/>
      <c r="J332" s="19" t="s">
        <v>46</v>
      </c>
      <c r="K332" s="19" t="s">
        <v>1631</v>
      </c>
      <c r="L332" s="19"/>
      <c r="M332" s="19" t="s">
        <v>1033</v>
      </c>
      <c r="N332" s="19" t="s">
        <v>1632</v>
      </c>
      <c r="O332" s="19" t="s">
        <v>1033</v>
      </c>
      <c r="P332" s="19" t="s">
        <v>1464</v>
      </c>
      <c r="Q332" s="19" t="s">
        <v>1457</v>
      </c>
      <c r="R332" s="19" t="s">
        <v>1633</v>
      </c>
      <c r="S332" s="19"/>
      <c r="T332" s="19" t="s">
        <v>53</v>
      </c>
      <c r="U332" s="19" t="s">
        <v>202</v>
      </c>
      <c r="V332" s="19" t="s">
        <v>69</v>
      </c>
      <c r="W332" s="19" t="s">
        <v>56</v>
      </c>
      <c r="X332" s="19" t="s">
        <v>154</v>
      </c>
      <c r="Y332" s="19"/>
      <c r="Z332" s="19" t="s">
        <v>1634</v>
      </c>
      <c r="AA332" s="19">
        <v>2</v>
      </c>
      <c r="AB332" s="19"/>
      <c r="AC332" s="19" t="s">
        <v>308</v>
      </c>
      <c r="AD332" s="19"/>
      <c r="AE332" s="19"/>
      <c r="AF332" s="19"/>
    </row>
    <row r="333" spans="1:34" customHeight="1" ht="42">
      <c r="A333" s="19">
        <v>327</v>
      </c>
      <c r="B333" s="19" t="s">
        <v>1494</v>
      </c>
      <c r="C333" s="19" t="s">
        <v>1635</v>
      </c>
      <c r="D333" s="19" t="str">
        <f>HYPERLINK("http://www.henontech.com/fieldsafety/harzard/harzard_show.php?rid=6332&amp;url=harzardrecs.php","5米5焦炉通廊机侧52#开闭器上方平台腐蚀脱落，假若一名职工清理通廊卫生时，被脱落的腐蚀物砸伤右肩，造成肩部骨折。")</f>
        <v>5米5焦炉通廊机侧52#开闭器上方平台腐蚀脱落，假若一名职工清理通廊卫生时，被脱落的腐蚀物砸伤右肩，造成肩部骨折。</v>
      </c>
      <c r="E333" s="19" t="s">
        <v>1636</v>
      </c>
      <c r="F333" s="20" t="s">
        <v>42</v>
      </c>
      <c r="G333" s="22" t="s">
        <v>63</v>
      </c>
      <c r="H333" s="19" t="s">
        <v>44</v>
      </c>
      <c r="I333" s="19" t="s">
        <v>45</v>
      </c>
      <c r="J333" s="19" t="s">
        <v>109</v>
      </c>
      <c r="K333" s="19" t="s">
        <v>102</v>
      </c>
      <c r="L333" s="19"/>
      <c r="M333" s="19" t="s">
        <v>121</v>
      </c>
      <c r="N333" s="19" t="s">
        <v>1637</v>
      </c>
      <c r="O333" s="19" t="s">
        <v>121</v>
      </c>
      <c r="P333" s="19" t="s">
        <v>812</v>
      </c>
      <c r="Q333" s="19" t="s">
        <v>1638</v>
      </c>
      <c r="R333" s="19" t="s">
        <v>1639</v>
      </c>
      <c r="S333" s="19"/>
      <c r="T333" s="19" t="s">
        <v>53</v>
      </c>
      <c r="U333" s="19" t="s">
        <v>80</v>
      </c>
      <c r="V333" s="19" t="s">
        <v>97</v>
      </c>
      <c r="W333" s="19" t="s">
        <v>70</v>
      </c>
      <c r="X333" s="19" t="s">
        <v>191</v>
      </c>
      <c r="Y333" s="19"/>
      <c r="Z333" s="19" t="s">
        <v>1640</v>
      </c>
      <c r="AA333" s="19">
        <v>2</v>
      </c>
      <c r="AB333" s="19">
        <v>2</v>
      </c>
      <c r="AC333" s="19" t="s">
        <v>58</v>
      </c>
      <c r="AD333" s="19" t="s">
        <v>812</v>
      </c>
      <c r="AE333" s="19" t="s">
        <v>1641</v>
      </c>
      <c r="AF333" s="19" t="s">
        <v>1642</v>
      </c>
    </row>
    <row r="334" spans="1:34">
      <c r="A334" s="19">
        <v>328</v>
      </c>
      <c r="B334" s="19" t="s">
        <v>1494</v>
      </c>
      <c r="C334" s="19" t="s">
        <v>1643</v>
      </c>
      <c r="D334" s="19" t="str">
        <f>HYPERLINK("http://www.henontech.com/fieldsafety/harzard/harzard_show.php?rid=6346&amp;url=harzardrecs.php","深度脱硫放硫磺管道蒸汽加热管外漏，假设一名操作工在放硫磺时未及时发现身后的蒸汽管道，造成手臂烫伤，送往医院进行治疗，在家休养七天后复工。")</f>
        <v>深度脱硫放硫磺管道蒸汽加热管外漏，假设一名操作工在放硫磺时未及时发现身后的蒸汽管道，造成手臂烫伤，送往医院进行治疗，在家休养七天后复工。</v>
      </c>
      <c r="E334" s="19" t="s">
        <v>1644</v>
      </c>
      <c r="F334" s="20" t="s">
        <v>42</v>
      </c>
      <c r="G334" s="22" t="s">
        <v>63</v>
      </c>
      <c r="H334" s="19" t="s">
        <v>44</v>
      </c>
      <c r="I334" s="19" t="s">
        <v>120</v>
      </c>
      <c r="J334" s="19" t="s">
        <v>46</v>
      </c>
      <c r="K334" s="19" t="s">
        <v>47</v>
      </c>
      <c r="L334" s="19" t="s">
        <v>76</v>
      </c>
      <c r="M334" s="19" t="s">
        <v>48</v>
      </c>
      <c r="N334" s="19" t="s">
        <v>1645</v>
      </c>
      <c r="O334" s="19" t="s">
        <v>48</v>
      </c>
      <c r="P334" s="19" t="s">
        <v>50</v>
      </c>
      <c r="Q334" s="19" t="s">
        <v>1646</v>
      </c>
      <c r="R334" s="19" t="s">
        <v>1647</v>
      </c>
      <c r="S334" s="19"/>
      <c r="T334" s="19" t="s">
        <v>53</v>
      </c>
      <c r="U334" s="19" t="s">
        <v>54</v>
      </c>
      <c r="V334" s="19" t="s">
        <v>97</v>
      </c>
      <c r="W334" s="19" t="s">
        <v>81</v>
      </c>
      <c r="X334" s="19"/>
      <c r="Y334" s="19"/>
      <c r="Z334" s="19" t="s">
        <v>1648</v>
      </c>
      <c r="AA334" s="19">
        <v>1</v>
      </c>
      <c r="AB334" s="19">
        <v>1</v>
      </c>
      <c r="AC334" s="19" t="s">
        <v>58</v>
      </c>
      <c r="AD334" s="19" t="s">
        <v>50</v>
      </c>
      <c r="AE334" s="19" t="s">
        <v>1649</v>
      </c>
      <c r="AF334" s="19"/>
    </row>
    <row r="335" spans="1:34" customHeight="1" ht="42">
      <c r="A335" s="19">
        <v>329</v>
      </c>
      <c r="B335" s="19" t="s">
        <v>1494</v>
      </c>
      <c r="C335" s="19" t="s">
        <v>1635</v>
      </c>
      <c r="D335" s="19" t="str">
        <f>HYPERLINK("http://www.henontech.com/fieldsafety/harzard/harzard_show.php?rid=6353&amp;url=harzardrecs.php","焦测通廊东墙水泥砖破损，一操作工巡检经过时，不慎被掉落的水泥砖砸伤左脚，造成左脚脚踝骨折，住院治疗1月，休养1月。")</f>
        <v>焦测通廊东墙水泥砖破损，一操作工巡检经过时，不慎被掉落的水泥砖砸伤左脚，造成左脚脚踝骨折，住院治疗1月，休养1月。</v>
      </c>
      <c r="E335" s="19" t="s">
        <v>1650</v>
      </c>
      <c r="F335" s="20" t="s">
        <v>42</v>
      </c>
      <c r="G335" s="22" t="s">
        <v>63</v>
      </c>
      <c r="H335" s="19" t="s">
        <v>44</v>
      </c>
      <c r="I335" s="19" t="s">
        <v>108</v>
      </c>
      <c r="J335" s="19" t="s">
        <v>46</v>
      </c>
      <c r="K335" s="19" t="s">
        <v>102</v>
      </c>
      <c r="L335" s="19" t="s">
        <v>76</v>
      </c>
      <c r="M335" s="19" t="s">
        <v>121</v>
      </c>
      <c r="N335" s="19" t="s">
        <v>1525</v>
      </c>
      <c r="O335" s="19" t="s">
        <v>121</v>
      </c>
      <c r="P335" s="19" t="s">
        <v>812</v>
      </c>
      <c r="Q335" s="19" t="s">
        <v>1638</v>
      </c>
      <c r="R335" s="19" t="s">
        <v>1651</v>
      </c>
      <c r="S335" s="19"/>
      <c r="T335" s="19" t="s">
        <v>53</v>
      </c>
      <c r="U335" s="19" t="s">
        <v>80</v>
      </c>
      <c r="V335" s="19" t="s">
        <v>97</v>
      </c>
      <c r="W335" s="19" t="s">
        <v>70</v>
      </c>
      <c r="X335" s="19" t="s">
        <v>191</v>
      </c>
      <c r="Y335" s="19"/>
      <c r="Z335" s="19" t="s">
        <v>1652</v>
      </c>
      <c r="AA335" s="19">
        <v>2</v>
      </c>
      <c r="AB335" s="19">
        <v>1</v>
      </c>
      <c r="AC335" s="19" t="s">
        <v>58</v>
      </c>
      <c r="AD335" s="19" t="s">
        <v>812</v>
      </c>
      <c r="AE335" s="19" t="s">
        <v>1641</v>
      </c>
      <c r="AF335" s="19" t="s">
        <v>1653</v>
      </c>
    </row>
    <row r="336" spans="1:34" customHeight="1" ht="42">
      <c r="A336" s="19">
        <v>330</v>
      </c>
      <c r="B336" s="19" t="s">
        <v>1494</v>
      </c>
      <c r="C336" s="19" t="s">
        <v>1654</v>
      </c>
      <c r="D336" s="19" t="str">
        <f>HYPERLINK("http://www.henontech.com/fieldsafety/harzard/harzard_show.php?rid=6373&amp;url=harzardrecs.php","天车平台护拦出现裂缝，")</f>
        <v>天车平台护拦出现裂缝，</v>
      </c>
      <c r="E336" s="19" t="s">
        <v>1655</v>
      </c>
      <c r="F336" s="20" t="s">
        <v>42</v>
      </c>
      <c r="G336" s="22" t="s">
        <v>63</v>
      </c>
      <c r="H336" s="19" t="s">
        <v>44</v>
      </c>
      <c r="I336" s="19" t="s">
        <v>45</v>
      </c>
      <c r="J336" s="19" t="s">
        <v>109</v>
      </c>
      <c r="K336" s="19" t="s">
        <v>47</v>
      </c>
      <c r="L336" s="19" t="s">
        <v>76</v>
      </c>
      <c r="M336" s="19" t="s">
        <v>1033</v>
      </c>
      <c r="N336" s="19" t="s">
        <v>1656</v>
      </c>
      <c r="O336" s="19" t="s">
        <v>1033</v>
      </c>
      <c r="P336" s="19" t="s">
        <v>1034</v>
      </c>
      <c r="Q336" s="19" t="s">
        <v>1457</v>
      </c>
      <c r="R336" s="19" t="s">
        <v>1657</v>
      </c>
      <c r="S336" s="19"/>
      <c r="T336" s="19" t="s">
        <v>53</v>
      </c>
      <c r="U336" s="19" t="s">
        <v>80</v>
      </c>
      <c r="V336" s="19" t="s">
        <v>97</v>
      </c>
      <c r="W336" s="19" t="s">
        <v>70</v>
      </c>
      <c r="X336" s="19" t="s">
        <v>154</v>
      </c>
      <c r="Y336" s="19"/>
      <c r="Z336" s="19" t="s">
        <v>1658</v>
      </c>
      <c r="AA336" s="19">
        <v>2</v>
      </c>
      <c r="AB336" s="19">
        <v>2</v>
      </c>
      <c r="AC336" s="19" t="s">
        <v>58</v>
      </c>
      <c r="AD336" s="19" t="s">
        <v>1034</v>
      </c>
      <c r="AE336" s="19" t="s">
        <v>1401</v>
      </c>
      <c r="AF336" s="19"/>
    </row>
    <row r="337" spans="1:34">
      <c r="A337" s="19">
        <v>331</v>
      </c>
      <c r="B337" s="19" t="s">
        <v>1659</v>
      </c>
      <c r="C337" s="19" t="s">
        <v>1590</v>
      </c>
      <c r="D337" s="19" t="str">
        <f>HYPERLINK("http://www.henontech.com/fieldsafety/harzard/harzard_show.php?rid=6401&amp;url=harzardrecs.php","一职工在巡检时，因下雨后也面有积水不慎摔倒，导致右脸受轻微伤，到医务室简单冶疗，不影响上班。")</f>
        <v>一职工在巡检时，因下雨后也面有积水不慎摔倒，导致右脸受轻微伤，到医务室简单冶疗，不影响上班。</v>
      </c>
      <c r="E337" s="19" t="s">
        <v>1660</v>
      </c>
      <c r="F337" s="23" t="s">
        <v>304</v>
      </c>
      <c r="G337" s="22" t="s">
        <v>63</v>
      </c>
      <c r="H337" s="19" t="s">
        <v>44</v>
      </c>
      <c r="I337" s="19" t="s">
        <v>120</v>
      </c>
      <c r="J337" s="19" t="s">
        <v>46</v>
      </c>
      <c r="K337" s="19" t="s">
        <v>47</v>
      </c>
      <c r="L337" s="19" t="s">
        <v>76</v>
      </c>
      <c r="M337" s="19" t="s">
        <v>1033</v>
      </c>
      <c r="N337" s="19" t="s">
        <v>1661</v>
      </c>
      <c r="O337" s="19"/>
      <c r="P337" s="19"/>
      <c r="Q337" s="19"/>
      <c r="R337" s="19" t="s">
        <v>1662</v>
      </c>
      <c r="S337" s="19" t="s">
        <v>1372</v>
      </c>
      <c r="T337" s="19" t="s">
        <v>53</v>
      </c>
      <c r="U337" s="19" t="s">
        <v>54</v>
      </c>
      <c r="V337" s="19" t="s">
        <v>97</v>
      </c>
      <c r="W337" s="19" t="s">
        <v>81</v>
      </c>
      <c r="X337" s="19"/>
      <c r="Y337" s="19"/>
      <c r="Z337" s="19"/>
      <c r="AA337" s="19">
        <v>0</v>
      </c>
      <c r="AB337" s="19"/>
      <c r="AC337" s="19" t="s">
        <v>308</v>
      </c>
      <c r="AD337" s="19"/>
      <c r="AE337" s="19"/>
      <c r="AF337" s="19"/>
    </row>
    <row r="338" spans="1:34">
      <c r="A338" s="19">
        <v>332</v>
      </c>
      <c r="B338" s="19" t="s">
        <v>1659</v>
      </c>
      <c r="C338" s="19" t="s">
        <v>1663</v>
      </c>
      <c r="D338" s="19" t="str">
        <f>HYPERLINK("http://www.henontech.com/fieldsafety/harzard/harzard_show.php?rid=6436&amp;url=harzardrecs.php","输煤3号皮带机机尾有一段末按装防护栏，一名操作工在巡查时右胳膊被皮带机托辊卷入，造成右臂骨折，住院治疗一个月，在家休养两个月的损工事故。")</f>
        <v>输煤3号皮带机机尾有一段末按装防护栏，一名操作工在巡查时右胳膊被皮带机托辊卷入，造成右臂骨折，住院治疗一个月，在家休养两个月的损工事故。</v>
      </c>
      <c r="E338" s="19" t="s">
        <v>1664</v>
      </c>
      <c r="F338" s="23" t="s">
        <v>304</v>
      </c>
      <c r="G338" s="22" t="s">
        <v>63</v>
      </c>
      <c r="H338" s="19" t="s">
        <v>44</v>
      </c>
      <c r="I338" s="19" t="s">
        <v>108</v>
      </c>
      <c r="J338" s="19" t="s">
        <v>109</v>
      </c>
      <c r="K338" s="19" t="s">
        <v>110</v>
      </c>
      <c r="L338" s="19" t="s">
        <v>76</v>
      </c>
      <c r="M338" s="19" t="s">
        <v>1033</v>
      </c>
      <c r="N338" s="19" t="s">
        <v>1510</v>
      </c>
      <c r="O338" s="19"/>
      <c r="P338" s="19"/>
      <c r="Q338" s="19"/>
      <c r="R338" s="19" t="s">
        <v>1665</v>
      </c>
      <c r="S338" s="19" t="s">
        <v>1666</v>
      </c>
      <c r="T338" s="19" t="s">
        <v>53</v>
      </c>
      <c r="U338" s="19" t="s">
        <v>80</v>
      </c>
      <c r="V338" s="19" t="s">
        <v>55</v>
      </c>
      <c r="W338" s="19" t="s">
        <v>81</v>
      </c>
      <c r="X338" s="19"/>
      <c r="Y338" s="19"/>
      <c r="Z338" s="19"/>
      <c r="AA338" s="19">
        <v>0</v>
      </c>
      <c r="AB338" s="19"/>
      <c r="AC338" s="19" t="s">
        <v>308</v>
      </c>
      <c r="AD338" s="19"/>
      <c r="AE338" s="19"/>
      <c r="AF338" s="19"/>
    </row>
    <row r="339" spans="1:34">
      <c r="A339" s="19">
        <v>333</v>
      </c>
      <c r="B339" s="19" t="s">
        <v>1375</v>
      </c>
      <c r="C339" s="19" t="s">
        <v>1667</v>
      </c>
      <c r="D339" s="19" t="str">
        <f>HYPERLINK("http://www.henontech.com/fieldsafety/harzard/harzard_show.php?rid=6486&amp;url=harzardrecs.php","盖板处间隙过大")</f>
        <v>盖板处间隙过大</v>
      </c>
      <c r="E339" s="19" t="s">
        <v>1668</v>
      </c>
      <c r="F339" s="23" t="s">
        <v>304</v>
      </c>
      <c r="G339" s="22" t="s">
        <v>63</v>
      </c>
      <c r="H339" s="19" t="s">
        <v>44</v>
      </c>
      <c r="I339" s="19" t="s">
        <v>108</v>
      </c>
      <c r="J339" s="19" t="s">
        <v>109</v>
      </c>
      <c r="K339" s="19" t="s">
        <v>64</v>
      </c>
      <c r="L339" s="19" t="s">
        <v>76</v>
      </c>
      <c r="M339" s="19" t="s">
        <v>1033</v>
      </c>
      <c r="N339" s="19" t="s">
        <v>1669</v>
      </c>
      <c r="O339" s="19"/>
      <c r="P339" s="19"/>
      <c r="Q339" s="19"/>
      <c r="R339" s="19" t="s">
        <v>1670</v>
      </c>
      <c r="S339" s="19" t="s">
        <v>1372</v>
      </c>
      <c r="T339" s="19" t="s">
        <v>53</v>
      </c>
      <c r="U339" s="19" t="s">
        <v>54</v>
      </c>
      <c r="V339" s="19" t="s">
        <v>55</v>
      </c>
      <c r="W339" s="19" t="s">
        <v>56</v>
      </c>
      <c r="X339" s="19"/>
      <c r="Y339" s="19"/>
      <c r="Z339" s="19"/>
      <c r="AA339" s="19">
        <v>0</v>
      </c>
      <c r="AB339" s="19"/>
      <c r="AC339" s="19" t="s">
        <v>308</v>
      </c>
      <c r="AD339" s="19"/>
      <c r="AE339" s="19"/>
      <c r="AF339" s="19"/>
    </row>
    <row r="340" spans="1:34">
      <c r="A340" s="19">
        <v>334</v>
      </c>
      <c r="B340" s="19" t="s">
        <v>1375</v>
      </c>
      <c r="C340" s="19" t="s">
        <v>369</v>
      </c>
      <c r="D340" s="19" t="str">
        <f>HYPERLINK("http://www.henontech.com/fieldsafety/harzard/harzard_show.php?rid=6514&amp;url=harzardrecs.php","脱硫箱水封槽观察口铁板未盖严，如果夜间视线模糊操作工巡检时右脚踩空铁板磕到造成膝盖擦伤，送卫生室处理包扎后在家休息三天复工")</f>
        <v>脱硫箱水封槽观察口铁板未盖严，如果夜间视线模糊操作工巡检时右脚踩空铁板磕到造成膝盖擦伤，送卫生室处理包扎后在家休息三天复工</v>
      </c>
      <c r="E340" s="19" t="s">
        <v>1671</v>
      </c>
      <c r="F340" s="20" t="s">
        <v>42</v>
      </c>
      <c r="G340" s="22" t="s">
        <v>63</v>
      </c>
      <c r="H340" s="19" t="s">
        <v>44</v>
      </c>
      <c r="I340" s="19" t="s">
        <v>120</v>
      </c>
      <c r="J340" s="19" t="s">
        <v>46</v>
      </c>
      <c r="K340" s="19" t="s">
        <v>47</v>
      </c>
      <c r="L340" s="19" t="s">
        <v>76</v>
      </c>
      <c r="M340" s="19" t="s">
        <v>48</v>
      </c>
      <c r="N340" s="19" t="s">
        <v>1672</v>
      </c>
      <c r="O340" s="19" t="s">
        <v>48</v>
      </c>
      <c r="P340" s="19" t="s">
        <v>50</v>
      </c>
      <c r="Q340" s="19" t="s">
        <v>1673</v>
      </c>
      <c r="R340" s="19" t="s">
        <v>1674</v>
      </c>
      <c r="S340" s="19"/>
      <c r="T340" s="19" t="s">
        <v>53</v>
      </c>
      <c r="U340" s="19" t="s">
        <v>80</v>
      </c>
      <c r="V340" s="19" t="s">
        <v>97</v>
      </c>
      <c r="W340" s="19" t="s">
        <v>70</v>
      </c>
      <c r="X340" s="19"/>
      <c r="Y340" s="19"/>
      <c r="Z340" s="19" t="s">
        <v>1675</v>
      </c>
      <c r="AA340" s="19">
        <v>1</v>
      </c>
      <c r="AB340" s="19">
        <v>1</v>
      </c>
      <c r="AC340" s="19" t="s">
        <v>58</v>
      </c>
      <c r="AD340" s="19" t="s">
        <v>50</v>
      </c>
      <c r="AE340" s="19" t="s">
        <v>1676</v>
      </c>
      <c r="AF340" s="19"/>
    </row>
    <row r="341" spans="1:34">
      <c r="A341" s="19">
        <v>335</v>
      </c>
      <c r="B341" s="19" t="s">
        <v>1375</v>
      </c>
      <c r="C341" s="19" t="s">
        <v>369</v>
      </c>
      <c r="D341" s="19" t="str">
        <f>HYPERLINK("http://www.henontech.com/fieldsafety/harzard/harzard_show.php?rid=6516&amp;url=harzardrecs.php","南冷凝操作室外工具摆放处F扳手用完未摆放到位，巡检工走到此处被倒落的扳手砸中脚部轻微骨折，送医院治疗三天出院在家休养20天复工")</f>
        <v>南冷凝操作室外工具摆放处F扳手用完未摆放到位，巡检工走到此处被倒落的扳手砸中脚部轻微骨折，送医院治疗三天出院在家休养20天复工</v>
      </c>
      <c r="E341" s="19" t="s">
        <v>1677</v>
      </c>
      <c r="F341" s="20" t="s">
        <v>42</v>
      </c>
      <c r="G341" s="22" t="s">
        <v>63</v>
      </c>
      <c r="H341" s="19" t="s">
        <v>44</v>
      </c>
      <c r="I341" s="19" t="s">
        <v>120</v>
      </c>
      <c r="J341" s="19" t="s">
        <v>46</v>
      </c>
      <c r="K341" s="19" t="s">
        <v>47</v>
      </c>
      <c r="L341" s="19" t="s">
        <v>76</v>
      </c>
      <c r="M341" s="19" t="s">
        <v>48</v>
      </c>
      <c r="N341" s="19" t="s">
        <v>1678</v>
      </c>
      <c r="O341" s="19" t="s">
        <v>48</v>
      </c>
      <c r="P341" s="19" t="s">
        <v>50</v>
      </c>
      <c r="Q341" s="19" t="s">
        <v>1646</v>
      </c>
      <c r="R341" s="19" t="s">
        <v>1679</v>
      </c>
      <c r="S341" s="19"/>
      <c r="T341" s="19" t="s">
        <v>53</v>
      </c>
      <c r="U341" s="19" t="s">
        <v>80</v>
      </c>
      <c r="V341" s="19" t="s">
        <v>55</v>
      </c>
      <c r="W341" s="19" t="s">
        <v>81</v>
      </c>
      <c r="X341" s="19"/>
      <c r="Y341" s="19"/>
      <c r="Z341" s="19" t="s">
        <v>1680</v>
      </c>
      <c r="AA341" s="19">
        <v>1</v>
      </c>
      <c r="AB341" s="19">
        <v>1</v>
      </c>
      <c r="AC341" s="19" t="s">
        <v>58</v>
      </c>
      <c r="AD341" s="19" t="s">
        <v>50</v>
      </c>
      <c r="AE341" s="19" t="s">
        <v>1676</v>
      </c>
      <c r="AF341" s="19"/>
    </row>
    <row r="342" spans="1:34" customHeight="1" ht="42">
      <c r="A342" s="19">
        <v>336</v>
      </c>
      <c r="B342" s="19" t="s">
        <v>1681</v>
      </c>
      <c r="C342" s="19" t="s">
        <v>1594</v>
      </c>
      <c r="D342" s="19" t="str">
        <f>HYPERLINK("http://www.henontech.com/fieldsafety/harzard/harzard_show.php?rid=6523&amp;url=harzardrecs.php","电缆仪表线路因无盖下雨时进雨水，使电线老化漏电，造成锅炉压火停炉")</f>
        <v>电缆仪表线路因无盖下雨时进雨水，使电线老化漏电，造成锅炉压火停炉</v>
      </c>
      <c r="E342" s="19" t="s">
        <v>1682</v>
      </c>
      <c r="F342" s="25" t="s">
        <v>1455</v>
      </c>
      <c r="G342" s="22" t="s">
        <v>63</v>
      </c>
      <c r="H342" s="19" t="s">
        <v>482</v>
      </c>
      <c r="I342" s="19" t="s">
        <v>108</v>
      </c>
      <c r="J342" s="19" t="s">
        <v>46</v>
      </c>
      <c r="K342" s="19" t="s">
        <v>47</v>
      </c>
      <c r="L342" s="19" t="s">
        <v>76</v>
      </c>
      <c r="M342" s="19" t="s">
        <v>1033</v>
      </c>
      <c r="N342" s="19" t="s">
        <v>1190</v>
      </c>
      <c r="O342" s="19" t="s">
        <v>1033</v>
      </c>
      <c r="P342" s="19" t="s">
        <v>1464</v>
      </c>
      <c r="Q342" s="19" t="s">
        <v>1457</v>
      </c>
      <c r="R342" s="19" t="s">
        <v>1683</v>
      </c>
      <c r="S342" s="19"/>
      <c r="T342" s="19" t="s">
        <v>189</v>
      </c>
      <c r="U342" s="19" t="s">
        <v>54</v>
      </c>
      <c r="V342" s="19" t="s">
        <v>97</v>
      </c>
      <c r="W342" s="19" t="s">
        <v>81</v>
      </c>
      <c r="X342" s="19" t="s">
        <v>154</v>
      </c>
      <c r="Y342" s="19"/>
      <c r="Z342" s="19" t="s">
        <v>1684</v>
      </c>
      <c r="AA342" s="19">
        <v>2</v>
      </c>
      <c r="AB342" s="19"/>
      <c r="AC342" s="19" t="s">
        <v>308</v>
      </c>
      <c r="AD342" s="19"/>
      <c r="AE342" s="19"/>
      <c r="AF342" s="19"/>
    </row>
    <row r="343" spans="1:34">
      <c r="A343" s="19">
        <v>337</v>
      </c>
      <c r="B343" s="19" t="s">
        <v>1681</v>
      </c>
      <c r="C343" s="19" t="s">
        <v>1685</v>
      </c>
      <c r="D343" s="19" t="str">
        <f>HYPERLINK("http://www.henontech.com/fieldsafety/harzard/harzard_show.php?rid=6569&amp;url=harzardrecs.php","西三护栏有一套管丢失，在工作时划伤，人员受伤")</f>
        <v>西三护栏有一套管丢失，在工作时划伤，人员受伤</v>
      </c>
      <c r="E343" s="19" t="s">
        <v>53</v>
      </c>
      <c r="F343" s="20" t="s">
        <v>42</v>
      </c>
      <c r="G343" s="22" t="s">
        <v>63</v>
      </c>
      <c r="H343" s="19" t="s">
        <v>44</v>
      </c>
      <c r="I343" s="19" t="s">
        <v>120</v>
      </c>
      <c r="J343" s="19" t="s">
        <v>109</v>
      </c>
      <c r="K343" s="19"/>
      <c r="L343" s="19"/>
      <c r="M343" s="19" t="s">
        <v>364</v>
      </c>
      <c r="N343" s="19" t="s">
        <v>1686</v>
      </c>
      <c r="O343" s="19" t="s">
        <v>364</v>
      </c>
      <c r="P343" s="19" t="s">
        <v>1687</v>
      </c>
      <c r="Q343" s="19" t="s">
        <v>1688</v>
      </c>
      <c r="R343" s="19" t="s">
        <v>1689</v>
      </c>
      <c r="S343" s="19"/>
      <c r="T343" s="19" t="s">
        <v>53</v>
      </c>
      <c r="U343" s="19" t="s">
        <v>54</v>
      </c>
      <c r="V343" s="19" t="s">
        <v>55</v>
      </c>
      <c r="W343" s="19" t="s">
        <v>56</v>
      </c>
      <c r="X343" s="19"/>
      <c r="Y343" s="19"/>
      <c r="Z343" s="19" t="s">
        <v>1690</v>
      </c>
      <c r="AA343" s="19">
        <v>1</v>
      </c>
      <c r="AB343" s="19">
        <v>1</v>
      </c>
      <c r="AC343" s="19" t="s">
        <v>58</v>
      </c>
      <c r="AD343" s="19" t="s">
        <v>1687</v>
      </c>
      <c r="AE343" s="19" t="s">
        <v>1347</v>
      </c>
      <c r="AF343" s="19"/>
    </row>
    <row r="344" spans="1:34" customHeight="1" ht="42">
      <c r="A344" s="19">
        <v>338</v>
      </c>
      <c r="B344" s="19" t="s">
        <v>1691</v>
      </c>
      <c r="C344" s="19" t="s">
        <v>374</v>
      </c>
      <c r="D344" s="19" t="str">
        <f>HYPERLINK("http://www.henontech.com/fieldsafety/harzard/harzard_show.php?rid=6604&amp;url=harzardrecs.php","西一机头吊装孔处铁板腐蚀严重，如果人员不小心踩到腐蚀严重的铁板上高处坠落造成人身伤害事故。")</f>
        <v>西一机头吊装孔处铁板腐蚀严重，如果人员不小心踩到腐蚀严重的铁板上高处坠落造成人身伤害事故。</v>
      </c>
      <c r="E344" s="19" t="s">
        <v>1692</v>
      </c>
      <c r="F344" s="20" t="s">
        <v>42</v>
      </c>
      <c r="G344" s="22" t="s">
        <v>63</v>
      </c>
      <c r="H344" s="19" t="s">
        <v>44</v>
      </c>
      <c r="I344" s="19" t="s">
        <v>108</v>
      </c>
      <c r="J344" s="19" t="s">
        <v>109</v>
      </c>
      <c r="K344" s="19" t="s">
        <v>64</v>
      </c>
      <c r="L344" s="19"/>
      <c r="M344" s="19" t="s">
        <v>364</v>
      </c>
      <c r="N344" s="19" t="s">
        <v>1693</v>
      </c>
      <c r="O344" s="19" t="s">
        <v>364</v>
      </c>
      <c r="P344" s="19" t="s">
        <v>425</v>
      </c>
      <c r="Q344" s="19" t="s">
        <v>1694</v>
      </c>
      <c r="R344" s="19" t="s">
        <v>1695</v>
      </c>
      <c r="S344" s="19"/>
      <c r="T344" s="19" t="s">
        <v>53</v>
      </c>
      <c r="U344" s="19" t="s">
        <v>80</v>
      </c>
      <c r="V344" s="19" t="s">
        <v>97</v>
      </c>
      <c r="W344" s="19" t="s">
        <v>70</v>
      </c>
      <c r="X344" s="19" t="s">
        <v>126</v>
      </c>
      <c r="Y344" s="19" t="s">
        <v>126</v>
      </c>
      <c r="Z344" s="19" t="s">
        <v>1696</v>
      </c>
      <c r="AA344" s="19">
        <v>2</v>
      </c>
      <c r="AB344" s="19">
        <v>2</v>
      </c>
      <c r="AC344" s="19" t="s">
        <v>58</v>
      </c>
      <c r="AD344" s="19" t="s">
        <v>425</v>
      </c>
      <c r="AE344" s="19" t="s">
        <v>1697</v>
      </c>
      <c r="AF344" s="19"/>
    </row>
    <row r="345" spans="1:34" customHeight="1" ht="42">
      <c r="A345" s="19">
        <v>339</v>
      </c>
      <c r="B345" s="19" t="s">
        <v>1698</v>
      </c>
      <c r="C345" s="19" t="s">
        <v>1460</v>
      </c>
      <c r="D345" s="19" t="str">
        <f>HYPERLINK("http://www.henontech.com/fieldsafety/harzard/harzard_show.php?rid=6655&amp;url=harzardrecs.php","新化学水杀菌剂出口阀门漏液，由于操作工没有带护目镜，在操作时，杀菌剂药液从阀门处喷出溅入眼中，送医院治疗。")</f>
        <v>新化学水杀菌剂出口阀门漏液，由于操作工没有带护目镜，在操作时，杀菌剂药液从阀门处喷出溅入眼中，送医院治疗。</v>
      </c>
      <c r="E345" s="19" t="s">
        <v>1699</v>
      </c>
      <c r="F345" s="20" t="s">
        <v>42</v>
      </c>
      <c r="G345" s="22" t="s">
        <v>63</v>
      </c>
      <c r="H345" s="19" t="s">
        <v>44</v>
      </c>
      <c r="I345" s="19" t="s">
        <v>45</v>
      </c>
      <c r="J345" s="19" t="s">
        <v>46</v>
      </c>
      <c r="K345" s="19" t="s">
        <v>64</v>
      </c>
      <c r="L345" s="19"/>
      <c r="M345" s="19" t="s">
        <v>1033</v>
      </c>
      <c r="N345" s="19" t="s">
        <v>1700</v>
      </c>
      <c r="O345" s="19" t="s">
        <v>1033</v>
      </c>
      <c r="P345" s="19" t="s">
        <v>1034</v>
      </c>
      <c r="Q345" s="19" t="s">
        <v>1457</v>
      </c>
      <c r="R345" s="19" t="s">
        <v>1701</v>
      </c>
      <c r="S345" s="19"/>
      <c r="T345" s="19" t="s">
        <v>53</v>
      </c>
      <c r="U345" s="19" t="s">
        <v>54</v>
      </c>
      <c r="V345" s="19" t="s">
        <v>97</v>
      </c>
      <c r="W345" s="19" t="s">
        <v>81</v>
      </c>
      <c r="X345" s="19" t="s">
        <v>154</v>
      </c>
      <c r="Y345" s="19"/>
      <c r="Z345" s="19" t="s">
        <v>1702</v>
      </c>
      <c r="AA345" s="19">
        <v>2</v>
      </c>
      <c r="AB345" s="19">
        <v>2</v>
      </c>
      <c r="AC345" s="19" t="s">
        <v>58</v>
      </c>
      <c r="AD345" s="19" t="s">
        <v>1034</v>
      </c>
      <c r="AE345" s="19" t="s">
        <v>1401</v>
      </c>
      <c r="AF345" s="19"/>
    </row>
    <row r="346" spans="1:34" customHeight="1" ht="42">
      <c r="A346" s="19">
        <v>340</v>
      </c>
      <c r="B346" s="19" t="s">
        <v>1703</v>
      </c>
      <c r="C346" s="19" t="s">
        <v>1663</v>
      </c>
      <c r="D346" s="19" t="str">
        <f>HYPERLINK("http://www.henontech.com/fieldsafety/harzard/harzard_show.php?rid=6817&amp;url=harzardrecs.php","输煤系统天车操作室防护玻璃破损，一名操作工在抓煤时不小心从天车破损玻璃处摔到地面当场死亡事故。")</f>
        <v>输煤系统天车操作室防护玻璃破损，一名操作工在抓煤时不小心从天车破损玻璃处摔到地面当场死亡事故。</v>
      </c>
      <c r="E346" s="19" t="s">
        <v>1704</v>
      </c>
      <c r="F346" s="25" t="s">
        <v>1455</v>
      </c>
      <c r="G346" s="22" t="s">
        <v>63</v>
      </c>
      <c r="H346" s="19" t="s">
        <v>44</v>
      </c>
      <c r="I346" s="19"/>
      <c r="J346" s="19" t="s">
        <v>46</v>
      </c>
      <c r="K346" s="19" t="s">
        <v>110</v>
      </c>
      <c r="L346" s="19" t="s">
        <v>76</v>
      </c>
      <c r="M346" s="19" t="s">
        <v>1033</v>
      </c>
      <c r="N346" s="19" t="s">
        <v>1705</v>
      </c>
      <c r="O346" s="19" t="s">
        <v>1033</v>
      </c>
      <c r="P346" s="19" t="s">
        <v>1034</v>
      </c>
      <c r="Q346" s="19" t="s">
        <v>1457</v>
      </c>
      <c r="R346" s="19" t="s">
        <v>1706</v>
      </c>
      <c r="S346" s="19"/>
      <c r="T346" s="19" t="s">
        <v>53</v>
      </c>
      <c r="U346" s="19" t="s">
        <v>236</v>
      </c>
      <c r="V346" s="19" t="s">
        <v>97</v>
      </c>
      <c r="W346" s="19" t="s">
        <v>190</v>
      </c>
      <c r="X346" s="19" t="s">
        <v>154</v>
      </c>
      <c r="Y346" s="19"/>
      <c r="Z346" s="19" t="s">
        <v>1707</v>
      </c>
      <c r="AA346" s="19">
        <v>2</v>
      </c>
      <c r="AB346" s="19"/>
      <c r="AC346" s="19" t="s">
        <v>308</v>
      </c>
      <c r="AD346" s="19"/>
      <c r="AE346" s="19"/>
      <c r="AF346" s="19"/>
    </row>
    <row r="347" spans="1:34">
      <c r="A347" s="19">
        <v>341</v>
      </c>
      <c r="B347" s="19" t="s">
        <v>1708</v>
      </c>
      <c r="C347" s="19" t="s">
        <v>1460</v>
      </c>
      <c r="D347" s="19" t="str">
        <f>HYPERLINK("http://www.henontech.com/fieldsafety/harzard/harzard_show.php?rid=7321&amp;url=harzardrecs.php","新化学水操作室配电室后地板砖断裂巡检时不慎掉落")</f>
        <v>新化学水操作室配电室后地板砖断裂巡检时不慎掉落</v>
      </c>
      <c r="E347" s="19" t="s">
        <v>1709</v>
      </c>
      <c r="F347" s="23" t="s">
        <v>304</v>
      </c>
      <c r="G347" s="22" t="s">
        <v>63</v>
      </c>
      <c r="H347" s="19" t="s">
        <v>232</v>
      </c>
      <c r="I347" s="19" t="s">
        <v>120</v>
      </c>
      <c r="J347" s="19" t="s">
        <v>46</v>
      </c>
      <c r="K347" s="19" t="s">
        <v>64</v>
      </c>
      <c r="L347" s="19" t="s">
        <v>76</v>
      </c>
      <c r="M347" s="19" t="s">
        <v>1033</v>
      </c>
      <c r="N347" s="19" t="s">
        <v>1710</v>
      </c>
      <c r="O347" s="19"/>
      <c r="P347" s="19"/>
      <c r="Q347" s="19"/>
      <c r="R347" s="19" t="s">
        <v>1711</v>
      </c>
      <c r="S347" s="19" t="s">
        <v>1372</v>
      </c>
      <c r="T347" s="19" t="s">
        <v>53</v>
      </c>
      <c r="U347" s="19" t="s">
        <v>80</v>
      </c>
      <c r="V347" s="19" t="s">
        <v>97</v>
      </c>
      <c r="W347" s="19" t="s">
        <v>70</v>
      </c>
      <c r="X347" s="19"/>
      <c r="Y347" s="19"/>
      <c r="Z347" s="19"/>
      <c r="AA347" s="19">
        <v>0</v>
      </c>
      <c r="AB347" s="19"/>
      <c r="AC347" s="19" t="s">
        <v>308</v>
      </c>
      <c r="AD347" s="19"/>
      <c r="AE347" s="19"/>
      <c r="AF347" s="19"/>
    </row>
    <row r="348" spans="1:34">
      <c r="A348" s="19">
        <v>342</v>
      </c>
      <c r="B348" s="19" t="s">
        <v>1708</v>
      </c>
      <c r="C348" s="19" t="s">
        <v>1460</v>
      </c>
      <c r="D348" s="19" t="str">
        <f>HYPERLINK("http://www.henontech.com/fieldsafety/harzard/harzard_show.php?rid=7328&amp;url=harzardrecs.php","新化学水北门往盐酸罐罐盐酸时因没平台踩在护栏上不慎掉落")</f>
        <v>新化学水北门往盐酸罐罐盐酸时因没平台踩在护栏上不慎掉落</v>
      </c>
      <c r="E348" s="19" t="s">
        <v>1712</v>
      </c>
      <c r="F348" s="23" t="s">
        <v>304</v>
      </c>
      <c r="G348" s="22" t="s">
        <v>63</v>
      </c>
      <c r="H348" s="19" t="s">
        <v>232</v>
      </c>
      <c r="I348" s="19" t="s">
        <v>120</v>
      </c>
      <c r="J348" s="19" t="s">
        <v>46</v>
      </c>
      <c r="K348" s="19" t="s">
        <v>47</v>
      </c>
      <c r="L348" s="19" t="s">
        <v>76</v>
      </c>
      <c r="M348" s="19" t="s">
        <v>1033</v>
      </c>
      <c r="N348" s="19" t="s">
        <v>1713</v>
      </c>
      <c r="O348" s="19"/>
      <c r="P348" s="19"/>
      <c r="Q348" s="19"/>
      <c r="R348" s="19" t="s">
        <v>1714</v>
      </c>
      <c r="S348" s="19" t="s">
        <v>1372</v>
      </c>
      <c r="T348" s="19" t="s">
        <v>53</v>
      </c>
      <c r="U348" s="19" t="s">
        <v>80</v>
      </c>
      <c r="V348" s="19" t="s">
        <v>97</v>
      </c>
      <c r="W348" s="19" t="s">
        <v>70</v>
      </c>
      <c r="X348" s="19"/>
      <c r="Y348" s="19"/>
      <c r="Z348" s="19"/>
      <c r="AA348" s="19">
        <v>0</v>
      </c>
      <c r="AB348" s="19"/>
      <c r="AC348" s="19" t="s">
        <v>308</v>
      </c>
      <c r="AD348" s="19"/>
      <c r="AE348" s="19"/>
      <c r="AF348" s="19"/>
    </row>
    <row r="349" spans="1:34">
      <c r="A349" s="19">
        <v>343</v>
      </c>
      <c r="B349" s="19" t="s">
        <v>1715</v>
      </c>
      <c r="C349" s="19" t="s">
        <v>1594</v>
      </c>
      <c r="D349" s="19" t="str">
        <f>HYPERLINK("http://www.henontech.com/fieldsafety/harzard/harzard_show.php?rid=7766&amp;url=harzardrecs.php","一操作工巡检时在没有安全提示防护处拌倒胳膊扭伤")</f>
        <v>一操作工巡检时在没有安全提示防护处拌倒胳膊扭伤</v>
      </c>
      <c r="E349" s="19" t="s">
        <v>1716</v>
      </c>
      <c r="F349" s="23" t="s">
        <v>304</v>
      </c>
      <c r="G349" s="22" t="s">
        <v>63</v>
      </c>
      <c r="H349" s="19" t="s">
        <v>232</v>
      </c>
      <c r="I349" s="19" t="s">
        <v>45</v>
      </c>
      <c r="J349" s="19" t="s">
        <v>109</v>
      </c>
      <c r="K349" s="19" t="s">
        <v>47</v>
      </c>
      <c r="L349" s="19" t="s">
        <v>76</v>
      </c>
      <c r="M349" s="19" t="s">
        <v>1033</v>
      </c>
      <c r="N349" s="19" t="s">
        <v>1717</v>
      </c>
      <c r="O349" s="19"/>
      <c r="P349" s="19"/>
      <c r="Q349" s="19"/>
      <c r="R349" s="19" t="s">
        <v>1718</v>
      </c>
      <c r="S349" s="19" t="s">
        <v>1372</v>
      </c>
      <c r="T349" s="19" t="s">
        <v>53</v>
      </c>
      <c r="U349" s="19" t="s">
        <v>54</v>
      </c>
      <c r="V349" s="19" t="s">
        <v>55</v>
      </c>
      <c r="W349" s="19" t="s">
        <v>56</v>
      </c>
      <c r="X349" s="19"/>
      <c r="Y349" s="19"/>
      <c r="Z349" s="19"/>
      <c r="AA349" s="19">
        <v>0</v>
      </c>
      <c r="AB349" s="19"/>
      <c r="AC349" s="19" t="s">
        <v>308</v>
      </c>
      <c r="AD349" s="19"/>
      <c r="AE349" s="19"/>
      <c r="AF349" s="19"/>
    </row>
    <row r="350" spans="1:34">
      <c r="A350" s="19">
        <v>344</v>
      </c>
      <c r="B350" s="19" t="s">
        <v>1719</v>
      </c>
      <c r="C350" s="19" t="s">
        <v>1594</v>
      </c>
      <c r="D350" s="19" t="str">
        <f>HYPERLINK("http://www.henontech.com/fieldsafety/harzard/harzard_show.php?rid=8895&amp;url=harzardrecs.php","75吨锅炉水封放水池盖板缺失，无安全警示，一名夜班锅炉巡检工在给水封放水时，由于视线不好，不慎掉入水池内，造成右腿小腿骨折，多处软组织损伤。")</f>
        <v>75吨锅炉水封放水池盖板缺失，无安全警示，一名夜班锅炉巡检工在给水封放水时，由于视线不好，不慎掉入水池内，造成右腿小腿骨折，多处软组织损伤。</v>
      </c>
      <c r="E350" s="19" t="s">
        <v>1720</v>
      </c>
      <c r="F350" s="23" t="s">
        <v>304</v>
      </c>
      <c r="G350" s="22" t="s">
        <v>63</v>
      </c>
      <c r="H350" s="19" t="s">
        <v>44</v>
      </c>
      <c r="I350" s="19" t="s">
        <v>45</v>
      </c>
      <c r="J350" s="19" t="s">
        <v>46</v>
      </c>
      <c r="K350" s="19"/>
      <c r="L350" s="19"/>
      <c r="M350" s="19" t="s">
        <v>1033</v>
      </c>
      <c r="N350" s="19" t="s">
        <v>1397</v>
      </c>
      <c r="O350" s="19"/>
      <c r="P350" s="19"/>
      <c r="Q350" s="19"/>
      <c r="R350" s="19" t="s">
        <v>1721</v>
      </c>
      <c r="S350" s="19" t="s">
        <v>1372</v>
      </c>
      <c r="T350" s="19" t="s">
        <v>53</v>
      </c>
      <c r="U350" s="19" t="s">
        <v>80</v>
      </c>
      <c r="V350" s="19" t="s">
        <v>97</v>
      </c>
      <c r="W350" s="19" t="s">
        <v>70</v>
      </c>
      <c r="X350" s="19"/>
      <c r="Y350" s="19"/>
      <c r="Z350" s="19"/>
      <c r="AA350" s="19">
        <v>0</v>
      </c>
      <c r="AB350" s="19"/>
      <c r="AC350" s="19" t="s">
        <v>308</v>
      </c>
      <c r="AD350" s="19"/>
      <c r="AE350" s="19"/>
      <c r="AF350" s="19"/>
    </row>
    <row r="351" spans="1:34">
      <c r="A351" s="19">
        <v>345</v>
      </c>
      <c r="B351" s="19" t="s">
        <v>1719</v>
      </c>
      <c r="C351" s="19" t="s">
        <v>1722</v>
      </c>
      <c r="D351" s="19" t="str">
        <f>HYPERLINK("http://www.henontech.com/fieldsafety/harzard/harzard_show.php?rid=8962&amp;url=harzardrecs.php","煤场天车驾驶室玻璃缺失，一名操作工在夜间驾驶天车抓煤时，由于视线不好，一脚踩空，掉入下方煤堆上，造成脚部扭伤，被同事架到操作室休息一小时，后复工。")</f>
        <v>煤场天车驾驶室玻璃缺失，一名操作工在夜间驾驶天车抓煤时，由于视线不好，一脚踩空，掉入下方煤堆上，造成脚部扭伤，被同事架到操作室休息一小时，后复工。</v>
      </c>
      <c r="E351" s="19" t="s">
        <v>1723</v>
      </c>
      <c r="F351" s="23" t="s">
        <v>304</v>
      </c>
      <c r="G351" s="22" t="s">
        <v>63</v>
      </c>
      <c r="H351" s="19" t="s">
        <v>44</v>
      </c>
      <c r="I351" s="19" t="s">
        <v>45</v>
      </c>
      <c r="J351" s="19" t="s">
        <v>109</v>
      </c>
      <c r="K351" s="19" t="s">
        <v>110</v>
      </c>
      <c r="L351" s="19"/>
      <c r="M351" s="19" t="s">
        <v>1033</v>
      </c>
      <c r="N351" s="19" t="s">
        <v>1724</v>
      </c>
      <c r="O351" s="19"/>
      <c r="P351" s="19"/>
      <c r="Q351" s="19"/>
      <c r="R351" s="19" t="s">
        <v>1725</v>
      </c>
      <c r="S351" s="19" t="s">
        <v>1481</v>
      </c>
      <c r="T351" s="19" t="s">
        <v>53</v>
      </c>
      <c r="U351" s="19" t="s">
        <v>54</v>
      </c>
      <c r="V351" s="19" t="s">
        <v>69</v>
      </c>
      <c r="W351" s="19" t="s">
        <v>70</v>
      </c>
      <c r="X351" s="19"/>
      <c r="Y351" s="19"/>
      <c r="Z351" s="19"/>
      <c r="AA351" s="19">
        <v>0</v>
      </c>
      <c r="AB351" s="19"/>
      <c r="AC351" s="19" t="s">
        <v>308</v>
      </c>
      <c r="AD351" s="19"/>
      <c r="AE351" s="19"/>
      <c r="AF351" s="19"/>
    </row>
    <row r="352" spans="1:34">
      <c r="A352" s="19">
        <v>346</v>
      </c>
      <c r="B352" s="19" t="s">
        <v>1719</v>
      </c>
      <c r="C352" s="19" t="s">
        <v>1726</v>
      </c>
      <c r="D352" s="19" t="str">
        <f>HYPERLINK("http://www.henontech.com/fieldsafety/harzard/harzard_show.php?rid=8981&amp;url=harzardrecs.php","除尘烟道部分支架开焊，一名巡检工巡检时从下方经过，开焊的支架斜撑掉落，砸伤肩部，造成肩部骨折。")</f>
        <v>除尘烟道部分支架开焊，一名巡检工巡检时从下方经过，开焊的支架斜撑掉落，砸伤肩部，造成肩部骨折。</v>
      </c>
      <c r="E352" s="19" t="s">
        <v>1727</v>
      </c>
      <c r="F352" s="23" t="s">
        <v>304</v>
      </c>
      <c r="G352" s="22" t="s">
        <v>63</v>
      </c>
      <c r="H352" s="19" t="s">
        <v>44</v>
      </c>
      <c r="I352" s="19" t="s">
        <v>45</v>
      </c>
      <c r="J352" s="19" t="s">
        <v>46</v>
      </c>
      <c r="K352" s="19" t="s">
        <v>47</v>
      </c>
      <c r="L352" s="19"/>
      <c r="M352" s="19" t="s">
        <v>1033</v>
      </c>
      <c r="N352" s="19" t="s">
        <v>1178</v>
      </c>
      <c r="O352" s="19"/>
      <c r="P352" s="19"/>
      <c r="Q352" s="19"/>
      <c r="R352" s="19" t="s">
        <v>1728</v>
      </c>
      <c r="S352" s="19" t="s">
        <v>1372</v>
      </c>
      <c r="T352" s="19" t="s">
        <v>53</v>
      </c>
      <c r="U352" s="19" t="s">
        <v>80</v>
      </c>
      <c r="V352" s="19" t="s">
        <v>55</v>
      </c>
      <c r="W352" s="19" t="s">
        <v>81</v>
      </c>
      <c r="X352" s="19"/>
      <c r="Y352" s="19"/>
      <c r="Z352" s="19"/>
      <c r="AA352" s="19">
        <v>0</v>
      </c>
      <c r="AB352" s="19"/>
      <c r="AC352" s="19" t="s">
        <v>308</v>
      </c>
      <c r="AD352" s="19"/>
      <c r="AE352" s="19"/>
      <c r="AF352" s="19"/>
    </row>
    <row r="353" spans="1:34" customHeight="1" ht="42">
      <c r="A353" s="19">
        <v>347</v>
      </c>
      <c r="B353" s="19" t="s">
        <v>1641</v>
      </c>
      <c r="C353" s="19" t="s">
        <v>1729</v>
      </c>
      <c r="D353" s="19" t="str">
        <f>HYPERLINK("http://www.henontech.com/fieldsafety/harzard/harzard_show.php?rid=9691&amp;url=harzardrecs.php","电容室内一铁板依靠在静止的轴流风扇上，一操作工巡检时碰到砸伤脚面，医务室包扎处理，回家休息三天。")</f>
        <v>电容室内一铁板依靠在静止的轴流风扇上，一操作工巡检时碰到砸伤脚面，医务室包扎处理，回家休息三天。</v>
      </c>
      <c r="E353" s="19" t="s">
        <v>1730</v>
      </c>
      <c r="F353" s="25" t="s">
        <v>1455</v>
      </c>
      <c r="G353" s="22" t="s">
        <v>63</v>
      </c>
      <c r="H353" s="19" t="s">
        <v>44</v>
      </c>
      <c r="I353" s="19"/>
      <c r="J353" s="19" t="s">
        <v>46</v>
      </c>
      <c r="K353" s="19" t="s">
        <v>64</v>
      </c>
      <c r="L353" s="19"/>
      <c r="M353" s="19" t="s">
        <v>1033</v>
      </c>
      <c r="N353" s="19" t="s">
        <v>1731</v>
      </c>
      <c r="O353" s="19" t="s">
        <v>1033</v>
      </c>
      <c r="P353" s="19" t="s">
        <v>1198</v>
      </c>
      <c r="Q353" s="19" t="s">
        <v>1457</v>
      </c>
      <c r="R353" s="19" t="s">
        <v>1732</v>
      </c>
      <c r="S353" s="19"/>
      <c r="T353" s="19" t="s">
        <v>53</v>
      </c>
      <c r="U353" s="19" t="s">
        <v>54</v>
      </c>
      <c r="V353" s="19" t="s">
        <v>69</v>
      </c>
      <c r="W353" s="19" t="s">
        <v>70</v>
      </c>
      <c r="X353" s="19" t="s">
        <v>154</v>
      </c>
      <c r="Y353" s="19"/>
      <c r="Z353" s="19" t="s">
        <v>1733</v>
      </c>
      <c r="AA353" s="19">
        <v>2</v>
      </c>
      <c r="AB353" s="19"/>
      <c r="AC353" s="19" t="s">
        <v>308</v>
      </c>
      <c r="AD353" s="19"/>
      <c r="AE353" s="19"/>
      <c r="AF353" s="19"/>
    </row>
    <row r="354" spans="1:34">
      <c r="A354" s="19">
        <v>348</v>
      </c>
      <c r="B354" s="19" t="s">
        <v>1734</v>
      </c>
      <c r="C354" s="19" t="s">
        <v>1529</v>
      </c>
      <c r="D354" s="19" t="str">
        <f>HYPERLINK("http://www.henontech.com/fieldsafety/harzard/harzard_show.php?rid=10057&amp;url=harzardrecs.php","热力西区发电机小室南更换后的电动阀门未及时撤走，如果中夜班巡检人员巡检至此处会被电动阀门绊倒，腿部擦伤简单处理后继续工作")</f>
        <v>热力西区发电机小室南更换后的电动阀门未及时撤走，如果中夜班巡检人员巡检至此处会被电动阀门绊倒，腿部擦伤简单处理后继续工作</v>
      </c>
      <c r="E354" s="19" t="s">
        <v>1735</v>
      </c>
      <c r="F354" s="23" t="s">
        <v>304</v>
      </c>
      <c r="G354" s="22" t="s">
        <v>63</v>
      </c>
      <c r="H354" s="19" t="s">
        <v>44</v>
      </c>
      <c r="I354" s="19" t="s">
        <v>45</v>
      </c>
      <c r="J354" s="19" t="s">
        <v>349</v>
      </c>
      <c r="K354" s="19" t="s">
        <v>64</v>
      </c>
      <c r="L354" s="19"/>
      <c r="M354" s="19" t="s">
        <v>1033</v>
      </c>
      <c r="N354" s="19" t="s">
        <v>345</v>
      </c>
      <c r="O354" s="19"/>
      <c r="P354" s="19"/>
      <c r="Q354" s="19"/>
      <c r="R354" s="19" t="s">
        <v>1736</v>
      </c>
      <c r="S354" s="19" t="s">
        <v>1372</v>
      </c>
      <c r="T354" s="19" t="s">
        <v>53</v>
      </c>
      <c r="U354" s="19" t="s">
        <v>54</v>
      </c>
      <c r="V354" s="19" t="s">
        <v>55</v>
      </c>
      <c r="W354" s="19" t="s">
        <v>56</v>
      </c>
      <c r="X354" s="19"/>
      <c r="Y354" s="19"/>
      <c r="Z354" s="19"/>
      <c r="AA354" s="19">
        <v>0</v>
      </c>
      <c r="AB354" s="19"/>
      <c r="AC354" s="19" t="s">
        <v>308</v>
      </c>
      <c r="AD354" s="19"/>
      <c r="AE354" s="19"/>
      <c r="AF354" s="19"/>
    </row>
    <row r="355" spans="1:34" customHeight="1" ht="42">
      <c r="A355" s="19">
        <v>349</v>
      </c>
      <c r="B355" s="19" t="s">
        <v>1734</v>
      </c>
      <c r="C355" s="19" t="s">
        <v>1737</v>
      </c>
      <c r="D355" s="19" t="str">
        <f>HYPERLINK("http://www.henontech.com/fieldsafety/harzard/harzard_show.php?rid=10108&amp;url=harzardrecs.php","热力车间硫铵三楼离心机围堰离设备太近，并且腐蚀严重，开离心机时，脱硫液会溅到外面，既浪费脱硫液，又造成卫生不干净。")</f>
        <v>热力车间硫铵三楼离心机围堰离设备太近，并且腐蚀严重，开离心机时，脱硫液会溅到外面，既浪费脱硫液，又造成卫生不干净。</v>
      </c>
      <c r="E355" s="19" t="s">
        <v>1738</v>
      </c>
      <c r="F355" s="20" t="s">
        <v>42</v>
      </c>
      <c r="G355" s="22" t="s">
        <v>63</v>
      </c>
      <c r="H355" s="19" t="s">
        <v>44</v>
      </c>
      <c r="I355" s="19" t="s">
        <v>108</v>
      </c>
      <c r="J355" s="19" t="s">
        <v>46</v>
      </c>
      <c r="K355" s="19" t="s">
        <v>64</v>
      </c>
      <c r="L355" s="19" t="s">
        <v>170</v>
      </c>
      <c r="M355" s="19" t="s">
        <v>1033</v>
      </c>
      <c r="N355" s="19" t="s">
        <v>1040</v>
      </c>
      <c r="O355" s="19" t="s">
        <v>1033</v>
      </c>
      <c r="P355" s="19" t="s">
        <v>1034</v>
      </c>
      <c r="Q355" s="19" t="s">
        <v>1457</v>
      </c>
      <c r="R355" s="19" t="s">
        <v>1033</v>
      </c>
      <c r="S355" s="19"/>
      <c r="T355" s="19" t="s">
        <v>393</v>
      </c>
      <c r="U355" s="19" t="s">
        <v>202</v>
      </c>
      <c r="V355" s="19" t="s">
        <v>97</v>
      </c>
      <c r="W355" s="19" t="s">
        <v>56</v>
      </c>
      <c r="X355" s="19" t="s">
        <v>154</v>
      </c>
      <c r="Y355" s="19"/>
      <c r="Z355" s="19" t="s">
        <v>1739</v>
      </c>
      <c r="AA355" s="19">
        <v>2</v>
      </c>
      <c r="AB355" s="19">
        <v>2</v>
      </c>
      <c r="AC355" s="19" t="s">
        <v>58</v>
      </c>
      <c r="AD355" s="19" t="s">
        <v>1034</v>
      </c>
      <c r="AE355" s="19" t="s">
        <v>1512</v>
      </c>
      <c r="AF355" s="19"/>
    </row>
    <row r="356" spans="1:34">
      <c r="A356" s="19">
        <v>350</v>
      </c>
      <c r="B356" s="19" t="s">
        <v>1734</v>
      </c>
      <c r="C356" s="19" t="s">
        <v>1740</v>
      </c>
      <c r="D356" s="19" t="str">
        <f>HYPERLINK("http://www.henontech.com/fieldsafety/harzard/harzard_show.php?rid=10128&amp;url=harzardrecs.php","有一操作工在夜间巡检35t锅炉时不慎被拌倒，造成左膝摔伤。")</f>
        <v>有一操作工在夜间巡检35t锅炉时不慎被拌倒，造成左膝摔伤。</v>
      </c>
      <c r="E356" s="19" t="s">
        <v>1741</v>
      </c>
      <c r="F356" s="23" t="s">
        <v>304</v>
      </c>
      <c r="G356" s="22" t="s">
        <v>63</v>
      </c>
      <c r="H356" s="19" t="s">
        <v>44</v>
      </c>
      <c r="I356" s="19" t="s">
        <v>45</v>
      </c>
      <c r="J356" s="19" t="s">
        <v>580</v>
      </c>
      <c r="K356" s="19" t="s">
        <v>47</v>
      </c>
      <c r="L356" s="19" t="s">
        <v>76</v>
      </c>
      <c r="M356" s="19" t="s">
        <v>1033</v>
      </c>
      <c r="N356" s="19" t="s">
        <v>1742</v>
      </c>
      <c r="O356" s="19"/>
      <c r="P356" s="19"/>
      <c r="Q356" s="19"/>
      <c r="R356" s="19" t="s">
        <v>1743</v>
      </c>
      <c r="S356" s="19" t="s">
        <v>1372</v>
      </c>
      <c r="T356" s="19" t="s">
        <v>53</v>
      </c>
      <c r="U356" s="19" t="s">
        <v>54</v>
      </c>
      <c r="V356" s="19" t="s">
        <v>55</v>
      </c>
      <c r="W356" s="19" t="s">
        <v>56</v>
      </c>
      <c r="X356" s="19"/>
      <c r="Y356" s="19"/>
      <c r="Z356" s="19"/>
      <c r="AA356" s="19">
        <v>0</v>
      </c>
      <c r="AB356" s="19"/>
      <c r="AC356" s="19" t="s">
        <v>308</v>
      </c>
      <c r="AD356" s="19"/>
      <c r="AE356" s="19"/>
      <c r="AF356" s="19"/>
    </row>
    <row r="357" spans="1:34">
      <c r="A357" s="19">
        <v>351</v>
      </c>
      <c r="B357" s="19" t="s">
        <v>1734</v>
      </c>
      <c r="C357" s="19" t="s">
        <v>1740</v>
      </c>
      <c r="D357" s="19" t="str">
        <f>HYPERLINK("http://www.henontech.com/fieldsafety/harzard/harzard_show.php?rid=10129&amp;url=harzardrecs.php","接线盒盖子松动掉落，巡检时容易发生触电事故。")</f>
        <v>接线盒盖子松动掉落，巡检时容易发生触电事故。</v>
      </c>
      <c r="E357" s="19" t="s">
        <v>1744</v>
      </c>
      <c r="F357" s="23" t="s">
        <v>304</v>
      </c>
      <c r="G357" s="22" t="s">
        <v>63</v>
      </c>
      <c r="H357" s="19" t="s">
        <v>44</v>
      </c>
      <c r="I357" s="19" t="s">
        <v>120</v>
      </c>
      <c r="J357" s="19" t="s">
        <v>580</v>
      </c>
      <c r="K357" s="19" t="s">
        <v>64</v>
      </c>
      <c r="L357" s="19" t="s">
        <v>76</v>
      </c>
      <c r="M357" s="19" t="s">
        <v>1033</v>
      </c>
      <c r="N357" s="19" t="s">
        <v>1580</v>
      </c>
      <c r="O357" s="19"/>
      <c r="P357" s="19"/>
      <c r="Q357" s="19"/>
      <c r="R357" s="19" t="s">
        <v>1745</v>
      </c>
      <c r="S357" s="19" t="s">
        <v>1746</v>
      </c>
      <c r="T357" s="19" t="s">
        <v>53</v>
      </c>
      <c r="U357" s="19" t="s">
        <v>80</v>
      </c>
      <c r="V357" s="19" t="s">
        <v>55</v>
      </c>
      <c r="W357" s="19" t="s">
        <v>81</v>
      </c>
      <c r="X357" s="19"/>
      <c r="Y357" s="19"/>
      <c r="Z357" s="19"/>
      <c r="AA357" s="19">
        <v>0</v>
      </c>
      <c r="AB357" s="19"/>
      <c r="AC357" s="19" t="s">
        <v>308</v>
      </c>
      <c r="AD357" s="19"/>
      <c r="AE357" s="19"/>
      <c r="AF357" s="19"/>
    </row>
    <row r="358" spans="1:34">
      <c r="A358" s="19">
        <v>352</v>
      </c>
      <c r="B358" s="19" t="s">
        <v>1747</v>
      </c>
      <c r="C358" s="19" t="s">
        <v>1594</v>
      </c>
      <c r="D358" s="19" t="str">
        <f>HYPERLINK("http://www.henontech.com/fieldsafety/harzard/harzard_show.php?rid=10227&amp;url=harzardrecs.php","75t锅炉一层空气管摆放混乱，一名操作工夜间巡检时不慎绊倒造成鼻梁骨折，需住院治疗")</f>
        <v>75t锅炉一层空气管摆放混乱，一名操作工夜间巡检时不慎绊倒造成鼻梁骨折，需住院治疗</v>
      </c>
      <c r="E358" s="19" t="s">
        <v>1748</v>
      </c>
      <c r="F358" s="23" t="s">
        <v>304</v>
      </c>
      <c r="G358" s="22" t="s">
        <v>63</v>
      </c>
      <c r="H358" s="19" t="s">
        <v>44</v>
      </c>
      <c r="I358" s="19"/>
      <c r="J358" s="19" t="s">
        <v>46</v>
      </c>
      <c r="K358" s="19" t="s">
        <v>64</v>
      </c>
      <c r="L358" s="19"/>
      <c r="M358" s="19" t="s">
        <v>1033</v>
      </c>
      <c r="N358" s="19" t="s">
        <v>1456</v>
      </c>
      <c r="O358" s="19"/>
      <c r="P358" s="19"/>
      <c r="Q358" s="19"/>
      <c r="R358" s="19" t="s">
        <v>1749</v>
      </c>
      <c r="S358" s="19" t="s">
        <v>1372</v>
      </c>
      <c r="T358" s="19" t="s">
        <v>53</v>
      </c>
      <c r="U358" s="19" t="s">
        <v>80</v>
      </c>
      <c r="V358" s="19" t="s">
        <v>97</v>
      </c>
      <c r="W358" s="19" t="s">
        <v>70</v>
      </c>
      <c r="X358" s="19"/>
      <c r="Y358" s="19"/>
      <c r="Z358" s="19"/>
      <c r="AA358" s="19">
        <v>0</v>
      </c>
      <c r="AB358" s="19"/>
      <c r="AC358" s="19" t="s">
        <v>308</v>
      </c>
      <c r="AD358" s="19"/>
      <c r="AE358" s="19"/>
      <c r="AF358" s="19"/>
    </row>
    <row r="359" spans="1:34">
      <c r="A359" s="19">
        <v>353</v>
      </c>
      <c r="B359" s="19" t="s">
        <v>1747</v>
      </c>
      <c r="C359" s="19" t="s">
        <v>1737</v>
      </c>
      <c r="D359" s="19" t="str">
        <f>HYPERLINK("http://www.henontech.com/fieldsafety/harzard/harzard_show.php?rid=10253&amp;url=harzardrecs.php","1#脱硝氨水泵压力表阀垫子漏氨水。1名巡检人员在巡检时氨水溅入眼中，造成眼睛灼伤，用大量清水冲洗后就医,误工2天。")</f>
        <v>1#脱硝氨水泵压力表阀垫子漏氨水。1名巡检人员在巡检时氨水溅入眼中，造成眼睛灼伤，用大量清水冲洗后就医,误工2天。</v>
      </c>
      <c r="E359" s="19" t="s">
        <v>1750</v>
      </c>
      <c r="F359" s="23" t="s">
        <v>304</v>
      </c>
      <c r="G359" s="22" t="s">
        <v>63</v>
      </c>
      <c r="H359" s="19" t="s">
        <v>44</v>
      </c>
      <c r="I359" s="19"/>
      <c r="J359" s="19" t="s">
        <v>46</v>
      </c>
      <c r="K359" s="19" t="s">
        <v>47</v>
      </c>
      <c r="L359" s="19"/>
      <c r="M359" s="19" t="s">
        <v>1033</v>
      </c>
      <c r="N359" s="19" t="s">
        <v>1047</v>
      </c>
      <c r="O359" s="19"/>
      <c r="P359" s="19"/>
      <c r="Q359" s="19"/>
      <c r="R359" s="19" t="s">
        <v>1751</v>
      </c>
      <c r="S359" s="19" t="s">
        <v>1372</v>
      </c>
      <c r="T359" s="19" t="s">
        <v>53</v>
      </c>
      <c r="U359" s="19" t="s">
        <v>54</v>
      </c>
      <c r="V359" s="19" t="s">
        <v>97</v>
      </c>
      <c r="W359" s="19" t="s">
        <v>81</v>
      </c>
      <c r="X359" s="19"/>
      <c r="Y359" s="19"/>
      <c r="Z359" s="19"/>
      <c r="AA359" s="19">
        <v>0</v>
      </c>
      <c r="AB359" s="19"/>
      <c r="AC359" s="19" t="s">
        <v>308</v>
      </c>
      <c r="AD359" s="19"/>
      <c r="AE359" s="19"/>
      <c r="AF359" s="19"/>
    </row>
    <row r="360" spans="1:34">
      <c r="A360" s="19">
        <v>354</v>
      </c>
      <c r="B360" s="19" t="s">
        <v>1398</v>
      </c>
      <c r="C360" s="19" t="s">
        <v>1594</v>
      </c>
      <c r="D360" s="19" t="str">
        <f>HYPERLINK("http://www.henontech.com/fieldsafety/harzard/harzard_show.php?rid=10298&amp;url=harzardrecs.php","两冷灰机之间与地沟北沿无护栏，如果职工在此作业，有掉入地沟的可能。造成人身伤害事故。")</f>
        <v>两冷灰机之间与地沟北沿无护栏，如果职工在此作业，有掉入地沟的可能。造成人身伤害事故。</v>
      </c>
      <c r="E360" s="19" t="s">
        <v>1752</v>
      </c>
      <c r="F360" s="23" t="s">
        <v>304</v>
      </c>
      <c r="G360" s="22" t="s">
        <v>63</v>
      </c>
      <c r="H360" s="19" t="s">
        <v>44</v>
      </c>
      <c r="I360" s="19" t="s">
        <v>108</v>
      </c>
      <c r="J360" s="19" t="s">
        <v>46</v>
      </c>
      <c r="K360" s="19" t="s">
        <v>64</v>
      </c>
      <c r="L360" s="19" t="s">
        <v>76</v>
      </c>
      <c r="M360" s="19" t="s">
        <v>1033</v>
      </c>
      <c r="N360" s="19" t="s">
        <v>1531</v>
      </c>
      <c r="O360" s="19"/>
      <c r="P360" s="19"/>
      <c r="Q360" s="19"/>
      <c r="R360" s="19" t="s">
        <v>1468</v>
      </c>
      <c r="S360" s="19" t="s">
        <v>1372</v>
      </c>
      <c r="T360" s="19" t="s">
        <v>53</v>
      </c>
      <c r="U360" s="19" t="s">
        <v>80</v>
      </c>
      <c r="V360" s="19" t="s">
        <v>55</v>
      </c>
      <c r="W360" s="19" t="s">
        <v>81</v>
      </c>
      <c r="X360" s="19"/>
      <c r="Y360" s="19"/>
      <c r="Z360" s="19"/>
      <c r="AA360" s="19">
        <v>0</v>
      </c>
      <c r="AB360" s="19"/>
      <c r="AC360" s="19" t="s">
        <v>308</v>
      </c>
      <c r="AD360" s="19"/>
      <c r="AE360" s="19"/>
      <c r="AF360" s="19"/>
    </row>
    <row r="361" spans="1:34">
      <c r="A361" s="19">
        <v>355</v>
      </c>
      <c r="B361" s="19" t="s">
        <v>1398</v>
      </c>
      <c r="C361" s="19" t="s">
        <v>1753</v>
      </c>
      <c r="D361" s="19" t="str">
        <f>HYPERLINK("http://www.henontech.com/fieldsafety/harzard/harzard_show.php?rid=10363&amp;url=harzardrecs.php","由于盖板缺失一名汽轮机操作工巡检时，左腿不慎掉入电缆沟内造成左小腿骨折，需住院治疗。")</f>
        <v>由于盖板缺失一名汽轮机操作工巡检时，左腿不慎掉入电缆沟内造成左小腿骨折，需住院治疗。</v>
      </c>
      <c r="E361" s="19" t="s">
        <v>1754</v>
      </c>
      <c r="F361" s="23" t="s">
        <v>304</v>
      </c>
      <c r="G361" s="22" t="s">
        <v>63</v>
      </c>
      <c r="H361" s="19" t="s">
        <v>44</v>
      </c>
      <c r="I361" s="19"/>
      <c r="J361" s="19" t="s">
        <v>46</v>
      </c>
      <c r="K361" s="19" t="s">
        <v>64</v>
      </c>
      <c r="L361" s="19"/>
      <c r="M361" s="19" t="s">
        <v>1033</v>
      </c>
      <c r="N361" s="19" t="s">
        <v>1755</v>
      </c>
      <c r="O361" s="19"/>
      <c r="P361" s="19"/>
      <c r="Q361" s="19"/>
      <c r="R361" s="19" t="s">
        <v>1756</v>
      </c>
      <c r="S361" s="19" t="s">
        <v>1372</v>
      </c>
      <c r="T361" s="19" t="s">
        <v>53</v>
      </c>
      <c r="U361" s="19" t="s">
        <v>80</v>
      </c>
      <c r="V361" s="19" t="s">
        <v>97</v>
      </c>
      <c r="W361" s="19" t="s">
        <v>70</v>
      </c>
      <c r="X361" s="19"/>
      <c r="Y361" s="19"/>
      <c r="Z361" s="19"/>
      <c r="AA361" s="19">
        <v>0</v>
      </c>
      <c r="AB361" s="19"/>
      <c r="AC361" s="19" t="s">
        <v>308</v>
      </c>
      <c r="AD361" s="19"/>
      <c r="AE361" s="19"/>
      <c r="AF361" s="19"/>
    </row>
    <row r="362" spans="1:34">
      <c r="A362" s="19">
        <v>356</v>
      </c>
      <c r="B362" s="19" t="s">
        <v>1398</v>
      </c>
      <c r="C362" s="19" t="s">
        <v>1460</v>
      </c>
      <c r="D362" s="19" t="str">
        <f>HYPERLINK("http://www.henontech.com/fieldsafety/harzard/harzard_show.php?rid=10366&amp;url=harzardrecs.php","由于铁板高于水沟盖板，一名操作工在打扫卫生时，不慎被高出铁板绊倒造成左腿膝盖骨折，需住院治疗。")</f>
        <v>由于铁板高于水沟盖板，一名操作工在打扫卫生时，不慎被高出铁板绊倒造成左腿膝盖骨折，需住院治疗。</v>
      </c>
      <c r="E362" s="19" t="s">
        <v>1757</v>
      </c>
      <c r="F362" s="23" t="s">
        <v>304</v>
      </c>
      <c r="G362" s="22" t="s">
        <v>63</v>
      </c>
      <c r="H362" s="19" t="s">
        <v>44</v>
      </c>
      <c r="I362" s="19"/>
      <c r="J362" s="19" t="s">
        <v>46</v>
      </c>
      <c r="K362" s="19" t="s">
        <v>47</v>
      </c>
      <c r="L362" s="19"/>
      <c r="M362" s="19" t="s">
        <v>1033</v>
      </c>
      <c r="N362" s="19" t="s">
        <v>1758</v>
      </c>
      <c r="O362" s="19"/>
      <c r="P362" s="19"/>
      <c r="Q362" s="19"/>
      <c r="R362" s="19" t="s">
        <v>1759</v>
      </c>
      <c r="S362" s="19" t="s">
        <v>1372</v>
      </c>
      <c r="T362" s="19" t="s">
        <v>53</v>
      </c>
      <c r="U362" s="19" t="s">
        <v>80</v>
      </c>
      <c r="V362" s="19" t="s">
        <v>97</v>
      </c>
      <c r="W362" s="19" t="s">
        <v>70</v>
      </c>
      <c r="X362" s="19"/>
      <c r="Y362" s="19"/>
      <c r="Z362" s="19"/>
      <c r="AA362" s="19">
        <v>0</v>
      </c>
      <c r="AB362" s="19"/>
      <c r="AC362" s="19" t="s">
        <v>308</v>
      </c>
      <c r="AD362" s="19"/>
      <c r="AE362" s="19"/>
      <c r="AF362" s="19"/>
    </row>
    <row r="363" spans="1:34">
      <c r="A363" s="19">
        <v>357</v>
      </c>
      <c r="B363" s="19" t="s">
        <v>1760</v>
      </c>
      <c r="C363" s="19" t="s">
        <v>1729</v>
      </c>
      <c r="D363" s="19" t="str">
        <f>HYPERLINK("http://www.henontech.com/fieldsafety/harzard/harzard_show.php?rid=10378&amp;url=harzardrecs.php","东区配电室内用来踩着抄表的木凳子，因年久老旧，各处榫卯活动且损坏严重，已极不稳固，人员在踩上去时极有可能摔倒，造成右手扭伤，去医务室处理后，回家休息三天复工。")</f>
        <v>东区配电室内用来踩着抄表的木凳子，因年久老旧，各处榫卯活动且损坏严重，已极不稳固，人员在踩上去时极有可能摔倒，造成右手扭伤，去医务室处理后，回家休息三天复工。</v>
      </c>
      <c r="E363" s="19" t="s">
        <v>1761</v>
      </c>
      <c r="F363" s="23" t="s">
        <v>304</v>
      </c>
      <c r="G363" s="22" t="s">
        <v>63</v>
      </c>
      <c r="H363" s="19" t="s">
        <v>44</v>
      </c>
      <c r="I363" s="19" t="s">
        <v>45</v>
      </c>
      <c r="J363" s="19" t="s">
        <v>109</v>
      </c>
      <c r="K363" s="19" t="s">
        <v>132</v>
      </c>
      <c r="L363" s="19" t="s">
        <v>76</v>
      </c>
      <c r="M363" s="19" t="s">
        <v>48</v>
      </c>
      <c r="N363" s="19" t="s">
        <v>731</v>
      </c>
      <c r="O363" s="19"/>
      <c r="P363" s="19"/>
      <c r="Q363" s="19"/>
      <c r="R363" s="19" t="s">
        <v>859</v>
      </c>
      <c r="S363" s="19" t="s">
        <v>1372</v>
      </c>
      <c r="T363" s="19" t="s">
        <v>53</v>
      </c>
      <c r="U363" s="19" t="s">
        <v>80</v>
      </c>
      <c r="V363" s="19" t="s">
        <v>55</v>
      </c>
      <c r="W363" s="19" t="s">
        <v>81</v>
      </c>
      <c r="X363" s="19"/>
      <c r="Y363" s="19"/>
      <c r="Z363" s="19"/>
      <c r="AA363" s="19">
        <v>0</v>
      </c>
      <c r="AB363" s="19"/>
      <c r="AC363" s="19" t="s">
        <v>308</v>
      </c>
      <c r="AD363" s="19"/>
      <c r="AE363" s="19"/>
      <c r="AF363" s="19"/>
    </row>
    <row r="364" spans="1:34">
      <c r="A364" s="19">
        <v>358</v>
      </c>
      <c r="B364" s="19" t="s">
        <v>1760</v>
      </c>
      <c r="C364" s="19" t="s">
        <v>1594</v>
      </c>
      <c r="D364" s="19" t="str">
        <f>HYPERLINK("http://www.henontech.com/fieldsafety/harzard/harzard_show.php?rid=10486&amp;url=harzardrecs.php","热力车间75T锅炉除氧层吊装井口末按装防护栏，一名员工在吊装货物时不小心从井口处掉下(离地面13.5m)当场死亡")</f>
        <v>热力车间75T锅炉除氧层吊装井口末按装防护栏，一名员工在吊装货物时不小心从井口处掉下(离地面13.5m)当场死亡</v>
      </c>
      <c r="E364" s="19" t="s">
        <v>1762</v>
      </c>
      <c r="F364" s="23" t="s">
        <v>304</v>
      </c>
      <c r="G364" s="22" t="s">
        <v>63</v>
      </c>
      <c r="H364" s="19" t="s">
        <v>44</v>
      </c>
      <c r="I364" s="19" t="s">
        <v>108</v>
      </c>
      <c r="J364" s="19" t="s">
        <v>109</v>
      </c>
      <c r="K364" s="19" t="s">
        <v>110</v>
      </c>
      <c r="L364" s="19" t="s">
        <v>323</v>
      </c>
      <c r="M364" s="19" t="s">
        <v>1033</v>
      </c>
      <c r="N364" s="19" t="s">
        <v>1763</v>
      </c>
      <c r="O364" s="19"/>
      <c r="P364" s="19"/>
      <c r="Q364" s="19"/>
      <c r="R364" s="19" t="s">
        <v>1468</v>
      </c>
      <c r="S364" s="19" t="s">
        <v>1764</v>
      </c>
      <c r="T364" s="19" t="s">
        <v>53</v>
      </c>
      <c r="U364" s="19" t="s">
        <v>80</v>
      </c>
      <c r="V364" s="19" t="s">
        <v>97</v>
      </c>
      <c r="W364" s="19" t="s">
        <v>70</v>
      </c>
      <c r="X364" s="19"/>
      <c r="Y364" s="19"/>
      <c r="Z364" s="19"/>
      <c r="AA364" s="19">
        <v>0</v>
      </c>
      <c r="AB364" s="19"/>
      <c r="AC364" s="19" t="s">
        <v>308</v>
      </c>
      <c r="AD364" s="19"/>
      <c r="AE364" s="19"/>
      <c r="AF364" s="19"/>
    </row>
    <row r="365" spans="1:34">
      <c r="A365" s="19">
        <v>359</v>
      </c>
      <c r="B365" s="19" t="s">
        <v>1760</v>
      </c>
      <c r="C365" s="19" t="s">
        <v>1765</v>
      </c>
      <c r="D365" s="19" t="str">
        <f>HYPERLINK("http://www.henontech.com/fieldsafety/harzard/harzard_show.php?rid=10512&amp;url=harzardrecs.php","一操作工在操作时未戴护目镜，杀菌剂喷入眼中")</f>
        <v>一操作工在操作时未戴护目镜，杀菌剂喷入眼中</v>
      </c>
      <c r="E365" s="19" t="s">
        <v>1766</v>
      </c>
      <c r="F365" s="23" t="s">
        <v>304</v>
      </c>
      <c r="G365" s="22" t="s">
        <v>63</v>
      </c>
      <c r="H365" s="19" t="s">
        <v>44</v>
      </c>
      <c r="I365" s="19"/>
      <c r="J365" s="19" t="s">
        <v>46</v>
      </c>
      <c r="K365" s="19" t="s">
        <v>64</v>
      </c>
      <c r="L365" s="19"/>
      <c r="M365" s="19" t="s">
        <v>1033</v>
      </c>
      <c r="N365" s="19" t="s">
        <v>1549</v>
      </c>
      <c r="O365" s="19"/>
      <c r="P365" s="19"/>
      <c r="Q365" s="19"/>
      <c r="R365" s="19" t="s">
        <v>1767</v>
      </c>
      <c r="S365" s="19" t="s">
        <v>1372</v>
      </c>
      <c r="T365" s="19" t="s">
        <v>53</v>
      </c>
      <c r="U365" s="19" t="s">
        <v>54</v>
      </c>
      <c r="V365" s="19" t="s">
        <v>55</v>
      </c>
      <c r="W365" s="19" t="s">
        <v>56</v>
      </c>
      <c r="X365" s="19"/>
      <c r="Y365" s="19"/>
      <c r="Z365" s="19"/>
      <c r="AA365" s="19">
        <v>0</v>
      </c>
      <c r="AB365" s="19"/>
      <c r="AC365" s="19" t="s">
        <v>308</v>
      </c>
      <c r="AD365" s="19"/>
      <c r="AE365" s="19"/>
      <c r="AF365" s="19"/>
    </row>
    <row r="366" spans="1:34">
      <c r="A366" s="19">
        <v>360</v>
      </c>
      <c r="B366" s="19" t="s">
        <v>1768</v>
      </c>
      <c r="C366" s="19" t="s">
        <v>1460</v>
      </c>
      <c r="D366" s="19" t="str">
        <f>HYPERLINK("http://www.henontech.com/fieldsafety/harzard/harzard_show.php?rid=10620&amp;url=harzardrecs.php","新化学水操作室配电室后盖板断裂")</f>
        <v>新化学水操作室配电室后盖板断裂</v>
      </c>
      <c r="E366" s="19" t="s">
        <v>1769</v>
      </c>
      <c r="F366" s="23" t="s">
        <v>304</v>
      </c>
      <c r="G366" s="22" t="s">
        <v>63</v>
      </c>
      <c r="H366" s="19" t="s">
        <v>232</v>
      </c>
      <c r="I366" s="19" t="s">
        <v>120</v>
      </c>
      <c r="J366" s="19" t="s">
        <v>46</v>
      </c>
      <c r="K366" s="19" t="s">
        <v>64</v>
      </c>
      <c r="L366" s="19" t="s">
        <v>76</v>
      </c>
      <c r="M366" s="19" t="s">
        <v>1033</v>
      </c>
      <c r="N366" s="19" t="s">
        <v>1535</v>
      </c>
      <c r="O366" s="19"/>
      <c r="P366" s="19"/>
      <c r="Q366" s="19"/>
      <c r="R366" s="19" t="s">
        <v>1711</v>
      </c>
      <c r="S366" s="19" t="s">
        <v>1481</v>
      </c>
      <c r="T366" s="19" t="s">
        <v>53</v>
      </c>
      <c r="U366" s="19" t="s">
        <v>54</v>
      </c>
      <c r="V366" s="19" t="s">
        <v>55</v>
      </c>
      <c r="W366" s="19" t="s">
        <v>56</v>
      </c>
      <c r="X366" s="19"/>
      <c r="Y366" s="19"/>
      <c r="Z366" s="19"/>
      <c r="AA366" s="19">
        <v>0</v>
      </c>
      <c r="AB366" s="19"/>
      <c r="AC366" s="19" t="s">
        <v>308</v>
      </c>
      <c r="AD366" s="19"/>
      <c r="AE366" s="19"/>
      <c r="AF366" s="19"/>
    </row>
    <row r="367" spans="1:34">
      <c r="A367" s="19">
        <v>361</v>
      </c>
      <c r="B367" s="19" t="s">
        <v>1768</v>
      </c>
      <c r="C367" s="19" t="s">
        <v>1770</v>
      </c>
      <c r="D367" s="19" t="str">
        <f>HYPERLINK("http://www.henontech.com/fieldsafety/harzard/harzard_show.php?rid=10779&amp;url=harzardrecs.php","汽机一楼油箱上部墙体框架上部遗落铁棍一根，操作工巡检从底部经过时铁棍掉落砸伤左肩送医救治")</f>
        <v>汽机一楼油箱上部墙体框架上部遗落铁棍一根，操作工巡检从底部经过时铁棍掉落砸伤左肩送医救治</v>
      </c>
      <c r="E367" s="19" t="s">
        <v>1771</v>
      </c>
      <c r="F367" s="23" t="s">
        <v>304</v>
      </c>
      <c r="G367" s="22" t="s">
        <v>63</v>
      </c>
      <c r="H367" s="19" t="s">
        <v>44</v>
      </c>
      <c r="I367" s="19"/>
      <c r="J367" s="19"/>
      <c r="K367" s="19"/>
      <c r="L367" s="19" t="s">
        <v>76</v>
      </c>
      <c r="M367" s="19" t="s">
        <v>1033</v>
      </c>
      <c r="N367" s="19" t="s">
        <v>1772</v>
      </c>
      <c r="O367" s="19"/>
      <c r="P367" s="19"/>
      <c r="Q367" s="19"/>
      <c r="R367" s="19" t="s">
        <v>1773</v>
      </c>
      <c r="S367" s="19" t="s">
        <v>1372</v>
      </c>
      <c r="T367" s="19" t="s">
        <v>53</v>
      </c>
      <c r="U367" s="19" t="s">
        <v>54</v>
      </c>
      <c r="V367" s="19" t="s">
        <v>55</v>
      </c>
      <c r="W367" s="19" t="s">
        <v>56</v>
      </c>
      <c r="X367" s="19"/>
      <c r="Y367" s="19"/>
      <c r="Z367" s="19"/>
      <c r="AA367" s="19">
        <v>0</v>
      </c>
      <c r="AB367" s="19"/>
      <c r="AC367" s="19" t="s">
        <v>308</v>
      </c>
      <c r="AD367" s="19"/>
      <c r="AE367" s="19"/>
      <c r="AF367" s="19"/>
    </row>
    <row r="368" spans="1:34">
      <c r="A368" s="19">
        <v>362</v>
      </c>
      <c r="B368" s="19" t="s">
        <v>1774</v>
      </c>
      <c r="C368" s="19" t="s">
        <v>1627</v>
      </c>
      <c r="D368" s="19" t="str">
        <f>HYPERLINK("http://www.henontech.com/fieldsafety/harzard/harzard_show.php?rid=10806&amp;url=harzardrecs.php","管线固定支架开焊与坠落")</f>
        <v>管线固定支架开焊与坠落</v>
      </c>
      <c r="E368" s="19" t="s">
        <v>1775</v>
      </c>
      <c r="F368" s="20" t="s">
        <v>42</v>
      </c>
      <c r="G368" s="22" t="s">
        <v>63</v>
      </c>
      <c r="H368" s="19" t="s">
        <v>44</v>
      </c>
      <c r="I368" s="19" t="s">
        <v>45</v>
      </c>
      <c r="J368" s="19" t="s">
        <v>109</v>
      </c>
      <c r="K368" s="19" t="s">
        <v>110</v>
      </c>
      <c r="L368" s="19"/>
      <c r="M368" s="19" t="s">
        <v>1033</v>
      </c>
      <c r="N368" s="19" t="s">
        <v>1776</v>
      </c>
      <c r="O368" s="19" t="s">
        <v>1033</v>
      </c>
      <c r="P368" s="19" t="s">
        <v>1034</v>
      </c>
      <c r="Q368" s="19" t="s">
        <v>1777</v>
      </c>
      <c r="R368" s="19" t="s">
        <v>1369</v>
      </c>
      <c r="S368" s="19"/>
      <c r="T368" s="19" t="s">
        <v>53</v>
      </c>
      <c r="U368" s="19" t="s">
        <v>80</v>
      </c>
      <c r="V368" s="19" t="s">
        <v>97</v>
      </c>
      <c r="W368" s="19" t="s">
        <v>70</v>
      </c>
      <c r="X368" s="19"/>
      <c r="Y368" s="19"/>
      <c r="Z368" s="19" t="s">
        <v>1778</v>
      </c>
      <c r="AA368" s="19">
        <v>1</v>
      </c>
      <c r="AB368" s="19">
        <v>1</v>
      </c>
      <c r="AC368" s="19" t="s">
        <v>58</v>
      </c>
      <c r="AD368" s="19" t="s">
        <v>1034</v>
      </c>
      <c r="AE368" s="19" t="s">
        <v>1401</v>
      </c>
      <c r="AF368" s="19"/>
    </row>
    <row r="369" spans="1:34">
      <c r="A369" s="19">
        <v>363</v>
      </c>
      <c r="B369" s="19" t="s">
        <v>1774</v>
      </c>
      <c r="C369" s="19" t="s">
        <v>1722</v>
      </c>
      <c r="D369" s="19" t="str">
        <f>HYPERLINK("http://www.henontech.com/fieldsafety/harzard/harzard_show.php?rid=10807&amp;url=harzardrecs.php","天车爬梯护拦开焊")</f>
        <v>天车爬梯护拦开焊</v>
      </c>
      <c r="E369" s="19" t="s">
        <v>1779</v>
      </c>
      <c r="F369" s="20" t="s">
        <v>42</v>
      </c>
      <c r="G369" s="22" t="s">
        <v>63</v>
      </c>
      <c r="H369" s="19" t="s">
        <v>44</v>
      </c>
      <c r="I369" s="19" t="s">
        <v>45</v>
      </c>
      <c r="J369" s="19" t="s">
        <v>109</v>
      </c>
      <c r="K369" s="19" t="s">
        <v>132</v>
      </c>
      <c r="L369" s="19" t="s">
        <v>76</v>
      </c>
      <c r="M369" s="19" t="s">
        <v>1033</v>
      </c>
      <c r="N369" s="19" t="s">
        <v>1780</v>
      </c>
      <c r="O369" s="19" t="s">
        <v>1033</v>
      </c>
      <c r="P369" s="19" t="s">
        <v>1034</v>
      </c>
      <c r="Q369" s="19" t="s">
        <v>1777</v>
      </c>
      <c r="R369" s="19" t="s">
        <v>1781</v>
      </c>
      <c r="S369" s="19"/>
      <c r="T369" s="19" t="s">
        <v>53</v>
      </c>
      <c r="U369" s="19" t="s">
        <v>80</v>
      </c>
      <c r="V369" s="19" t="s">
        <v>97</v>
      </c>
      <c r="W369" s="19" t="s">
        <v>70</v>
      </c>
      <c r="X369" s="19"/>
      <c r="Y369" s="19"/>
      <c r="Z369" s="19" t="s">
        <v>1782</v>
      </c>
      <c r="AA369" s="19">
        <v>1</v>
      </c>
      <c r="AB369" s="19">
        <v>1</v>
      </c>
      <c r="AC369" s="19" t="s">
        <v>58</v>
      </c>
      <c r="AD369" s="19" t="s">
        <v>1034</v>
      </c>
      <c r="AE369" s="19" t="s">
        <v>1401</v>
      </c>
      <c r="AF369" s="19"/>
    </row>
    <row r="370" spans="1:34">
      <c r="A370" s="19">
        <v>364</v>
      </c>
      <c r="B370" s="19" t="s">
        <v>1774</v>
      </c>
      <c r="C370" s="19" t="s">
        <v>1529</v>
      </c>
      <c r="D370" s="19" t="str">
        <f>HYPERLINK("http://www.henontech.com/fieldsafety/harzard/harzard_show.php?rid=10994&amp;url=harzardrecs.php","锅炉操作工在给煤机上方投煤时，从梯子上摔下，受伤住院治疗。")</f>
        <v>锅炉操作工在给煤机上方投煤时，从梯子上摔下，受伤住院治疗。</v>
      </c>
      <c r="E370" s="19" t="s">
        <v>1783</v>
      </c>
      <c r="F370" s="20" t="s">
        <v>42</v>
      </c>
      <c r="G370" s="22" t="s">
        <v>63</v>
      </c>
      <c r="H370" s="19" t="s">
        <v>44</v>
      </c>
      <c r="I370" s="19" t="s">
        <v>45</v>
      </c>
      <c r="J370" s="19" t="s">
        <v>46</v>
      </c>
      <c r="K370" s="19" t="s">
        <v>64</v>
      </c>
      <c r="L370" s="19" t="s">
        <v>1784</v>
      </c>
      <c r="M370" s="19" t="s">
        <v>1033</v>
      </c>
      <c r="N370" s="19" t="s">
        <v>1554</v>
      </c>
      <c r="O370" s="19" t="s">
        <v>1033</v>
      </c>
      <c r="P370" s="19" t="s">
        <v>1034</v>
      </c>
      <c r="Q370" s="19" t="s">
        <v>1777</v>
      </c>
      <c r="R370" s="19" t="s">
        <v>1785</v>
      </c>
      <c r="S370" s="19"/>
      <c r="T370" s="19" t="s">
        <v>53</v>
      </c>
      <c r="U370" s="19" t="s">
        <v>80</v>
      </c>
      <c r="V370" s="19" t="s">
        <v>97</v>
      </c>
      <c r="W370" s="19" t="s">
        <v>70</v>
      </c>
      <c r="X370" s="19"/>
      <c r="Y370" s="19"/>
      <c r="Z370" s="19" t="s">
        <v>1786</v>
      </c>
      <c r="AA370" s="19">
        <v>1</v>
      </c>
      <c r="AB370" s="19">
        <v>1</v>
      </c>
      <c r="AC370" s="19" t="s">
        <v>58</v>
      </c>
      <c r="AD370" s="19" t="s">
        <v>1034</v>
      </c>
      <c r="AE370" s="19" t="s">
        <v>1401</v>
      </c>
      <c r="AF370" s="19"/>
    </row>
    <row r="371" spans="1:34">
      <c r="A371" s="19">
        <v>365</v>
      </c>
      <c r="B371" s="19" t="s">
        <v>1787</v>
      </c>
      <c r="C371" s="19" t="s">
        <v>1460</v>
      </c>
      <c r="D371" s="19" t="str">
        <f>HYPERLINK("http://www.henontech.com/fieldsafety/harzard/harzard_show.php?rid=11092&amp;url=harzardrecs.php","一名操作工巡检过程中因污水反渗透产水管漏水导致地面有积水，摔倒")</f>
        <v>一名操作工巡检过程中因污水反渗透产水管漏水导致地面有积水，摔倒</v>
      </c>
      <c r="E371" s="19" t="s">
        <v>1788</v>
      </c>
      <c r="F371" s="20" t="s">
        <v>42</v>
      </c>
      <c r="G371" s="22" t="s">
        <v>63</v>
      </c>
      <c r="H371" s="19" t="s">
        <v>44</v>
      </c>
      <c r="I371" s="19" t="s">
        <v>45</v>
      </c>
      <c r="J371" s="19" t="s">
        <v>46</v>
      </c>
      <c r="K371" s="19"/>
      <c r="L371" s="19"/>
      <c r="M371" s="19" t="s">
        <v>1033</v>
      </c>
      <c r="N371" s="19" t="s">
        <v>1462</v>
      </c>
      <c r="O371" s="19" t="s">
        <v>1033</v>
      </c>
      <c r="P371" s="19" t="s">
        <v>1034</v>
      </c>
      <c r="Q371" s="19" t="s">
        <v>1777</v>
      </c>
      <c r="R371" s="19" t="s">
        <v>1789</v>
      </c>
      <c r="S371" s="19"/>
      <c r="T371" s="19" t="s">
        <v>53</v>
      </c>
      <c r="U371" s="19" t="s">
        <v>54</v>
      </c>
      <c r="V371" s="19" t="s">
        <v>55</v>
      </c>
      <c r="W371" s="19" t="s">
        <v>56</v>
      </c>
      <c r="X371" s="19"/>
      <c r="Y371" s="19"/>
      <c r="Z371" s="19" t="s">
        <v>1790</v>
      </c>
      <c r="AA371" s="19">
        <v>1</v>
      </c>
      <c r="AB371" s="19">
        <v>1</v>
      </c>
      <c r="AC371" s="19" t="s">
        <v>58</v>
      </c>
      <c r="AD371" s="19" t="s">
        <v>1034</v>
      </c>
      <c r="AE371" s="19" t="s">
        <v>1401</v>
      </c>
      <c r="AF371" s="19"/>
    </row>
    <row r="372" spans="1:34">
      <c r="A372" s="19">
        <v>366</v>
      </c>
      <c r="B372" s="19" t="s">
        <v>1787</v>
      </c>
      <c r="C372" s="19" t="s">
        <v>1791</v>
      </c>
      <c r="D372" s="19" t="str">
        <f>HYPERLINK("http://www.henontech.com/fieldsafety/harzard/harzard_show.php?rid=11131&amp;url=harzardrecs.php","行车抱闸松动导致乱绳爪斗坠落！")</f>
        <v>行车抱闸松动导致乱绳爪斗坠落！</v>
      </c>
      <c r="E372" s="19" t="s">
        <v>1792</v>
      </c>
      <c r="F372" s="23" t="s">
        <v>304</v>
      </c>
      <c r="G372" s="22" t="s">
        <v>63</v>
      </c>
      <c r="H372" s="19" t="s">
        <v>482</v>
      </c>
      <c r="I372" s="19" t="s">
        <v>184</v>
      </c>
      <c r="J372" s="19" t="s">
        <v>46</v>
      </c>
      <c r="K372" s="19" t="s">
        <v>64</v>
      </c>
      <c r="L372" s="19" t="s">
        <v>76</v>
      </c>
      <c r="M372" s="19" t="s">
        <v>1033</v>
      </c>
      <c r="N372" s="19" t="s">
        <v>1793</v>
      </c>
      <c r="O372" s="19"/>
      <c r="P372" s="19"/>
      <c r="Q372" s="19"/>
      <c r="R372" s="19" t="s">
        <v>1794</v>
      </c>
      <c r="S372" s="19" t="s">
        <v>1795</v>
      </c>
      <c r="T372" s="19" t="s">
        <v>189</v>
      </c>
      <c r="U372" s="19" t="s">
        <v>202</v>
      </c>
      <c r="V372" s="19" t="s">
        <v>55</v>
      </c>
      <c r="W372" s="19" t="s">
        <v>56</v>
      </c>
      <c r="X372" s="19"/>
      <c r="Y372" s="19"/>
      <c r="Z372" s="19"/>
      <c r="AA372" s="19">
        <v>0</v>
      </c>
      <c r="AB372" s="19"/>
      <c r="AC372" s="19" t="s">
        <v>308</v>
      </c>
      <c r="AD372" s="19"/>
      <c r="AE372" s="19"/>
      <c r="AF372" s="19"/>
    </row>
    <row r="373" spans="1:34">
      <c r="A373" s="19">
        <v>367</v>
      </c>
      <c r="B373" s="19" t="s">
        <v>1787</v>
      </c>
      <c r="C373" s="19" t="s">
        <v>1791</v>
      </c>
      <c r="D373" s="19" t="str">
        <f>HYPERLINK("http://www.henontech.com/fieldsafety/harzard/harzard_show.php?rid=11132&amp;url=harzardrecs.php","行车抱闸松动导致乱绳爪斗坠落！")</f>
        <v>行车抱闸松动导致乱绳爪斗坠落！</v>
      </c>
      <c r="E373" s="19" t="s">
        <v>1792</v>
      </c>
      <c r="F373" s="23" t="s">
        <v>304</v>
      </c>
      <c r="G373" s="22" t="s">
        <v>63</v>
      </c>
      <c r="H373" s="19" t="s">
        <v>482</v>
      </c>
      <c r="I373" s="19" t="s">
        <v>184</v>
      </c>
      <c r="J373" s="19" t="s">
        <v>46</v>
      </c>
      <c r="K373" s="19" t="s">
        <v>64</v>
      </c>
      <c r="L373" s="19" t="s">
        <v>76</v>
      </c>
      <c r="M373" s="19" t="s">
        <v>1033</v>
      </c>
      <c r="N373" s="19" t="s">
        <v>1793</v>
      </c>
      <c r="O373" s="19"/>
      <c r="P373" s="19"/>
      <c r="Q373" s="19"/>
      <c r="R373" s="19" t="s">
        <v>1794</v>
      </c>
      <c r="S373" s="19" t="s">
        <v>801</v>
      </c>
      <c r="T373" s="19" t="s">
        <v>189</v>
      </c>
      <c r="U373" s="19" t="s">
        <v>202</v>
      </c>
      <c r="V373" s="19" t="s">
        <v>55</v>
      </c>
      <c r="W373" s="19" t="s">
        <v>56</v>
      </c>
      <c r="X373" s="19"/>
      <c r="Y373" s="19"/>
      <c r="Z373" s="19"/>
      <c r="AA373" s="19">
        <v>0</v>
      </c>
      <c r="AB373" s="19"/>
      <c r="AC373" s="19" t="s">
        <v>308</v>
      </c>
      <c r="AD373" s="19"/>
      <c r="AE373" s="19"/>
      <c r="AF373" s="19"/>
    </row>
    <row r="374" spans="1:34">
      <c r="A374" s="19">
        <v>368</v>
      </c>
      <c r="B374" s="19" t="s">
        <v>1787</v>
      </c>
      <c r="C374" s="19" t="s">
        <v>1791</v>
      </c>
      <c r="D374" s="19" t="str">
        <f>HYPERLINK("http://www.henontech.com/fieldsafety/harzard/harzard_show.php?rid=11133&amp;url=harzardrecs.php","行车抱闸松动导致乱绳爪斗坠落！")</f>
        <v>行车抱闸松动导致乱绳爪斗坠落！</v>
      </c>
      <c r="E374" s="19" t="s">
        <v>1792</v>
      </c>
      <c r="F374" s="23" t="s">
        <v>304</v>
      </c>
      <c r="G374" s="22" t="s">
        <v>63</v>
      </c>
      <c r="H374" s="19" t="s">
        <v>482</v>
      </c>
      <c r="I374" s="19" t="s">
        <v>184</v>
      </c>
      <c r="J374" s="19" t="s">
        <v>46</v>
      </c>
      <c r="K374" s="19" t="s">
        <v>64</v>
      </c>
      <c r="L374" s="19" t="s">
        <v>76</v>
      </c>
      <c r="M374" s="19" t="s">
        <v>1033</v>
      </c>
      <c r="N374" s="19" t="s">
        <v>1793</v>
      </c>
      <c r="O374" s="19"/>
      <c r="P374" s="19"/>
      <c r="Q374" s="19"/>
      <c r="R374" s="19" t="s">
        <v>1794</v>
      </c>
      <c r="S374" s="19" t="s">
        <v>801</v>
      </c>
      <c r="T374" s="19" t="s">
        <v>189</v>
      </c>
      <c r="U374" s="19" t="s">
        <v>202</v>
      </c>
      <c r="V374" s="19" t="s">
        <v>55</v>
      </c>
      <c r="W374" s="19" t="s">
        <v>56</v>
      </c>
      <c r="X374" s="19"/>
      <c r="Y374" s="19"/>
      <c r="Z374" s="19"/>
      <c r="AA374" s="19">
        <v>0</v>
      </c>
      <c r="AB374" s="19"/>
      <c r="AC374" s="19" t="s">
        <v>308</v>
      </c>
      <c r="AD374" s="19"/>
      <c r="AE374" s="19"/>
      <c r="AF374" s="19"/>
    </row>
    <row r="375" spans="1:34" customHeight="1" ht="42">
      <c r="A375" s="19">
        <v>369</v>
      </c>
      <c r="B375" s="19" t="s">
        <v>1673</v>
      </c>
      <c r="C375" s="19" t="s">
        <v>1796</v>
      </c>
      <c r="D375" s="19" t="str">
        <f>HYPERLINK("http://www.henontech.com/fieldsafety/harzard/harzard_show.php?rid=11239&amp;url=harzardrecs.php","一名巡检工在巡检时，不小心掉入电缆沟中，造成腿部受伤。")</f>
        <v>一名巡检工在巡检时，不小心掉入电缆沟中，造成腿部受伤。</v>
      </c>
      <c r="E375" s="19" t="s">
        <v>1797</v>
      </c>
      <c r="F375" s="20" t="s">
        <v>42</v>
      </c>
      <c r="G375" s="22" t="s">
        <v>63</v>
      </c>
      <c r="H375" s="19" t="s">
        <v>44</v>
      </c>
      <c r="I375" s="19" t="s">
        <v>45</v>
      </c>
      <c r="J375" s="19" t="s">
        <v>46</v>
      </c>
      <c r="K375" s="19" t="s">
        <v>64</v>
      </c>
      <c r="L375" s="19"/>
      <c r="M375" s="19" t="s">
        <v>1033</v>
      </c>
      <c r="N375" s="19" t="s">
        <v>1568</v>
      </c>
      <c r="O375" s="19" t="s">
        <v>1033</v>
      </c>
      <c r="P375" s="19" t="s">
        <v>1178</v>
      </c>
      <c r="Q375" s="19" t="s">
        <v>1798</v>
      </c>
      <c r="R375" s="19" t="s">
        <v>1799</v>
      </c>
      <c r="S375" s="19"/>
      <c r="T375" s="19" t="s">
        <v>53</v>
      </c>
      <c r="U375" s="19" t="s">
        <v>80</v>
      </c>
      <c r="V375" s="19" t="s">
        <v>97</v>
      </c>
      <c r="W375" s="19" t="s">
        <v>70</v>
      </c>
      <c r="X375" s="19" t="s">
        <v>154</v>
      </c>
      <c r="Y375" s="19"/>
      <c r="Z375" s="19" t="s">
        <v>1800</v>
      </c>
      <c r="AA375" s="19">
        <v>2</v>
      </c>
      <c r="AB375" s="19">
        <v>2</v>
      </c>
      <c r="AC375" s="19" t="s">
        <v>58</v>
      </c>
      <c r="AD375" s="19" t="s">
        <v>1178</v>
      </c>
      <c r="AE375" s="19" t="s">
        <v>1801</v>
      </c>
      <c r="AF375" s="19" t="s">
        <v>1802</v>
      </c>
    </row>
    <row r="376" spans="1:34">
      <c r="A376" s="19">
        <v>370</v>
      </c>
      <c r="B376" s="19" t="s">
        <v>1646</v>
      </c>
      <c r="C376" s="19" t="s">
        <v>113</v>
      </c>
      <c r="D376" s="19" t="str">
        <f>HYPERLINK("http://www.henontech.com/fieldsafety/harzard/harzard_show.php?rid=11271&amp;url=harzardrecs.php","两盐操作室照明开关未固定，可能造成一人员在开关时因辨识缺陷触碰到电源线，造成该操作工触电")</f>
        <v>两盐操作室照明开关未固定，可能造成一人员在开关时因辨识缺陷触碰到电源线，造成该操作工触电</v>
      </c>
      <c r="E376" s="19" t="s">
        <v>1803</v>
      </c>
      <c r="F376" s="20" t="s">
        <v>42</v>
      </c>
      <c r="G376" s="22" t="s">
        <v>63</v>
      </c>
      <c r="H376" s="19" t="s">
        <v>44</v>
      </c>
      <c r="I376" s="19" t="s">
        <v>45</v>
      </c>
      <c r="J376" s="19" t="s">
        <v>311</v>
      </c>
      <c r="K376" s="19" t="s">
        <v>64</v>
      </c>
      <c r="L376" s="19" t="s">
        <v>76</v>
      </c>
      <c r="M376" s="19" t="s">
        <v>48</v>
      </c>
      <c r="N376" s="19" t="s">
        <v>1804</v>
      </c>
      <c r="O376" s="19" t="s">
        <v>48</v>
      </c>
      <c r="P376" s="19" t="s">
        <v>50</v>
      </c>
      <c r="Q376" s="19" t="s">
        <v>1694</v>
      </c>
      <c r="R376" s="19" t="s">
        <v>1805</v>
      </c>
      <c r="S376" s="19"/>
      <c r="T376" s="19" t="s">
        <v>53</v>
      </c>
      <c r="U376" s="19" t="s">
        <v>236</v>
      </c>
      <c r="V376" s="19" t="s">
        <v>55</v>
      </c>
      <c r="W376" s="19" t="s">
        <v>70</v>
      </c>
      <c r="X376" s="19"/>
      <c r="Y376" s="19"/>
      <c r="Z376" s="19" t="s">
        <v>1806</v>
      </c>
      <c r="AA376" s="19">
        <v>1</v>
      </c>
      <c r="AB376" s="19">
        <v>1</v>
      </c>
      <c r="AC376" s="19" t="s">
        <v>58</v>
      </c>
      <c r="AD376" s="19" t="s">
        <v>50</v>
      </c>
      <c r="AE376" s="19" t="s">
        <v>1649</v>
      </c>
      <c r="AF376" s="19"/>
    </row>
    <row r="377" spans="1:34">
      <c r="A377" s="19">
        <v>371</v>
      </c>
      <c r="B377" s="19" t="s">
        <v>1646</v>
      </c>
      <c r="C377" s="19" t="s">
        <v>85</v>
      </c>
      <c r="D377" s="19" t="str">
        <f>HYPERLINK("http://www.henontech.com/fieldsafety/harzard/harzard_show.php?rid=11311&amp;url=harzardrecs.php","西硫铵配电室外接电源电缆杂乱，使用后未及时拆除，夜班时一名巡检工经过被绊倒，造成手部骨折！")</f>
        <v>西硫铵配电室外接电源电缆杂乱，使用后未及时拆除，夜班时一名巡检工经过被绊倒，造成手部骨折！</v>
      </c>
      <c r="E377" s="19" t="s">
        <v>1807</v>
      </c>
      <c r="F377" s="20" t="s">
        <v>42</v>
      </c>
      <c r="G377" s="22" t="s">
        <v>63</v>
      </c>
      <c r="H377" s="19" t="s">
        <v>44</v>
      </c>
      <c r="I377" s="19" t="s">
        <v>45</v>
      </c>
      <c r="J377" s="19" t="s">
        <v>109</v>
      </c>
      <c r="K377" s="19" t="s">
        <v>47</v>
      </c>
      <c r="L377" s="19" t="s">
        <v>76</v>
      </c>
      <c r="M377" s="19" t="s">
        <v>48</v>
      </c>
      <c r="N377" s="19" t="s">
        <v>94</v>
      </c>
      <c r="O377" s="19" t="s">
        <v>48</v>
      </c>
      <c r="P377" s="19" t="s">
        <v>50</v>
      </c>
      <c r="Q377" s="19" t="s">
        <v>1694</v>
      </c>
      <c r="R377" s="19" t="s">
        <v>1808</v>
      </c>
      <c r="S377" s="19"/>
      <c r="T377" s="19" t="s">
        <v>53</v>
      </c>
      <c r="U377" s="19" t="s">
        <v>80</v>
      </c>
      <c r="V377" s="19" t="s">
        <v>55</v>
      </c>
      <c r="W377" s="19" t="s">
        <v>81</v>
      </c>
      <c r="X377" s="19"/>
      <c r="Y377" s="19"/>
      <c r="Z377" s="19" t="s">
        <v>1809</v>
      </c>
      <c r="AA377" s="19">
        <v>1</v>
      </c>
      <c r="AB377" s="19">
        <v>1</v>
      </c>
      <c r="AC377" s="19" t="s">
        <v>58</v>
      </c>
      <c r="AD377" s="19" t="s">
        <v>50</v>
      </c>
      <c r="AE377" s="19" t="s">
        <v>1503</v>
      </c>
      <c r="AF377" s="19"/>
    </row>
    <row r="378" spans="1:34" customHeight="1" ht="42">
      <c r="A378" s="19">
        <v>372</v>
      </c>
      <c r="B378" s="19" t="s">
        <v>1646</v>
      </c>
      <c r="C378" s="19" t="s">
        <v>1460</v>
      </c>
      <c r="D378" s="19" t="str">
        <f>HYPERLINK("http://www.henontech.com/fieldsafety/harzard/harzard_show.php?rid=11378&amp;url=harzardrecs.php","化学水操作室地板破裂，一维修工在维修设备时，可能导致右脚扭伤，送医院就医，在家休养7天，损工7天")</f>
        <v>化学水操作室地板破裂，一维修工在维修设备时，可能导致右脚扭伤，送医院就医，在家休养7天，损工7天</v>
      </c>
      <c r="E378" s="19" t="s">
        <v>1810</v>
      </c>
      <c r="F378" s="25" t="s">
        <v>1455</v>
      </c>
      <c r="G378" s="22" t="s">
        <v>63</v>
      </c>
      <c r="H378" s="19" t="s">
        <v>44</v>
      </c>
      <c r="I378" s="19" t="s">
        <v>120</v>
      </c>
      <c r="J378" s="19" t="s">
        <v>46</v>
      </c>
      <c r="K378" s="19" t="s">
        <v>64</v>
      </c>
      <c r="L378" s="19" t="s">
        <v>76</v>
      </c>
      <c r="M378" s="19" t="s">
        <v>1033</v>
      </c>
      <c r="N378" s="19" t="s">
        <v>1539</v>
      </c>
      <c r="O378" s="19" t="s">
        <v>1033</v>
      </c>
      <c r="P378" s="19" t="s">
        <v>1464</v>
      </c>
      <c r="Q378" s="19" t="s">
        <v>1457</v>
      </c>
      <c r="R378" s="19" t="s">
        <v>206</v>
      </c>
      <c r="S378" s="19"/>
      <c r="T378" s="19" t="s">
        <v>53</v>
      </c>
      <c r="U378" s="19" t="s">
        <v>80</v>
      </c>
      <c r="V378" s="19" t="s">
        <v>55</v>
      </c>
      <c r="W378" s="19" t="s">
        <v>81</v>
      </c>
      <c r="X378" s="19" t="s">
        <v>154</v>
      </c>
      <c r="Y378" s="19"/>
      <c r="Z378" s="19" t="s">
        <v>1811</v>
      </c>
      <c r="AA378" s="19">
        <v>2</v>
      </c>
      <c r="AB378" s="19"/>
      <c r="AC378" s="19" t="s">
        <v>308</v>
      </c>
      <c r="AD378" s="19"/>
      <c r="AE378" s="19"/>
      <c r="AF378" s="19"/>
    </row>
    <row r="379" spans="1:34" customHeight="1" ht="42">
      <c r="A379" s="19">
        <v>373</v>
      </c>
      <c r="B379" s="19" t="s">
        <v>1812</v>
      </c>
      <c r="C379" s="19" t="s">
        <v>1740</v>
      </c>
      <c r="D379" s="19" t="str">
        <f>HYPERLINK("http://www.henontech.com/fieldsafety/harzard/harzard_show.php?rid=11408&amp;url=harzardrecs.php","中班一名操作工天黑送照明灯时，手碰触到照明配电箱裸露的接线处，因触电倒地及时脱离，除感觉浑身乏力外，未造成大的伤害。")</f>
        <v>中班一名操作工天黑送照明灯时，手碰触到照明配电箱裸露的接线处，因触电倒地及时脱离，除感觉浑身乏力外，未造成大的伤害。</v>
      </c>
      <c r="E379" s="19" t="s">
        <v>1813</v>
      </c>
      <c r="F379" s="25" t="s">
        <v>1455</v>
      </c>
      <c r="G379" s="22" t="s">
        <v>63</v>
      </c>
      <c r="H379" s="19" t="s">
        <v>44</v>
      </c>
      <c r="I379" s="19" t="s">
        <v>45</v>
      </c>
      <c r="J379" s="19" t="s">
        <v>109</v>
      </c>
      <c r="K379" s="19" t="s">
        <v>64</v>
      </c>
      <c r="L379" s="19"/>
      <c r="M379" s="19" t="s">
        <v>1033</v>
      </c>
      <c r="N379" s="19" t="s">
        <v>1178</v>
      </c>
      <c r="O379" s="19" t="s">
        <v>1033</v>
      </c>
      <c r="P379" s="19" t="s">
        <v>1464</v>
      </c>
      <c r="Q379" s="19" t="s">
        <v>1457</v>
      </c>
      <c r="R379" s="19" t="s">
        <v>1814</v>
      </c>
      <c r="S379" s="19"/>
      <c r="T379" s="19" t="s">
        <v>53</v>
      </c>
      <c r="U379" s="19" t="s">
        <v>54</v>
      </c>
      <c r="V379" s="19" t="s">
        <v>55</v>
      </c>
      <c r="W379" s="19" t="s">
        <v>56</v>
      </c>
      <c r="X379" s="19" t="s">
        <v>154</v>
      </c>
      <c r="Y379" s="19"/>
      <c r="Z379" s="19" t="s">
        <v>1815</v>
      </c>
      <c r="AA379" s="19">
        <v>2</v>
      </c>
      <c r="AB379" s="19"/>
      <c r="AC379" s="19" t="s">
        <v>308</v>
      </c>
      <c r="AD379" s="19"/>
      <c r="AE379" s="19"/>
      <c r="AF379" s="19"/>
    </row>
    <row r="380" spans="1:34" customHeight="1" ht="42">
      <c r="A380" s="19">
        <v>374</v>
      </c>
      <c r="B380" s="19" t="s">
        <v>1816</v>
      </c>
      <c r="C380" s="19" t="s">
        <v>1478</v>
      </c>
      <c r="D380" s="19" t="str">
        <f>HYPERLINK("http://www.henontech.com/fieldsafety/harzard/harzard_show.php?rid=11581&amp;url=harzardrecs.php","照明箱内接线排未用绝缘板防护")</f>
        <v>照明箱内接线排未用绝缘板防护</v>
      </c>
      <c r="E380" s="19" t="s">
        <v>1817</v>
      </c>
      <c r="F380" s="25" t="s">
        <v>1455</v>
      </c>
      <c r="G380" s="22" t="s">
        <v>63</v>
      </c>
      <c r="H380" s="19" t="s">
        <v>44</v>
      </c>
      <c r="I380" s="19" t="s">
        <v>108</v>
      </c>
      <c r="J380" s="19" t="s">
        <v>46</v>
      </c>
      <c r="K380" s="19" t="s">
        <v>47</v>
      </c>
      <c r="L380" s="19" t="s">
        <v>76</v>
      </c>
      <c r="M380" s="19" t="s">
        <v>1033</v>
      </c>
      <c r="N380" s="19" t="s">
        <v>1405</v>
      </c>
      <c r="O380" s="19" t="s">
        <v>1033</v>
      </c>
      <c r="P380" s="19" t="s">
        <v>1464</v>
      </c>
      <c r="Q380" s="19" t="s">
        <v>1457</v>
      </c>
      <c r="R380" s="19" t="s">
        <v>1818</v>
      </c>
      <c r="S380" s="19"/>
      <c r="T380" s="19" t="s">
        <v>53</v>
      </c>
      <c r="U380" s="19" t="s">
        <v>202</v>
      </c>
      <c r="V380" s="19" t="s">
        <v>55</v>
      </c>
      <c r="W380" s="19" t="s">
        <v>56</v>
      </c>
      <c r="X380" s="19" t="s">
        <v>154</v>
      </c>
      <c r="Y380" s="19"/>
      <c r="Z380" s="19" t="s">
        <v>1819</v>
      </c>
      <c r="AA380" s="19">
        <v>2</v>
      </c>
      <c r="AB380" s="19"/>
      <c r="AC380" s="19" t="s">
        <v>308</v>
      </c>
      <c r="AD380" s="19"/>
      <c r="AE380" s="19"/>
      <c r="AF380" s="19"/>
    </row>
    <row r="381" spans="1:34">
      <c r="A381" s="19">
        <v>375</v>
      </c>
      <c r="B381" s="19" t="s">
        <v>1816</v>
      </c>
      <c r="C381" s="19" t="s">
        <v>1820</v>
      </c>
      <c r="D381" s="19" t="str">
        <f>HYPERLINK("http://www.henontech.com/fieldsafety/harzard/harzard_show.php?rid=11584&amp;url=harzardrecs.php","操作工巡检时经过除盐水池东头，有一爬梯支撑架将左手臂划伤。")</f>
        <v>操作工巡检时经过除盐水池东头，有一爬梯支撑架将左手臂划伤。</v>
      </c>
      <c r="E381" s="19" t="s">
        <v>1821</v>
      </c>
      <c r="F381" s="23" t="s">
        <v>304</v>
      </c>
      <c r="G381" s="22" t="s">
        <v>63</v>
      </c>
      <c r="H381" s="19" t="s">
        <v>44</v>
      </c>
      <c r="I381" s="19" t="s">
        <v>45</v>
      </c>
      <c r="J381" s="19" t="s">
        <v>46</v>
      </c>
      <c r="K381" s="19" t="s">
        <v>47</v>
      </c>
      <c r="L381" s="19" t="s">
        <v>76</v>
      </c>
      <c r="M381" s="19" t="s">
        <v>1033</v>
      </c>
      <c r="N381" s="19" t="s">
        <v>1153</v>
      </c>
      <c r="O381" s="19"/>
      <c r="P381" s="19"/>
      <c r="Q381" s="19"/>
      <c r="R381" s="19" t="s">
        <v>1822</v>
      </c>
      <c r="S381" s="19" t="s">
        <v>1372</v>
      </c>
      <c r="T381" s="19" t="s">
        <v>53</v>
      </c>
      <c r="U381" s="19" t="s">
        <v>202</v>
      </c>
      <c r="V381" s="19" t="s">
        <v>203</v>
      </c>
      <c r="W381" s="19" t="s">
        <v>56</v>
      </c>
      <c r="X381" s="19"/>
      <c r="Y381" s="19"/>
      <c r="Z381" s="19"/>
      <c r="AA381" s="19">
        <v>0</v>
      </c>
      <c r="AB381" s="19"/>
      <c r="AC381" s="19" t="s">
        <v>308</v>
      </c>
      <c r="AD381" s="19"/>
      <c r="AE381" s="19"/>
      <c r="AF381" s="19"/>
    </row>
    <row r="382" spans="1:34" customHeight="1" ht="42">
      <c r="A382" s="19">
        <v>376</v>
      </c>
      <c r="B382" s="19" t="s">
        <v>1823</v>
      </c>
      <c r="C382" s="19" t="s">
        <v>1824</v>
      </c>
      <c r="D382" s="19" t="str">
        <f>HYPERLINK("http://www.henontech.com/fieldsafety/harzard/harzard_show.php?rid=12288&amp;url=harzardrecs.php","5.5米焦炉封堵上升管水封的水管阀门保温层破损，无法起到保温作用。假如天气寒冷时阀门冻住，无法给上升管水封供水，将冒大烟造成环保事故。")</f>
        <v>5.5米焦炉封堵上升管水封的水管阀门保温层破损，无法起到保温作用。假如天气寒冷时阀门冻住，无法给上升管水封供水，将冒大烟造成环保事故。</v>
      </c>
      <c r="E382" s="19" t="s">
        <v>1825</v>
      </c>
      <c r="F382" s="20" t="s">
        <v>42</v>
      </c>
      <c r="G382" s="22" t="s">
        <v>63</v>
      </c>
      <c r="H382" s="19" t="s">
        <v>44</v>
      </c>
      <c r="I382" s="19" t="s">
        <v>108</v>
      </c>
      <c r="J382" s="19" t="s">
        <v>46</v>
      </c>
      <c r="K382" s="19" t="s">
        <v>102</v>
      </c>
      <c r="L382" s="19" t="s">
        <v>76</v>
      </c>
      <c r="M382" s="19" t="s">
        <v>121</v>
      </c>
      <c r="N382" s="19" t="s">
        <v>831</v>
      </c>
      <c r="O382" s="19" t="s">
        <v>121</v>
      </c>
      <c r="P382" s="19" t="s">
        <v>568</v>
      </c>
      <c r="Q382" s="19" t="s">
        <v>1826</v>
      </c>
      <c r="R382" s="19" t="s">
        <v>1827</v>
      </c>
      <c r="S382" s="19"/>
      <c r="T382" s="19" t="s">
        <v>393</v>
      </c>
      <c r="U382" s="19" t="s">
        <v>202</v>
      </c>
      <c r="V382" s="19" t="s">
        <v>97</v>
      </c>
      <c r="W382" s="19" t="s">
        <v>56</v>
      </c>
      <c r="X382" s="19" t="s">
        <v>154</v>
      </c>
      <c r="Y382" s="19"/>
      <c r="Z382" s="19" t="s">
        <v>1828</v>
      </c>
      <c r="AA382" s="19">
        <v>2</v>
      </c>
      <c r="AB382" s="19">
        <v>2</v>
      </c>
      <c r="AC382" s="19" t="s">
        <v>58</v>
      </c>
      <c r="AD382" s="19" t="s">
        <v>568</v>
      </c>
      <c r="AE382" s="19" t="s">
        <v>1335</v>
      </c>
      <c r="AF382" s="19" t="s">
        <v>1829</v>
      </c>
    </row>
    <row r="383" spans="1:34" customHeight="1" ht="42">
      <c r="A383" s="19">
        <v>377</v>
      </c>
      <c r="B383" s="19" t="s">
        <v>1823</v>
      </c>
      <c r="C383" s="19" t="s">
        <v>1830</v>
      </c>
      <c r="D383" s="19" t="str">
        <f>HYPERLINK("http://www.henontech.com/fieldsafety/harzard/harzard_show.php?rid=12303&amp;url=harzardrecs.php","焦炉交换系统焦侧开闭器辅助轮支架锈蚀严重，若断落致使燃烧系统无法正常工作，造成烟囱冒烟的环保事故公司通报。")</f>
        <v>焦炉交换系统焦侧开闭器辅助轮支架锈蚀严重，若断落致使燃烧系统无法正常工作，造成烟囱冒烟的环保事故公司通报。</v>
      </c>
      <c r="E383" s="19" t="s">
        <v>1831</v>
      </c>
      <c r="F383" s="20" t="s">
        <v>42</v>
      </c>
      <c r="G383" s="22" t="s">
        <v>63</v>
      </c>
      <c r="H383" s="19" t="s">
        <v>44</v>
      </c>
      <c r="I383" s="19" t="s">
        <v>108</v>
      </c>
      <c r="J383" s="19" t="s">
        <v>46</v>
      </c>
      <c r="K383" s="19" t="s">
        <v>110</v>
      </c>
      <c r="L383" s="19"/>
      <c r="M383" s="19" t="s">
        <v>121</v>
      </c>
      <c r="N383" s="19" t="s">
        <v>831</v>
      </c>
      <c r="O383" s="19" t="s">
        <v>121</v>
      </c>
      <c r="P383" s="19" t="s">
        <v>812</v>
      </c>
      <c r="Q383" s="19" t="s">
        <v>1826</v>
      </c>
      <c r="R383" s="19" t="s">
        <v>1832</v>
      </c>
      <c r="S383" s="19"/>
      <c r="T383" s="19" t="s">
        <v>393</v>
      </c>
      <c r="U383" s="19" t="s">
        <v>54</v>
      </c>
      <c r="V383" s="19" t="s">
        <v>97</v>
      </c>
      <c r="W383" s="19" t="s">
        <v>81</v>
      </c>
      <c r="X383" s="19"/>
      <c r="Y383" s="19" t="s">
        <v>191</v>
      </c>
      <c r="Z383" s="19" t="s">
        <v>1833</v>
      </c>
      <c r="AA383" s="19">
        <v>2</v>
      </c>
      <c r="AB383" s="19">
        <v>2</v>
      </c>
      <c r="AC383" s="19" t="s">
        <v>58</v>
      </c>
      <c r="AD383" s="19" t="s">
        <v>812</v>
      </c>
      <c r="AE383" s="19" t="s">
        <v>1834</v>
      </c>
      <c r="AF383" s="19" t="s">
        <v>1835</v>
      </c>
    </row>
    <row r="384" spans="1:34" customHeight="1" ht="42">
      <c r="A384" s="19">
        <v>378</v>
      </c>
      <c r="B384" s="19" t="s">
        <v>1823</v>
      </c>
      <c r="C384" s="19" t="s">
        <v>1836</v>
      </c>
      <c r="D384" s="19" t="str">
        <f>HYPERLINK("http://www.henontech.com/fieldsafety/harzard/harzard_show.php?rid=12329&amp;url=harzardrecs.php","氨水阀门离地3米没设爬梯")</f>
        <v>氨水阀门离地3米没设爬梯</v>
      </c>
      <c r="E384" s="19" t="s">
        <v>1837</v>
      </c>
      <c r="F384" s="20" t="s">
        <v>42</v>
      </c>
      <c r="G384" s="21" t="s">
        <v>43</v>
      </c>
      <c r="H384" s="19" t="s">
        <v>44</v>
      </c>
      <c r="I384" s="19" t="s">
        <v>108</v>
      </c>
      <c r="J384" s="19" t="s">
        <v>109</v>
      </c>
      <c r="K384" s="19" t="s">
        <v>132</v>
      </c>
      <c r="L384" s="19" t="s">
        <v>76</v>
      </c>
      <c r="M384" s="19" t="s">
        <v>121</v>
      </c>
      <c r="N384" s="19" t="s">
        <v>1838</v>
      </c>
      <c r="O384" s="19" t="s">
        <v>121</v>
      </c>
      <c r="P384" s="19" t="s">
        <v>568</v>
      </c>
      <c r="Q384" s="19" t="s">
        <v>1839</v>
      </c>
      <c r="R384" s="19" t="s">
        <v>1840</v>
      </c>
      <c r="S384" s="19" t="s">
        <v>1841</v>
      </c>
      <c r="T384" s="19" t="s">
        <v>53</v>
      </c>
      <c r="U384" s="19" t="s">
        <v>80</v>
      </c>
      <c r="V384" s="19" t="s">
        <v>69</v>
      </c>
      <c r="W384" s="19" t="s">
        <v>190</v>
      </c>
      <c r="X384" s="19" t="s">
        <v>191</v>
      </c>
      <c r="Y384" s="19"/>
      <c r="Z384" s="19" t="s">
        <v>1842</v>
      </c>
      <c r="AA384" s="19">
        <v>2</v>
      </c>
      <c r="AB384" s="19">
        <v>1</v>
      </c>
      <c r="AC384" s="19" t="s">
        <v>58</v>
      </c>
      <c r="AD384" s="19" t="s">
        <v>568</v>
      </c>
      <c r="AE384" s="19" t="s">
        <v>1335</v>
      </c>
      <c r="AF384" s="19" t="s">
        <v>1843</v>
      </c>
    </row>
    <row r="385" spans="1:34" customHeight="1" ht="42">
      <c r="A385" s="19">
        <v>379</v>
      </c>
      <c r="B385" s="19" t="s">
        <v>1638</v>
      </c>
      <c r="C385" s="19" t="s">
        <v>1488</v>
      </c>
      <c r="D385" s="19" t="str">
        <f>HYPERLINK("http://www.henontech.com/fieldsafety/harzard/harzard_show.php?rid=12530&amp;url=harzardrecs.php","硫铵二楼振动筛西北侧平台过小，无护栏，一名硫铵操作工在清理振动筛时，不慎从平台上坠落造成右胳膊小臂骨折。")</f>
        <v>硫铵二楼振动筛西北侧平台过小，无护栏，一名硫铵操作工在清理振动筛时，不慎从平台上坠落造成右胳膊小臂骨折。</v>
      </c>
      <c r="E385" s="19" t="s">
        <v>1748</v>
      </c>
      <c r="F385" s="20" t="s">
        <v>42</v>
      </c>
      <c r="G385" s="22" t="s">
        <v>63</v>
      </c>
      <c r="H385" s="19" t="s">
        <v>44</v>
      </c>
      <c r="I385" s="19" t="s">
        <v>45</v>
      </c>
      <c r="J385" s="19" t="s">
        <v>46</v>
      </c>
      <c r="K385" s="19"/>
      <c r="L385" s="19"/>
      <c r="M385" s="19" t="s">
        <v>1033</v>
      </c>
      <c r="N385" s="19" t="s">
        <v>1397</v>
      </c>
      <c r="O385" s="19" t="s">
        <v>1033</v>
      </c>
      <c r="P385" s="19" t="s">
        <v>1034</v>
      </c>
      <c r="Q385" s="19" t="s">
        <v>1798</v>
      </c>
      <c r="R385" s="19" t="s">
        <v>1844</v>
      </c>
      <c r="S385" s="19"/>
      <c r="T385" s="19" t="s">
        <v>53</v>
      </c>
      <c r="U385" s="19" t="s">
        <v>80</v>
      </c>
      <c r="V385" s="19" t="s">
        <v>97</v>
      </c>
      <c r="W385" s="19" t="s">
        <v>70</v>
      </c>
      <c r="X385" s="19" t="s">
        <v>154</v>
      </c>
      <c r="Y385" s="19"/>
      <c r="Z385" s="19" t="s">
        <v>1845</v>
      </c>
      <c r="AA385" s="19">
        <v>2</v>
      </c>
      <c r="AB385" s="19">
        <v>2</v>
      </c>
      <c r="AC385" s="19" t="s">
        <v>58</v>
      </c>
      <c r="AD385" s="19" t="s">
        <v>1034</v>
      </c>
      <c r="AE385" s="19" t="s">
        <v>1401</v>
      </c>
      <c r="AF385" s="19"/>
    </row>
    <row r="386" spans="1:34" customHeight="1" ht="42">
      <c r="A386" s="19">
        <v>380</v>
      </c>
      <c r="B386" s="19" t="s">
        <v>1834</v>
      </c>
      <c r="C386" s="19" t="s">
        <v>1846</v>
      </c>
      <c r="D386" s="19" t="str">
        <f>HYPERLINK("http://www.henontech.com/fieldsafety/harzard/harzard_show.php?rid=12792&amp;url=harzardrecs.php","蒸汽管线疏水伐盖板缺失")</f>
        <v>蒸汽管线疏水伐盖板缺失</v>
      </c>
      <c r="E386" s="19" t="s">
        <v>1847</v>
      </c>
      <c r="F386" s="20" t="s">
        <v>42</v>
      </c>
      <c r="G386" s="22" t="s">
        <v>63</v>
      </c>
      <c r="H386" s="19" t="s">
        <v>44</v>
      </c>
      <c r="I386" s="19" t="s">
        <v>45</v>
      </c>
      <c r="J386" s="19" t="s">
        <v>109</v>
      </c>
      <c r="K386" s="19" t="s">
        <v>110</v>
      </c>
      <c r="L386" s="19" t="s">
        <v>76</v>
      </c>
      <c r="M386" s="19" t="s">
        <v>1033</v>
      </c>
      <c r="N386" s="19" t="s">
        <v>1780</v>
      </c>
      <c r="O386" s="19" t="s">
        <v>1033</v>
      </c>
      <c r="P386" s="19" t="s">
        <v>1034</v>
      </c>
      <c r="Q386" s="19" t="s">
        <v>1798</v>
      </c>
      <c r="R386" s="19" t="s">
        <v>1033</v>
      </c>
      <c r="S386" s="19"/>
      <c r="T386" s="19" t="s">
        <v>53</v>
      </c>
      <c r="U386" s="19" t="s">
        <v>54</v>
      </c>
      <c r="V386" s="19" t="s">
        <v>69</v>
      </c>
      <c r="W386" s="19" t="s">
        <v>70</v>
      </c>
      <c r="X386" s="19" t="s">
        <v>154</v>
      </c>
      <c r="Y386" s="19"/>
      <c r="Z386" s="19" t="s">
        <v>1800</v>
      </c>
      <c r="AA386" s="19">
        <v>2</v>
      </c>
      <c r="AB386" s="19">
        <v>2</v>
      </c>
      <c r="AC386" s="19" t="s">
        <v>58</v>
      </c>
      <c r="AD386" s="19" t="s">
        <v>1034</v>
      </c>
      <c r="AE386" s="19" t="s">
        <v>1401</v>
      </c>
      <c r="AF386" s="19"/>
    </row>
    <row r="387" spans="1:34">
      <c r="A387" s="19">
        <v>381</v>
      </c>
      <c r="B387" s="19" t="s">
        <v>1848</v>
      </c>
      <c r="C387" s="19" t="s">
        <v>384</v>
      </c>
      <c r="D387" s="19" t="str">
        <f>HYPERLINK("http://www.henontech.com/fieldsafety/harzard/harzard_show.php?rid=13284&amp;url=harzardrecs.php","南化产水封槽北侧一电缆套管腐蚀严重，底部断开。如果操作工发现处理不及时，电缆被套管划破，造成操作工触电，送往医院抢救无效死亡。")</f>
        <v>南化产水封槽北侧一电缆套管腐蚀严重，底部断开。如果操作工发现处理不及时，电缆被套管划破，造成操作工触电，送往医院抢救无效死亡。</v>
      </c>
      <c r="E387" s="19" t="s">
        <v>1849</v>
      </c>
      <c r="F387" s="20" t="s">
        <v>42</v>
      </c>
      <c r="G387" s="21" t="s">
        <v>43</v>
      </c>
      <c r="H387" s="19" t="s">
        <v>44</v>
      </c>
      <c r="I387" s="19" t="s">
        <v>45</v>
      </c>
      <c r="J387" s="19" t="s">
        <v>46</v>
      </c>
      <c r="K387" s="19" t="s">
        <v>47</v>
      </c>
      <c r="L387" s="19" t="s">
        <v>76</v>
      </c>
      <c r="M387" s="19" t="s">
        <v>48</v>
      </c>
      <c r="N387" s="19" t="s">
        <v>558</v>
      </c>
      <c r="O387" s="19" t="s">
        <v>48</v>
      </c>
      <c r="P387" s="19" t="s">
        <v>50</v>
      </c>
      <c r="Q387" s="19" t="s">
        <v>1694</v>
      </c>
      <c r="R387" s="19" t="s">
        <v>1850</v>
      </c>
      <c r="S387" s="19"/>
      <c r="T387" s="19" t="s">
        <v>53</v>
      </c>
      <c r="U387" s="19" t="s">
        <v>236</v>
      </c>
      <c r="V387" s="19" t="s">
        <v>97</v>
      </c>
      <c r="W387" s="19" t="s">
        <v>190</v>
      </c>
      <c r="X387" s="19"/>
      <c r="Y387" s="19"/>
      <c r="Z387" s="19" t="s">
        <v>1851</v>
      </c>
      <c r="AA387" s="19">
        <v>1</v>
      </c>
      <c r="AB387" s="19">
        <v>1</v>
      </c>
      <c r="AC387" s="19" t="s">
        <v>58</v>
      </c>
      <c r="AD387" s="19" t="s">
        <v>50</v>
      </c>
      <c r="AE387" s="19" t="s">
        <v>1649</v>
      </c>
      <c r="AF387" s="19"/>
    </row>
    <row r="388" spans="1:34" customHeight="1" ht="42">
      <c r="A388" s="19">
        <v>382</v>
      </c>
      <c r="B388" s="19" t="s">
        <v>1848</v>
      </c>
      <c r="C388" s="19" t="s">
        <v>1460</v>
      </c>
      <c r="D388" s="19" t="str">
        <f>HYPERLINK("http://www.henontech.com/fieldsafety/harzard/harzard_show.php?rid=13336&amp;url=harzardrecs.php","操作工在巡检时发现阻垢剂管线法兰处喷液，走近管线喷液部位，由于没有戴护目镜，药液溅入眼内，送医院治疗。")</f>
        <v>操作工在巡检时发现阻垢剂管线法兰处喷液，走近管线喷液部位，由于没有戴护目镜，药液溅入眼内，送医院治疗。</v>
      </c>
      <c r="E388" s="19" t="s">
        <v>1852</v>
      </c>
      <c r="F388" s="20" t="s">
        <v>42</v>
      </c>
      <c r="G388" s="22" t="s">
        <v>63</v>
      </c>
      <c r="H388" s="19" t="s">
        <v>44</v>
      </c>
      <c r="I388" s="19" t="s">
        <v>45</v>
      </c>
      <c r="J388" s="19" t="s">
        <v>109</v>
      </c>
      <c r="K388" s="19"/>
      <c r="L388" s="19"/>
      <c r="M388" s="19" t="s">
        <v>1033</v>
      </c>
      <c r="N388" s="19" t="s">
        <v>1535</v>
      </c>
      <c r="O388" s="19" t="s">
        <v>1033</v>
      </c>
      <c r="P388" s="19" t="s">
        <v>1034</v>
      </c>
      <c r="Q388" s="19" t="s">
        <v>1798</v>
      </c>
      <c r="R388" s="19" t="s">
        <v>1853</v>
      </c>
      <c r="S388" s="19"/>
      <c r="T388" s="19" t="s">
        <v>53</v>
      </c>
      <c r="U388" s="19" t="s">
        <v>54</v>
      </c>
      <c r="V388" s="19" t="s">
        <v>97</v>
      </c>
      <c r="W388" s="19" t="s">
        <v>81</v>
      </c>
      <c r="X388" s="19" t="s">
        <v>154</v>
      </c>
      <c r="Y388" s="19"/>
      <c r="Z388" s="19" t="s">
        <v>1854</v>
      </c>
      <c r="AA388" s="19">
        <v>2</v>
      </c>
      <c r="AB388" s="19">
        <v>2</v>
      </c>
      <c r="AC388" s="19" t="s">
        <v>58</v>
      </c>
      <c r="AD388" s="19" t="s">
        <v>1034</v>
      </c>
      <c r="AE388" s="19" t="s">
        <v>1401</v>
      </c>
      <c r="AF388" s="19"/>
    </row>
    <row r="389" spans="1:34">
      <c r="A389" s="19">
        <v>383</v>
      </c>
      <c r="B389" s="19" t="s">
        <v>1855</v>
      </c>
      <c r="C389" s="19" t="s">
        <v>1856</v>
      </c>
      <c r="D389" s="19" t="str">
        <f>HYPERLINK("http://www.henontech.com/fieldsafety/harzard/harzard_show.php?rid=13837&amp;url=harzardrecs.php","粗苯西南角爬梯护笼开焊，如果操作人员在上下爬梯时不注意被开焊的护笼划伤后背")</f>
        <v>粗苯西南角爬梯护笼开焊，如果操作人员在上下爬梯时不注意被开焊的护笼划伤后背</v>
      </c>
      <c r="E389" s="19" t="s">
        <v>1857</v>
      </c>
      <c r="F389" s="20" t="s">
        <v>42</v>
      </c>
      <c r="G389" s="22" t="s">
        <v>63</v>
      </c>
      <c r="H389" s="19" t="s">
        <v>44</v>
      </c>
      <c r="I389" s="19" t="s">
        <v>45</v>
      </c>
      <c r="J389" s="19" t="s">
        <v>109</v>
      </c>
      <c r="K389" s="19" t="s">
        <v>132</v>
      </c>
      <c r="L389" s="19" t="s">
        <v>76</v>
      </c>
      <c r="M389" s="19" t="s">
        <v>48</v>
      </c>
      <c r="N389" s="19" t="s">
        <v>553</v>
      </c>
      <c r="O389" s="19" t="s">
        <v>48</v>
      </c>
      <c r="P389" s="19" t="s">
        <v>50</v>
      </c>
      <c r="Q389" s="19" t="s">
        <v>1858</v>
      </c>
      <c r="R389" s="19" t="s">
        <v>1859</v>
      </c>
      <c r="S389" s="19"/>
      <c r="T389" s="19" t="s">
        <v>53</v>
      </c>
      <c r="U389" s="19" t="s">
        <v>80</v>
      </c>
      <c r="V389" s="19" t="s">
        <v>97</v>
      </c>
      <c r="W389" s="19" t="s">
        <v>70</v>
      </c>
      <c r="X389" s="19"/>
      <c r="Y389" s="19"/>
      <c r="Z389" s="19" t="s">
        <v>1860</v>
      </c>
      <c r="AA389" s="19">
        <v>1</v>
      </c>
      <c r="AB389" s="19">
        <v>1</v>
      </c>
      <c r="AC389" s="19" t="s">
        <v>58</v>
      </c>
      <c r="AD389" s="19" t="s">
        <v>50</v>
      </c>
      <c r="AE389" s="19" t="s">
        <v>1649</v>
      </c>
      <c r="AF389" s="19"/>
    </row>
    <row r="390" spans="1:34">
      <c r="A390" s="19">
        <v>384</v>
      </c>
      <c r="B390" s="19" t="s">
        <v>1861</v>
      </c>
      <c r="C390" s="19" t="s">
        <v>118</v>
      </c>
      <c r="D390" s="19" t="str">
        <f>HYPERLINK("http://www.henontech.com/fieldsafety/harzard/harzard_show.php?rid=14268&amp;url=harzardrecs.php","旋转密封阀南北两侧爬梯未安装护栏，巡检人员下行时，右脚踩空摔落至地面，造成右手手腕轻微骨折，送医治疗。")</f>
        <v>旋转密封阀南北两侧爬梯未安装护栏，巡检人员下行时，右脚踩空摔落至地面，造成右手手腕轻微骨折，送医治疗。</v>
      </c>
      <c r="E390" s="19" t="s">
        <v>1862</v>
      </c>
      <c r="F390" s="20" t="s">
        <v>42</v>
      </c>
      <c r="G390" s="22" t="s">
        <v>63</v>
      </c>
      <c r="H390" s="19" t="s">
        <v>44</v>
      </c>
      <c r="I390" s="19" t="s">
        <v>108</v>
      </c>
      <c r="J390" s="19" t="s">
        <v>46</v>
      </c>
      <c r="K390" s="19" t="s">
        <v>110</v>
      </c>
      <c r="L390" s="19" t="s">
        <v>76</v>
      </c>
      <c r="M390" s="19" t="s">
        <v>121</v>
      </c>
      <c r="N390" s="19" t="s">
        <v>862</v>
      </c>
      <c r="O390" s="19" t="s">
        <v>121</v>
      </c>
      <c r="P390" s="19" t="s">
        <v>233</v>
      </c>
      <c r="Q390" s="19" t="s">
        <v>1863</v>
      </c>
      <c r="R390" s="19" t="s">
        <v>1864</v>
      </c>
      <c r="S390" s="19" t="s">
        <v>1865</v>
      </c>
      <c r="T390" s="19" t="s">
        <v>53</v>
      </c>
      <c r="U390" s="19" t="s">
        <v>80</v>
      </c>
      <c r="V390" s="19" t="s">
        <v>97</v>
      </c>
      <c r="W390" s="19" t="s">
        <v>70</v>
      </c>
      <c r="X390" s="19" t="s">
        <v>191</v>
      </c>
      <c r="Y390" s="19" t="s">
        <v>191</v>
      </c>
      <c r="Z390" s="19" t="s">
        <v>1866</v>
      </c>
      <c r="AA390" s="19">
        <v>1</v>
      </c>
      <c r="AB390" s="19">
        <v>1</v>
      </c>
      <c r="AC390" s="19" t="s">
        <v>58</v>
      </c>
      <c r="AD390" s="19" t="s">
        <v>233</v>
      </c>
      <c r="AE390" s="19" t="s">
        <v>1867</v>
      </c>
      <c r="AF390" s="19" t="s">
        <v>1868</v>
      </c>
    </row>
    <row r="391" spans="1:34">
      <c r="A391" s="19">
        <v>385</v>
      </c>
      <c r="B391" s="19" t="s">
        <v>1869</v>
      </c>
      <c r="C391" s="19" t="s">
        <v>824</v>
      </c>
      <c r="D391" s="19" t="str">
        <f>HYPERLINK("http://www.henontech.com/fieldsafety/harzard/harzard_show.php?rid=14764&amp;url=harzardrecs.php","4#减温减压爬梯无护栏，一操作人员从爬梯跨越管道时，左脚踩空，无护栏遮挡，从0.5米高爬梯跌落到地面，左脚脚踝扭伤，左小臂擦伤。")</f>
        <v>4#减温减压爬梯无护栏，一操作人员从爬梯跨越管道时，左脚踩空，无护栏遮挡，从0.5米高爬梯跌落到地面，左脚脚踝扭伤，左小臂擦伤。</v>
      </c>
      <c r="E391" s="19" t="s">
        <v>1870</v>
      </c>
      <c r="F391" s="20" t="s">
        <v>42</v>
      </c>
      <c r="G391" s="22" t="s">
        <v>63</v>
      </c>
      <c r="H391" s="19" t="s">
        <v>44</v>
      </c>
      <c r="I391" s="19" t="s">
        <v>45</v>
      </c>
      <c r="J391" s="19" t="s">
        <v>109</v>
      </c>
      <c r="K391" s="19" t="s">
        <v>132</v>
      </c>
      <c r="L391" s="19"/>
      <c r="M391" s="19" t="s">
        <v>121</v>
      </c>
      <c r="N391" s="19" t="s">
        <v>1082</v>
      </c>
      <c r="O391" s="19" t="s">
        <v>121</v>
      </c>
      <c r="P391" s="19" t="s">
        <v>233</v>
      </c>
      <c r="Q391" s="19" t="s">
        <v>1839</v>
      </c>
      <c r="R391" s="19" t="s">
        <v>1871</v>
      </c>
      <c r="S391" s="19" t="s">
        <v>1872</v>
      </c>
      <c r="T391" s="19" t="s">
        <v>53</v>
      </c>
      <c r="U391" s="19" t="s">
        <v>80</v>
      </c>
      <c r="V391" s="19" t="s">
        <v>55</v>
      </c>
      <c r="W391" s="19" t="s">
        <v>81</v>
      </c>
      <c r="X391" s="19" t="s">
        <v>154</v>
      </c>
      <c r="Y391" s="19"/>
      <c r="Z391" s="19" t="s">
        <v>1873</v>
      </c>
      <c r="AA391" s="19">
        <v>1</v>
      </c>
      <c r="AB391" s="19">
        <v>1</v>
      </c>
      <c r="AC391" s="19" t="s">
        <v>58</v>
      </c>
      <c r="AD391" s="19" t="s">
        <v>233</v>
      </c>
      <c r="AE391" s="19" t="s">
        <v>1867</v>
      </c>
      <c r="AF391" s="19" t="s">
        <v>1874</v>
      </c>
    </row>
    <row r="392" spans="1:34">
      <c r="A392" s="19">
        <v>386</v>
      </c>
      <c r="B392" s="19" t="s">
        <v>1869</v>
      </c>
      <c r="C392" s="19" t="s">
        <v>1875</v>
      </c>
      <c r="D392" s="19" t="str">
        <f>HYPERLINK("http://www.henontech.com/fieldsafety/harzard/harzard_show.php?rid=14850&amp;url=harzardrecs.php","汽轮机七米新装爬梯踏板光滑，巡检人员下爬梯时，由于爬梯缺少防滑条，人员脚底打滑，滑落至地面，送医治疗。")</f>
        <v>汽轮机七米新装爬梯踏板光滑，巡检人员下爬梯时，由于爬梯缺少防滑条，人员脚底打滑，滑落至地面，送医治疗。</v>
      </c>
      <c r="E392" s="19" t="s">
        <v>1876</v>
      </c>
      <c r="F392" s="20" t="s">
        <v>42</v>
      </c>
      <c r="G392" s="22" t="s">
        <v>63</v>
      </c>
      <c r="H392" s="19" t="s">
        <v>44</v>
      </c>
      <c r="I392" s="19" t="s">
        <v>108</v>
      </c>
      <c r="J392" s="19" t="s">
        <v>46</v>
      </c>
      <c r="K392" s="19" t="s">
        <v>132</v>
      </c>
      <c r="L392" s="19" t="s">
        <v>76</v>
      </c>
      <c r="M392" s="19" t="s">
        <v>121</v>
      </c>
      <c r="N392" s="19" t="s">
        <v>289</v>
      </c>
      <c r="O392" s="19" t="s">
        <v>121</v>
      </c>
      <c r="P392" s="19" t="s">
        <v>233</v>
      </c>
      <c r="Q392" s="19" t="s">
        <v>1839</v>
      </c>
      <c r="R392" s="19" t="s">
        <v>1877</v>
      </c>
      <c r="S392" s="19" t="s">
        <v>1878</v>
      </c>
      <c r="T392" s="19" t="s">
        <v>53</v>
      </c>
      <c r="U392" s="19" t="s">
        <v>80</v>
      </c>
      <c r="V392" s="19" t="s">
        <v>97</v>
      </c>
      <c r="W392" s="19" t="s">
        <v>70</v>
      </c>
      <c r="X392" s="19" t="s">
        <v>191</v>
      </c>
      <c r="Y392" s="19"/>
      <c r="Z392" s="19" t="s">
        <v>1879</v>
      </c>
      <c r="AA392" s="19">
        <v>1</v>
      </c>
      <c r="AB392" s="19">
        <v>1</v>
      </c>
      <c r="AC392" s="19" t="s">
        <v>58</v>
      </c>
      <c r="AD392" s="19" t="s">
        <v>233</v>
      </c>
      <c r="AE392" s="19" t="s">
        <v>1867</v>
      </c>
      <c r="AF392" s="19" t="s">
        <v>1880</v>
      </c>
    </row>
    <row r="393" spans="1:34">
      <c r="A393" s="19">
        <v>387</v>
      </c>
      <c r="B393" s="19" t="s">
        <v>1881</v>
      </c>
      <c r="C393" s="19" t="s">
        <v>927</v>
      </c>
      <c r="D393" s="19" t="str">
        <f>HYPERLINK("http://www.henontech.com/fieldsafety/harzard/harzard_show.php?rid=15187&amp;url=harzardrecs.php","蒸氨废水槽顶部人孔处有未清理的废空油桶，假如巡检工在下部作业时遇大风天气会被废空油桶砸伤背部，造成轻微骨折，住院治疗一个月出院在家休养一个月。")</f>
        <v>蒸氨废水槽顶部人孔处有未清理的废空油桶，假如巡检工在下部作业时遇大风天气会被废空油桶砸伤背部，造成轻微骨折，住院治疗一个月出院在家休养一个月。</v>
      </c>
      <c r="E393" s="19" t="s">
        <v>1882</v>
      </c>
      <c r="F393" s="20" t="s">
        <v>42</v>
      </c>
      <c r="G393" s="22" t="s">
        <v>63</v>
      </c>
      <c r="H393" s="19" t="s">
        <v>44</v>
      </c>
      <c r="I393" s="19" t="s">
        <v>45</v>
      </c>
      <c r="J393" s="19" t="s">
        <v>46</v>
      </c>
      <c r="K393" s="19" t="s">
        <v>47</v>
      </c>
      <c r="L393" s="19" t="s">
        <v>76</v>
      </c>
      <c r="M393" s="19" t="s">
        <v>48</v>
      </c>
      <c r="N393" s="19" t="s">
        <v>1883</v>
      </c>
      <c r="O393" s="19" t="s">
        <v>48</v>
      </c>
      <c r="P393" s="19" t="s">
        <v>50</v>
      </c>
      <c r="Q393" s="19" t="s">
        <v>1694</v>
      </c>
      <c r="R393" s="19" t="s">
        <v>1884</v>
      </c>
      <c r="S393" s="19"/>
      <c r="T393" s="19" t="s">
        <v>53</v>
      </c>
      <c r="U393" s="19" t="s">
        <v>80</v>
      </c>
      <c r="V393" s="19" t="s">
        <v>55</v>
      </c>
      <c r="W393" s="19" t="s">
        <v>81</v>
      </c>
      <c r="X393" s="19"/>
      <c r="Y393" s="19"/>
      <c r="Z393" s="19" t="s">
        <v>1885</v>
      </c>
      <c r="AA393" s="19">
        <v>1</v>
      </c>
      <c r="AB393" s="19">
        <v>1</v>
      </c>
      <c r="AC393" s="19" t="s">
        <v>58</v>
      </c>
      <c r="AD393" s="19" t="s">
        <v>50</v>
      </c>
      <c r="AE393" s="19" t="s">
        <v>1886</v>
      </c>
      <c r="AF393" s="19"/>
    </row>
    <row r="394" spans="1:34">
      <c r="A394" s="19">
        <v>388</v>
      </c>
      <c r="B394" s="19" t="s">
        <v>1881</v>
      </c>
      <c r="C394" s="19" t="s">
        <v>1887</v>
      </c>
      <c r="D394" s="19" t="str">
        <f>HYPERLINK("http://www.henontech.com/fieldsafety/harzard/harzard_show.php?rid=15188&amp;url=harzardrecs.php","南冷凝焦油泵出口阀门外包铝皮破损，如果操作工开关阀门时会被破损铝皮划伤手腕，送卫生室简单包扎不影响工作。")</f>
        <v>南冷凝焦油泵出口阀门外包铝皮破损，如果操作工开关阀门时会被破损铝皮划伤手腕，送卫生室简单包扎不影响工作。</v>
      </c>
      <c r="E394" s="19" t="s">
        <v>1888</v>
      </c>
      <c r="F394" s="20" t="s">
        <v>42</v>
      </c>
      <c r="G394" s="22" t="s">
        <v>63</v>
      </c>
      <c r="H394" s="19" t="s">
        <v>44</v>
      </c>
      <c r="I394" s="19" t="s">
        <v>45</v>
      </c>
      <c r="J394" s="19" t="s">
        <v>46</v>
      </c>
      <c r="K394" s="19" t="s">
        <v>47</v>
      </c>
      <c r="L394" s="19" t="s">
        <v>76</v>
      </c>
      <c r="M394" s="19" t="s">
        <v>48</v>
      </c>
      <c r="N394" s="19" t="s">
        <v>1672</v>
      </c>
      <c r="O394" s="19" t="s">
        <v>48</v>
      </c>
      <c r="P394" s="19" t="s">
        <v>50</v>
      </c>
      <c r="Q394" s="19" t="s">
        <v>1694</v>
      </c>
      <c r="R394" s="19" t="s">
        <v>369</v>
      </c>
      <c r="S394" s="19"/>
      <c r="T394" s="19" t="s">
        <v>53</v>
      </c>
      <c r="U394" s="19" t="s">
        <v>54</v>
      </c>
      <c r="V394" s="19" t="s">
        <v>97</v>
      </c>
      <c r="W394" s="19" t="s">
        <v>81</v>
      </c>
      <c r="X394" s="19"/>
      <c r="Y394" s="19"/>
      <c r="Z394" s="19" t="s">
        <v>1889</v>
      </c>
      <c r="AA394" s="19">
        <v>1</v>
      </c>
      <c r="AB394" s="19">
        <v>1</v>
      </c>
      <c r="AC394" s="19" t="s">
        <v>58</v>
      </c>
      <c r="AD394" s="19" t="s">
        <v>50</v>
      </c>
      <c r="AE394" s="19" t="s">
        <v>1676</v>
      </c>
      <c r="AF394" s="19"/>
    </row>
    <row r="395" spans="1:34" customHeight="1" ht="42">
      <c r="A395" s="19">
        <v>389</v>
      </c>
      <c r="B395" s="19" t="s">
        <v>1890</v>
      </c>
      <c r="C395" s="19" t="s">
        <v>1891</v>
      </c>
      <c r="D395" s="19" t="str">
        <f>HYPERLINK("http://www.henontech.com/fieldsafety/harzard/harzard_show.php?rid=15567&amp;url=harzardrecs.php","新化学水加药间浓水排污管线盖板缺失")</f>
        <v>新化学水加药间浓水排污管线盖板缺失</v>
      </c>
      <c r="E395" s="19" t="s">
        <v>1892</v>
      </c>
      <c r="F395" s="20" t="s">
        <v>42</v>
      </c>
      <c r="G395" s="22" t="s">
        <v>63</v>
      </c>
      <c r="H395" s="19" t="s">
        <v>232</v>
      </c>
      <c r="I395" s="19" t="s">
        <v>120</v>
      </c>
      <c r="J395" s="19" t="s">
        <v>46</v>
      </c>
      <c r="K395" s="19" t="s">
        <v>64</v>
      </c>
      <c r="L395" s="19" t="s">
        <v>76</v>
      </c>
      <c r="M395" s="19" t="s">
        <v>1033</v>
      </c>
      <c r="N395" s="19" t="s">
        <v>1713</v>
      </c>
      <c r="O395" s="19" t="s">
        <v>1033</v>
      </c>
      <c r="P395" s="19" t="s">
        <v>1034</v>
      </c>
      <c r="Q395" s="19" t="s">
        <v>1863</v>
      </c>
      <c r="R395" s="19" t="s">
        <v>1893</v>
      </c>
      <c r="S395" s="19"/>
      <c r="T395" s="19" t="s">
        <v>53</v>
      </c>
      <c r="U395" s="19" t="s">
        <v>80</v>
      </c>
      <c r="V395" s="19" t="s">
        <v>97</v>
      </c>
      <c r="W395" s="19" t="s">
        <v>70</v>
      </c>
      <c r="X395" s="19" t="s">
        <v>154</v>
      </c>
      <c r="Y395" s="19"/>
      <c r="Z395" s="19" t="s">
        <v>1511</v>
      </c>
      <c r="AA395" s="19">
        <v>2</v>
      </c>
      <c r="AB395" s="19">
        <v>2</v>
      </c>
      <c r="AC395" s="19" t="s">
        <v>58</v>
      </c>
      <c r="AD395" s="19" t="s">
        <v>1034</v>
      </c>
      <c r="AE395" s="19" t="s">
        <v>1401</v>
      </c>
      <c r="AF395" s="19"/>
    </row>
    <row r="396" spans="1:34" customHeight="1" ht="42">
      <c r="A396" s="19">
        <v>390</v>
      </c>
      <c r="B396" s="19" t="s">
        <v>1890</v>
      </c>
      <c r="C396" s="19" t="s">
        <v>410</v>
      </c>
      <c r="D396" s="19" t="str">
        <f>HYPERLINK("http://www.henontech.com/fieldsafety/harzard/harzard_show.php?rid=15672&amp;url=harzardrecs.php","脱硫地沟盖板损坏，夜间1人在巡检时右脚不小心采在损坏的盖板上，右脚陷入地沟被盖板划伤。到医院包扎损工半天。")</f>
        <v>脱硫地沟盖板损坏，夜间1人在巡检时右脚不小心采在损坏的盖板上，右脚陷入地沟被盖板划伤。到医院包扎损工半天。</v>
      </c>
      <c r="E396" s="19" t="s">
        <v>1894</v>
      </c>
      <c r="F396" s="20" t="s">
        <v>42</v>
      </c>
      <c r="G396" s="22" t="s">
        <v>63</v>
      </c>
      <c r="H396" s="19" t="s">
        <v>44</v>
      </c>
      <c r="I396" s="19" t="s">
        <v>45</v>
      </c>
      <c r="J396" s="19" t="s">
        <v>46</v>
      </c>
      <c r="K396" s="19" t="s">
        <v>47</v>
      </c>
      <c r="L396" s="19"/>
      <c r="M396" s="19" t="s">
        <v>1033</v>
      </c>
      <c r="N396" s="19" t="s">
        <v>1047</v>
      </c>
      <c r="O396" s="19" t="s">
        <v>1033</v>
      </c>
      <c r="P396" s="19" t="s">
        <v>1034</v>
      </c>
      <c r="Q396" s="19" t="s">
        <v>1798</v>
      </c>
      <c r="R396" s="19" t="s">
        <v>1895</v>
      </c>
      <c r="S396" s="19"/>
      <c r="T396" s="19" t="s">
        <v>53</v>
      </c>
      <c r="U396" s="19" t="s">
        <v>54</v>
      </c>
      <c r="V396" s="19" t="s">
        <v>55</v>
      </c>
      <c r="W396" s="19" t="s">
        <v>56</v>
      </c>
      <c r="X396" s="19" t="s">
        <v>154</v>
      </c>
      <c r="Y396" s="19"/>
      <c r="Z396" s="19" t="s">
        <v>1896</v>
      </c>
      <c r="AA396" s="19">
        <v>2</v>
      </c>
      <c r="AB396" s="19">
        <v>2</v>
      </c>
      <c r="AC396" s="19" t="s">
        <v>58</v>
      </c>
      <c r="AD396" s="19" t="s">
        <v>1034</v>
      </c>
      <c r="AE396" s="19" t="s">
        <v>1897</v>
      </c>
      <c r="AF396" s="19"/>
    </row>
    <row r="397" spans="1:34">
      <c r="A397" s="19">
        <v>391</v>
      </c>
      <c r="B397" s="19" t="s">
        <v>1898</v>
      </c>
      <c r="C397" s="19" t="s">
        <v>118</v>
      </c>
      <c r="D397" s="19" t="str">
        <f>HYPERLINK("http://www.henontech.com/fieldsafety/harzard/harzard_show.php?rid=15796&amp;url=harzardrecs.php","干熄焦主控室防静电皮子破裂，操作工行走时打滑，造成右脚扭伤，送医救治，在家休养7天，损工7天")</f>
        <v>干熄焦主控室防静电皮子破裂，操作工行走时打滑，造成右脚扭伤，送医救治，在家休养7天，损工7天</v>
      </c>
      <c r="E397" s="19" t="s">
        <v>1899</v>
      </c>
      <c r="F397" s="20" t="s">
        <v>42</v>
      </c>
      <c r="G397" s="22" t="s">
        <v>63</v>
      </c>
      <c r="H397" s="19" t="s">
        <v>44</v>
      </c>
      <c r="I397" s="19" t="s">
        <v>120</v>
      </c>
      <c r="J397" s="19" t="s">
        <v>46</v>
      </c>
      <c r="K397" s="19" t="s">
        <v>64</v>
      </c>
      <c r="L397" s="19" t="s">
        <v>76</v>
      </c>
      <c r="M397" s="19" t="s">
        <v>121</v>
      </c>
      <c r="N397" s="19" t="s">
        <v>1900</v>
      </c>
      <c r="O397" s="19" t="s">
        <v>121</v>
      </c>
      <c r="P397" s="19" t="s">
        <v>316</v>
      </c>
      <c r="Q397" s="19" t="s">
        <v>1886</v>
      </c>
      <c r="R397" s="19" t="s">
        <v>681</v>
      </c>
      <c r="S397" s="19" t="s">
        <v>1901</v>
      </c>
      <c r="T397" s="19" t="s">
        <v>53</v>
      </c>
      <c r="U397" s="19" t="s">
        <v>80</v>
      </c>
      <c r="V397" s="19" t="s">
        <v>55</v>
      </c>
      <c r="W397" s="19" t="s">
        <v>81</v>
      </c>
      <c r="X397" s="19" t="s">
        <v>154</v>
      </c>
      <c r="Y397" s="19"/>
      <c r="Z397" s="19" t="s">
        <v>1902</v>
      </c>
      <c r="AA397" s="19">
        <v>1</v>
      </c>
      <c r="AB397" s="19">
        <v>1</v>
      </c>
      <c r="AC397" s="19" t="s">
        <v>58</v>
      </c>
      <c r="AD397" s="19" t="s">
        <v>316</v>
      </c>
      <c r="AE397" s="19" t="s">
        <v>1361</v>
      </c>
      <c r="AF397" s="19"/>
    </row>
    <row r="398" spans="1:34" customHeight="1" ht="42">
      <c r="A398" s="19">
        <v>392</v>
      </c>
      <c r="B398" s="19" t="s">
        <v>1898</v>
      </c>
      <c r="C398" s="19" t="s">
        <v>1903</v>
      </c>
      <c r="D398" s="19" t="str">
        <f>HYPERLINK("http://www.henontech.com/fieldsafety/harzard/harzard_show.php?rid=15855&amp;url=harzardrecs.php","煤厂水沟盖板损坏，夜间1人在巡检时右脚不小心采在损坏的盖板上，右脚陷入水沟被盖板划伤。到医院包扎损工半天")</f>
        <v>煤厂水沟盖板损坏，夜间1人在巡检时右脚不小心采在损坏的盖板上，右脚陷入水沟被盖板划伤。到医院包扎损工半天</v>
      </c>
      <c r="E398" s="19" t="s">
        <v>1904</v>
      </c>
      <c r="F398" s="20" t="s">
        <v>42</v>
      </c>
      <c r="G398" s="22" t="s">
        <v>63</v>
      </c>
      <c r="H398" s="19" t="s">
        <v>44</v>
      </c>
      <c r="I398" s="19" t="s">
        <v>108</v>
      </c>
      <c r="J398" s="19" t="s">
        <v>46</v>
      </c>
      <c r="K398" s="19" t="s">
        <v>110</v>
      </c>
      <c r="L398" s="19" t="s">
        <v>76</v>
      </c>
      <c r="M398" s="19" t="s">
        <v>364</v>
      </c>
      <c r="N398" s="19" t="s">
        <v>1905</v>
      </c>
      <c r="O398" s="19" t="s">
        <v>364</v>
      </c>
      <c r="P398" s="19" t="s">
        <v>425</v>
      </c>
      <c r="Q398" s="19" t="s">
        <v>1694</v>
      </c>
      <c r="R398" s="19" t="s">
        <v>1906</v>
      </c>
      <c r="S398" s="19"/>
      <c r="T398" s="19" t="s">
        <v>53</v>
      </c>
      <c r="U398" s="19" t="s">
        <v>54</v>
      </c>
      <c r="V398" s="19" t="s">
        <v>55</v>
      </c>
      <c r="W398" s="19" t="s">
        <v>56</v>
      </c>
      <c r="X398" s="19" t="s">
        <v>126</v>
      </c>
      <c r="Y398" s="19" t="s">
        <v>126</v>
      </c>
      <c r="Z398" s="19" t="s">
        <v>1907</v>
      </c>
      <c r="AA398" s="19">
        <v>2</v>
      </c>
      <c r="AB398" s="19">
        <v>2</v>
      </c>
      <c r="AC398" s="19" t="s">
        <v>58</v>
      </c>
      <c r="AD398" s="19" t="s">
        <v>425</v>
      </c>
      <c r="AE398" s="19" t="s">
        <v>1361</v>
      </c>
      <c r="AF398" s="19"/>
    </row>
    <row r="399" spans="1:34">
      <c r="A399" s="19">
        <v>393</v>
      </c>
      <c r="B399" s="19" t="s">
        <v>1908</v>
      </c>
      <c r="C399" s="19" t="s">
        <v>408</v>
      </c>
      <c r="D399" s="19" t="str">
        <f>HYPERLINK("http://www.henontech.com/fieldsafety/harzard/harzard_show.php?rid=16001&amp;url=harzardrecs.php","一名操作工需要到管架开关阀门时，由于爬梯支架断裂造成操作工坠落。")</f>
        <v>一名操作工需要到管架开关阀门时，由于爬梯支架断裂造成操作工坠落。</v>
      </c>
      <c r="E399" s="19" t="s">
        <v>1909</v>
      </c>
      <c r="F399" s="20" t="s">
        <v>42</v>
      </c>
      <c r="G399" s="22" t="s">
        <v>63</v>
      </c>
      <c r="H399" s="19" t="s">
        <v>44</v>
      </c>
      <c r="I399" s="19" t="s">
        <v>45</v>
      </c>
      <c r="J399" s="19" t="s">
        <v>46</v>
      </c>
      <c r="K399" s="19" t="s">
        <v>47</v>
      </c>
      <c r="L399" s="19"/>
      <c r="M399" s="19" t="s">
        <v>48</v>
      </c>
      <c r="N399" s="19" t="s">
        <v>1016</v>
      </c>
      <c r="O399" s="19" t="s">
        <v>48</v>
      </c>
      <c r="P399" s="19" t="s">
        <v>50</v>
      </c>
      <c r="Q399" s="19" t="s">
        <v>1798</v>
      </c>
      <c r="R399" s="19" t="s">
        <v>1910</v>
      </c>
      <c r="S399" s="19"/>
      <c r="T399" s="19" t="s">
        <v>53</v>
      </c>
      <c r="U399" s="19" t="s">
        <v>80</v>
      </c>
      <c r="V399" s="19" t="s">
        <v>55</v>
      </c>
      <c r="W399" s="19" t="s">
        <v>81</v>
      </c>
      <c r="X399" s="19"/>
      <c r="Y399" s="19"/>
      <c r="Z399" s="19" t="s">
        <v>1911</v>
      </c>
      <c r="AA399" s="19">
        <v>1</v>
      </c>
      <c r="AB399" s="19">
        <v>1</v>
      </c>
      <c r="AC399" s="19" t="s">
        <v>58</v>
      </c>
      <c r="AD399" s="19" t="s">
        <v>50</v>
      </c>
      <c r="AE399" s="19" t="s">
        <v>1649</v>
      </c>
      <c r="AF399" s="19"/>
    </row>
    <row r="400" spans="1:34" customHeight="1" ht="42">
      <c r="A400" s="19">
        <v>394</v>
      </c>
      <c r="B400" s="19" t="s">
        <v>1912</v>
      </c>
      <c r="C400" s="19" t="s">
        <v>1913</v>
      </c>
      <c r="D400" s="19" t="str">
        <f>HYPERLINK("http://www.henontech.com/fieldsafety/harzard/harzard_show.php?rid=16038&amp;url=harzardrecs.php","一名员工在一号冷灰机放灰时大量炉灰喷溅躲闪及时未造成人员伤害")</f>
        <v>一名员工在一号冷灰机放灰时大量炉灰喷溅躲闪及时未造成人员伤害</v>
      </c>
      <c r="E400" s="19" t="s">
        <v>1914</v>
      </c>
      <c r="F400" s="20" t="s">
        <v>42</v>
      </c>
      <c r="G400" s="22" t="s">
        <v>63</v>
      </c>
      <c r="H400" s="19" t="s">
        <v>44</v>
      </c>
      <c r="I400" s="19"/>
      <c r="J400" s="19" t="s">
        <v>46</v>
      </c>
      <c r="K400" s="19" t="s">
        <v>64</v>
      </c>
      <c r="L400" s="19"/>
      <c r="M400" s="19" t="s">
        <v>1033</v>
      </c>
      <c r="N400" s="19" t="s">
        <v>1554</v>
      </c>
      <c r="O400" s="19" t="s">
        <v>1033</v>
      </c>
      <c r="P400" s="19" t="s">
        <v>1034</v>
      </c>
      <c r="Q400" s="19" t="s">
        <v>1798</v>
      </c>
      <c r="R400" s="19" t="s">
        <v>1915</v>
      </c>
      <c r="S400" s="19"/>
      <c r="T400" s="19" t="s">
        <v>53</v>
      </c>
      <c r="U400" s="19" t="s">
        <v>202</v>
      </c>
      <c r="V400" s="19" t="s">
        <v>55</v>
      </c>
      <c r="W400" s="19" t="s">
        <v>56</v>
      </c>
      <c r="X400" s="19" t="s">
        <v>154</v>
      </c>
      <c r="Y400" s="19"/>
      <c r="Z400" s="19" t="s">
        <v>1916</v>
      </c>
      <c r="AA400" s="19">
        <v>2</v>
      </c>
      <c r="AB400" s="19">
        <v>2</v>
      </c>
      <c r="AC400" s="19" t="s">
        <v>58</v>
      </c>
      <c r="AD400" s="19" t="s">
        <v>1034</v>
      </c>
      <c r="AE400" s="19" t="s">
        <v>1401</v>
      </c>
      <c r="AF400" s="19"/>
    </row>
    <row r="401" spans="1:34">
      <c r="A401" s="19">
        <v>395</v>
      </c>
      <c r="B401" s="19" t="s">
        <v>1912</v>
      </c>
      <c r="C401" s="19" t="s">
        <v>74</v>
      </c>
      <c r="D401" s="19" t="str">
        <f>HYPERLINK("http://www.henontech.com/fieldsafety/harzard/harzard_show.php?rid=16052&amp;url=harzardrecs.php","液下泵蒸汽阀门垫子坏，蒸汽外漏。如果操作工在开阀门时被喷出蒸汽烫伤左手臂，去医务室简单处理后正常上班")</f>
        <v>液下泵蒸汽阀门垫子坏，蒸汽外漏。如果操作工在开阀门时被喷出蒸汽烫伤左手臂，去医务室简单处理后正常上班</v>
      </c>
      <c r="E401" s="19" t="s">
        <v>1917</v>
      </c>
      <c r="F401" s="20" t="s">
        <v>42</v>
      </c>
      <c r="G401" s="22" t="s">
        <v>63</v>
      </c>
      <c r="H401" s="19" t="s">
        <v>44</v>
      </c>
      <c r="I401" s="19" t="s">
        <v>108</v>
      </c>
      <c r="J401" s="19" t="s">
        <v>46</v>
      </c>
      <c r="K401" s="19" t="s">
        <v>47</v>
      </c>
      <c r="L401" s="19" t="s">
        <v>76</v>
      </c>
      <c r="M401" s="19" t="s">
        <v>48</v>
      </c>
      <c r="N401" s="19" t="s">
        <v>1918</v>
      </c>
      <c r="O401" s="19" t="s">
        <v>48</v>
      </c>
      <c r="P401" s="19" t="s">
        <v>50</v>
      </c>
      <c r="Q401" s="19" t="s">
        <v>1798</v>
      </c>
      <c r="R401" s="19" t="s">
        <v>1919</v>
      </c>
      <c r="S401" s="19"/>
      <c r="T401" s="19" t="s">
        <v>53</v>
      </c>
      <c r="U401" s="19" t="s">
        <v>54</v>
      </c>
      <c r="V401" s="19" t="s">
        <v>97</v>
      </c>
      <c r="W401" s="19" t="s">
        <v>81</v>
      </c>
      <c r="X401" s="19"/>
      <c r="Y401" s="19"/>
      <c r="Z401" s="19" t="s">
        <v>1920</v>
      </c>
      <c r="AA401" s="19">
        <v>1</v>
      </c>
      <c r="AB401" s="19">
        <v>1</v>
      </c>
      <c r="AC401" s="19" t="s">
        <v>58</v>
      </c>
      <c r="AD401" s="19" t="s">
        <v>50</v>
      </c>
      <c r="AE401" s="19" t="s">
        <v>1503</v>
      </c>
      <c r="AF401" s="19"/>
    </row>
    <row r="402" spans="1:34" customHeight="1" ht="42">
      <c r="A402" s="19">
        <v>396</v>
      </c>
      <c r="B402" s="19" t="s">
        <v>1912</v>
      </c>
      <c r="C402" s="19" t="s">
        <v>1921</v>
      </c>
      <c r="D402" s="19" t="str">
        <f>HYPERLINK("http://www.henontech.com/fieldsafety/harzard/harzard_show.php?rid=16187&amp;url=harzardrecs.php","维修工在结晶槽顶工作时，不小心扳手滑落砸到一名巡检工肩膀，住院治疗7天，损工一月")</f>
        <v>维修工在结晶槽顶工作时，不小心扳手滑落砸到一名巡检工肩膀，住院治疗7天，损工一月</v>
      </c>
      <c r="E402" s="19" t="s">
        <v>1922</v>
      </c>
      <c r="F402" s="20" t="s">
        <v>42</v>
      </c>
      <c r="G402" s="22" t="s">
        <v>63</v>
      </c>
      <c r="H402" s="19" t="s">
        <v>44</v>
      </c>
      <c r="I402" s="19" t="s">
        <v>108</v>
      </c>
      <c r="J402" s="19" t="s">
        <v>46</v>
      </c>
      <c r="K402" s="19" t="s">
        <v>47</v>
      </c>
      <c r="L402" s="19" t="s">
        <v>76</v>
      </c>
      <c r="M402" s="19" t="s">
        <v>1033</v>
      </c>
      <c r="N402" s="19" t="s">
        <v>1279</v>
      </c>
      <c r="O402" s="19" t="s">
        <v>1033</v>
      </c>
      <c r="P402" s="19" t="s">
        <v>1034</v>
      </c>
      <c r="Q402" s="19" t="s">
        <v>1457</v>
      </c>
      <c r="R402" s="19" t="s">
        <v>1923</v>
      </c>
      <c r="S402" s="19"/>
      <c r="T402" s="19" t="s">
        <v>53</v>
      </c>
      <c r="U402" s="19" t="s">
        <v>54</v>
      </c>
      <c r="V402" s="19" t="s">
        <v>97</v>
      </c>
      <c r="W402" s="19" t="s">
        <v>81</v>
      </c>
      <c r="X402" s="19" t="s">
        <v>154</v>
      </c>
      <c r="Y402" s="19"/>
      <c r="Z402" s="19" t="s">
        <v>1924</v>
      </c>
      <c r="AA402" s="19">
        <v>2</v>
      </c>
      <c r="AB402" s="19">
        <v>2</v>
      </c>
      <c r="AC402" s="19" t="s">
        <v>58</v>
      </c>
      <c r="AD402" s="19" t="s">
        <v>1034</v>
      </c>
      <c r="AE402" s="19" t="s">
        <v>1897</v>
      </c>
      <c r="AF402" s="19"/>
    </row>
    <row r="403" spans="1:34">
      <c r="A403" s="19">
        <v>397</v>
      </c>
      <c r="B403" s="19" t="s">
        <v>1912</v>
      </c>
      <c r="C403" s="19" t="s">
        <v>1925</v>
      </c>
      <c r="D403" s="19" t="str">
        <f>HYPERLINK("http://www.henontech.com/fieldsafety/harzard/harzard_show.php?rid=16196&amp;url=harzardrecs.php","一外协人员在南脱硫南框架上，紧固螺栓，因安全带未规范使用（高挂低用 ），在紧固螺栓时，因用力过猛滑扳，导致脚下站立不稳滑倒，被安全带勒伤腰部，送医治疗三天。休息五天上班。")</f>
        <v>一外协人员在南脱硫南框架上，紧固螺栓，因安全带未规范使用（高挂低用 ），在紧固螺栓时，因用力过猛滑扳，导致脚下站立不稳滑倒，被安全带勒伤腰部，送医治疗三天。休息五天上班。</v>
      </c>
      <c r="E403" s="19" t="s">
        <v>1926</v>
      </c>
      <c r="F403" s="20" t="s">
        <v>42</v>
      </c>
      <c r="G403" s="21" t="s">
        <v>43</v>
      </c>
      <c r="H403" s="19" t="s">
        <v>44</v>
      </c>
      <c r="I403" s="19" t="s">
        <v>45</v>
      </c>
      <c r="J403" s="19" t="s">
        <v>109</v>
      </c>
      <c r="K403" s="19" t="s">
        <v>47</v>
      </c>
      <c r="L403" s="19" t="s">
        <v>76</v>
      </c>
      <c r="M403" s="19" t="s">
        <v>48</v>
      </c>
      <c r="N403" s="19" t="s">
        <v>65</v>
      </c>
      <c r="O403" s="19" t="s">
        <v>48</v>
      </c>
      <c r="P403" s="19" t="s">
        <v>50</v>
      </c>
      <c r="Q403" s="19" t="s">
        <v>1576</v>
      </c>
      <c r="R403" s="19" t="s">
        <v>1927</v>
      </c>
      <c r="S403" s="19"/>
      <c r="T403" s="19" t="s">
        <v>53</v>
      </c>
      <c r="U403" s="19" t="s">
        <v>80</v>
      </c>
      <c r="V403" s="19" t="s">
        <v>97</v>
      </c>
      <c r="W403" s="19" t="s">
        <v>70</v>
      </c>
      <c r="X403" s="19"/>
      <c r="Y403" s="19"/>
      <c r="Z403" s="19" t="s">
        <v>1928</v>
      </c>
      <c r="AA403" s="19">
        <v>1</v>
      </c>
      <c r="AB403" s="19">
        <v>1</v>
      </c>
      <c r="AC403" s="19" t="s">
        <v>58</v>
      </c>
      <c r="AD403" s="19" t="s">
        <v>50</v>
      </c>
      <c r="AE403" s="19" t="s">
        <v>1649</v>
      </c>
      <c r="AF403" s="19"/>
    </row>
    <row r="404" spans="1:34">
      <c r="A404" s="19">
        <v>398</v>
      </c>
      <c r="B404" s="19" t="s">
        <v>1912</v>
      </c>
      <c r="C404" s="19" t="s">
        <v>1913</v>
      </c>
      <c r="D404" s="19" t="str">
        <f>HYPERLINK("http://www.henontech.com/fieldsafety/harzard/harzard_show.php?rid=16220&amp;url=harzardrecs.php","75T锅炉渣库爬梯未加防滑钢筋，一名操作工在爬爬梯准备放渣时，由于雨天爬梯湿滑不小心从爬梯处滑下，造成左臂和左小腿骨折，同事送医院治疗。")</f>
        <v>75T锅炉渣库爬梯未加防滑钢筋，一名操作工在爬爬梯准备放渣时，由于雨天爬梯湿滑不小心从爬梯处滑下，造成左臂和左小腿骨折，同事送医院治疗。</v>
      </c>
      <c r="E404" s="19" t="s">
        <v>1929</v>
      </c>
      <c r="F404" s="23" t="s">
        <v>304</v>
      </c>
      <c r="G404" s="22" t="s">
        <v>63</v>
      </c>
      <c r="H404" s="19" t="s">
        <v>44</v>
      </c>
      <c r="I404" s="19" t="s">
        <v>108</v>
      </c>
      <c r="J404" s="19" t="s">
        <v>46</v>
      </c>
      <c r="K404" s="19" t="s">
        <v>110</v>
      </c>
      <c r="L404" s="19" t="s">
        <v>76</v>
      </c>
      <c r="M404" s="19" t="s">
        <v>1033</v>
      </c>
      <c r="N404" s="19" t="s">
        <v>1763</v>
      </c>
      <c r="O404" s="19"/>
      <c r="P404" s="19"/>
      <c r="Q404" s="19"/>
      <c r="R404" s="19" t="s">
        <v>1930</v>
      </c>
      <c r="S404" s="19" t="s">
        <v>1372</v>
      </c>
      <c r="T404" s="19" t="s">
        <v>53</v>
      </c>
      <c r="U404" s="19" t="s">
        <v>80</v>
      </c>
      <c r="V404" s="19" t="s">
        <v>97</v>
      </c>
      <c r="W404" s="19" t="s">
        <v>70</v>
      </c>
      <c r="X404" s="19"/>
      <c r="Y404" s="19"/>
      <c r="Z404" s="19"/>
      <c r="AA404" s="19">
        <v>0</v>
      </c>
      <c r="AB404" s="19"/>
      <c r="AC404" s="19" t="s">
        <v>308</v>
      </c>
      <c r="AD404" s="19"/>
      <c r="AE404" s="19"/>
      <c r="AF404" s="19"/>
    </row>
    <row r="405" spans="1:34">
      <c r="A405" s="19">
        <v>399</v>
      </c>
      <c r="B405" s="19" t="s">
        <v>1858</v>
      </c>
      <c r="C405" s="19" t="s">
        <v>1460</v>
      </c>
      <c r="D405" s="19" t="str">
        <f>HYPERLINK("http://www.henontech.com/fieldsafety/harzard/harzard_show.php?rid=16239&amp;url=harzardrecs.php","一维修工在修理絮凝剂加药管时药液喷出，溅入眼中")</f>
        <v>一维修工在修理絮凝剂加药管时药液喷出，溅入眼中</v>
      </c>
      <c r="E405" s="19" t="s">
        <v>1931</v>
      </c>
      <c r="F405" s="23" t="s">
        <v>304</v>
      </c>
      <c r="G405" s="22" t="s">
        <v>63</v>
      </c>
      <c r="H405" s="19" t="s">
        <v>44</v>
      </c>
      <c r="I405" s="19"/>
      <c r="J405" s="19" t="s">
        <v>531</v>
      </c>
      <c r="K405" s="19" t="s">
        <v>64</v>
      </c>
      <c r="L405" s="19"/>
      <c r="M405" s="19" t="s">
        <v>1033</v>
      </c>
      <c r="N405" s="19" t="s">
        <v>1549</v>
      </c>
      <c r="O405" s="19"/>
      <c r="P405" s="19"/>
      <c r="Q405" s="19"/>
      <c r="R405" s="19" t="s">
        <v>1767</v>
      </c>
      <c r="S405" s="19" t="s">
        <v>1372</v>
      </c>
      <c r="T405" s="19" t="s">
        <v>53</v>
      </c>
      <c r="U405" s="19" t="s">
        <v>54</v>
      </c>
      <c r="V405" s="19" t="s">
        <v>55</v>
      </c>
      <c r="W405" s="19" t="s">
        <v>56</v>
      </c>
      <c r="X405" s="19"/>
      <c r="Y405" s="19"/>
      <c r="Z405" s="19"/>
      <c r="AA405" s="19">
        <v>0</v>
      </c>
      <c r="AB405" s="19"/>
      <c r="AC405" s="19" t="s">
        <v>308</v>
      </c>
      <c r="AD405" s="19"/>
      <c r="AE405" s="19"/>
      <c r="AF405" s="19"/>
    </row>
    <row r="406" spans="1:34">
      <c r="A406" s="19">
        <v>400</v>
      </c>
      <c r="B406" s="19" t="s">
        <v>1858</v>
      </c>
      <c r="C406" s="19" t="s">
        <v>1932</v>
      </c>
      <c r="D406" s="19" t="str">
        <f>HYPERLINK("http://www.henontech.com/fieldsafety/harzard/harzard_show.php?rid=16240&amp;url=harzardrecs.php","二楼离心机下液管法兰垫子破损，当操作工开机出料时，下液管中母液从破损处喷溅，造成眼部轻度灼伤，送医治疗，损工7天。")</f>
        <v>二楼离心机下液管法兰垫子破损，当操作工开机出料时，下液管中母液从破损处喷溅，造成眼部轻度灼伤，送医治疗，损工7天。</v>
      </c>
      <c r="E406" s="19" t="s">
        <v>1933</v>
      </c>
      <c r="F406" s="20" t="s">
        <v>42</v>
      </c>
      <c r="G406" s="22" t="s">
        <v>63</v>
      </c>
      <c r="H406" s="19" t="s">
        <v>44</v>
      </c>
      <c r="I406" s="19" t="s">
        <v>45</v>
      </c>
      <c r="J406" s="19" t="s">
        <v>46</v>
      </c>
      <c r="K406" s="19" t="s">
        <v>64</v>
      </c>
      <c r="L406" s="19" t="s">
        <v>76</v>
      </c>
      <c r="M406" s="19" t="s">
        <v>48</v>
      </c>
      <c r="N406" s="19" t="s">
        <v>526</v>
      </c>
      <c r="O406" s="19" t="s">
        <v>48</v>
      </c>
      <c r="P406" s="19" t="s">
        <v>50</v>
      </c>
      <c r="Q406" s="19" t="s">
        <v>1576</v>
      </c>
      <c r="R406" s="19" t="s">
        <v>1934</v>
      </c>
      <c r="S406" s="19"/>
      <c r="T406" s="19" t="s">
        <v>53</v>
      </c>
      <c r="U406" s="19" t="s">
        <v>80</v>
      </c>
      <c r="V406" s="19" t="s">
        <v>97</v>
      </c>
      <c r="W406" s="19" t="s">
        <v>70</v>
      </c>
      <c r="X406" s="19"/>
      <c r="Y406" s="19"/>
      <c r="Z406" s="19" t="s">
        <v>1935</v>
      </c>
      <c r="AA406" s="19">
        <v>1</v>
      </c>
      <c r="AB406" s="19">
        <v>1</v>
      </c>
      <c r="AC406" s="19" t="s">
        <v>58</v>
      </c>
      <c r="AD406" s="19" t="s">
        <v>50</v>
      </c>
      <c r="AE406" s="19" t="s">
        <v>1649</v>
      </c>
      <c r="AF406" s="19"/>
    </row>
    <row r="407" spans="1:34">
      <c r="A407" s="19">
        <v>401</v>
      </c>
      <c r="B407" s="19" t="s">
        <v>1858</v>
      </c>
      <c r="C407" s="19" t="s">
        <v>1925</v>
      </c>
      <c r="D407" s="19" t="str">
        <f>HYPERLINK("http://www.henontech.com/fieldsafety/harzard/harzard_show.php?rid=16241&amp;url=harzardrecs.php","南脱硫循环槽上部人孔处，用于气体置换的轴流风扇电缆接头破损，如果遇到雷雨天气，电缆接头遇水连电，造成一名正在循环槽巡检的操作人员触电休克，送医治疗一周后康复。")</f>
        <v>南脱硫循环槽上部人孔处，用于气体置换的轴流风扇电缆接头破损，如果遇到雷雨天气，电缆接头遇水连电，造成一名正在循环槽巡检的操作人员触电休克，送医治疗一周后康复。</v>
      </c>
      <c r="E407" s="19" t="s">
        <v>1936</v>
      </c>
      <c r="F407" s="20" t="s">
        <v>42</v>
      </c>
      <c r="G407" s="22" t="s">
        <v>63</v>
      </c>
      <c r="H407" s="19" t="s">
        <v>44</v>
      </c>
      <c r="I407" s="19" t="s">
        <v>45</v>
      </c>
      <c r="J407" s="19" t="s">
        <v>46</v>
      </c>
      <c r="K407" s="19"/>
      <c r="L407" s="19"/>
      <c r="M407" s="19" t="s">
        <v>48</v>
      </c>
      <c r="N407" s="19" t="s">
        <v>817</v>
      </c>
      <c r="O407" s="19" t="s">
        <v>48</v>
      </c>
      <c r="P407" s="19" t="s">
        <v>50</v>
      </c>
      <c r="Q407" s="19" t="s">
        <v>1576</v>
      </c>
      <c r="R407" s="19" t="s">
        <v>1937</v>
      </c>
      <c r="S407" s="19"/>
      <c r="T407" s="19" t="s">
        <v>53</v>
      </c>
      <c r="U407" s="19" t="s">
        <v>80</v>
      </c>
      <c r="V407" s="19" t="s">
        <v>97</v>
      </c>
      <c r="W407" s="19" t="s">
        <v>70</v>
      </c>
      <c r="X407" s="19"/>
      <c r="Y407" s="19"/>
      <c r="Z407" s="19" t="s">
        <v>1938</v>
      </c>
      <c r="AA407" s="19">
        <v>1</v>
      </c>
      <c r="AB407" s="19">
        <v>1</v>
      </c>
      <c r="AC407" s="19" t="s">
        <v>58</v>
      </c>
      <c r="AD407" s="19" t="s">
        <v>50</v>
      </c>
      <c r="AE407" s="19" t="s">
        <v>1649</v>
      </c>
      <c r="AF407" s="19"/>
    </row>
    <row r="408" spans="1:34" customHeight="1" ht="42">
      <c r="A408" s="19">
        <v>402</v>
      </c>
      <c r="B408" s="19" t="s">
        <v>1858</v>
      </c>
      <c r="C408" s="19" t="s">
        <v>1913</v>
      </c>
      <c r="D408" s="19" t="str">
        <f>HYPERLINK("http://www.henontech.com/fieldsafety/harzard/harzard_show.php?rid=16242&amp;url=harzardrecs.php","一名操作工在巡检时，不慎被乱放的电缆架盖板给绊倒，造成右手前臂骨折。")</f>
        <v>一名操作工在巡检时，不慎被乱放的电缆架盖板给绊倒，造成右手前臂骨折。</v>
      </c>
      <c r="E408" s="19" t="s">
        <v>1939</v>
      </c>
      <c r="F408" s="25" t="s">
        <v>1455</v>
      </c>
      <c r="G408" s="22" t="s">
        <v>63</v>
      </c>
      <c r="H408" s="19" t="s">
        <v>44</v>
      </c>
      <c r="I408" s="19" t="s">
        <v>45</v>
      </c>
      <c r="J408" s="19" t="s">
        <v>46</v>
      </c>
      <c r="K408" s="19" t="s">
        <v>47</v>
      </c>
      <c r="L408" s="19"/>
      <c r="M408" s="19" t="s">
        <v>1033</v>
      </c>
      <c r="N408" s="19" t="s">
        <v>1940</v>
      </c>
      <c r="O408" s="19" t="s">
        <v>1033</v>
      </c>
      <c r="P408" s="19" t="s">
        <v>1464</v>
      </c>
      <c r="Q408" s="19" t="s">
        <v>1457</v>
      </c>
      <c r="R408" s="19" t="s">
        <v>1941</v>
      </c>
      <c r="S408" s="19"/>
      <c r="T408" s="19" t="s">
        <v>53</v>
      </c>
      <c r="U408" s="19" t="s">
        <v>80</v>
      </c>
      <c r="V408" s="19" t="s">
        <v>97</v>
      </c>
      <c r="W408" s="19" t="s">
        <v>70</v>
      </c>
      <c r="X408" s="19" t="s">
        <v>154</v>
      </c>
      <c r="Y408" s="19"/>
      <c r="Z408" s="19" t="s">
        <v>1942</v>
      </c>
      <c r="AA408" s="19">
        <v>2</v>
      </c>
      <c r="AB408" s="19"/>
      <c r="AC408" s="19" t="s">
        <v>308</v>
      </c>
      <c r="AD408" s="19"/>
      <c r="AE408" s="19"/>
      <c r="AF408" s="19"/>
    </row>
    <row r="409" spans="1:34" customHeight="1" ht="42">
      <c r="A409" s="19">
        <v>403</v>
      </c>
      <c r="B409" s="19" t="s">
        <v>1858</v>
      </c>
      <c r="C409" s="19" t="s">
        <v>1740</v>
      </c>
      <c r="D409" s="19" t="str">
        <f>HYPERLINK("http://www.henontech.com/fieldsafety/harzard/harzard_show.php?rid=16243&amp;url=harzardrecs.php","一员工夜间巡检时，不慎被梯子拌倒，面部着地，碰掉门牙一颗，住院治疗IO天。")</f>
        <v>一员工夜间巡检时，不慎被梯子拌倒，面部着地，碰掉门牙一颗，住院治疗IO天。</v>
      </c>
      <c r="E409" s="19" t="s">
        <v>1943</v>
      </c>
      <c r="F409" s="20" t="s">
        <v>42</v>
      </c>
      <c r="G409" s="22" t="s">
        <v>63</v>
      </c>
      <c r="H409" s="19" t="s">
        <v>44</v>
      </c>
      <c r="I409" s="19" t="s">
        <v>120</v>
      </c>
      <c r="J409" s="19" t="s">
        <v>46</v>
      </c>
      <c r="K409" s="19" t="s">
        <v>64</v>
      </c>
      <c r="L409" s="19" t="s">
        <v>76</v>
      </c>
      <c r="M409" s="19" t="s">
        <v>1033</v>
      </c>
      <c r="N409" s="19" t="s">
        <v>1742</v>
      </c>
      <c r="O409" s="19" t="s">
        <v>1033</v>
      </c>
      <c r="P409" s="19" t="s">
        <v>1034</v>
      </c>
      <c r="Q409" s="19" t="s">
        <v>1457</v>
      </c>
      <c r="R409" s="19" t="s">
        <v>1944</v>
      </c>
      <c r="S409" s="19"/>
      <c r="T409" s="19" t="s">
        <v>53</v>
      </c>
      <c r="U409" s="19" t="s">
        <v>80</v>
      </c>
      <c r="V409" s="19" t="s">
        <v>97</v>
      </c>
      <c r="W409" s="19" t="s">
        <v>70</v>
      </c>
      <c r="X409" s="19" t="s">
        <v>154</v>
      </c>
      <c r="Y409" s="19"/>
      <c r="Z409" s="19" t="s">
        <v>1945</v>
      </c>
      <c r="AA409" s="19">
        <v>2</v>
      </c>
      <c r="AB409" s="19">
        <v>2</v>
      </c>
      <c r="AC409" s="19" t="s">
        <v>58</v>
      </c>
      <c r="AD409" s="19" t="s">
        <v>1034</v>
      </c>
      <c r="AE409" s="19" t="s">
        <v>1401</v>
      </c>
      <c r="AF409" s="19"/>
    </row>
    <row r="410" spans="1:34">
      <c r="A410" s="19">
        <v>404</v>
      </c>
      <c r="B410" s="19" t="s">
        <v>1858</v>
      </c>
      <c r="C410" s="19" t="s">
        <v>1729</v>
      </c>
      <c r="D410" s="19" t="str">
        <f>HYPERLINK("http://www.henontech.com/fieldsafety/harzard/harzard_show.php?rid=16285&amp;url=harzardrecs.php","脱硫循环水池地沟盖板腐蚀严重，人员在巡检时不小心可能踩空，磕伤右脚，去医务室处理，不影响正常上班！")</f>
        <v>脱硫循环水池地沟盖板腐蚀严重，人员在巡检时不小心可能踩空，磕伤右脚，去医务室处理，不影响正常上班！</v>
      </c>
      <c r="E410" s="19" t="s">
        <v>1946</v>
      </c>
      <c r="F410" s="23" t="s">
        <v>304</v>
      </c>
      <c r="G410" s="22" t="s">
        <v>63</v>
      </c>
      <c r="H410" s="19" t="s">
        <v>44</v>
      </c>
      <c r="I410" s="19" t="s">
        <v>45</v>
      </c>
      <c r="J410" s="19" t="s">
        <v>109</v>
      </c>
      <c r="K410" s="19" t="s">
        <v>110</v>
      </c>
      <c r="L410" s="19" t="s">
        <v>76</v>
      </c>
      <c r="M410" s="19" t="s">
        <v>1033</v>
      </c>
      <c r="N410" s="19" t="s">
        <v>731</v>
      </c>
      <c r="O410" s="19"/>
      <c r="P410" s="19"/>
      <c r="Q410" s="19"/>
      <c r="R410" s="19" t="s">
        <v>1947</v>
      </c>
      <c r="S410" s="19" t="s">
        <v>1948</v>
      </c>
      <c r="T410" s="19" t="s">
        <v>53</v>
      </c>
      <c r="U410" s="19" t="s">
        <v>54</v>
      </c>
      <c r="V410" s="19" t="s">
        <v>55</v>
      </c>
      <c r="W410" s="19" t="s">
        <v>56</v>
      </c>
      <c r="X410" s="19"/>
      <c r="Y410" s="19"/>
      <c r="Z410" s="19"/>
      <c r="AA410" s="19">
        <v>0</v>
      </c>
      <c r="AB410" s="19"/>
      <c r="AC410" s="19" t="s">
        <v>308</v>
      </c>
      <c r="AD410" s="19"/>
      <c r="AE410" s="19"/>
      <c r="AF410" s="19"/>
    </row>
    <row r="411" spans="1:34">
      <c r="A411" s="19">
        <v>405</v>
      </c>
      <c r="B411" s="19" t="s">
        <v>1858</v>
      </c>
      <c r="C411" s="19" t="s">
        <v>1949</v>
      </c>
      <c r="D411" s="19" t="str">
        <f>HYPERLINK("http://www.henontech.com/fieldsafety/harzard/harzard_show.php?rid=16294&amp;url=harzardrecs.php","危废库北库房内220∨照明灯连接管处断裂，线头外露。如果一名操作工在进入库房内开灯时可能引起灯头处电线短路，造成人员触电死亡。")</f>
        <v>危废库北库房内220∨照明灯连接管处断裂，线头外露。如果一名操作工在进入库房内开灯时可能引起灯头处电线短路，造成人员触电死亡。</v>
      </c>
      <c r="E411" s="19" t="s">
        <v>883</v>
      </c>
      <c r="F411" s="20" t="s">
        <v>42</v>
      </c>
      <c r="G411" s="21" t="s">
        <v>43</v>
      </c>
      <c r="H411" s="19" t="s">
        <v>44</v>
      </c>
      <c r="I411" s="19" t="s">
        <v>108</v>
      </c>
      <c r="J411" s="19" t="s">
        <v>311</v>
      </c>
      <c r="K411" s="19" t="s">
        <v>64</v>
      </c>
      <c r="L411" s="19" t="s">
        <v>76</v>
      </c>
      <c r="M411" s="19" t="s">
        <v>48</v>
      </c>
      <c r="N411" s="19" t="s">
        <v>464</v>
      </c>
      <c r="O411" s="19" t="s">
        <v>48</v>
      </c>
      <c r="P411" s="19" t="s">
        <v>50</v>
      </c>
      <c r="Q411" s="19" t="s">
        <v>1576</v>
      </c>
      <c r="R411" s="19" t="s">
        <v>1950</v>
      </c>
      <c r="S411" s="19"/>
      <c r="T411" s="19" t="s">
        <v>53</v>
      </c>
      <c r="U411" s="19" t="s">
        <v>236</v>
      </c>
      <c r="V411" s="19" t="s">
        <v>97</v>
      </c>
      <c r="W411" s="19" t="s">
        <v>190</v>
      </c>
      <c r="X411" s="19"/>
      <c r="Y411" s="19"/>
      <c r="Z411" s="19" t="s">
        <v>591</v>
      </c>
      <c r="AA411" s="19">
        <v>1</v>
      </c>
      <c r="AB411" s="19">
        <v>1</v>
      </c>
      <c r="AC411" s="19" t="s">
        <v>58</v>
      </c>
      <c r="AD411" s="19" t="s">
        <v>50</v>
      </c>
      <c r="AE411" s="19" t="s">
        <v>1649</v>
      </c>
      <c r="AF411" s="19"/>
    </row>
    <row r="412" spans="1:34">
      <c r="A412" s="19">
        <v>406</v>
      </c>
      <c r="B412" s="19" t="s">
        <v>1858</v>
      </c>
      <c r="C412" s="19" t="s">
        <v>1891</v>
      </c>
      <c r="D412" s="19" t="str">
        <f>HYPERLINK("http://www.henontech.com/fieldsafety/harzard/harzard_show.php?rid=16311&amp;url=harzardrecs.php","污水超滤处管线断裂，操作人员没有及时发现，超滤设备无法开启")</f>
        <v>污水超滤处管线断裂，操作人员没有及时发现，超滤设备无法开启</v>
      </c>
      <c r="E412" s="19" t="s">
        <v>1951</v>
      </c>
      <c r="F412" s="23" t="s">
        <v>304</v>
      </c>
      <c r="G412" s="22" t="s">
        <v>63</v>
      </c>
      <c r="H412" s="19" t="s">
        <v>44</v>
      </c>
      <c r="I412" s="19" t="s">
        <v>45</v>
      </c>
      <c r="J412" s="19" t="s">
        <v>46</v>
      </c>
      <c r="K412" s="19"/>
      <c r="L412" s="19"/>
      <c r="M412" s="19" t="s">
        <v>1033</v>
      </c>
      <c r="N412" s="19" t="s">
        <v>1585</v>
      </c>
      <c r="O412" s="19"/>
      <c r="P412" s="19"/>
      <c r="Q412" s="19"/>
      <c r="R412" s="19" t="s">
        <v>1952</v>
      </c>
      <c r="S412" s="19" t="s">
        <v>1372</v>
      </c>
      <c r="T412" s="19" t="s">
        <v>393</v>
      </c>
      <c r="U412" s="19" t="s">
        <v>202</v>
      </c>
      <c r="V412" s="19" t="s">
        <v>97</v>
      </c>
      <c r="W412" s="19" t="s">
        <v>56</v>
      </c>
      <c r="X412" s="19"/>
      <c r="Y412" s="19"/>
      <c r="Z412" s="19"/>
      <c r="AA412" s="19">
        <v>0</v>
      </c>
      <c r="AB412" s="19"/>
      <c r="AC412" s="19" t="s">
        <v>308</v>
      </c>
      <c r="AD412" s="19"/>
      <c r="AE412" s="19"/>
      <c r="AF412" s="19"/>
    </row>
    <row r="413" spans="1:34">
      <c r="A413" s="19">
        <v>407</v>
      </c>
      <c r="B413" s="19" t="s">
        <v>1858</v>
      </c>
      <c r="C413" s="19" t="s">
        <v>955</v>
      </c>
      <c r="D413" s="19" t="str">
        <f>HYPERLINK("http://www.henontech.com/fieldsafety/harzard/harzard_show.php?rid=16378&amp;url=harzardrecs.php","北脱硫泵房内设备拆除后北门口路面所用障碍物未及时清理，一但巡检人员经过不慎被障碍物拌倒造成左手臂轻微擦伤，送医务室简单处理后后正常工作")</f>
        <v>北脱硫泵房内设备拆除后北门口路面所用障碍物未及时清理，一但巡检人员经过不慎被障碍物拌倒造成左手臂轻微擦伤，送医务室简单处理后后正常工作</v>
      </c>
      <c r="E413" s="19" t="s">
        <v>1953</v>
      </c>
      <c r="F413" s="20" t="s">
        <v>42</v>
      </c>
      <c r="G413" s="22" t="s">
        <v>63</v>
      </c>
      <c r="H413" s="19" t="s">
        <v>44</v>
      </c>
      <c r="I413" s="19" t="s">
        <v>45</v>
      </c>
      <c r="J413" s="19" t="s">
        <v>46</v>
      </c>
      <c r="K413" s="19" t="s">
        <v>110</v>
      </c>
      <c r="L413" s="19" t="s">
        <v>76</v>
      </c>
      <c r="M413" s="19" t="s">
        <v>48</v>
      </c>
      <c r="N413" s="19" t="s">
        <v>1954</v>
      </c>
      <c r="O413" s="19" t="s">
        <v>48</v>
      </c>
      <c r="P413" s="19" t="s">
        <v>50</v>
      </c>
      <c r="Q413" s="19" t="s">
        <v>1576</v>
      </c>
      <c r="R413" s="19" t="s">
        <v>1955</v>
      </c>
      <c r="S413" s="19"/>
      <c r="T413" s="19" t="s">
        <v>53</v>
      </c>
      <c r="U413" s="19" t="s">
        <v>54</v>
      </c>
      <c r="V413" s="19" t="s">
        <v>55</v>
      </c>
      <c r="W413" s="19" t="s">
        <v>56</v>
      </c>
      <c r="X413" s="19"/>
      <c r="Y413" s="19"/>
      <c r="Z413" s="19" t="s">
        <v>1956</v>
      </c>
      <c r="AA413" s="19">
        <v>1</v>
      </c>
      <c r="AB413" s="19">
        <v>1</v>
      </c>
      <c r="AC413" s="19" t="s">
        <v>58</v>
      </c>
      <c r="AD413" s="19" t="s">
        <v>50</v>
      </c>
      <c r="AE413" s="19" t="s">
        <v>1649</v>
      </c>
      <c r="AF413" s="19"/>
    </row>
    <row r="414" spans="1:34">
      <c r="A414" s="19">
        <v>408</v>
      </c>
      <c r="B414" s="19" t="s">
        <v>1858</v>
      </c>
      <c r="C414" s="19" t="s">
        <v>1887</v>
      </c>
      <c r="D414" s="19" t="str">
        <f>HYPERLINK("http://www.henontech.com/fieldsafety/harzard/harzard_show.php?rid=16478&amp;url=harzardrecs.php","南冷凝液下泵电机有噪音，振动异常，如果长时间震动，就会造成联轴器损坏，烧毁电机，财产损失价值五万")</f>
        <v>南冷凝液下泵电机有噪音，振动异常，如果长时间震动，就会造成联轴器损坏，烧毁电机，财产损失价值五万</v>
      </c>
      <c r="E414" s="19" t="s">
        <v>1957</v>
      </c>
      <c r="F414" s="20" t="s">
        <v>42</v>
      </c>
      <c r="G414" s="22" t="s">
        <v>63</v>
      </c>
      <c r="H414" s="19" t="s">
        <v>44</v>
      </c>
      <c r="I414" s="19" t="s">
        <v>45</v>
      </c>
      <c r="J414" s="19" t="s">
        <v>46</v>
      </c>
      <c r="K414" s="19" t="s">
        <v>47</v>
      </c>
      <c r="L414" s="19" t="s">
        <v>76</v>
      </c>
      <c r="M414" s="19" t="s">
        <v>48</v>
      </c>
      <c r="N414" s="19" t="s">
        <v>1958</v>
      </c>
      <c r="O414" s="19" t="s">
        <v>48</v>
      </c>
      <c r="P414" s="19" t="s">
        <v>50</v>
      </c>
      <c r="Q414" s="19" t="s">
        <v>1959</v>
      </c>
      <c r="R414" s="19" t="s">
        <v>369</v>
      </c>
      <c r="S414" s="19"/>
      <c r="T414" s="19" t="s">
        <v>189</v>
      </c>
      <c r="U414" s="19" t="s">
        <v>54</v>
      </c>
      <c r="V414" s="19" t="s">
        <v>97</v>
      </c>
      <c r="W414" s="19" t="s">
        <v>81</v>
      </c>
      <c r="X414" s="19"/>
      <c r="Y414" s="19"/>
      <c r="Z414" s="19" t="s">
        <v>1960</v>
      </c>
      <c r="AA414" s="19">
        <v>1</v>
      </c>
      <c r="AB414" s="19">
        <v>1</v>
      </c>
      <c r="AC414" s="19" t="s">
        <v>58</v>
      </c>
      <c r="AD414" s="19" t="s">
        <v>50</v>
      </c>
      <c r="AE414" s="19" t="s">
        <v>1649</v>
      </c>
      <c r="AF414" s="19"/>
    </row>
    <row r="415" spans="1:34" customHeight="1" ht="42">
      <c r="A415" s="19">
        <v>409</v>
      </c>
      <c r="B415" s="19" t="s">
        <v>1777</v>
      </c>
      <c r="C415" s="19" t="s">
        <v>1913</v>
      </c>
      <c r="D415" s="19" t="str">
        <f>HYPERLINK("http://www.henontech.com/fieldsafety/harzard/harzard_show.php?rid=16492&amp;url=harzardrecs.php","渣库爬梯未设警示牌，职工在攀登时，不慎脚下打滑摔倒，造成手臂轻微擦伤，到医务室敷药后继续上岗作业。")</f>
        <v>渣库爬梯未设警示牌，职工在攀登时，不慎脚下打滑摔倒，造成手臂轻微擦伤，到医务室敷药后继续上岗作业。</v>
      </c>
      <c r="E415" s="19" t="s">
        <v>1961</v>
      </c>
      <c r="F415" s="20" t="s">
        <v>42</v>
      </c>
      <c r="G415" s="22" t="s">
        <v>63</v>
      </c>
      <c r="H415" s="19" t="s">
        <v>44</v>
      </c>
      <c r="I415" s="19" t="s">
        <v>45</v>
      </c>
      <c r="J415" s="19" t="s">
        <v>46</v>
      </c>
      <c r="K415" s="19"/>
      <c r="L415" s="19" t="s">
        <v>599</v>
      </c>
      <c r="M415" s="19" t="s">
        <v>1033</v>
      </c>
      <c r="N415" s="19" t="s">
        <v>1772</v>
      </c>
      <c r="O415" s="19" t="s">
        <v>1033</v>
      </c>
      <c r="P415" s="19" t="s">
        <v>1034</v>
      </c>
      <c r="Q415" s="19" t="s">
        <v>1457</v>
      </c>
      <c r="R415" s="19" t="s">
        <v>1962</v>
      </c>
      <c r="S415" s="19"/>
      <c r="T415" s="19" t="s">
        <v>53</v>
      </c>
      <c r="U415" s="19" t="s">
        <v>54</v>
      </c>
      <c r="V415" s="19" t="s">
        <v>55</v>
      </c>
      <c r="W415" s="19" t="s">
        <v>56</v>
      </c>
      <c r="X415" s="19" t="s">
        <v>154</v>
      </c>
      <c r="Y415" s="19"/>
      <c r="Z415" s="19" t="s">
        <v>1963</v>
      </c>
      <c r="AA415" s="19">
        <v>2</v>
      </c>
      <c r="AB415" s="19">
        <v>2</v>
      </c>
      <c r="AC415" s="19" t="s">
        <v>58</v>
      </c>
      <c r="AD415" s="19" t="s">
        <v>1034</v>
      </c>
      <c r="AE415" s="19" t="s">
        <v>1401</v>
      </c>
      <c r="AF415" s="19"/>
    </row>
    <row r="416" spans="1:34" customHeight="1" ht="42">
      <c r="A416" s="19">
        <v>410</v>
      </c>
      <c r="B416" s="19" t="s">
        <v>1777</v>
      </c>
      <c r="C416" s="19" t="s">
        <v>1964</v>
      </c>
      <c r="D416" s="19" t="str">
        <f>HYPERLINK("http://www.henontech.com/fieldsafety/harzard/harzard_show.php?rid=16499&amp;url=harzardrecs.php","水沟盖板断裂，一名员工在夜间巡查时不小心掉入水沟，造成腿部轻微伤，送医包扎后继续上岗。")</f>
        <v>水沟盖板断裂，一名员工在夜间巡查时不小心掉入水沟，造成腿部轻微伤，送医包扎后继续上岗。</v>
      </c>
      <c r="E416" s="19" t="s">
        <v>1965</v>
      </c>
      <c r="F416" s="20" t="s">
        <v>42</v>
      </c>
      <c r="G416" s="22" t="s">
        <v>63</v>
      </c>
      <c r="H416" s="19" t="s">
        <v>44</v>
      </c>
      <c r="I416" s="19" t="s">
        <v>108</v>
      </c>
      <c r="J416" s="19" t="s">
        <v>349</v>
      </c>
      <c r="K416" s="19" t="s">
        <v>110</v>
      </c>
      <c r="L416" s="19" t="s">
        <v>76</v>
      </c>
      <c r="M416" s="19" t="s">
        <v>364</v>
      </c>
      <c r="N416" s="19" t="s">
        <v>1966</v>
      </c>
      <c r="O416" s="19" t="s">
        <v>364</v>
      </c>
      <c r="P416" s="19" t="s">
        <v>425</v>
      </c>
      <c r="Q416" s="19" t="s">
        <v>1967</v>
      </c>
      <c r="R416" s="19" t="s">
        <v>1968</v>
      </c>
      <c r="S416" s="19"/>
      <c r="T416" s="19" t="s">
        <v>53</v>
      </c>
      <c r="U416" s="19" t="s">
        <v>54</v>
      </c>
      <c r="V416" s="19" t="s">
        <v>55</v>
      </c>
      <c r="W416" s="19" t="s">
        <v>56</v>
      </c>
      <c r="X416" s="19" t="s">
        <v>126</v>
      </c>
      <c r="Y416" s="19" t="s">
        <v>126</v>
      </c>
      <c r="Z416" s="19" t="s">
        <v>1969</v>
      </c>
      <c r="AA416" s="19">
        <v>2</v>
      </c>
      <c r="AB416" s="19">
        <v>2</v>
      </c>
      <c r="AC416" s="19" t="s">
        <v>58</v>
      </c>
      <c r="AD416" s="19" t="s">
        <v>425</v>
      </c>
      <c r="AE416" s="19" t="s">
        <v>1361</v>
      </c>
      <c r="AF416" s="19"/>
    </row>
    <row r="417" spans="1:34">
      <c r="A417" s="19">
        <v>411</v>
      </c>
      <c r="B417" s="19" t="s">
        <v>1777</v>
      </c>
      <c r="C417" s="19" t="s">
        <v>374</v>
      </c>
      <c r="D417" s="19" t="str">
        <f>HYPERLINK("http://www.henontech.com/fieldsafety/harzard/harzard_show.php?rid=16532&amp;url=harzardrecs.php","西一斜桥中部一护栏开焊，一旦操作工在操作时易造成人员挤伤！")</f>
        <v>西一斜桥中部一护栏开焊，一旦操作工在操作时易造成人员挤伤！</v>
      </c>
      <c r="E417" s="19" t="s">
        <v>1970</v>
      </c>
      <c r="F417" s="20" t="s">
        <v>42</v>
      </c>
      <c r="G417" s="22" t="s">
        <v>63</v>
      </c>
      <c r="H417" s="19" t="s">
        <v>44</v>
      </c>
      <c r="I417" s="19" t="s">
        <v>45</v>
      </c>
      <c r="J417" s="19" t="s">
        <v>46</v>
      </c>
      <c r="K417" s="19" t="s">
        <v>110</v>
      </c>
      <c r="L417" s="19" t="s">
        <v>76</v>
      </c>
      <c r="M417" s="19" t="s">
        <v>364</v>
      </c>
      <c r="N417" s="19" t="s">
        <v>1971</v>
      </c>
      <c r="O417" s="19" t="s">
        <v>364</v>
      </c>
      <c r="P417" s="19" t="s">
        <v>1687</v>
      </c>
      <c r="Q417" s="19" t="s">
        <v>1972</v>
      </c>
      <c r="R417" s="19" t="s">
        <v>1695</v>
      </c>
      <c r="S417" s="19"/>
      <c r="T417" s="19" t="s">
        <v>53</v>
      </c>
      <c r="U417" s="19" t="s">
        <v>54</v>
      </c>
      <c r="V417" s="19" t="s">
        <v>55</v>
      </c>
      <c r="W417" s="19" t="s">
        <v>56</v>
      </c>
      <c r="X417" s="19"/>
      <c r="Y417" s="19"/>
      <c r="Z417" s="19" t="s">
        <v>1973</v>
      </c>
      <c r="AA417" s="19">
        <v>1</v>
      </c>
      <c r="AB417" s="19">
        <v>1</v>
      </c>
      <c r="AC417" s="19" t="s">
        <v>58</v>
      </c>
      <c r="AD417" s="19" t="s">
        <v>1687</v>
      </c>
      <c r="AE417" s="19" t="s">
        <v>1361</v>
      </c>
      <c r="AF417" s="19"/>
    </row>
    <row r="418" spans="1:34">
      <c r="A418" s="19">
        <v>412</v>
      </c>
      <c r="B418" s="19" t="s">
        <v>1777</v>
      </c>
      <c r="C418" s="19" t="s">
        <v>1964</v>
      </c>
      <c r="D418" s="19" t="str">
        <f>HYPERLINK("http://www.henontech.com/fieldsafety/harzard/harzard_show.php?rid=16636&amp;url=harzardrecs.php","煤场西南角污水管线连接处螺栓脱落，造成污水外漏，一旦污水流入外部，将造成环境污染。")</f>
        <v>煤场西南角污水管线连接处螺栓脱落，造成污水外漏，一旦污水流入外部，将造成环境污染。</v>
      </c>
      <c r="E418" s="19" t="s">
        <v>1974</v>
      </c>
      <c r="F418" s="20" t="s">
        <v>42</v>
      </c>
      <c r="G418" s="21" t="s">
        <v>43</v>
      </c>
      <c r="H418" s="19" t="s">
        <v>44</v>
      </c>
      <c r="I418" s="19" t="s">
        <v>108</v>
      </c>
      <c r="J418" s="19" t="s">
        <v>46</v>
      </c>
      <c r="K418" s="19" t="s">
        <v>110</v>
      </c>
      <c r="L418" s="19" t="s">
        <v>76</v>
      </c>
      <c r="M418" s="19" t="s">
        <v>364</v>
      </c>
      <c r="N418" s="19" t="s">
        <v>1975</v>
      </c>
      <c r="O418" s="19" t="s">
        <v>364</v>
      </c>
      <c r="P418" s="19" t="s">
        <v>377</v>
      </c>
      <c r="Q418" s="19" t="s">
        <v>1361</v>
      </c>
      <c r="R418" s="19" t="s">
        <v>1976</v>
      </c>
      <c r="S418" s="19"/>
      <c r="T418" s="19" t="s">
        <v>393</v>
      </c>
      <c r="U418" s="19" t="s">
        <v>54</v>
      </c>
      <c r="V418" s="19" t="s">
        <v>55</v>
      </c>
      <c r="W418" s="19" t="s">
        <v>56</v>
      </c>
      <c r="X418" s="19"/>
      <c r="Y418" s="19"/>
      <c r="Z418" s="19" t="s">
        <v>1977</v>
      </c>
      <c r="AA418" s="19">
        <v>1</v>
      </c>
      <c r="AB418" s="19">
        <v>1</v>
      </c>
      <c r="AC418" s="19" t="s">
        <v>58</v>
      </c>
      <c r="AD418" s="19" t="s">
        <v>377</v>
      </c>
      <c r="AE418" s="19" t="s">
        <v>1361</v>
      </c>
      <c r="AF418" s="19"/>
    </row>
    <row r="419" spans="1:34" customHeight="1" ht="42">
      <c r="A419" s="19">
        <v>413</v>
      </c>
      <c r="B419" s="19" t="s">
        <v>1777</v>
      </c>
      <c r="C419" s="19" t="s">
        <v>1978</v>
      </c>
      <c r="D419" s="19" t="str">
        <f>HYPERLINK("http://www.henontech.com/fieldsafety/harzard/harzard_show.php?rid=16722&amp;url=harzardrecs.php","热力车间西北角地沟盖板未盖严，一操作工在巡检时，不小心掉入地沟，小腿磕破皮，去医务室包札。")</f>
        <v>热力车间西北角地沟盖板未盖严，一操作工在巡检时，不小心掉入地沟，小腿磕破皮，去医务室包札。</v>
      </c>
      <c r="E419" s="19" t="s">
        <v>1979</v>
      </c>
      <c r="F419" s="20" t="s">
        <v>42</v>
      </c>
      <c r="G419" s="22" t="s">
        <v>63</v>
      </c>
      <c r="H419" s="19" t="s">
        <v>44</v>
      </c>
      <c r="I419" s="19"/>
      <c r="J419" s="19" t="s">
        <v>109</v>
      </c>
      <c r="K419" s="19" t="s">
        <v>47</v>
      </c>
      <c r="L419" s="19" t="s">
        <v>76</v>
      </c>
      <c r="M419" s="19" t="s">
        <v>1033</v>
      </c>
      <c r="N419" s="19" t="s">
        <v>1560</v>
      </c>
      <c r="O419" s="19" t="s">
        <v>1033</v>
      </c>
      <c r="P419" s="19" t="s">
        <v>1034</v>
      </c>
      <c r="Q419" s="19" t="s">
        <v>1457</v>
      </c>
      <c r="R419" s="19" t="s">
        <v>1980</v>
      </c>
      <c r="S419" s="19"/>
      <c r="T419" s="19" t="s">
        <v>53</v>
      </c>
      <c r="U419" s="19" t="s">
        <v>54</v>
      </c>
      <c r="V419" s="19" t="s">
        <v>55</v>
      </c>
      <c r="W419" s="19" t="s">
        <v>56</v>
      </c>
      <c r="X419" s="19" t="s">
        <v>154</v>
      </c>
      <c r="Y419" s="19"/>
      <c r="Z419" s="19" t="s">
        <v>1981</v>
      </c>
      <c r="AA419" s="19">
        <v>2</v>
      </c>
      <c r="AB419" s="19">
        <v>2</v>
      </c>
      <c r="AC419" s="19" t="s">
        <v>58</v>
      </c>
      <c r="AD419" s="19" t="s">
        <v>1034</v>
      </c>
      <c r="AE419" s="19" t="s">
        <v>1512</v>
      </c>
      <c r="AF419" s="19"/>
    </row>
    <row r="420" spans="1:34">
      <c r="A420" s="19">
        <v>414</v>
      </c>
      <c r="B420" s="19" t="s">
        <v>1777</v>
      </c>
      <c r="C420" s="19" t="s">
        <v>1982</v>
      </c>
      <c r="D420" s="19" t="str">
        <f>HYPERLINK("http://www.henontech.com/fieldsafety/harzard/harzard_show.php?rid=16744&amp;url=harzardrecs.php","两盐切片机电机风扇罩腐蚀严重，假如一名有异物进入导致扇叶破碎，可能导致一名操作工被破片击伤面部")</f>
        <v>两盐切片机电机风扇罩腐蚀严重，假如一名有异物进入导致扇叶破碎，可能导致一名操作工被破片击伤面部</v>
      </c>
      <c r="E420" s="19" t="s">
        <v>1983</v>
      </c>
      <c r="F420" s="20" t="s">
        <v>42</v>
      </c>
      <c r="G420" s="22" t="s">
        <v>63</v>
      </c>
      <c r="H420" s="19" t="s">
        <v>44</v>
      </c>
      <c r="I420" s="19" t="s">
        <v>45</v>
      </c>
      <c r="J420" s="19" t="s">
        <v>46</v>
      </c>
      <c r="K420" s="19" t="s">
        <v>64</v>
      </c>
      <c r="L420" s="19"/>
      <c r="M420" s="19" t="s">
        <v>48</v>
      </c>
      <c r="N420" s="19" t="s">
        <v>1499</v>
      </c>
      <c r="O420" s="19" t="s">
        <v>48</v>
      </c>
      <c r="P420" s="19" t="s">
        <v>50</v>
      </c>
      <c r="Q420" s="19" t="s">
        <v>1959</v>
      </c>
      <c r="R420" s="19" t="s">
        <v>1984</v>
      </c>
      <c r="S420" s="19"/>
      <c r="T420" s="19" t="s">
        <v>53</v>
      </c>
      <c r="U420" s="19" t="s">
        <v>54</v>
      </c>
      <c r="V420" s="19" t="s">
        <v>55</v>
      </c>
      <c r="W420" s="19" t="s">
        <v>56</v>
      </c>
      <c r="X420" s="19"/>
      <c r="Y420" s="19"/>
      <c r="Z420" s="19" t="s">
        <v>1985</v>
      </c>
      <c r="AA420" s="19">
        <v>1</v>
      </c>
      <c r="AB420" s="19">
        <v>1</v>
      </c>
      <c r="AC420" s="19" t="s">
        <v>58</v>
      </c>
      <c r="AD420" s="19" t="s">
        <v>50</v>
      </c>
      <c r="AE420" s="19" t="s">
        <v>1649</v>
      </c>
      <c r="AF420" s="19"/>
    </row>
    <row r="421" spans="1:34">
      <c r="A421" s="19">
        <v>415</v>
      </c>
      <c r="B421" s="19" t="s">
        <v>1694</v>
      </c>
      <c r="C421" s="19" t="s">
        <v>1986</v>
      </c>
      <c r="D421" s="19" t="str">
        <f>HYPERLINK("http://www.henontech.com/fieldsafety/harzard/harzard_show.php?rid=16776&amp;url=harzardrecs.php","浓水地沟盖板破损，一名巡检工巡检时，将盖板踩破掉入排水沟，扭伤脚腕划伤小腿")</f>
        <v>浓水地沟盖板破损，一名巡检工巡检时，将盖板踩破掉入排水沟，扭伤脚腕划伤小腿</v>
      </c>
      <c r="E421" s="19" t="s">
        <v>1987</v>
      </c>
      <c r="F421" s="23" t="s">
        <v>304</v>
      </c>
      <c r="G421" s="22" t="s">
        <v>63</v>
      </c>
      <c r="H421" s="19" t="s">
        <v>44</v>
      </c>
      <c r="I421" s="19" t="s">
        <v>45</v>
      </c>
      <c r="J421" s="19" t="s">
        <v>109</v>
      </c>
      <c r="K421" s="19" t="s">
        <v>47</v>
      </c>
      <c r="L421" s="19"/>
      <c r="M421" s="19" t="s">
        <v>1033</v>
      </c>
      <c r="N421" s="19" t="s">
        <v>1568</v>
      </c>
      <c r="O421" s="19"/>
      <c r="P421" s="19"/>
      <c r="Q421" s="19"/>
      <c r="R421" s="19" t="s">
        <v>1369</v>
      </c>
      <c r="S421" s="19" t="s">
        <v>1372</v>
      </c>
      <c r="T421" s="19" t="s">
        <v>53</v>
      </c>
      <c r="U421" s="19" t="s">
        <v>54</v>
      </c>
      <c r="V421" s="19" t="s">
        <v>97</v>
      </c>
      <c r="W421" s="19" t="s">
        <v>81</v>
      </c>
      <c r="X421" s="19"/>
      <c r="Y421" s="19"/>
      <c r="Z421" s="19"/>
      <c r="AA421" s="19">
        <v>0</v>
      </c>
      <c r="AB421" s="19"/>
      <c r="AC421" s="19" t="s">
        <v>308</v>
      </c>
      <c r="AD421" s="19"/>
      <c r="AE421" s="19"/>
      <c r="AF421" s="19"/>
    </row>
    <row r="422" spans="1:34" customHeight="1" ht="42">
      <c r="A422" s="19">
        <v>416</v>
      </c>
      <c r="B422" s="19" t="s">
        <v>1694</v>
      </c>
      <c r="C422" s="19" t="s">
        <v>121</v>
      </c>
      <c r="D422" s="19" t="str">
        <f>HYPERLINK("http://www.henontech.com/fieldsafety/harzard/harzard_show.php?rid=16813&amp;url=harzardrecs.php","焦四机头滚筒联轴器无护罩，未设警示标志。设备运转时，一操作人员清扫该设备，右前臂不慎被击伤，造成右前臂骨折，住院治疗90天。")</f>
        <v>焦四机头滚筒联轴器无护罩，未设警示标志。设备运转时，一操作人员清扫该设备，右前臂不慎被击伤，造成右前臂骨折，住院治疗90天。</v>
      </c>
      <c r="E422" s="19" t="s">
        <v>119</v>
      </c>
      <c r="F422" s="25" t="s">
        <v>1455</v>
      </c>
      <c r="G422" s="22" t="s">
        <v>63</v>
      </c>
      <c r="H422" s="19" t="s">
        <v>44</v>
      </c>
      <c r="I422" s="19"/>
      <c r="J422" s="19" t="s">
        <v>46</v>
      </c>
      <c r="K422" s="19"/>
      <c r="L422" s="19"/>
      <c r="M422" s="19" t="s">
        <v>121</v>
      </c>
      <c r="N422" s="19" t="s">
        <v>1988</v>
      </c>
      <c r="O422" s="19" t="s">
        <v>121</v>
      </c>
      <c r="P422" s="19" t="s">
        <v>316</v>
      </c>
      <c r="Q422" s="19" t="s">
        <v>1989</v>
      </c>
      <c r="R422" s="19" t="s">
        <v>1990</v>
      </c>
      <c r="S422" s="19"/>
      <c r="T422" s="19" t="s">
        <v>53</v>
      </c>
      <c r="U422" s="19" t="s">
        <v>80</v>
      </c>
      <c r="V422" s="19" t="s">
        <v>69</v>
      </c>
      <c r="W422" s="19" t="s">
        <v>190</v>
      </c>
      <c r="X422" s="19" t="s">
        <v>154</v>
      </c>
      <c r="Y422" s="19"/>
      <c r="Z422" s="19" t="s">
        <v>1991</v>
      </c>
      <c r="AA422" s="19">
        <v>2</v>
      </c>
      <c r="AB422" s="19"/>
      <c r="AC422" s="19" t="s">
        <v>308</v>
      </c>
      <c r="AD422" s="19"/>
      <c r="AE422" s="19"/>
      <c r="AF422" s="19"/>
    </row>
    <row r="423" spans="1:34">
      <c r="A423" s="19">
        <v>417</v>
      </c>
      <c r="B423" s="19" t="s">
        <v>1694</v>
      </c>
      <c r="C423" s="19" t="s">
        <v>1627</v>
      </c>
      <c r="D423" s="19" t="str">
        <f>HYPERLINK("http://www.henontech.com/fieldsafety/harzard/harzard_show.php?rid=16832&amp;url=harzardrecs.php","阻垢剂计量泵漏液腐蚀计量泵")</f>
        <v>阻垢剂计量泵漏液腐蚀计量泵</v>
      </c>
      <c r="E423" s="19" t="s">
        <v>1992</v>
      </c>
      <c r="F423" s="23" t="s">
        <v>304</v>
      </c>
      <c r="G423" s="22" t="s">
        <v>63</v>
      </c>
      <c r="H423" s="19" t="s">
        <v>44</v>
      </c>
      <c r="I423" s="19" t="s">
        <v>108</v>
      </c>
      <c r="J423" s="19" t="s">
        <v>46</v>
      </c>
      <c r="K423" s="19"/>
      <c r="L423" s="19"/>
      <c r="M423" s="19" t="s">
        <v>1033</v>
      </c>
      <c r="N423" s="19" t="s">
        <v>1462</v>
      </c>
      <c r="O423" s="19"/>
      <c r="P423" s="19"/>
      <c r="Q423" s="19"/>
      <c r="R423" s="19" t="s">
        <v>700</v>
      </c>
      <c r="S423" s="19" t="s">
        <v>1993</v>
      </c>
      <c r="T423" s="19" t="s">
        <v>189</v>
      </c>
      <c r="U423" s="19" t="s">
        <v>202</v>
      </c>
      <c r="V423" s="19" t="s">
        <v>69</v>
      </c>
      <c r="W423" s="19" t="s">
        <v>56</v>
      </c>
      <c r="X423" s="19"/>
      <c r="Y423" s="19"/>
      <c r="Z423" s="19"/>
      <c r="AA423" s="19">
        <v>0</v>
      </c>
      <c r="AB423" s="19"/>
      <c r="AC423" s="19" t="s">
        <v>308</v>
      </c>
      <c r="AD423" s="19"/>
      <c r="AE423" s="19"/>
      <c r="AF423" s="19"/>
    </row>
    <row r="424" spans="1:34" customHeight="1" ht="42">
      <c r="A424" s="19">
        <v>418</v>
      </c>
      <c r="B424" s="19" t="s">
        <v>1694</v>
      </c>
      <c r="C424" s="19" t="s">
        <v>1357</v>
      </c>
      <c r="D424" s="19" t="str">
        <f>HYPERLINK("http://www.henontech.com/fieldsafety/harzard/harzard_show.php?rid=16873&amp;url=harzardrecs.php","机侧二层平台南部地面破裂，一旦一名工作人员在清理卫生时地面塌陷，将会造成一人坠落死亡")</f>
        <v>机侧二层平台南部地面破裂，一旦一名工作人员在清理卫生时地面塌陷，将会造成一人坠落死亡</v>
      </c>
      <c r="E424" s="19" t="s">
        <v>987</v>
      </c>
      <c r="F424" s="25" t="s">
        <v>1455</v>
      </c>
      <c r="G424" s="22" t="s">
        <v>63</v>
      </c>
      <c r="H424" s="19" t="s">
        <v>44</v>
      </c>
      <c r="I424" s="19" t="s">
        <v>108</v>
      </c>
      <c r="J424" s="19" t="s">
        <v>349</v>
      </c>
      <c r="K424" s="19" t="s">
        <v>102</v>
      </c>
      <c r="L424" s="19" t="s">
        <v>76</v>
      </c>
      <c r="M424" s="19" t="s">
        <v>121</v>
      </c>
      <c r="N424" s="19" t="s">
        <v>1994</v>
      </c>
      <c r="O424" s="19" t="s">
        <v>121</v>
      </c>
      <c r="P424" s="19" t="s">
        <v>316</v>
      </c>
      <c r="Q424" s="19" t="s">
        <v>1989</v>
      </c>
      <c r="R424" s="19" t="s">
        <v>1995</v>
      </c>
      <c r="S424" s="19"/>
      <c r="T424" s="19" t="s">
        <v>53</v>
      </c>
      <c r="U424" s="19" t="s">
        <v>236</v>
      </c>
      <c r="V424" s="19" t="s">
        <v>55</v>
      </c>
      <c r="W424" s="19" t="s">
        <v>70</v>
      </c>
      <c r="X424" s="19" t="s">
        <v>191</v>
      </c>
      <c r="Y424" s="19"/>
      <c r="Z424" s="19" t="s">
        <v>1996</v>
      </c>
      <c r="AA424" s="19">
        <v>2</v>
      </c>
      <c r="AB424" s="19"/>
      <c r="AC424" s="19" t="s">
        <v>308</v>
      </c>
      <c r="AD424" s="19"/>
      <c r="AE424" s="19"/>
      <c r="AF424" s="19"/>
    </row>
    <row r="425" spans="1:34">
      <c r="A425" s="19">
        <v>419</v>
      </c>
      <c r="B425" s="19" t="s">
        <v>1694</v>
      </c>
      <c r="C425" s="19" t="s">
        <v>422</v>
      </c>
      <c r="D425" s="19" t="str">
        <f>HYPERLINK("http://www.henontech.com/fieldsafety/harzard/harzard_show.php?rid=16887&amp;url=harzardrecs.php","东一垃圾桶摆放在道路中央，一职工途经时，一旦不慎被绊倒，会导致手臂轻微擦伤，到医务室敷药后继续上岗作业。")</f>
        <v>东一垃圾桶摆放在道路中央，一职工途经时，一旦不慎被绊倒，会导致手臂轻微擦伤，到医务室敷药后继续上岗作业。</v>
      </c>
      <c r="E425" s="19" t="s">
        <v>1997</v>
      </c>
      <c r="F425" s="20" t="s">
        <v>42</v>
      </c>
      <c r="G425" s="22" t="s">
        <v>63</v>
      </c>
      <c r="H425" s="19" t="s">
        <v>44</v>
      </c>
      <c r="I425" s="19" t="s">
        <v>45</v>
      </c>
      <c r="J425" s="19" t="s">
        <v>109</v>
      </c>
      <c r="K425" s="19" t="s">
        <v>64</v>
      </c>
      <c r="L425" s="19" t="s">
        <v>599</v>
      </c>
      <c r="M425" s="19" t="s">
        <v>364</v>
      </c>
      <c r="N425" s="19" t="s">
        <v>1998</v>
      </c>
      <c r="O425" s="19" t="s">
        <v>364</v>
      </c>
      <c r="P425" s="19" t="s">
        <v>377</v>
      </c>
      <c r="Q425" s="19" t="s">
        <v>1361</v>
      </c>
      <c r="R425" s="19" t="s">
        <v>1056</v>
      </c>
      <c r="S425" s="19"/>
      <c r="T425" s="19" t="s">
        <v>53</v>
      </c>
      <c r="U425" s="19" t="s">
        <v>54</v>
      </c>
      <c r="V425" s="19" t="s">
        <v>55</v>
      </c>
      <c r="W425" s="19" t="s">
        <v>56</v>
      </c>
      <c r="X425" s="19"/>
      <c r="Y425" s="19"/>
      <c r="Z425" s="19" t="s">
        <v>1999</v>
      </c>
      <c r="AA425" s="19">
        <v>1</v>
      </c>
      <c r="AB425" s="19">
        <v>1</v>
      </c>
      <c r="AC425" s="19" t="s">
        <v>58</v>
      </c>
      <c r="AD425" s="19" t="s">
        <v>377</v>
      </c>
      <c r="AE425" s="19" t="s">
        <v>1361</v>
      </c>
      <c r="AF425" s="19"/>
    </row>
    <row r="426" spans="1:34" customHeight="1" ht="42">
      <c r="A426" s="19">
        <v>420</v>
      </c>
      <c r="B426" s="19" t="s">
        <v>1694</v>
      </c>
      <c r="C426" s="19" t="s">
        <v>1824</v>
      </c>
      <c r="D426" s="19" t="str">
        <f>HYPERLINK("http://www.henontech.com/fieldsafety/harzard/harzard_show.php?rid=16893&amp;url=harzardrecs.php","导烟车1号机爪油缸长期使用，油封老化无法使用，造成装煤作业时机侧冒烟的环保事故被集团公司通报")</f>
        <v>导烟车1号机爪油缸长期使用，油封老化无法使用，造成装煤作业时机侧冒烟的环保事故被集团公司通报</v>
      </c>
      <c r="E426" s="19" t="s">
        <v>1542</v>
      </c>
      <c r="F426" s="25" t="s">
        <v>1455</v>
      </c>
      <c r="G426" s="22" t="s">
        <v>63</v>
      </c>
      <c r="H426" s="19" t="s">
        <v>44</v>
      </c>
      <c r="I426" s="19" t="s">
        <v>2000</v>
      </c>
      <c r="J426" s="19" t="s">
        <v>46</v>
      </c>
      <c r="K426" s="19" t="s">
        <v>110</v>
      </c>
      <c r="L426" s="19"/>
      <c r="M426" s="19" t="s">
        <v>121</v>
      </c>
      <c r="N426" s="19" t="s">
        <v>2001</v>
      </c>
      <c r="O426" s="19" t="s">
        <v>121</v>
      </c>
      <c r="P426" s="19" t="s">
        <v>316</v>
      </c>
      <c r="Q426" s="19" t="s">
        <v>1989</v>
      </c>
      <c r="R426" s="19" t="s">
        <v>496</v>
      </c>
      <c r="S426" s="19"/>
      <c r="T426" s="19" t="s">
        <v>2002</v>
      </c>
      <c r="U426" s="19" t="s">
        <v>80</v>
      </c>
      <c r="V426" s="19" t="s">
        <v>69</v>
      </c>
      <c r="W426" s="19" t="s">
        <v>190</v>
      </c>
      <c r="X426" s="19" t="s">
        <v>154</v>
      </c>
      <c r="Y426" s="19"/>
      <c r="Z426" s="19" t="s">
        <v>2003</v>
      </c>
      <c r="AA426" s="19">
        <v>2</v>
      </c>
      <c r="AB426" s="19"/>
      <c r="AC426" s="19" t="s">
        <v>308</v>
      </c>
      <c r="AD426" s="19"/>
      <c r="AE426" s="19"/>
      <c r="AF426" s="19"/>
    </row>
    <row r="427" spans="1:34">
      <c r="A427" s="19">
        <v>421</v>
      </c>
      <c r="B427" s="19" t="s">
        <v>1694</v>
      </c>
      <c r="C427" s="19" t="s">
        <v>2004</v>
      </c>
      <c r="D427" s="19" t="str">
        <f>HYPERLINK("http://www.henontech.com/fieldsafety/harzard/harzard_show.php?rid=16894&amp;url=harzardrecs.php","两盐分离器附近的轴流风扇无安全护罩，如果一名操作工在带电运转时移动该风扇时，有可能会被气流把手臂吸进风扇内造成右手粉碎性骨折最后截肢，损工半年。")</f>
        <v>两盐分离器附近的轴流风扇无安全护罩，如果一名操作工在带电运转时移动该风扇时，有可能会被气流把手臂吸进风扇内造成右手粉碎性骨折最后截肢，损工半年。</v>
      </c>
      <c r="E427" s="19" t="s">
        <v>2005</v>
      </c>
      <c r="F427" s="20" t="s">
        <v>42</v>
      </c>
      <c r="G427" s="22" t="s">
        <v>63</v>
      </c>
      <c r="H427" s="19" t="s">
        <v>44</v>
      </c>
      <c r="I427" s="19" t="s">
        <v>120</v>
      </c>
      <c r="J427" s="19" t="s">
        <v>46</v>
      </c>
      <c r="K427" s="19" t="s">
        <v>110</v>
      </c>
      <c r="L427" s="19" t="s">
        <v>76</v>
      </c>
      <c r="M427" s="19" t="s">
        <v>48</v>
      </c>
      <c r="N427" s="19" t="s">
        <v>2006</v>
      </c>
      <c r="O427" s="19" t="s">
        <v>48</v>
      </c>
      <c r="P427" s="19" t="s">
        <v>50</v>
      </c>
      <c r="Q427" s="19" t="s">
        <v>1959</v>
      </c>
      <c r="R427" s="19" t="s">
        <v>2007</v>
      </c>
      <c r="S427" s="19"/>
      <c r="T427" s="19" t="s">
        <v>53</v>
      </c>
      <c r="U427" s="19" t="s">
        <v>236</v>
      </c>
      <c r="V427" s="19" t="s">
        <v>55</v>
      </c>
      <c r="W427" s="19" t="s">
        <v>70</v>
      </c>
      <c r="X427" s="19"/>
      <c r="Y427" s="19"/>
      <c r="Z427" s="19" t="s">
        <v>2008</v>
      </c>
      <c r="AA427" s="19">
        <v>1</v>
      </c>
      <c r="AB427" s="19">
        <v>1</v>
      </c>
      <c r="AC427" s="19" t="s">
        <v>58</v>
      </c>
      <c r="AD427" s="19" t="s">
        <v>50</v>
      </c>
      <c r="AE427" s="19" t="s">
        <v>1649</v>
      </c>
      <c r="AF427" s="19"/>
    </row>
    <row r="428" spans="1:34" customHeight="1" ht="42">
      <c r="A428" s="19">
        <v>422</v>
      </c>
      <c r="B428" s="19" t="s">
        <v>1694</v>
      </c>
      <c r="C428" s="19" t="s">
        <v>1488</v>
      </c>
      <c r="D428" s="19" t="str">
        <f>HYPERLINK("http://www.henontech.com/fieldsafety/harzard/harzard_show.php?rid=16899&amp;url=harzardrecs.php","脱硫塔控制电源箱防雨罩脱落，容易造成雨水进入配电盘，造成电器短路，导致脱硫工段停止运行")</f>
        <v>脱硫塔控制电源箱防雨罩脱落，容易造成雨水进入配电盘，造成电器短路，导致脱硫工段停止运行</v>
      </c>
      <c r="E428" s="19" t="s">
        <v>2009</v>
      </c>
      <c r="F428" s="25" t="s">
        <v>1455</v>
      </c>
      <c r="G428" s="22" t="s">
        <v>63</v>
      </c>
      <c r="H428" s="19" t="s">
        <v>44</v>
      </c>
      <c r="I428" s="19" t="s">
        <v>108</v>
      </c>
      <c r="J428" s="19" t="s">
        <v>109</v>
      </c>
      <c r="K428" s="19" t="s">
        <v>47</v>
      </c>
      <c r="L428" s="19" t="s">
        <v>76</v>
      </c>
      <c r="M428" s="19" t="s">
        <v>1033</v>
      </c>
      <c r="N428" s="19" t="s">
        <v>2010</v>
      </c>
      <c r="O428" s="19" t="s">
        <v>1033</v>
      </c>
      <c r="P428" s="19" t="s">
        <v>1464</v>
      </c>
      <c r="Q428" s="19" t="s">
        <v>1457</v>
      </c>
      <c r="R428" s="19" t="s">
        <v>410</v>
      </c>
      <c r="S428" s="19"/>
      <c r="T428" s="19" t="s">
        <v>393</v>
      </c>
      <c r="U428" s="19" t="s">
        <v>202</v>
      </c>
      <c r="V428" s="19" t="s">
        <v>55</v>
      </c>
      <c r="W428" s="19" t="s">
        <v>56</v>
      </c>
      <c r="X428" s="19" t="s">
        <v>154</v>
      </c>
      <c r="Y428" s="19"/>
      <c r="Z428" s="19" t="s">
        <v>2011</v>
      </c>
      <c r="AA428" s="19">
        <v>2</v>
      </c>
      <c r="AB428" s="19"/>
      <c r="AC428" s="19" t="s">
        <v>308</v>
      </c>
      <c r="AD428" s="19"/>
      <c r="AE428" s="19"/>
      <c r="AF428" s="19"/>
    </row>
    <row r="429" spans="1:34">
      <c r="A429" s="19">
        <v>423</v>
      </c>
      <c r="B429" s="19" t="s">
        <v>1694</v>
      </c>
      <c r="C429" s="19" t="s">
        <v>2012</v>
      </c>
      <c r="D429" s="19" t="str">
        <f>HYPERLINK("http://www.henontech.com/fieldsafety/harzard/harzard_show.php?rid=16905&amp;url=harzardrecs.php","5.5米机侧煤气水封未用彩钢瓦封堵，一旦工作人员在抽水作业时，会出现煤气中毒事故")</f>
        <v>5.5米机侧煤气水封未用彩钢瓦封堵，一旦工作人员在抽水作业时，会出现煤气中毒事故</v>
      </c>
      <c r="E429" s="19" t="s">
        <v>2013</v>
      </c>
      <c r="F429" s="23" t="s">
        <v>304</v>
      </c>
      <c r="G429" s="22" t="s">
        <v>63</v>
      </c>
      <c r="H429" s="19" t="s">
        <v>44</v>
      </c>
      <c r="I429" s="19" t="s">
        <v>108</v>
      </c>
      <c r="J429" s="19" t="s">
        <v>109</v>
      </c>
      <c r="K429" s="19" t="s">
        <v>110</v>
      </c>
      <c r="L429" s="19" t="s">
        <v>76</v>
      </c>
      <c r="M429" s="19" t="s">
        <v>121</v>
      </c>
      <c r="N429" s="19" t="s">
        <v>2014</v>
      </c>
      <c r="O429" s="19"/>
      <c r="P429" s="19"/>
      <c r="Q429" s="19"/>
      <c r="R429" s="19" t="s">
        <v>2015</v>
      </c>
      <c r="S429" s="19" t="s">
        <v>2016</v>
      </c>
      <c r="T429" s="19" t="s">
        <v>53</v>
      </c>
      <c r="U429" s="19" t="s">
        <v>54</v>
      </c>
      <c r="V429" s="19" t="s">
        <v>55</v>
      </c>
      <c r="W429" s="19" t="s">
        <v>56</v>
      </c>
      <c r="X429" s="19"/>
      <c r="Y429" s="19"/>
      <c r="Z429" s="19"/>
      <c r="AA429" s="19">
        <v>0</v>
      </c>
      <c r="AB429" s="19"/>
      <c r="AC429" s="19" t="s">
        <v>308</v>
      </c>
      <c r="AD429" s="19"/>
      <c r="AE429" s="19"/>
      <c r="AF429" s="19"/>
    </row>
    <row r="430" spans="1:34">
      <c r="A430" s="19">
        <v>424</v>
      </c>
      <c r="B430" s="19" t="s">
        <v>1694</v>
      </c>
      <c r="C430" s="19" t="s">
        <v>2017</v>
      </c>
      <c r="D430" s="19" t="str">
        <f>HYPERLINK("http://www.henontech.com/fieldsafety/harzard/harzard_show.php?rid=16907&amp;url=harzardrecs.php","南冷凝1#高压氨水泵压力不稳定，装煤时压力波动大，有时显示负数，加完煤后，变频、压力降不下来。假如操作人员发现不及时，可能会造成高压泵机封泄漏影响生产，焦炉冒烟环境污染事故，集团公司通报批评！")</f>
        <v>南冷凝1#高压氨水泵压力不稳定，装煤时压力波动大，有时显示负数，加完煤后，变频、压力降不下来。假如操作人员发现不及时，可能会造成高压泵机封泄漏影响生产，焦炉冒烟环境污染事故，集团公司通报批评！</v>
      </c>
      <c r="E430" s="19" t="s">
        <v>2018</v>
      </c>
      <c r="F430" s="20" t="s">
        <v>42</v>
      </c>
      <c r="G430" s="22" t="s">
        <v>63</v>
      </c>
      <c r="H430" s="19" t="s">
        <v>44</v>
      </c>
      <c r="I430" s="19" t="s">
        <v>45</v>
      </c>
      <c r="J430" s="19" t="s">
        <v>2019</v>
      </c>
      <c r="K430" s="19" t="s">
        <v>64</v>
      </c>
      <c r="L430" s="19" t="s">
        <v>76</v>
      </c>
      <c r="M430" s="19" t="s">
        <v>48</v>
      </c>
      <c r="N430" s="19" t="s">
        <v>2020</v>
      </c>
      <c r="O430" s="19" t="s">
        <v>48</v>
      </c>
      <c r="P430" s="19" t="s">
        <v>50</v>
      </c>
      <c r="Q430" s="19" t="s">
        <v>1959</v>
      </c>
      <c r="R430" s="19" t="s">
        <v>206</v>
      </c>
      <c r="S430" s="19"/>
      <c r="T430" s="19" t="s">
        <v>393</v>
      </c>
      <c r="U430" s="19" t="s">
        <v>202</v>
      </c>
      <c r="V430" s="19" t="s">
        <v>97</v>
      </c>
      <c r="W430" s="19" t="s">
        <v>56</v>
      </c>
      <c r="X430" s="19"/>
      <c r="Y430" s="19"/>
      <c r="Z430" s="19" t="s">
        <v>2021</v>
      </c>
      <c r="AA430" s="19">
        <v>1</v>
      </c>
      <c r="AB430" s="19">
        <v>1</v>
      </c>
      <c r="AC430" s="19" t="s">
        <v>58</v>
      </c>
      <c r="AD430" s="19" t="s">
        <v>50</v>
      </c>
      <c r="AE430" s="19" t="s">
        <v>1503</v>
      </c>
      <c r="AF430" s="19"/>
    </row>
    <row r="431" spans="1:34">
      <c r="A431" s="19">
        <v>425</v>
      </c>
      <c r="B431" s="19" t="s">
        <v>1694</v>
      </c>
      <c r="C431" s="19" t="s">
        <v>369</v>
      </c>
      <c r="D431" s="19" t="str">
        <f>HYPERLINK("http://www.henontech.com/fieldsafety/harzard/harzard_show.php?rid=16912&amp;url=harzardrecs.php","南冷凝现场杂物摆放不规范，导致夜班一名巡检人员，脚踝划伤，去医务室处理后正常上班")</f>
        <v>南冷凝现场杂物摆放不规范，导致夜班一名巡检人员，脚踝划伤，去医务室处理后正常上班</v>
      </c>
      <c r="E431" s="19" t="s">
        <v>2022</v>
      </c>
      <c r="F431" s="25" t="s">
        <v>1455</v>
      </c>
      <c r="G431" s="22" t="s">
        <v>63</v>
      </c>
      <c r="H431" s="19" t="s">
        <v>44</v>
      </c>
      <c r="I431" s="19"/>
      <c r="J431" s="19" t="s">
        <v>46</v>
      </c>
      <c r="K431" s="19" t="s">
        <v>47</v>
      </c>
      <c r="L431" s="19"/>
      <c r="M431" s="19" t="s">
        <v>48</v>
      </c>
      <c r="N431" s="19" t="s">
        <v>2023</v>
      </c>
      <c r="O431" s="19" t="s">
        <v>48</v>
      </c>
      <c r="P431" s="19" t="s">
        <v>50</v>
      </c>
      <c r="Q431" s="19" t="s">
        <v>1959</v>
      </c>
      <c r="R431" s="19" t="s">
        <v>369</v>
      </c>
      <c r="S431" s="19"/>
      <c r="T431" s="19" t="s">
        <v>53</v>
      </c>
      <c r="U431" s="19" t="s">
        <v>54</v>
      </c>
      <c r="V431" s="19" t="s">
        <v>97</v>
      </c>
      <c r="W431" s="19" t="s">
        <v>81</v>
      </c>
      <c r="X431" s="19"/>
      <c r="Y431" s="19"/>
      <c r="Z431" s="19" t="s">
        <v>2024</v>
      </c>
      <c r="AA431" s="19">
        <v>1</v>
      </c>
      <c r="AB431" s="19"/>
      <c r="AC431" s="19" t="s">
        <v>308</v>
      </c>
      <c r="AD431" s="19"/>
      <c r="AE431" s="19"/>
      <c r="AF431" s="19"/>
    </row>
    <row r="432" spans="1:34" customHeight="1" ht="42">
      <c r="A432" s="19">
        <v>426</v>
      </c>
      <c r="B432" s="19" t="s">
        <v>1361</v>
      </c>
      <c r="C432" s="19" t="s">
        <v>1964</v>
      </c>
      <c r="D432" s="19" t="str">
        <f>HYPERLINK("http://www.henontech.com/fieldsafety/harzard/harzard_show.php?rid=16916&amp;url=harzardrecs.php","西三岗位卸料车包闸护罩开焊，一旦包闸脱落，会造成人员挤伤。")</f>
        <v>西三岗位卸料车包闸护罩开焊，一旦包闸脱落，会造成人员挤伤。</v>
      </c>
      <c r="E432" s="19" t="s">
        <v>2025</v>
      </c>
      <c r="F432" s="20" t="s">
        <v>42</v>
      </c>
      <c r="G432" s="22" t="s">
        <v>63</v>
      </c>
      <c r="H432" s="19" t="s">
        <v>44</v>
      </c>
      <c r="I432" s="19" t="s">
        <v>108</v>
      </c>
      <c r="J432" s="19" t="s">
        <v>109</v>
      </c>
      <c r="K432" s="19" t="s">
        <v>110</v>
      </c>
      <c r="L432" s="19" t="s">
        <v>76</v>
      </c>
      <c r="M432" s="19" t="s">
        <v>364</v>
      </c>
      <c r="N432" s="19" t="s">
        <v>938</v>
      </c>
      <c r="O432" s="19" t="s">
        <v>364</v>
      </c>
      <c r="P432" s="19" t="s">
        <v>425</v>
      </c>
      <c r="Q432" s="19" t="s">
        <v>2026</v>
      </c>
      <c r="R432" s="19" t="s">
        <v>1689</v>
      </c>
      <c r="S432" s="19"/>
      <c r="T432" s="19" t="s">
        <v>53</v>
      </c>
      <c r="U432" s="19" t="s">
        <v>54</v>
      </c>
      <c r="V432" s="19" t="s">
        <v>203</v>
      </c>
      <c r="W432" s="19" t="s">
        <v>56</v>
      </c>
      <c r="X432" s="19" t="s">
        <v>126</v>
      </c>
      <c r="Y432" s="19" t="s">
        <v>126</v>
      </c>
      <c r="Z432" s="19" t="s">
        <v>2027</v>
      </c>
      <c r="AA432" s="19">
        <v>2</v>
      </c>
      <c r="AB432" s="19">
        <v>2</v>
      </c>
      <c r="AC432" s="19" t="s">
        <v>58</v>
      </c>
      <c r="AD432" s="19" t="s">
        <v>425</v>
      </c>
      <c r="AE432" s="19" t="s">
        <v>1335</v>
      </c>
      <c r="AF432" s="19"/>
    </row>
    <row r="433" spans="1:34">
      <c r="A433" s="19">
        <v>427</v>
      </c>
      <c r="B433" s="19" t="s">
        <v>1361</v>
      </c>
      <c r="C433" s="19" t="s">
        <v>1913</v>
      </c>
      <c r="D433" s="19" t="str">
        <f>HYPERLINK("http://www.henontech.com/fieldsafety/harzard/harzard_show.php?rid=16964&amp;url=harzardrecs.php","因排污管线未保温，一名操作工开关排污阀门时，被排污管线烫伤手背。")</f>
        <v>因排污管线未保温，一名操作工开关排污阀门时，被排污管线烫伤手背。</v>
      </c>
      <c r="E433" s="19" t="s">
        <v>2028</v>
      </c>
      <c r="F433" s="23" t="s">
        <v>304</v>
      </c>
      <c r="G433" s="22" t="s">
        <v>63</v>
      </c>
      <c r="H433" s="19" t="s">
        <v>44</v>
      </c>
      <c r="I433" s="19" t="s">
        <v>45</v>
      </c>
      <c r="J433" s="19" t="s">
        <v>109</v>
      </c>
      <c r="K433" s="19" t="s">
        <v>64</v>
      </c>
      <c r="L433" s="19"/>
      <c r="M433" s="19" t="s">
        <v>1033</v>
      </c>
      <c r="N433" s="19" t="s">
        <v>1178</v>
      </c>
      <c r="O433" s="19"/>
      <c r="P433" s="19"/>
      <c r="Q433" s="19"/>
      <c r="R433" s="19" t="s">
        <v>2029</v>
      </c>
      <c r="S433" s="19" t="s">
        <v>1372</v>
      </c>
      <c r="T433" s="19" t="s">
        <v>53</v>
      </c>
      <c r="U433" s="19" t="s">
        <v>54</v>
      </c>
      <c r="V433" s="19" t="s">
        <v>97</v>
      </c>
      <c r="W433" s="19" t="s">
        <v>81</v>
      </c>
      <c r="X433" s="19"/>
      <c r="Y433" s="19"/>
      <c r="Z433" s="19"/>
      <c r="AA433" s="19">
        <v>0</v>
      </c>
      <c r="AB433" s="19"/>
      <c r="AC433" s="19" t="s">
        <v>308</v>
      </c>
      <c r="AD433" s="19"/>
      <c r="AE433" s="19"/>
      <c r="AF433" s="19"/>
    </row>
    <row r="434" spans="1:34">
      <c r="A434" s="19">
        <v>428</v>
      </c>
      <c r="B434" s="19" t="s">
        <v>1361</v>
      </c>
      <c r="C434" s="19" t="s">
        <v>384</v>
      </c>
      <c r="D434" s="19" t="str">
        <f>HYPERLINK("http://www.henontech.com/fieldsafety/harzard/harzard_show.php?rid=16975&amp;url=harzardrecs.php","一名操作人员在经过初冷器南花砖路时，不慎踏入破损的地沟盖板，导致右腿多处擦伤，去医务室简单包扎后返工")</f>
        <v>一名操作人员在经过初冷器南花砖路时，不慎踏入破损的地沟盖板，导致右腿多处擦伤，去医务室简单包扎后返工</v>
      </c>
      <c r="E434" s="19" t="s">
        <v>2030</v>
      </c>
      <c r="F434" s="20" t="s">
        <v>42</v>
      </c>
      <c r="G434" s="22" t="s">
        <v>63</v>
      </c>
      <c r="H434" s="19" t="s">
        <v>44</v>
      </c>
      <c r="I434" s="19" t="s">
        <v>45</v>
      </c>
      <c r="J434" s="19" t="s">
        <v>109</v>
      </c>
      <c r="K434" s="19" t="s">
        <v>47</v>
      </c>
      <c r="L434" s="19"/>
      <c r="M434" s="19" t="s">
        <v>48</v>
      </c>
      <c r="N434" s="19" t="s">
        <v>2031</v>
      </c>
      <c r="O434" s="19" t="s">
        <v>48</v>
      </c>
      <c r="P434" s="19" t="s">
        <v>50</v>
      </c>
      <c r="Q434" s="19" t="s">
        <v>1959</v>
      </c>
      <c r="R434" s="19" t="s">
        <v>2032</v>
      </c>
      <c r="S434" s="19"/>
      <c r="T434" s="19" t="s">
        <v>53</v>
      </c>
      <c r="U434" s="19" t="s">
        <v>54</v>
      </c>
      <c r="V434" s="19" t="s">
        <v>55</v>
      </c>
      <c r="W434" s="19" t="s">
        <v>56</v>
      </c>
      <c r="X434" s="19"/>
      <c r="Y434" s="19"/>
      <c r="Z434" s="19" t="s">
        <v>213</v>
      </c>
      <c r="AA434" s="19">
        <v>1</v>
      </c>
      <c r="AB434" s="19">
        <v>1</v>
      </c>
      <c r="AC434" s="19" t="s">
        <v>58</v>
      </c>
      <c r="AD434" s="19" t="s">
        <v>50</v>
      </c>
      <c r="AE434" s="19" t="s">
        <v>1649</v>
      </c>
      <c r="AF434" s="19"/>
    </row>
    <row r="435" spans="1:34">
      <c r="A435" s="19">
        <v>429</v>
      </c>
      <c r="B435" s="19" t="s">
        <v>1361</v>
      </c>
      <c r="C435" s="19" t="s">
        <v>2033</v>
      </c>
      <c r="D435" s="19" t="str">
        <f>HYPERLINK("http://www.henontech.com/fieldsafety/harzard/harzard_show.php?rid=17030&amp;url=harzardrecs.php","干熄车余煤箱漏煤粉，一名操作工在底部清理卫生时，煤粉落入眼睛，眼部红肿，去医务室清洗用药休息一天后复工。")</f>
        <v>干熄车余煤箱漏煤粉，一名操作工在底部清理卫生时，煤粉落入眼睛，眼部红肿，去医务室清洗用药休息一天后复工。</v>
      </c>
      <c r="E435" s="19" t="s">
        <v>2034</v>
      </c>
      <c r="F435" s="26" t="s">
        <v>2035</v>
      </c>
      <c r="G435" s="19"/>
      <c r="H435" s="19" t="s">
        <v>44</v>
      </c>
      <c r="I435" s="19" t="s">
        <v>108</v>
      </c>
      <c r="J435" s="19" t="s">
        <v>46</v>
      </c>
      <c r="K435" s="19" t="s">
        <v>47</v>
      </c>
      <c r="L435" s="19" t="s">
        <v>76</v>
      </c>
      <c r="M435" s="19" t="s">
        <v>121</v>
      </c>
      <c r="N435" s="19" t="s">
        <v>1600</v>
      </c>
      <c r="O435" s="19"/>
      <c r="P435" s="19"/>
      <c r="Q435" s="19"/>
      <c r="R435" s="19" t="s">
        <v>2036</v>
      </c>
      <c r="S435" s="19"/>
      <c r="T435" s="19" t="s">
        <v>53</v>
      </c>
      <c r="U435" s="19" t="s">
        <v>80</v>
      </c>
      <c r="V435" s="19" t="s">
        <v>97</v>
      </c>
      <c r="W435" s="19" t="s">
        <v>70</v>
      </c>
      <c r="X435" s="19"/>
      <c r="Y435" s="19"/>
      <c r="Z435" s="19"/>
      <c r="AA435" s="19"/>
      <c r="AB435" s="19"/>
      <c r="AC435" s="19" t="s">
        <v>308</v>
      </c>
      <c r="AD435" s="19"/>
      <c r="AE435" s="19"/>
      <c r="AF435" s="19"/>
    </row>
    <row r="436" spans="1:34" customHeight="1" ht="42">
      <c r="A436" s="19">
        <v>430</v>
      </c>
      <c r="B436" s="19" t="s">
        <v>1335</v>
      </c>
      <c r="C436" s="19" t="s">
        <v>1824</v>
      </c>
      <c r="D436" s="19" t="str">
        <f>HYPERLINK("http://www.henontech.com/fieldsafety/harzard/harzard_show.php?rid=17081&amp;url=harzardrecs.php","炉顶北侧旋臂吊处，围栏照明线脱落，在吊装过程中把已脱落的照明线挂断，造成人员触电，送往医院救治及时，人员需修养")</f>
        <v>炉顶北侧旋臂吊处，围栏照明线脱落，在吊装过程中把已脱落的照明线挂断，造成人员触电，送往医院救治及时，人员需修养</v>
      </c>
      <c r="E436" s="19" t="s">
        <v>2037</v>
      </c>
      <c r="F436" s="20" t="s">
        <v>42</v>
      </c>
      <c r="G436" s="22" t="s">
        <v>63</v>
      </c>
      <c r="H436" s="19" t="s">
        <v>482</v>
      </c>
      <c r="I436" s="19" t="s">
        <v>120</v>
      </c>
      <c r="J436" s="19" t="s">
        <v>311</v>
      </c>
      <c r="K436" s="19" t="s">
        <v>47</v>
      </c>
      <c r="L436" s="19"/>
      <c r="M436" s="19" t="s">
        <v>121</v>
      </c>
      <c r="N436" s="19" t="s">
        <v>2038</v>
      </c>
      <c r="O436" s="19" t="s">
        <v>121</v>
      </c>
      <c r="P436" s="19" t="s">
        <v>568</v>
      </c>
      <c r="Q436" s="19" t="s">
        <v>1989</v>
      </c>
      <c r="R436" s="19" t="s">
        <v>2039</v>
      </c>
      <c r="S436" s="19" t="s">
        <v>2040</v>
      </c>
      <c r="T436" s="19" t="s">
        <v>53</v>
      </c>
      <c r="U436" s="19" t="s">
        <v>54</v>
      </c>
      <c r="V436" s="19" t="s">
        <v>97</v>
      </c>
      <c r="W436" s="19" t="s">
        <v>81</v>
      </c>
      <c r="X436" s="19" t="s">
        <v>191</v>
      </c>
      <c r="Y436" s="19"/>
      <c r="Z436" s="19" t="s">
        <v>2041</v>
      </c>
      <c r="AA436" s="19">
        <v>2</v>
      </c>
      <c r="AB436" s="19">
        <v>1</v>
      </c>
      <c r="AC436" s="19" t="s">
        <v>58</v>
      </c>
      <c r="AD436" s="19" t="s">
        <v>568</v>
      </c>
      <c r="AE436" s="19" t="s">
        <v>1897</v>
      </c>
      <c r="AF436" s="19" t="s">
        <v>2042</v>
      </c>
    </row>
    <row r="437" spans="1:34" customHeight="1" ht="42">
      <c r="A437" s="19">
        <v>431</v>
      </c>
      <c r="B437" s="19" t="s">
        <v>2026</v>
      </c>
      <c r="C437" s="19" t="s">
        <v>1964</v>
      </c>
      <c r="D437" s="19" t="str">
        <f>HYPERLINK("http://www.henontech.com/fieldsafety/harzard/harzard_show.php?rid=17211&amp;url=harzardrecs.php","西五通廊机头建筑胎板固定不牢，容易脱落")</f>
        <v>西五通廊机头建筑胎板固定不牢，容易脱落</v>
      </c>
      <c r="E437" s="19" t="s">
        <v>2043</v>
      </c>
      <c r="F437" s="20" t="s">
        <v>42</v>
      </c>
      <c r="G437" s="21" t="s">
        <v>43</v>
      </c>
      <c r="H437" s="19" t="s">
        <v>44</v>
      </c>
      <c r="I437" s="19" t="s">
        <v>108</v>
      </c>
      <c r="J437" s="19" t="s">
        <v>46</v>
      </c>
      <c r="K437" s="19" t="s">
        <v>47</v>
      </c>
      <c r="L437" s="19" t="s">
        <v>76</v>
      </c>
      <c r="M437" s="19" t="s">
        <v>364</v>
      </c>
      <c r="N437" s="19" t="s">
        <v>2044</v>
      </c>
      <c r="O437" s="19" t="s">
        <v>364</v>
      </c>
      <c r="P437" s="19" t="s">
        <v>425</v>
      </c>
      <c r="Q437" s="19" t="s">
        <v>1649</v>
      </c>
      <c r="R437" s="19" t="s">
        <v>2045</v>
      </c>
      <c r="S437" s="19"/>
      <c r="T437" s="19" t="s">
        <v>53</v>
      </c>
      <c r="U437" s="19" t="s">
        <v>54</v>
      </c>
      <c r="V437" s="19" t="s">
        <v>97</v>
      </c>
      <c r="W437" s="19" t="s">
        <v>81</v>
      </c>
      <c r="X437" s="19" t="s">
        <v>126</v>
      </c>
      <c r="Y437" s="19" t="s">
        <v>126</v>
      </c>
      <c r="Z437" s="19" t="s">
        <v>2046</v>
      </c>
      <c r="AA437" s="19">
        <v>2</v>
      </c>
      <c r="AB437" s="19">
        <v>2</v>
      </c>
      <c r="AC437" s="19" t="s">
        <v>58</v>
      </c>
      <c r="AD437" s="19" t="s">
        <v>425</v>
      </c>
      <c r="AE437" s="19" t="s">
        <v>1697</v>
      </c>
      <c r="AF437" s="19"/>
    </row>
    <row r="438" spans="1:34">
      <c r="A438" s="19">
        <v>432</v>
      </c>
      <c r="B438" s="19" t="s">
        <v>2026</v>
      </c>
      <c r="C438" s="19" t="s">
        <v>1913</v>
      </c>
      <c r="D438" s="19" t="str">
        <f>HYPERLINK("http://www.henontech.com/fieldsafety/harzard/harzard_show.php?rid=17232&amp;url=harzardrecs.php","加装煤气管道盲板阀")</f>
        <v>加装煤气管道盲板阀</v>
      </c>
      <c r="E438" s="19" t="s">
        <v>2047</v>
      </c>
      <c r="F438" s="23" t="s">
        <v>304</v>
      </c>
      <c r="G438" s="22" t="s">
        <v>63</v>
      </c>
      <c r="H438" s="19" t="s">
        <v>44</v>
      </c>
      <c r="I438" s="19" t="s">
        <v>45</v>
      </c>
      <c r="J438" s="19" t="s">
        <v>109</v>
      </c>
      <c r="K438" s="19"/>
      <c r="L438" s="19" t="s">
        <v>323</v>
      </c>
      <c r="M438" s="19" t="s">
        <v>1033</v>
      </c>
      <c r="N438" s="19" t="s">
        <v>1780</v>
      </c>
      <c r="O438" s="19"/>
      <c r="P438" s="19"/>
      <c r="Q438" s="19"/>
      <c r="R438" s="19" t="s">
        <v>1033</v>
      </c>
      <c r="S438" s="19" t="s">
        <v>2048</v>
      </c>
      <c r="T438" s="19" t="s">
        <v>53</v>
      </c>
      <c r="U438" s="19" t="s">
        <v>80</v>
      </c>
      <c r="V438" s="19" t="s">
        <v>97</v>
      </c>
      <c r="W438" s="19" t="s">
        <v>70</v>
      </c>
      <c r="X438" s="19"/>
      <c r="Y438" s="19"/>
      <c r="Z438" s="19"/>
      <c r="AA438" s="19">
        <v>0</v>
      </c>
      <c r="AB438" s="19"/>
      <c r="AC438" s="19" t="s">
        <v>308</v>
      </c>
      <c r="AD438" s="19"/>
      <c r="AE438" s="19"/>
      <c r="AF438" s="19"/>
    </row>
    <row r="439" spans="1:34">
      <c r="A439" s="19">
        <v>433</v>
      </c>
      <c r="B439" s="19" t="s">
        <v>2026</v>
      </c>
      <c r="C439" s="19" t="s">
        <v>2012</v>
      </c>
      <c r="D439" s="19" t="str">
        <f>HYPERLINK("http://www.henontech.com/fieldsafety/harzard/harzard_show.php?rid=17246&amp;url=harzardrecs.php","焦侧通廊东墙水泥砖破损，一操作工巡检经过时 ，不慎被掉落的水泥砖砸伤左脚脚踝骨折。住院治疗1月，休养1月。")</f>
        <v>焦侧通廊东墙水泥砖破损，一操作工巡检经过时 ，不慎被掉落的水泥砖砸伤左脚脚踝骨折。住院治疗1月，休养1月。</v>
      </c>
      <c r="E439" s="19" t="s">
        <v>2049</v>
      </c>
      <c r="F439" s="23" t="s">
        <v>304</v>
      </c>
      <c r="G439" s="22" t="s">
        <v>63</v>
      </c>
      <c r="H439" s="19" t="s">
        <v>44</v>
      </c>
      <c r="I439" s="19" t="s">
        <v>108</v>
      </c>
      <c r="J439" s="19" t="s">
        <v>46</v>
      </c>
      <c r="K439" s="19" t="s">
        <v>102</v>
      </c>
      <c r="L439" s="19" t="s">
        <v>76</v>
      </c>
      <c r="M439" s="19" t="s">
        <v>121</v>
      </c>
      <c r="N439" s="19" t="s">
        <v>1484</v>
      </c>
      <c r="O439" s="19"/>
      <c r="P439" s="19"/>
      <c r="Q439" s="19"/>
      <c r="R439" s="19" t="s">
        <v>2050</v>
      </c>
      <c r="S439" s="19" t="s">
        <v>1130</v>
      </c>
      <c r="T439" s="19" t="s">
        <v>53</v>
      </c>
      <c r="U439" s="19" t="s">
        <v>80</v>
      </c>
      <c r="V439" s="19" t="s">
        <v>97</v>
      </c>
      <c r="W439" s="19" t="s">
        <v>70</v>
      </c>
      <c r="X439" s="19"/>
      <c r="Y439" s="19"/>
      <c r="Z439" s="19"/>
      <c r="AA439" s="19">
        <v>0</v>
      </c>
      <c r="AB439" s="19"/>
      <c r="AC439" s="19" t="s">
        <v>308</v>
      </c>
      <c r="AD439" s="19"/>
      <c r="AE439" s="19"/>
      <c r="AF439" s="19"/>
    </row>
    <row r="440" spans="1:34" customHeight="1" ht="42">
      <c r="A440" s="19">
        <v>434</v>
      </c>
      <c r="B440" s="19" t="s">
        <v>2026</v>
      </c>
      <c r="C440" s="19" t="s">
        <v>1635</v>
      </c>
      <c r="D440" s="19" t="str">
        <f>HYPERLINK("http://www.henontech.com/fieldsafety/harzard/harzard_show.php?rid=17269&amp;url=harzardrecs.php","焦侧通廊东墙水泥砖破损，一操作工巡检时，不慎被掉落的水泥砖砸伤左脚，造成左脚脚踝骨折，住院治疗1月，休养1月。")</f>
        <v>焦侧通廊东墙水泥砖破损，一操作工巡检时，不慎被掉落的水泥砖砸伤左脚，造成左脚脚踝骨折，住院治疗1月，休养1月。</v>
      </c>
      <c r="E440" s="19" t="s">
        <v>2049</v>
      </c>
      <c r="F440" s="20" t="s">
        <v>42</v>
      </c>
      <c r="G440" s="22" t="s">
        <v>63</v>
      </c>
      <c r="H440" s="19" t="s">
        <v>44</v>
      </c>
      <c r="I440" s="19" t="s">
        <v>108</v>
      </c>
      <c r="J440" s="19" t="s">
        <v>46</v>
      </c>
      <c r="K440" s="19" t="s">
        <v>102</v>
      </c>
      <c r="L440" s="19" t="s">
        <v>76</v>
      </c>
      <c r="M440" s="19" t="s">
        <v>121</v>
      </c>
      <c r="N440" s="19" t="s">
        <v>1484</v>
      </c>
      <c r="O440" s="19" t="s">
        <v>121</v>
      </c>
      <c r="P440" s="19" t="s">
        <v>568</v>
      </c>
      <c r="Q440" s="19" t="s">
        <v>1989</v>
      </c>
      <c r="R440" s="19" t="s">
        <v>2050</v>
      </c>
      <c r="S440" s="19"/>
      <c r="T440" s="19" t="s">
        <v>53</v>
      </c>
      <c r="U440" s="19" t="s">
        <v>80</v>
      </c>
      <c r="V440" s="19" t="s">
        <v>97</v>
      </c>
      <c r="W440" s="19" t="s">
        <v>70</v>
      </c>
      <c r="X440" s="19" t="s">
        <v>191</v>
      </c>
      <c r="Y440" s="19"/>
      <c r="Z440" s="19" t="s">
        <v>2051</v>
      </c>
      <c r="AA440" s="19">
        <v>2</v>
      </c>
      <c r="AB440" s="19">
        <v>1</v>
      </c>
      <c r="AC440" s="19" t="s">
        <v>58</v>
      </c>
      <c r="AD440" s="19" t="s">
        <v>568</v>
      </c>
      <c r="AE440" s="19" t="s">
        <v>1897</v>
      </c>
      <c r="AF440" s="19" t="s">
        <v>2052</v>
      </c>
    </row>
    <row r="441" spans="1:34">
      <c r="A441" s="19">
        <v>435</v>
      </c>
      <c r="B441" s="19" t="s">
        <v>2026</v>
      </c>
      <c r="C441" s="19" t="s">
        <v>374</v>
      </c>
      <c r="D441" s="19" t="str">
        <f>HYPERLINK("http://www.henontech.com/fieldsafety/harzard/harzard_show.php?rid=17324&amp;url=harzardrecs.php","西四环形带磨损严重，如继续使用，一旦皮带破损断裂，会导致非正常停车，影响生产，经济损失2000元。")</f>
        <v>西四环形带磨损严重，如继续使用，一旦皮带破损断裂，会导致非正常停车，影响生产，经济损失2000元。</v>
      </c>
      <c r="E441" s="19" t="s">
        <v>2053</v>
      </c>
      <c r="F441" s="20" t="s">
        <v>42</v>
      </c>
      <c r="G441" s="21" t="s">
        <v>43</v>
      </c>
      <c r="H441" s="19" t="s">
        <v>44</v>
      </c>
      <c r="I441" s="19" t="s">
        <v>108</v>
      </c>
      <c r="J441" s="19" t="s">
        <v>46</v>
      </c>
      <c r="K441" s="19" t="s">
        <v>64</v>
      </c>
      <c r="L441" s="19" t="s">
        <v>599</v>
      </c>
      <c r="M441" s="19" t="s">
        <v>364</v>
      </c>
      <c r="N441" s="19" t="s">
        <v>2054</v>
      </c>
      <c r="O441" s="19" t="s">
        <v>364</v>
      </c>
      <c r="P441" s="19" t="s">
        <v>377</v>
      </c>
      <c r="Q441" s="19" t="s">
        <v>2055</v>
      </c>
      <c r="R441" s="19" t="s">
        <v>2056</v>
      </c>
      <c r="S441" s="19"/>
      <c r="T441" s="19" t="s">
        <v>189</v>
      </c>
      <c r="U441" s="19" t="s">
        <v>202</v>
      </c>
      <c r="V441" s="19" t="s">
        <v>55</v>
      </c>
      <c r="W441" s="19" t="s">
        <v>56</v>
      </c>
      <c r="X441" s="19"/>
      <c r="Y441" s="19"/>
      <c r="Z441" s="19" t="s">
        <v>2057</v>
      </c>
      <c r="AA441" s="19">
        <v>1</v>
      </c>
      <c r="AB441" s="19">
        <v>1</v>
      </c>
      <c r="AC441" s="19" t="s">
        <v>58</v>
      </c>
      <c r="AD441" s="19" t="s">
        <v>377</v>
      </c>
      <c r="AE441" s="19" t="s">
        <v>2055</v>
      </c>
      <c r="AF441" s="19"/>
    </row>
    <row r="442" spans="1:34">
      <c r="A442" s="19">
        <v>436</v>
      </c>
      <c r="B442" s="19" t="s">
        <v>2026</v>
      </c>
      <c r="C442" s="19" t="s">
        <v>2058</v>
      </c>
      <c r="D442" s="19" t="str">
        <f>HYPERLINK("http://www.henontech.com/fieldsafety/harzard/harzard_show.php?rid=17335&amp;url=harzardrecs.php","3#初冷器上段高温氨水管道腐蚀严重，一名操作工在冲洗初冷器时，可能会被管道腐蚀处漏出的高温氨水喷到面部，造成面部烫伤，送往医院治疗，在医院观察两天，回家修养十三天，损工十五天")</f>
        <v>3#初冷器上段高温氨水管道腐蚀严重，一名操作工在冲洗初冷器时，可能会被管道腐蚀处漏出的高温氨水喷到面部，造成面部烫伤，送往医院治疗，在医院观察两天，回家修养十三天，损工十五天</v>
      </c>
      <c r="E442" s="19" t="s">
        <v>2059</v>
      </c>
      <c r="F442" s="20" t="s">
        <v>42</v>
      </c>
      <c r="G442" s="22" t="s">
        <v>63</v>
      </c>
      <c r="H442" s="19" t="s">
        <v>44</v>
      </c>
      <c r="I442" s="19" t="s">
        <v>45</v>
      </c>
      <c r="J442" s="19" t="s">
        <v>46</v>
      </c>
      <c r="K442" s="19"/>
      <c r="L442" s="19"/>
      <c r="M442" s="19" t="s">
        <v>48</v>
      </c>
      <c r="N442" s="19" t="s">
        <v>605</v>
      </c>
      <c r="O442" s="19" t="s">
        <v>48</v>
      </c>
      <c r="P442" s="19" t="s">
        <v>50</v>
      </c>
      <c r="Q442" s="19" t="s">
        <v>1959</v>
      </c>
      <c r="R442" s="19" t="s">
        <v>2060</v>
      </c>
      <c r="S442" s="19"/>
      <c r="T442" s="19" t="s">
        <v>53</v>
      </c>
      <c r="U442" s="19" t="s">
        <v>80</v>
      </c>
      <c r="V442" s="19" t="s">
        <v>97</v>
      </c>
      <c r="W442" s="19" t="s">
        <v>70</v>
      </c>
      <c r="X442" s="19"/>
      <c r="Y442" s="19"/>
      <c r="Z442" s="19" t="s">
        <v>2061</v>
      </c>
      <c r="AA442" s="19">
        <v>1</v>
      </c>
      <c r="AB442" s="19">
        <v>1</v>
      </c>
      <c r="AC442" s="19" t="s">
        <v>58</v>
      </c>
      <c r="AD442" s="19" t="s">
        <v>50</v>
      </c>
      <c r="AE442" s="19" t="s">
        <v>1503</v>
      </c>
      <c r="AF442" s="19"/>
    </row>
    <row r="443" spans="1:34">
      <c r="A443" s="19">
        <v>437</v>
      </c>
      <c r="B443" s="19" t="s">
        <v>2026</v>
      </c>
      <c r="C443" s="19" t="s">
        <v>955</v>
      </c>
      <c r="D443" s="19" t="str">
        <f>HYPERLINK("http://www.henontech.com/fieldsafety/harzard/harzard_show.php?rid=17338&amp;url=harzardrecs.php","冷凝液循环槽放空管腐蚀严重，底漏造成环境污染，车间影响，当天已整改。")</f>
        <v>冷凝液循环槽放空管腐蚀严重，底漏造成环境污染，车间影响，当天已整改。</v>
      </c>
      <c r="E443" s="19" t="s">
        <v>2062</v>
      </c>
      <c r="F443" s="20" t="s">
        <v>42</v>
      </c>
      <c r="G443" s="22" t="s">
        <v>63</v>
      </c>
      <c r="H443" s="19" t="s">
        <v>44</v>
      </c>
      <c r="I443" s="19"/>
      <c r="J443" s="19" t="s">
        <v>46</v>
      </c>
      <c r="K443" s="19"/>
      <c r="L443" s="19"/>
      <c r="M443" s="19" t="s">
        <v>48</v>
      </c>
      <c r="N443" s="19" t="s">
        <v>2063</v>
      </c>
      <c r="O443" s="19" t="s">
        <v>48</v>
      </c>
      <c r="P443" s="19" t="s">
        <v>50</v>
      </c>
      <c r="Q443" s="19" t="s">
        <v>1959</v>
      </c>
      <c r="R443" s="19" t="s">
        <v>2064</v>
      </c>
      <c r="S443" s="19"/>
      <c r="T443" s="19" t="s">
        <v>393</v>
      </c>
      <c r="U443" s="19" t="s">
        <v>202</v>
      </c>
      <c r="V443" s="19" t="s">
        <v>69</v>
      </c>
      <c r="W443" s="19" t="s">
        <v>56</v>
      </c>
      <c r="X443" s="19"/>
      <c r="Y443" s="19"/>
      <c r="Z443" s="19" t="s">
        <v>2065</v>
      </c>
      <c r="AA443" s="19">
        <v>1</v>
      </c>
      <c r="AB443" s="19">
        <v>1</v>
      </c>
      <c r="AC443" s="19" t="s">
        <v>58</v>
      </c>
      <c r="AD443" s="19" t="s">
        <v>50</v>
      </c>
      <c r="AE443" s="19" t="s">
        <v>1839</v>
      </c>
      <c r="AF443" s="19"/>
    </row>
    <row r="444" spans="1:34" customHeight="1" ht="42">
      <c r="A444" s="19">
        <v>438</v>
      </c>
      <c r="B444" s="19" t="s">
        <v>2026</v>
      </c>
      <c r="C444" s="19" t="s">
        <v>2066</v>
      </c>
      <c r="D444" s="19" t="str">
        <f>HYPERLINK("http://www.henontech.com/fieldsafety/harzard/harzard_show.php?rid=17340&amp;url=harzardrecs.php","5.5米焦炉送煤车一号刮板机机头箱体多年使用变形严重，盖板盖不到位。一职工在清理余煤残焦时盖板翻落，躲避不及掉入运动的链条中，两脚掌当场被绞断，造成终身残废。")</f>
        <v>5.5米焦炉送煤车一号刮板机机头箱体多年使用变形严重，盖板盖不到位。一职工在清理余煤残焦时盖板翻落，躲避不及掉入运动的链条中，两脚掌当场被绞断，造成终身残废。</v>
      </c>
      <c r="E444" s="19" t="s">
        <v>53</v>
      </c>
      <c r="F444" s="25" t="s">
        <v>1455</v>
      </c>
      <c r="G444" s="21" t="s">
        <v>43</v>
      </c>
      <c r="H444" s="19" t="s">
        <v>44</v>
      </c>
      <c r="I444" s="19" t="s">
        <v>108</v>
      </c>
      <c r="J444" s="19" t="s">
        <v>46</v>
      </c>
      <c r="K444" s="19" t="s">
        <v>132</v>
      </c>
      <c r="L444" s="19" t="s">
        <v>76</v>
      </c>
      <c r="M444" s="19" t="s">
        <v>121</v>
      </c>
      <c r="N444" s="19" t="s">
        <v>2067</v>
      </c>
      <c r="O444" s="19" t="s">
        <v>121</v>
      </c>
      <c r="P444" s="19" t="s">
        <v>316</v>
      </c>
      <c r="Q444" s="19" t="s">
        <v>1989</v>
      </c>
      <c r="R444" s="19" t="s">
        <v>2068</v>
      </c>
      <c r="S444" s="19"/>
      <c r="T444" s="19" t="s">
        <v>53</v>
      </c>
      <c r="U444" s="19" t="s">
        <v>80</v>
      </c>
      <c r="V444" s="19" t="s">
        <v>69</v>
      </c>
      <c r="W444" s="19" t="s">
        <v>190</v>
      </c>
      <c r="X444" s="19" t="s">
        <v>154</v>
      </c>
      <c r="Y444" s="19"/>
      <c r="Z444" s="19" t="s">
        <v>2069</v>
      </c>
      <c r="AA444" s="19">
        <v>2</v>
      </c>
      <c r="AB444" s="19"/>
      <c r="AC444" s="19" t="s">
        <v>308</v>
      </c>
      <c r="AD444" s="19"/>
      <c r="AE444" s="19"/>
      <c r="AF444" s="19"/>
    </row>
    <row r="445" spans="1:34">
      <c r="A445" s="19">
        <v>439</v>
      </c>
      <c r="B445" s="19" t="s">
        <v>1697</v>
      </c>
      <c r="C445" s="19" t="s">
        <v>1060</v>
      </c>
      <c r="D445" s="19" t="str">
        <f>HYPERLINK("http://www.henontech.com/fieldsafety/harzard/harzard_show.php?rid=17364&amp;url=harzardrecs.php","煤八后尾小井篦子未盖严，一职工在清理卫生时，一旦踩蹭篦子，将滑落小井，造成小腿擦伤，消毒处理后继续工作")</f>
        <v>煤八后尾小井篦子未盖严，一职工在清理卫生时，一旦踩蹭篦子，将滑落小井，造成小腿擦伤，消毒处理后继续工作</v>
      </c>
      <c r="E445" s="19" t="s">
        <v>2070</v>
      </c>
      <c r="F445" s="20" t="s">
        <v>42</v>
      </c>
      <c r="G445" s="21" t="s">
        <v>43</v>
      </c>
      <c r="H445" s="19" t="s">
        <v>44</v>
      </c>
      <c r="I445" s="19" t="s">
        <v>45</v>
      </c>
      <c r="J445" s="19"/>
      <c r="K445" s="19"/>
      <c r="L445" s="19"/>
      <c r="M445" s="19" t="s">
        <v>364</v>
      </c>
      <c r="N445" s="19" t="s">
        <v>2071</v>
      </c>
      <c r="O445" s="19" t="s">
        <v>364</v>
      </c>
      <c r="P445" s="19" t="s">
        <v>1687</v>
      </c>
      <c r="Q445" s="19" t="s">
        <v>2072</v>
      </c>
      <c r="R445" s="19" t="s">
        <v>2073</v>
      </c>
      <c r="S445" s="19"/>
      <c r="T445" s="19" t="s">
        <v>53</v>
      </c>
      <c r="U445" s="19" t="s">
        <v>54</v>
      </c>
      <c r="V445" s="19" t="s">
        <v>97</v>
      </c>
      <c r="W445" s="19" t="s">
        <v>81</v>
      </c>
      <c r="X445" s="19"/>
      <c r="Y445" s="19"/>
      <c r="Z445" s="19" t="s">
        <v>2074</v>
      </c>
      <c r="AA445" s="19">
        <v>1</v>
      </c>
      <c r="AB445" s="19">
        <v>1</v>
      </c>
      <c r="AC445" s="19" t="s">
        <v>58</v>
      </c>
      <c r="AD445" s="19" t="s">
        <v>1687</v>
      </c>
      <c r="AE445" s="19" t="s">
        <v>1697</v>
      </c>
      <c r="AF445" s="19"/>
    </row>
    <row r="446" spans="1:34">
      <c r="A446" s="19">
        <v>440</v>
      </c>
      <c r="B446" s="19" t="s">
        <v>1697</v>
      </c>
      <c r="C446" s="19" t="s">
        <v>374</v>
      </c>
      <c r="D446" s="19" t="str">
        <f>HYPERLINK("http://www.henontech.com/fieldsafety/harzard/harzard_show.php?rid=17367&amp;url=harzardrecs.php","煤棚西北角处篦子一块突出，一旦职工经过，将会被绊倒，造成手掌膝盖擦伤，消毒处理后继续工作。")</f>
        <v>煤棚西北角处篦子一块突出，一旦职工经过，将会被绊倒，造成手掌膝盖擦伤，消毒处理后继续工作。</v>
      </c>
      <c r="E446" s="19" t="s">
        <v>2075</v>
      </c>
      <c r="F446" s="20" t="s">
        <v>42</v>
      </c>
      <c r="G446" s="21" t="s">
        <v>43</v>
      </c>
      <c r="H446" s="19" t="s">
        <v>44</v>
      </c>
      <c r="I446" s="19" t="s">
        <v>45</v>
      </c>
      <c r="J446" s="19"/>
      <c r="K446" s="19"/>
      <c r="L446" s="19"/>
      <c r="M446" s="19" t="s">
        <v>364</v>
      </c>
      <c r="N446" s="19" t="s">
        <v>2076</v>
      </c>
      <c r="O446" s="19" t="s">
        <v>364</v>
      </c>
      <c r="P446" s="19" t="s">
        <v>1687</v>
      </c>
      <c r="Q446" s="19" t="s">
        <v>2072</v>
      </c>
      <c r="R446" s="19" t="s">
        <v>2077</v>
      </c>
      <c r="S446" s="19"/>
      <c r="T446" s="19" t="s">
        <v>53</v>
      </c>
      <c r="U446" s="19" t="s">
        <v>54</v>
      </c>
      <c r="V446" s="19" t="s">
        <v>97</v>
      </c>
      <c r="W446" s="19" t="s">
        <v>81</v>
      </c>
      <c r="X446" s="19"/>
      <c r="Y446" s="19"/>
      <c r="Z446" s="19" t="s">
        <v>2078</v>
      </c>
      <c r="AA446" s="19">
        <v>1</v>
      </c>
      <c r="AB446" s="19">
        <v>1</v>
      </c>
      <c r="AC446" s="19" t="s">
        <v>58</v>
      </c>
      <c r="AD446" s="19" t="s">
        <v>1687</v>
      </c>
      <c r="AE446" s="19" t="s">
        <v>1697</v>
      </c>
      <c r="AF446" s="19"/>
    </row>
    <row r="447" spans="1:34">
      <c r="A447" s="19">
        <v>441</v>
      </c>
      <c r="B447" s="19" t="s">
        <v>1697</v>
      </c>
      <c r="C447" s="19" t="s">
        <v>422</v>
      </c>
      <c r="D447" s="19" t="str">
        <f>HYPERLINK("http://www.henontech.com/fieldsafety/harzard/harzard_show.php?rid=17368&amp;url=harzardrecs.php","2#料煤场料口处钢筋翘起，一旦职工路过，将会被绊倒，造成膝盖擦伤，消毒处理后继续工作。")</f>
        <v>2#料煤场料口处钢筋翘起，一旦职工路过，将会被绊倒，造成膝盖擦伤，消毒处理后继续工作。</v>
      </c>
      <c r="E447" s="19" t="s">
        <v>2079</v>
      </c>
      <c r="F447" s="20" t="s">
        <v>42</v>
      </c>
      <c r="G447" s="21" t="s">
        <v>43</v>
      </c>
      <c r="H447" s="19" t="s">
        <v>44</v>
      </c>
      <c r="I447" s="19" t="s">
        <v>45</v>
      </c>
      <c r="J447" s="19"/>
      <c r="K447" s="19"/>
      <c r="L447" s="19"/>
      <c r="M447" s="19" t="s">
        <v>364</v>
      </c>
      <c r="N447" s="19" t="s">
        <v>376</v>
      </c>
      <c r="O447" s="19" t="s">
        <v>364</v>
      </c>
      <c r="P447" s="19" t="s">
        <v>1687</v>
      </c>
      <c r="Q447" s="19" t="s">
        <v>2072</v>
      </c>
      <c r="R447" s="19" t="s">
        <v>2080</v>
      </c>
      <c r="S447" s="19"/>
      <c r="T447" s="19" t="s">
        <v>53</v>
      </c>
      <c r="U447" s="19" t="s">
        <v>54</v>
      </c>
      <c r="V447" s="19" t="s">
        <v>97</v>
      </c>
      <c r="W447" s="19" t="s">
        <v>81</v>
      </c>
      <c r="X447" s="19"/>
      <c r="Y447" s="19"/>
      <c r="Z447" s="19" t="s">
        <v>2081</v>
      </c>
      <c r="AA447" s="19">
        <v>1</v>
      </c>
      <c r="AB447" s="19">
        <v>1</v>
      </c>
      <c r="AC447" s="19" t="s">
        <v>58</v>
      </c>
      <c r="AD447" s="19" t="s">
        <v>1687</v>
      </c>
      <c r="AE447" s="19" t="s">
        <v>1697</v>
      </c>
      <c r="AF447" s="19"/>
    </row>
    <row r="448" spans="1:34">
      <c r="A448" s="19">
        <v>442</v>
      </c>
      <c r="B448" s="19" t="s">
        <v>1697</v>
      </c>
      <c r="C448" s="19" t="s">
        <v>1529</v>
      </c>
      <c r="D448" s="19" t="str">
        <f>HYPERLINK("http://www.henontech.com/fieldsafety/harzard/harzard_show.php?rid=17369&amp;url=harzardrecs.php","锅炉操作工放灰时，西侧放灰管突然喷出红灰，喷到操作工身上，致使烫伤住院")</f>
        <v>锅炉操作工放灰时，西侧放灰管突然喷出红灰，喷到操作工身上，致使烫伤住院</v>
      </c>
      <c r="E448" s="19" t="s">
        <v>2082</v>
      </c>
      <c r="F448" s="23" t="s">
        <v>304</v>
      </c>
      <c r="G448" s="22" t="s">
        <v>63</v>
      </c>
      <c r="H448" s="19" t="s">
        <v>44</v>
      </c>
      <c r="I448" s="19" t="s">
        <v>120</v>
      </c>
      <c r="J448" s="19" t="s">
        <v>46</v>
      </c>
      <c r="K448" s="19" t="s">
        <v>64</v>
      </c>
      <c r="L448" s="19" t="s">
        <v>76</v>
      </c>
      <c r="M448" s="19" t="s">
        <v>1033</v>
      </c>
      <c r="N448" s="19" t="s">
        <v>1153</v>
      </c>
      <c r="O448" s="19"/>
      <c r="P448" s="19"/>
      <c r="Q448" s="19"/>
      <c r="R448" s="19" t="s">
        <v>2083</v>
      </c>
      <c r="S448" s="19" t="s">
        <v>2084</v>
      </c>
      <c r="T448" s="19" t="s">
        <v>53</v>
      </c>
      <c r="U448" s="19" t="s">
        <v>54</v>
      </c>
      <c r="V448" s="19" t="s">
        <v>97</v>
      </c>
      <c r="W448" s="19" t="s">
        <v>81</v>
      </c>
      <c r="X448" s="19"/>
      <c r="Y448" s="19"/>
      <c r="Z448" s="19"/>
      <c r="AA448" s="19">
        <v>0</v>
      </c>
      <c r="AB448" s="19"/>
      <c r="AC448" s="19" t="s">
        <v>308</v>
      </c>
      <c r="AD448" s="19"/>
      <c r="AE448" s="19"/>
      <c r="AF448" s="19"/>
    </row>
    <row r="449" spans="1:34">
      <c r="A449" s="19">
        <v>443</v>
      </c>
      <c r="B449" s="19" t="s">
        <v>1697</v>
      </c>
      <c r="C449" s="19" t="s">
        <v>410</v>
      </c>
      <c r="D449" s="19" t="str">
        <f>HYPERLINK("http://www.henontech.com/fieldsafety/harzard/harzard_show.php?rid=17373&amp;url=harzardrecs.php","脱硫塔中部人孔处，在检修挖塔内费料时，将边上护栏打开，往下放料，完工后未恢复，一操作工在上去检查时，不小心从护栏处摔下，造成重伤，住院治疗，休工一年。")</f>
        <v>脱硫塔中部人孔处，在检修挖塔内费料时，将边上护栏打开，往下放料，完工后未恢复，一操作工在上去检查时，不小心从护栏处摔下，造成重伤，住院治疗，休工一年。</v>
      </c>
      <c r="E449" s="19" t="s">
        <v>2085</v>
      </c>
      <c r="F449" s="23" t="s">
        <v>304</v>
      </c>
      <c r="G449" s="22" t="s">
        <v>63</v>
      </c>
      <c r="H449" s="19" t="s">
        <v>44</v>
      </c>
      <c r="I449" s="19" t="s">
        <v>45</v>
      </c>
      <c r="J449" s="19" t="s">
        <v>109</v>
      </c>
      <c r="K449" s="19" t="s">
        <v>47</v>
      </c>
      <c r="L449" s="19" t="s">
        <v>76</v>
      </c>
      <c r="M449" s="19" t="s">
        <v>1033</v>
      </c>
      <c r="N449" s="19" t="s">
        <v>1040</v>
      </c>
      <c r="O449" s="19"/>
      <c r="P449" s="19"/>
      <c r="Q449" s="19"/>
      <c r="R449" s="19" t="s">
        <v>2086</v>
      </c>
      <c r="S449" s="19" t="s">
        <v>2084</v>
      </c>
      <c r="T449" s="19" t="s">
        <v>53</v>
      </c>
      <c r="U449" s="19" t="s">
        <v>236</v>
      </c>
      <c r="V449" s="19" t="s">
        <v>97</v>
      </c>
      <c r="W449" s="19" t="s">
        <v>190</v>
      </c>
      <c r="X449" s="19"/>
      <c r="Y449" s="19"/>
      <c r="Z449" s="19"/>
      <c r="AA449" s="19">
        <v>0</v>
      </c>
      <c r="AB449" s="19"/>
      <c r="AC449" s="19" t="s">
        <v>308</v>
      </c>
      <c r="AD449" s="19"/>
      <c r="AE449" s="19"/>
      <c r="AF449" s="19"/>
    </row>
    <row r="450" spans="1:34" customHeight="1" ht="42">
      <c r="A450" s="19">
        <v>444</v>
      </c>
      <c r="B450" s="19" t="s">
        <v>1697</v>
      </c>
      <c r="C450" s="19" t="s">
        <v>1913</v>
      </c>
      <c r="D450" s="19" t="str">
        <f>HYPERLINK("http://www.henontech.com/fieldsafety/harzard/harzard_show.php?rid=17374&amp;url=harzardrecs.php","夜晚巡查人员不小心掉进下水道中造成伤害")</f>
        <v>夜晚巡查人员不小心掉进下水道中造成伤害</v>
      </c>
      <c r="E450" s="19" t="s">
        <v>2087</v>
      </c>
      <c r="F450" s="25" t="s">
        <v>1455</v>
      </c>
      <c r="G450" s="22" t="s">
        <v>63</v>
      </c>
      <c r="H450" s="19" t="s">
        <v>482</v>
      </c>
      <c r="I450" s="19" t="s">
        <v>108</v>
      </c>
      <c r="J450" s="19" t="s">
        <v>109</v>
      </c>
      <c r="K450" s="19" t="s">
        <v>47</v>
      </c>
      <c r="L450" s="19" t="s">
        <v>76</v>
      </c>
      <c r="M450" s="19" t="s">
        <v>1033</v>
      </c>
      <c r="N450" s="19" t="s">
        <v>1490</v>
      </c>
      <c r="O450" s="19" t="s">
        <v>1033</v>
      </c>
      <c r="P450" s="19" t="s">
        <v>1034</v>
      </c>
      <c r="Q450" s="19" t="s">
        <v>2088</v>
      </c>
      <c r="R450" s="19" t="s">
        <v>2089</v>
      </c>
      <c r="S450" s="19"/>
      <c r="T450" s="19" t="s">
        <v>53</v>
      </c>
      <c r="U450" s="19" t="s">
        <v>54</v>
      </c>
      <c r="V450" s="19" t="s">
        <v>55</v>
      </c>
      <c r="W450" s="19" t="s">
        <v>56</v>
      </c>
      <c r="X450" s="19" t="s">
        <v>154</v>
      </c>
      <c r="Y450" s="19"/>
      <c r="Z450" s="19" t="s">
        <v>2090</v>
      </c>
      <c r="AA450" s="19">
        <v>2</v>
      </c>
      <c r="AB450" s="19"/>
      <c r="AC450" s="19" t="s">
        <v>308</v>
      </c>
      <c r="AD450" s="19"/>
      <c r="AE450" s="19"/>
      <c r="AF450" s="19"/>
    </row>
    <row r="451" spans="1:34">
      <c r="A451" s="19">
        <v>445</v>
      </c>
      <c r="B451" s="19" t="s">
        <v>1697</v>
      </c>
      <c r="C451" s="19" t="s">
        <v>410</v>
      </c>
      <c r="D451" s="19" t="str">
        <f>HYPERLINK("http://www.henontech.com/fieldsafety/harzard/harzard_show.php?rid=17380&amp;url=harzardrecs.php","脱硫塔中部人孔处平台上有一铁管，没有固定牢，一操作工在下边打扫卫生时，铁管突然坠落，砸饬员工，住院治治疗，损工一月。")</f>
        <v>脱硫塔中部人孔处平台上有一铁管，没有固定牢，一操作工在下边打扫卫生时，铁管突然坠落，砸饬员工，住院治治疗，损工一月。</v>
      </c>
      <c r="E451" s="19" t="s">
        <v>2091</v>
      </c>
      <c r="F451" s="23" t="s">
        <v>304</v>
      </c>
      <c r="G451" s="22" t="s">
        <v>63</v>
      </c>
      <c r="H451" s="19" t="s">
        <v>44</v>
      </c>
      <c r="I451" s="19"/>
      <c r="J451" s="19" t="s">
        <v>109</v>
      </c>
      <c r="K451" s="19" t="s">
        <v>47</v>
      </c>
      <c r="L451" s="19" t="s">
        <v>76</v>
      </c>
      <c r="M451" s="19" t="s">
        <v>1033</v>
      </c>
      <c r="N451" s="19" t="s">
        <v>1560</v>
      </c>
      <c r="O451" s="19"/>
      <c r="P451" s="19"/>
      <c r="Q451" s="19"/>
      <c r="R451" s="19" t="s">
        <v>2092</v>
      </c>
      <c r="S451" s="19" t="s">
        <v>2084</v>
      </c>
      <c r="T451" s="19" t="s">
        <v>53</v>
      </c>
      <c r="U451" s="19" t="s">
        <v>54</v>
      </c>
      <c r="V451" s="19" t="s">
        <v>55</v>
      </c>
      <c r="W451" s="19" t="s">
        <v>56</v>
      </c>
      <c r="X451" s="19"/>
      <c r="Y451" s="19"/>
      <c r="Z451" s="19"/>
      <c r="AA451" s="19">
        <v>0</v>
      </c>
      <c r="AB451" s="19"/>
      <c r="AC451" s="19" t="s">
        <v>308</v>
      </c>
      <c r="AD451" s="19"/>
      <c r="AE451" s="19"/>
      <c r="AF451" s="19"/>
    </row>
    <row r="452" spans="1:34">
      <c r="A452" s="19">
        <v>446</v>
      </c>
      <c r="B452" s="19" t="s">
        <v>1697</v>
      </c>
      <c r="C452" s="19" t="s">
        <v>2093</v>
      </c>
      <c r="D452" s="19" t="str">
        <f>HYPERLINK("http://www.henontech.com/fieldsafety/harzard/harzard_show.php?rid=17386&amp;url=harzardrecs.php","35t锅炉顶部电缆桥架无盖板离蒸汽管线太近，电缆受热易导致电缆受损造成停电，导致停炉")</f>
        <v>35t锅炉顶部电缆桥架无盖板离蒸汽管线太近，电缆受热易导致电缆受损造成停电，导致停炉</v>
      </c>
      <c r="E452" s="19" t="s">
        <v>2094</v>
      </c>
      <c r="F452" s="23" t="s">
        <v>304</v>
      </c>
      <c r="G452" s="22" t="s">
        <v>63</v>
      </c>
      <c r="H452" s="19" t="s">
        <v>44</v>
      </c>
      <c r="I452" s="19" t="s">
        <v>108</v>
      </c>
      <c r="J452" s="19" t="s">
        <v>46</v>
      </c>
      <c r="K452" s="19" t="s">
        <v>102</v>
      </c>
      <c r="L452" s="19" t="s">
        <v>76</v>
      </c>
      <c r="M452" s="19" t="s">
        <v>1033</v>
      </c>
      <c r="N452" s="19" t="s">
        <v>1198</v>
      </c>
      <c r="O452" s="19"/>
      <c r="P452" s="19"/>
      <c r="Q452" s="19"/>
      <c r="R452" s="19" t="s">
        <v>2095</v>
      </c>
      <c r="S452" s="19" t="s">
        <v>1372</v>
      </c>
      <c r="T452" s="19" t="s">
        <v>189</v>
      </c>
      <c r="U452" s="19" t="s">
        <v>202</v>
      </c>
      <c r="V452" s="19" t="s">
        <v>55</v>
      </c>
      <c r="W452" s="19" t="s">
        <v>56</v>
      </c>
      <c r="X452" s="19"/>
      <c r="Y452" s="19"/>
      <c r="Z452" s="19"/>
      <c r="AA452" s="19">
        <v>0</v>
      </c>
      <c r="AB452" s="19"/>
      <c r="AC452" s="19" t="s">
        <v>308</v>
      </c>
      <c r="AD452" s="19"/>
      <c r="AE452" s="19"/>
      <c r="AF452" s="19"/>
    </row>
    <row r="453" spans="1:34" customHeight="1" ht="42">
      <c r="A453" s="19">
        <v>447</v>
      </c>
      <c r="B453" s="19" t="s">
        <v>1697</v>
      </c>
      <c r="C453" s="19" t="s">
        <v>2093</v>
      </c>
      <c r="D453" s="19" t="str">
        <f>HYPERLINK("http://www.henontech.com/fieldsafety/harzard/harzard_show.php?rid=17399&amp;url=harzardrecs.php","75吨锅炉下降管保温铝皮破损。一名操作工巡检至此处，由于风大，铝皮刮落砸到肩部，被同事送至医务室简单处理外伤，休息一天后复工。")</f>
        <v>75吨锅炉下降管保温铝皮破损。一名操作工巡检至此处，由于风大，铝皮刮落砸到肩部，被同事送至医务室简单处理外伤，休息一天后复工。</v>
      </c>
      <c r="E453" s="19" t="s">
        <v>2096</v>
      </c>
      <c r="F453" s="25" t="s">
        <v>1455</v>
      </c>
      <c r="G453" s="22" t="s">
        <v>63</v>
      </c>
      <c r="H453" s="19" t="s">
        <v>44</v>
      </c>
      <c r="I453" s="19" t="s">
        <v>45</v>
      </c>
      <c r="J453" s="19" t="s">
        <v>109</v>
      </c>
      <c r="K453" s="19" t="s">
        <v>47</v>
      </c>
      <c r="L453" s="19" t="s">
        <v>76</v>
      </c>
      <c r="M453" s="19" t="s">
        <v>1033</v>
      </c>
      <c r="N453" s="19" t="s">
        <v>1724</v>
      </c>
      <c r="O453" s="19" t="s">
        <v>1033</v>
      </c>
      <c r="P453" s="19" t="s">
        <v>1034</v>
      </c>
      <c r="Q453" s="19" t="s">
        <v>2097</v>
      </c>
      <c r="R453" s="19" t="s">
        <v>2098</v>
      </c>
      <c r="S453" s="19"/>
      <c r="T453" s="19" t="s">
        <v>53</v>
      </c>
      <c r="U453" s="19" t="s">
        <v>54</v>
      </c>
      <c r="V453" s="19" t="s">
        <v>97</v>
      </c>
      <c r="W453" s="19" t="s">
        <v>81</v>
      </c>
      <c r="X453" s="19" t="s">
        <v>154</v>
      </c>
      <c r="Y453" s="19"/>
      <c r="Z453" s="19" t="s">
        <v>2099</v>
      </c>
      <c r="AA453" s="19">
        <v>2</v>
      </c>
      <c r="AB453" s="19"/>
      <c r="AC453" s="19" t="s">
        <v>308</v>
      </c>
      <c r="AD453" s="19"/>
      <c r="AE453" s="19"/>
      <c r="AF453" s="19"/>
    </row>
    <row r="454" spans="1:34" customHeight="1" ht="42">
      <c r="A454" s="19">
        <v>448</v>
      </c>
      <c r="B454" s="19" t="s">
        <v>1697</v>
      </c>
      <c r="C454" s="19" t="s">
        <v>2100</v>
      </c>
      <c r="D454" s="19" t="str">
        <f>HYPERLINK("http://www.henontech.com/fieldsafety/harzard/harzard_show.php?rid=17402&amp;url=harzardrecs.php","送煤车辆从北门进入煤场卸煤时因煤棚门口没有限高牌对煤棚门口高度估计不足造成刮坏煤棚经济损失一万元")</f>
        <v>送煤车辆从北门进入煤场卸煤时因煤棚门口没有限高牌对煤棚门口高度估计不足造成刮坏煤棚经济损失一万元</v>
      </c>
      <c r="E454" s="19" t="s">
        <v>2101</v>
      </c>
      <c r="F454" s="25" t="s">
        <v>1455</v>
      </c>
      <c r="G454" s="22" t="s">
        <v>63</v>
      </c>
      <c r="H454" s="19" t="s">
        <v>44</v>
      </c>
      <c r="I454" s="19" t="s">
        <v>45</v>
      </c>
      <c r="J454" s="19" t="s">
        <v>109</v>
      </c>
      <c r="K454" s="19" t="s">
        <v>47</v>
      </c>
      <c r="L454" s="19" t="s">
        <v>703</v>
      </c>
      <c r="M454" s="19" t="s">
        <v>1033</v>
      </c>
      <c r="N454" s="19" t="s">
        <v>1624</v>
      </c>
      <c r="O454" s="19" t="s">
        <v>1033</v>
      </c>
      <c r="P454" s="19" t="s">
        <v>1034</v>
      </c>
      <c r="Q454" s="19" t="s">
        <v>2088</v>
      </c>
      <c r="R454" s="19" t="s">
        <v>1654</v>
      </c>
      <c r="S454" s="19"/>
      <c r="T454" s="19" t="s">
        <v>189</v>
      </c>
      <c r="U454" s="19" t="s">
        <v>202</v>
      </c>
      <c r="V454" s="19" t="s">
        <v>69</v>
      </c>
      <c r="W454" s="19" t="s">
        <v>56</v>
      </c>
      <c r="X454" s="19" t="s">
        <v>154</v>
      </c>
      <c r="Y454" s="19"/>
      <c r="Z454" s="19" t="s">
        <v>2102</v>
      </c>
      <c r="AA454" s="19">
        <v>2</v>
      </c>
      <c r="AB454" s="19"/>
      <c r="AC454" s="19" t="s">
        <v>308</v>
      </c>
      <c r="AD454" s="19"/>
      <c r="AE454" s="19"/>
      <c r="AF454" s="19"/>
    </row>
    <row r="455" spans="1:34">
      <c r="A455" s="19">
        <v>449</v>
      </c>
      <c r="B455" s="19" t="s">
        <v>1697</v>
      </c>
      <c r="C455" s="19" t="s">
        <v>2103</v>
      </c>
      <c r="D455" s="19" t="str">
        <f>HYPERLINK("http://www.henontech.com/fieldsafety/harzard/harzard_show.php?rid=17409&amp;url=harzardrecs.php","东冷凝澄清槽爬梯因拆除一侧设备，导致爬梯一侧护栏损坏缺失，一名拆除人员在作业过程中如果坠落，头部着地死亡。")</f>
        <v>东冷凝澄清槽爬梯因拆除一侧设备，导致爬梯一侧护栏损坏缺失，一名拆除人员在作业过程中如果坠落，头部着地死亡。</v>
      </c>
      <c r="E455" s="19" t="s">
        <v>2104</v>
      </c>
      <c r="F455" s="20" t="s">
        <v>42</v>
      </c>
      <c r="G455" s="22" t="s">
        <v>63</v>
      </c>
      <c r="H455" s="19" t="s">
        <v>44</v>
      </c>
      <c r="I455" s="19" t="s">
        <v>45</v>
      </c>
      <c r="J455" s="19" t="s">
        <v>46</v>
      </c>
      <c r="K455" s="19" t="s">
        <v>132</v>
      </c>
      <c r="L455" s="19" t="s">
        <v>76</v>
      </c>
      <c r="M455" s="19" t="s">
        <v>48</v>
      </c>
      <c r="N455" s="19" t="s">
        <v>535</v>
      </c>
      <c r="O455" s="19" t="s">
        <v>48</v>
      </c>
      <c r="P455" s="19" t="s">
        <v>50</v>
      </c>
      <c r="Q455" s="19" t="s">
        <v>1959</v>
      </c>
      <c r="R455" s="19" t="s">
        <v>104</v>
      </c>
      <c r="S455" s="19"/>
      <c r="T455" s="19" t="s">
        <v>53</v>
      </c>
      <c r="U455" s="19" t="s">
        <v>236</v>
      </c>
      <c r="V455" s="19" t="s">
        <v>97</v>
      </c>
      <c r="W455" s="19" t="s">
        <v>190</v>
      </c>
      <c r="X455" s="19"/>
      <c r="Y455" s="19"/>
      <c r="Z455" s="19" t="s">
        <v>2105</v>
      </c>
      <c r="AA455" s="19">
        <v>1</v>
      </c>
      <c r="AB455" s="19">
        <v>1</v>
      </c>
      <c r="AC455" s="19" t="s">
        <v>58</v>
      </c>
      <c r="AD455" s="19" t="s">
        <v>50</v>
      </c>
      <c r="AE455" s="19" t="s">
        <v>1839</v>
      </c>
      <c r="AF455" s="19"/>
    </row>
    <row r="456" spans="1:34">
      <c r="A456" s="19">
        <v>450</v>
      </c>
      <c r="B456" s="19" t="s">
        <v>1697</v>
      </c>
      <c r="C456" s="19" t="s">
        <v>2106</v>
      </c>
      <c r="D456" s="19" t="str">
        <f>HYPERLINK("http://www.henontech.com/fieldsafety/harzard/harzard_show.php?rid=17418&amp;url=harzardrecs.php","托棍轴承磨损坏，皮带跑偏，一旦造成皮带撕裂，损失1万余元")</f>
        <v>托棍轴承磨损坏，皮带跑偏，一旦造成皮带撕裂，损失1万余元</v>
      </c>
      <c r="E456" s="19" t="s">
        <v>2107</v>
      </c>
      <c r="F456" s="20" t="s">
        <v>42</v>
      </c>
      <c r="G456" s="22" t="s">
        <v>63</v>
      </c>
      <c r="H456" s="19" t="s">
        <v>44</v>
      </c>
      <c r="I456" s="19"/>
      <c r="J456" s="19" t="s">
        <v>46</v>
      </c>
      <c r="K456" s="19"/>
      <c r="L456" s="19"/>
      <c r="M456" s="19" t="s">
        <v>48</v>
      </c>
      <c r="N456" s="19" t="s">
        <v>2108</v>
      </c>
      <c r="O456" s="19" t="s">
        <v>48</v>
      </c>
      <c r="P456" s="19" t="s">
        <v>50</v>
      </c>
      <c r="Q456" s="19" t="s">
        <v>1959</v>
      </c>
      <c r="R456" s="19" t="s">
        <v>2109</v>
      </c>
      <c r="S456" s="19"/>
      <c r="T456" s="19" t="s">
        <v>189</v>
      </c>
      <c r="U456" s="19" t="s">
        <v>54</v>
      </c>
      <c r="V456" s="19" t="s">
        <v>55</v>
      </c>
      <c r="W456" s="19" t="s">
        <v>56</v>
      </c>
      <c r="X456" s="19"/>
      <c r="Y456" s="19"/>
      <c r="Z456" s="19" t="s">
        <v>2110</v>
      </c>
      <c r="AA456" s="19">
        <v>1</v>
      </c>
      <c r="AB456" s="19">
        <v>1</v>
      </c>
      <c r="AC456" s="19" t="s">
        <v>58</v>
      </c>
      <c r="AD456" s="19" t="s">
        <v>50</v>
      </c>
      <c r="AE456" s="19" t="s">
        <v>1649</v>
      </c>
      <c r="AF456" s="19"/>
    </row>
    <row r="457" spans="1:34">
      <c r="A457" s="19">
        <v>451</v>
      </c>
      <c r="B457" s="19" t="s">
        <v>1967</v>
      </c>
      <c r="C457" s="19" t="s">
        <v>1932</v>
      </c>
      <c r="D457" s="19" t="str">
        <f>HYPERLINK("http://www.henontech.com/fieldsafety/harzard/harzard_show.php?rid=17473&amp;url=harzardrecs.php","西硫铵工段东饱和器管架蒸汽管道保温铝皮脱落，如果在大风天气人员从此处经过可能被掉落的铝皮轻微划伤脸部简单包扎后能正常工作")</f>
        <v>西硫铵工段东饱和器管架蒸汽管道保温铝皮脱落，如果在大风天气人员从此处经过可能被掉落的铝皮轻微划伤脸部简单包扎后能正常工作</v>
      </c>
      <c r="E457" s="19" t="s">
        <v>2111</v>
      </c>
      <c r="F457" s="20" t="s">
        <v>42</v>
      </c>
      <c r="G457" s="22" t="s">
        <v>63</v>
      </c>
      <c r="H457" s="19" t="s">
        <v>44</v>
      </c>
      <c r="I457" s="19" t="s">
        <v>45</v>
      </c>
      <c r="J457" s="19" t="s">
        <v>46</v>
      </c>
      <c r="K457" s="19" t="s">
        <v>47</v>
      </c>
      <c r="L457" s="19" t="s">
        <v>76</v>
      </c>
      <c r="M457" s="19" t="s">
        <v>48</v>
      </c>
      <c r="N457" s="19" t="s">
        <v>2112</v>
      </c>
      <c r="O457" s="19" t="s">
        <v>48</v>
      </c>
      <c r="P457" s="19" t="s">
        <v>50</v>
      </c>
      <c r="Q457" s="19" t="s">
        <v>1959</v>
      </c>
      <c r="R457" s="19" t="s">
        <v>2113</v>
      </c>
      <c r="S457" s="19"/>
      <c r="T457" s="19" t="s">
        <v>53</v>
      </c>
      <c r="U457" s="19" t="s">
        <v>54</v>
      </c>
      <c r="V457" s="19" t="s">
        <v>97</v>
      </c>
      <c r="W457" s="19" t="s">
        <v>81</v>
      </c>
      <c r="X457" s="19"/>
      <c r="Y457" s="19"/>
      <c r="Z457" s="19" t="s">
        <v>2114</v>
      </c>
      <c r="AA457" s="19">
        <v>1</v>
      </c>
      <c r="AB457" s="19">
        <v>1</v>
      </c>
      <c r="AC457" s="19" t="s">
        <v>58</v>
      </c>
      <c r="AD457" s="19" t="s">
        <v>50</v>
      </c>
      <c r="AE457" s="19" t="s">
        <v>1503</v>
      </c>
      <c r="AF457" s="19"/>
    </row>
    <row r="458" spans="1:34">
      <c r="A458" s="19">
        <v>452</v>
      </c>
      <c r="B458" s="19" t="s">
        <v>1967</v>
      </c>
      <c r="C458" s="19" t="s">
        <v>1627</v>
      </c>
      <c r="D458" s="19" t="str">
        <f>HYPERLINK("http://www.henontech.com/fieldsafety/harzard/harzard_show.php?rid=17477&amp;url=harzardrecs.php","老化学水车间西门口开蒸气倒淋阀时不慎烫伤")</f>
        <v>老化学水车间西门口开蒸气倒淋阀时不慎烫伤</v>
      </c>
      <c r="E458" s="19" t="s">
        <v>2115</v>
      </c>
      <c r="F458" s="23" t="s">
        <v>304</v>
      </c>
      <c r="G458" s="22" t="s">
        <v>63</v>
      </c>
      <c r="H458" s="19" t="s">
        <v>44</v>
      </c>
      <c r="I458" s="19" t="s">
        <v>120</v>
      </c>
      <c r="J458" s="19" t="s">
        <v>826</v>
      </c>
      <c r="K458" s="19" t="s">
        <v>47</v>
      </c>
      <c r="L458" s="19" t="s">
        <v>76</v>
      </c>
      <c r="M458" s="19" t="s">
        <v>1033</v>
      </c>
      <c r="N458" s="19" t="s">
        <v>1710</v>
      </c>
      <c r="O458" s="19"/>
      <c r="P458" s="19"/>
      <c r="Q458" s="19"/>
      <c r="R458" s="19" t="s">
        <v>2116</v>
      </c>
      <c r="S458" s="19" t="s">
        <v>2084</v>
      </c>
      <c r="T458" s="19" t="s">
        <v>53</v>
      </c>
      <c r="U458" s="19" t="s">
        <v>54</v>
      </c>
      <c r="V458" s="19" t="s">
        <v>97</v>
      </c>
      <c r="W458" s="19" t="s">
        <v>81</v>
      </c>
      <c r="X458" s="19"/>
      <c r="Y458" s="19"/>
      <c r="Z458" s="19"/>
      <c r="AA458" s="19">
        <v>0</v>
      </c>
      <c r="AB458" s="19"/>
      <c r="AC458" s="19" t="s">
        <v>308</v>
      </c>
      <c r="AD458" s="19"/>
      <c r="AE458" s="19"/>
      <c r="AF458" s="19"/>
    </row>
    <row r="459" spans="1:34">
      <c r="A459" s="19">
        <v>453</v>
      </c>
      <c r="B459" s="19" t="s">
        <v>1967</v>
      </c>
      <c r="C459" s="19" t="s">
        <v>1913</v>
      </c>
      <c r="D459" s="19" t="str">
        <f>HYPERLINK("http://www.henontech.com/fieldsafety/harzard/harzard_show.php?rid=17494&amp;url=harzardrecs.php","夜班一名锅炉操作工去开左侧分离器根部疏水阀门时由于平台踏板弯曲操作工不慎绊倒，造成下颚骨折，需住院治疗。")</f>
        <v>夜班一名锅炉操作工去开左侧分离器根部疏水阀门时由于平台踏板弯曲操作工不慎绊倒，造成下颚骨折，需住院治疗。</v>
      </c>
      <c r="E459" s="19" t="s">
        <v>2117</v>
      </c>
      <c r="F459" s="23" t="s">
        <v>304</v>
      </c>
      <c r="G459" s="22" t="s">
        <v>63</v>
      </c>
      <c r="H459" s="19" t="s">
        <v>44</v>
      </c>
      <c r="I459" s="19"/>
      <c r="J459" s="19" t="s">
        <v>109</v>
      </c>
      <c r="K459" s="19" t="s">
        <v>47</v>
      </c>
      <c r="L459" s="19"/>
      <c r="M459" s="19" t="s">
        <v>1033</v>
      </c>
      <c r="N459" s="19" t="s">
        <v>1456</v>
      </c>
      <c r="O459" s="19"/>
      <c r="P459" s="19"/>
      <c r="Q459" s="19"/>
      <c r="R459" s="19" t="s">
        <v>2118</v>
      </c>
      <c r="S459" s="19" t="s">
        <v>1372</v>
      </c>
      <c r="T459" s="19" t="s">
        <v>53</v>
      </c>
      <c r="U459" s="19" t="s">
        <v>80</v>
      </c>
      <c r="V459" s="19" t="s">
        <v>97</v>
      </c>
      <c r="W459" s="19" t="s">
        <v>70</v>
      </c>
      <c r="X459" s="19"/>
      <c r="Y459" s="19"/>
      <c r="Z459" s="19"/>
      <c r="AA459" s="19">
        <v>0</v>
      </c>
      <c r="AB459" s="19"/>
      <c r="AC459" s="19" t="s">
        <v>308</v>
      </c>
      <c r="AD459" s="19"/>
      <c r="AE459" s="19"/>
      <c r="AF459" s="19"/>
    </row>
    <row r="460" spans="1:34">
      <c r="A460" s="19">
        <v>454</v>
      </c>
      <c r="B460" s="19" t="s">
        <v>1967</v>
      </c>
      <c r="C460" s="19" t="s">
        <v>1627</v>
      </c>
      <c r="D460" s="19" t="str">
        <f>HYPERLINK("http://www.henontech.com/fieldsafety/harzard/harzard_show.php?rid=17495&amp;url=harzardrecs.php","EDI进水软管老化破裂导致产水不足，影响锅炉运行，可能造成财产损失")</f>
        <v>EDI进水软管老化破裂导致产水不足，影响锅炉运行，可能造成财产损失</v>
      </c>
      <c r="E460" s="19" t="s">
        <v>2119</v>
      </c>
      <c r="F460" s="23" t="s">
        <v>304</v>
      </c>
      <c r="G460" s="22" t="s">
        <v>63</v>
      </c>
      <c r="H460" s="19" t="s">
        <v>44</v>
      </c>
      <c r="I460" s="19" t="s">
        <v>108</v>
      </c>
      <c r="J460" s="19" t="s">
        <v>46</v>
      </c>
      <c r="K460" s="19" t="s">
        <v>64</v>
      </c>
      <c r="L460" s="19"/>
      <c r="M460" s="19" t="s">
        <v>1033</v>
      </c>
      <c r="N460" s="19" t="s">
        <v>1507</v>
      </c>
      <c r="O460" s="19"/>
      <c r="P460" s="19"/>
      <c r="Q460" s="19"/>
      <c r="R460" s="19" t="s">
        <v>2120</v>
      </c>
      <c r="S460" s="19" t="s">
        <v>1372</v>
      </c>
      <c r="T460" s="19" t="s">
        <v>189</v>
      </c>
      <c r="U460" s="19" t="s">
        <v>202</v>
      </c>
      <c r="V460" s="19" t="s">
        <v>55</v>
      </c>
      <c r="W460" s="19" t="s">
        <v>56</v>
      </c>
      <c r="X460" s="19"/>
      <c r="Y460" s="19"/>
      <c r="Z460" s="19"/>
      <c r="AA460" s="19">
        <v>0</v>
      </c>
      <c r="AB460" s="19"/>
      <c r="AC460" s="19" t="s">
        <v>308</v>
      </c>
      <c r="AD460" s="19"/>
      <c r="AE460" s="19"/>
      <c r="AF460" s="19"/>
    </row>
    <row r="461" spans="1:34" customHeight="1" ht="42">
      <c r="A461" s="19">
        <v>455</v>
      </c>
      <c r="B461" s="19" t="s">
        <v>1967</v>
      </c>
      <c r="C461" s="19" t="s">
        <v>1488</v>
      </c>
      <c r="D461" s="19" t="str">
        <f>HYPERLINK("http://www.henontech.com/fieldsafety/harzard/harzard_show.php?rid=17517&amp;url=harzardrecs.php","一名操作工操作上下爬梯时，没有引起重视，脚底打滑不慎跌倒，造成小腿磕伤破皮渗血，医务室包扎后损工一天")</f>
        <v>一名操作工操作上下爬梯时，没有引起重视，脚底打滑不慎跌倒，造成小腿磕伤破皮渗血，医务室包扎后损工一天</v>
      </c>
      <c r="E461" s="19" t="s">
        <v>2121</v>
      </c>
      <c r="F461" s="25" t="s">
        <v>1455</v>
      </c>
      <c r="G461" s="22" t="s">
        <v>63</v>
      </c>
      <c r="H461" s="19" t="s">
        <v>482</v>
      </c>
      <c r="I461" s="19" t="s">
        <v>108</v>
      </c>
      <c r="J461" s="19" t="s">
        <v>386</v>
      </c>
      <c r="K461" s="19" t="s">
        <v>132</v>
      </c>
      <c r="L461" s="19" t="s">
        <v>76</v>
      </c>
      <c r="M461" s="19" t="s">
        <v>1033</v>
      </c>
      <c r="N461" s="19" t="s">
        <v>1279</v>
      </c>
      <c r="O461" s="19" t="s">
        <v>1033</v>
      </c>
      <c r="P461" s="19" t="s">
        <v>1034</v>
      </c>
      <c r="Q461" s="19" t="s">
        <v>2097</v>
      </c>
      <c r="R461" s="19" t="s">
        <v>2122</v>
      </c>
      <c r="S461" s="19"/>
      <c r="T461" s="19" t="s">
        <v>53</v>
      </c>
      <c r="U461" s="19" t="s">
        <v>54</v>
      </c>
      <c r="V461" s="19" t="s">
        <v>97</v>
      </c>
      <c r="W461" s="19" t="s">
        <v>81</v>
      </c>
      <c r="X461" s="19" t="s">
        <v>154</v>
      </c>
      <c r="Y461" s="19"/>
      <c r="Z461" s="19" t="s">
        <v>2123</v>
      </c>
      <c r="AA461" s="19">
        <v>2</v>
      </c>
      <c r="AB461" s="19"/>
      <c r="AC461" s="19" t="s">
        <v>308</v>
      </c>
      <c r="AD461" s="19"/>
      <c r="AE461" s="19"/>
      <c r="AF461" s="19"/>
    </row>
    <row r="462" spans="1:34">
      <c r="A462" s="19">
        <v>456</v>
      </c>
      <c r="B462" s="19" t="s">
        <v>1967</v>
      </c>
      <c r="C462" s="19" t="s">
        <v>1460</v>
      </c>
      <c r="D462" s="19" t="str">
        <f>HYPERLINK("http://www.henontech.com/fieldsafety/harzard/harzard_show.php?rid=17526&amp;url=harzardrecs.php","新化学水加药间加盐酸时不慎灼伤皮肤")</f>
        <v>新化学水加药间加盐酸时不慎灼伤皮肤</v>
      </c>
      <c r="E462" s="19" t="s">
        <v>2124</v>
      </c>
      <c r="F462" s="23" t="s">
        <v>304</v>
      </c>
      <c r="G462" s="22" t="s">
        <v>63</v>
      </c>
      <c r="H462" s="19" t="s">
        <v>44</v>
      </c>
      <c r="I462" s="19" t="s">
        <v>120</v>
      </c>
      <c r="J462" s="19" t="s">
        <v>531</v>
      </c>
      <c r="K462" s="19" t="s">
        <v>64</v>
      </c>
      <c r="L462" s="19" t="s">
        <v>76</v>
      </c>
      <c r="M462" s="19" t="s">
        <v>1033</v>
      </c>
      <c r="N462" s="19" t="s">
        <v>1713</v>
      </c>
      <c r="O462" s="19"/>
      <c r="P462" s="19"/>
      <c r="Q462" s="19"/>
      <c r="R462" s="19" t="s">
        <v>1893</v>
      </c>
      <c r="S462" s="19" t="s">
        <v>1372</v>
      </c>
      <c r="T462" s="19" t="s">
        <v>53</v>
      </c>
      <c r="U462" s="19" t="s">
        <v>80</v>
      </c>
      <c r="V462" s="19" t="s">
        <v>97</v>
      </c>
      <c r="W462" s="19" t="s">
        <v>70</v>
      </c>
      <c r="X462" s="19"/>
      <c r="Y462" s="19"/>
      <c r="Z462" s="19"/>
      <c r="AA462" s="19">
        <v>0</v>
      </c>
      <c r="AB462" s="19"/>
      <c r="AC462" s="19" t="s">
        <v>308</v>
      </c>
      <c r="AD462" s="19"/>
      <c r="AE462" s="19"/>
      <c r="AF462" s="19"/>
    </row>
    <row r="463" spans="1:34">
      <c r="A463" s="19">
        <v>457</v>
      </c>
      <c r="B463" s="19" t="s">
        <v>1967</v>
      </c>
      <c r="C463" s="19" t="s">
        <v>1964</v>
      </c>
      <c r="D463" s="19" t="str">
        <f>HYPERLINK("http://www.henontech.com/fieldsafety/harzard/harzard_show.php?rid=17635&amp;url=harzardrecs.php","西五通廊南侧彩钢瓦包边脱落，一旦不及时清理容易造成人员砸伤，划伤")</f>
        <v>西五通廊南侧彩钢瓦包边脱落，一旦不及时清理容易造成人员砸伤，划伤</v>
      </c>
      <c r="E463" s="19" t="s">
        <v>2125</v>
      </c>
      <c r="F463" s="20" t="s">
        <v>42</v>
      </c>
      <c r="G463" s="22" t="s">
        <v>63</v>
      </c>
      <c r="H463" s="19" t="s">
        <v>44</v>
      </c>
      <c r="I463" s="19" t="s">
        <v>45</v>
      </c>
      <c r="J463" s="19"/>
      <c r="K463" s="19"/>
      <c r="L463" s="19" t="s">
        <v>76</v>
      </c>
      <c r="M463" s="19" t="s">
        <v>364</v>
      </c>
      <c r="N463" s="19" t="s">
        <v>2126</v>
      </c>
      <c r="O463" s="19" t="s">
        <v>364</v>
      </c>
      <c r="P463" s="19" t="s">
        <v>1687</v>
      </c>
      <c r="Q463" s="19" t="s">
        <v>2127</v>
      </c>
      <c r="R463" s="19" t="s">
        <v>2128</v>
      </c>
      <c r="S463" s="19"/>
      <c r="T463" s="19" t="s">
        <v>53</v>
      </c>
      <c r="U463" s="19" t="s">
        <v>54</v>
      </c>
      <c r="V463" s="19" t="s">
        <v>55</v>
      </c>
      <c r="W463" s="19" t="s">
        <v>56</v>
      </c>
      <c r="X463" s="19"/>
      <c r="Y463" s="19"/>
      <c r="Z463" s="19" t="s">
        <v>2129</v>
      </c>
      <c r="AA463" s="19">
        <v>1</v>
      </c>
      <c r="AB463" s="19">
        <v>1</v>
      </c>
      <c r="AC463" s="19" t="s">
        <v>58</v>
      </c>
      <c r="AD463" s="19" t="s">
        <v>1687</v>
      </c>
      <c r="AE463" s="19" t="s">
        <v>2055</v>
      </c>
      <c r="AF463" s="19"/>
    </row>
    <row r="464" spans="1:34" customHeight="1" ht="42">
      <c r="A464" s="19">
        <v>458</v>
      </c>
      <c r="B464" s="19" t="s">
        <v>1967</v>
      </c>
      <c r="C464" s="19" t="s">
        <v>2130</v>
      </c>
      <c r="D464" s="19" t="str">
        <f>HYPERLINK("http://www.henontech.com/fieldsafety/harzard/harzard_show.php?rid=17652&amp;url=harzardrecs.php","机侧炉门修理站备用炉门未打安全销，炉门意外掉落，砸伤了一名在此打扫卫生的员工，立既送往医院就诊，经抢救无效死亡")</f>
        <v>机侧炉门修理站备用炉门未打安全销，炉门意外掉落，砸伤了一名在此打扫卫生的员工，立既送往医院就诊，经抢救无效死亡</v>
      </c>
      <c r="E464" s="19" t="s">
        <v>2131</v>
      </c>
      <c r="F464" s="20" t="s">
        <v>42</v>
      </c>
      <c r="G464" s="21" t="s">
        <v>43</v>
      </c>
      <c r="H464" s="19" t="s">
        <v>44</v>
      </c>
      <c r="I464" s="19" t="s">
        <v>108</v>
      </c>
      <c r="J464" s="19" t="s">
        <v>46</v>
      </c>
      <c r="K464" s="19" t="s">
        <v>47</v>
      </c>
      <c r="L464" s="19" t="s">
        <v>76</v>
      </c>
      <c r="M464" s="19" t="s">
        <v>121</v>
      </c>
      <c r="N464" s="19" t="s">
        <v>2132</v>
      </c>
      <c r="O464" s="19" t="s">
        <v>121</v>
      </c>
      <c r="P464" s="19" t="s">
        <v>662</v>
      </c>
      <c r="Q464" s="19" t="s">
        <v>1989</v>
      </c>
      <c r="R464" s="19" t="s">
        <v>2133</v>
      </c>
      <c r="S464" s="19"/>
      <c r="T464" s="19" t="s">
        <v>53</v>
      </c>
      <c r="U464" s="19" t="s">
        <v>236</v>
      </c>
      <c r="V464" s="19" t="s">
        <v>97</v>
      </c>
      <c r="W464" s="19" t="s">
        <v>190</v>
      </c>
      <c r="X464" s="19" t="s">
        <v>191</v>
      </c>
      <c r="Y464" s="19"/>
      <c r="Z464" s="19" t="s">
        <v>2134</v>
      </c>
      <c r="AA464" s="19">
        <v>2</v>
      </c>
      <c r="AB464" s="19">
        <v>2</v>
      </c>
      <c r="AC464" s="19" t="s">
        <v>58</v>
      </c>
      <c r="AD464" s="19" t="s">
        <v>662</v>
      </c>
      <c r="AE464" s="19" t="s">
        <v>1863</v>
      </c>
      <c r="AF464" s="19"/>
    </row>
    <row r="465" spans="1:34" customHeight="1" ht="42">
      <c r="A465" s="19">
        <v>459</v>
      </c>
      <c r="B465" s="19" t="s">
        <v>1826</v>
      </c>
      <c r="C465" s="19" t="s">
        <v>494</v>
      </c>
      <c r="D465" s="19" t="str">
        <f>HYPERLINK("http://www.henontech.com/fieldsafety/harzard/harzard_show.php?rid=17661&amp;url=harzardrecs.php","焦侧33号上升管水封破损，装煤时集气管压力高水封漏水严重出现水封内无水导致上升管无法被封堵被荒煤气顶开时恰巧有一人经过此处被点燃的煤气烧到脸部，后送医治疗，住院两个月康复复工，但脸部无法恢复原来样子。")</f>
        <v>焦侧33号上升管水封破损，装煤时集气管压力高水封漏水严重出现水封内无水导致上升管无法被封堵被荒煤气顶开时恰巧有一人经过此处被点燃的煤气烧到脸部，后送医治疗，住院两个月康复复工，但脸部无法恢复原来样子。</v>
      </c>
      <c r="E465" s="19" t="s">
        <v>2135</v>
      </c>
      <c r="F465" s="25" t="s">
        <v>1455</v>
      </c>
      <c r="G465" s="21" t="s">
        <v>43</v>
      </c>
      <c r="H465" s="19" t="s">
        <v>44</v>
      </c>
      <c r="I465" s="19" t="s">
        <v>108</v>
      </c>
      <c r="J465" s="19" t="s">
        <v>46</v>
      </c>
      <c r="K465" s="19" t="s">
        <v>110</v>
      </c>
      <c r="L465" s="19" t="s">
        <v>599</v>
      </c>
      <c r="M465" s="19" t="s">
        <v>121</v>
      </c>
      <c r="N465" s="19" t="s">
        <v>576</v>
      </c>
      <c r="O465" s="19" t="s">
        <v>121</v>
      </c>
      <c r="P465" s="19" t="s">
        <v>316</v>
      </c>
      <c r="Q465" s="19" t="s">
        <v>1989</v>
      </c>
      <c r="R465" s="19" t="s">
        <v>2136</v>
      </c>
      <c r="S465" s="19"/>
      <c r="T465" s="19" t="s">
        <v>53</v>
      </c>
      <c r="U465" s="19" t="s">
        <v>80</v>
      </c>
      <c r="V465" s="19" t="s">
        <v>97</v>
      </c>
      <c r="W465" s="19" t="s">
        <v>70</v>
      </c>
      <c r="X465" s="19" t="s">
        <v>154</v>
      </c>
      <c r="Y465" s="19"/>
      <c r="Z465" s="19" t="s">
        <v>2137</v>
      </c>
      <c r="AA465" s="19">
        <v>2</v>
      </c>
      <c r="AB465" s="19"/>
      <c r="AC465" s="19" t="s">
        <v>308</v>
      </c>
      <c r="AD465" s="19"/>
      <c r="AE465" s="19"/>
      <c r="AF465" s="19"/>
    </row>
    <row r="466" spans="1:34">
      <c r="A466" s="19">
        <v>460</v>
      </c>
      <c r="B466" s="19" t="s">
        <v>1826</v>
      </c>
      <c r="C466" s="19" t="s">
        <v>2138</v>
      </c>
      <c r="D466" s="19" t="str">
        <f>HYPERLINK("http://www.henontech.com/fieldsafety/harzard/harzard_show.php?rid=17687&amp;url=harzardrecs.php","2号带机尾未按装防护栏，一名操作工在清理卫生时右手不慎被转动的托辊卷入压伤。")</f>
        <v>2号带机尾未按装防护栏，一名操作工在清理卫生时右手不慎被转动的托辊卷入压伤。</v>
      </c>
      <c r="E466" s="19" t="s">
        <v>2139</v>
      </c>
      <c r="F466" s="23" t="s">
        <v>304</v>
      </c>
      <c r="G466" s="22" t="s">
        <v>63</v>
      </c>
      <c r="H466" s="19" t="s">
        <v>44</v>
      </c>
      <c r="I466" s="19" t="s">
        <v>108</v>
      </c>
      <c r="J466" s="19" t="s">
        <v>109</v>
      </c>
      <c r="K466" s="19" t="s">
        <v>110</v>
      </c>
      <c r="L466" s="19" t="s">
        <v>76</v>
      </c>
      <c r="M466" s="19" t="s">
        <v>1033</v>
      </c>
      <c r="N466" s="19" t="s">
        <v>1616</v>
      </c>
      <c r="O466" s="19"/>
      <c r="P466" s="19"/>
      <c r="Q466" s="19"/>
      <c r="R466" s="19" t="s">
        <v>2140</v>
      </c>
      <c r="S466" s="19" t="s">
        <v>2084</v>
      </c>
      <c r="T466" s="19" t="s">
        <v>53</v>
      </c>
      <c r="U466" s="19" t="s">
        <v>54</v>
      </c>
      <c r="V466" s="19" t="s">
        <v>97</v>
      </c>
      <c r="W466" s="19" t="s">
        <v>81</v>
      </c>
      <c r="X466" s="19"/>
      <c r="Y466" s="19"/>
      <c r="Z466" s="19"/>
      <c r="AA466" s="19">
        <v>0</v>
      </c>
      <c r="AB466" s="19"/>
      <c r="AC466" s="19" t="s">
        <v>308</v>
      </c>
      <c r="AD466" s="19"/>
      <c r="AE466" s="19"/>
      <c r="AF466" s="19"/>
    </row>
    <row r="467" spans="1:34">
      <c r="A467" s="19">
        <v>461</v>
      </c>
      <c r="B467" s="19" t="s">
        <v>1826</v>
      </c>
      <c r="C467" s="19" t="s">
        <v>1913</v>
      </c>
      <c r="D467" s="19" t="str">
        <f>HYPERLINK("http://www.henontech.com/fieldsafety/harzard/harzard_show.php?rid=17708&amp;url=harzardrecs.php","员工上除尘器开灯时，在爬梯处踩透摔伤")</f>
        <v>员工上除尘器开灯时，在爬梯处踩透摔伤</v>
      </c>
      <c r="E467" s="19" t="s">
        <v>2141</v>
      </c>
      <c r="F467" s="23" t="s">
        <v>304</v>
      </c>
      <c r="G467" s="22" t="s">
        <v>63</v>
      </c>
      <c r="H467" s="19" t="s">
        <v>482</v>
      </c>
      <c r="I467" s="19" t="s">
        <v>45</v>
      </c>
      <c r="J467" s="19" t="s">
        <v>109</v>
      </c>
      <c r="K467" s="19" t="s">
        <v>132</v>
      </c>
      <c r="L467" s="19" t="s">
        <v>76</v>
      </c>
      <c r="M467" s="19" t="s">
        <v>1033</v>
      </c>
      <c r="N467" s="19" t="s">
        <v>1190</v>
      </c>
      <c r="O467" s="19"/>
      <c r="P467" s="19"/>
      <c r="Q467" s="19"/>
      <c r="R467" s="19" t="s">
        <v>2142</v>
      </c>
      <c r="S467" s="19" t="s">
        <v>2143</v>
      </c>
      <c r="T467" s="19" t="s">
        <v>53</v>
      </c>
      <c r="U467" s="19" t="s">
        <v>80</v>
      </c>
      <c r="V467" s="19" t="s">
        <v>97</v>
      </c>
      <c r="W467" s="19" t="s">
        <v>70</v>
      </c>
      <c r="X467" s="19"/>
      <c r="Y467" s="19"/>
      <c r="Z467" s="19"/>
      <c r="AA467" s="19">
        <v>0</v>
      </c>
      <c r="AB467" s="19"/>
      <c r="AC467" s="19" t="s">
        <v>308</v>
      </c>
      <c r="AD467" s="19"/>
      <c r="AE467" s="19"/>
      <c r="AF467" s="19"/>
    </row>
    <row r="468" spans="1:34" customHeight="1" ht="42">
      <c r="A468" s="19">
        <v>462</v>
      </c>
      <c r="B468" s="19" t="s">
        <v>1826</v>
      </c>
      <c r="C468" s="19" t="s">
        <v>1836</v>
      </c>
      <c r="D468" s="19" t="str">
        <f>HYPERLINK("http://www.henontech.com/fieldsafety/harzard/harzard_show.php?rid=17716&amp;url=harzardrecs.php","一名工人在软水箱上操作手动阀门时，被管线绊倒，从软水箱上面掉落到地面，造成胳膊骨折")</f>
        <v>一名工人在软水箱上操作手动阀门时，被管线绊倒，从软水箱上面掉落到地面，造成胳膊骨折</v>
      </c>
      <c r="E468" s="19" t="s">
        <v>2144</v>
      </c>
      <c r="F468" s="25" t="s">
        <v>1455</v>
      </c>
      <c r="G468" s="22" t="s">
        <v>63</v>
      </c>
      <c r="H468" s="19" t="s">
        <v>44</v>
      </c>
      <c r="I468" s="19" t="s">
        <v>108</v>
      </c>
      <c r="J468" s="19" t="s">
        <v>46</v>
      </c>
      <c r="K468" s="19" t="s">
        <v>110</v>
      </c>
      <c r="L468" s="19" t="s">
        <v>76</v>
      </c>
      <c r="M468" s="19" t="s">
        <v>121</v>
      </c>
      <c r="N468" s="19" t="s">
        <v>489</v>
      </c>
      <c r="O468" s="19" t="s">
        <v>121</v>
      </c>
      <c r="P468" s="19" t="s">
        <v>662</v>
      </c>
      <c r="Q468" s="19" t="s">
        <v>1989</v>
      </c>
      <c r="R468" s="19" t="s">
        <v>2145</v>
      </c>
      <c r="S468" s="19"/>
      <c r="T468" s="19" t="s">
        <v>53</v>
      </c>
      <c r="U468" s="19" t="s">
        <v>80</v>
      </c>
      <c r="V468" s="19" t="s">
        <v>97</v>
      </c>
      <c r="W468" s="19" t="s">
        <v>70</v>
      </c>
      <c r="X468" s="19" t="s">
        <v>191</v>
      </c>
      <c r="Y468" s="19"/>
      <c r="Z468" s="19" t="s">
        <v>2146</v>
      </c>
      <c r="AA468" s="19">
        <v>2</v>
      </c>
      <c r="AB468" s="19"/>
      <c r="AC468" s="19" t="s">
        <v>308</v>
      </c>
      <c r="AD468" s="19"/>
      <c r="AE468" s="19"/>
      <c r="AF468" s="19"/>
    </row>
    <row r="469" spans="1:34">
      <c r="A469" s="19">
        <v>463</v>
      </c>
      <c r="B469" s="19" t="s">
        <v>1826</v>
      </c>
      <c r="C469" s="19" t="s">
        <v>1913</v>
      </c>
      <c r="D469" s="19" t="str">
        <f>HYPERLINK("http://www.henontech.com/fieldsafety/harzard/harzard_show.php?rid=17717&amp;url=harzardrecs.php","75T锅炉一楼平面排水沟盖板断裂，一名巡检工在巡检时左脚采到断裂盖板。")</f>
        <v>75T锅炉一楼平面排水沟盖板断裂，一名巡检工在巡检时左脚采到断裂盖板。</v>
      </c>
      <c r="E469" s="19" t="s">
        <v>2147</v>
      </c>
      <c r="F469" s="23" t="s">
        <v>304</v>
      </c>
      <c r="G469" s="22" t="s">
        <v>63</v>
      </c>
      <c r="H469" s="19" t="s">
        <v>44</v>
      </c>
      <c r="I469" s="19" t="s">
        <v>108</v>
      </c>
      <c r="J469" s="19" t="s">
        <v>46</v>
      </c>
      <c r="K469" s="19" t="s">
        <v>1631</v>
      </c>
      <c r="L469" s="19" t="s">
        <v>76</v>
      </c>
      <c r="M469" s="19" t="s">
        <v>1033</v>
      </c>
      <c r="N469" s="19" t="s">
        <v>1510</v>
      </c>
      <c r="O469" s="19"/>
      <c r="P469" s="19"/>
      <c r="Q469" s="19"/>
      <c r="R469" s="19" t="s">
        <v>2148</v>
      </c>
      <c r="S469" s="19" t="s">
        <v>1372</v>
      </c>
      <c r="T469" s="19" t="s">
        <v>53</v>
      </c>
      <c r="U469" s="19" t="s">
        <v>80</v>
      </c>
      <c r="V469" s="19" t="s">
        <v>55</v>
      </c>
      <c r="W469" s="19" t="s">
        <v>81</v>
      </c>
      <c r="X469" s="19"/>
      <c r="Y469" s="19"/>
      <c r="Z469" s="19"/>
      <c r="AA469" s="19">
        <v>0</v>
      </c>
      <c r="AB469" s="19"/>
      <c r="AC469" s="19" t="s">
        <v>308</v>
      </c>
      <c r="AD469" s="19"/>
      <c r="AE469" s="19"/>
      <c r="AF469" s="19"/>
    </row>
    <row r="470" spans="1:34">
      <c r="A470" s="19">
        <v>464</v>
      </c>
      <c r="B470" s="19" t="s">
        <v>1826</v>
      </c>
      <c r="C470" s="19" t="s">
        <v>1913</v>
      </c>
      <c r="D470" s="19" t="str">
        <f>HYPERLINK("http://www.henontech.com/fieldsafety/harzard/harzard_show.php?rid=17726&amp;url=harzardrecs.php","因渣库配电盘门长期未关闭，进来雨水腐蚀坏了控制继电器七个，导致链斗机停车开不起来。")</f>
        <v>因渣库配电盘门长期未关闭，进来雨水腐蚀坏了控制继电器七个，导致链斗机停车开不起来。</v>
      </c>
      <c r="E470" s="19" t="s">
        <v>2149</v>
      </c>
      <c r="F470" s="23" t="s">
        <v>304</v>
      </c>
      <c r="G470" s="22" t="s">
        <v>63</v>
      </c>
      <c r="H470" s="19" t="s">
        <v>232</v>
      </c>
      <c r="I470" s="19"/>
      <c r="J470" s="19" t="s">
        <v>109</v>
      </c>
      <c r="K470" s="19" t="s">
        <v>47</v>
      </c>
      <c r="L470" s="19"/>
      <c r="M470" s="19" t="s">
        <v>1033</v>
      </c>
      <c r="N470" s="19" t="s">
        <v>1717</v>
      </c>
      <c r="O470" s="19"/>
      <c r="P470" s="19"/>
      <c r="Q470" s="19"/>
      <c r="R470" s="19" t="s">
        <v>2150</v>
      </c>
      <c r="S470" s="19" t="s">
        <v>1372</v>
      </c>
      <c r="T470" s="19" t="s">
        <v>189</v>
      </c>
      <c r="U470" s="19" t="s">
        <v>202</v>
      </c>
      <c r="V470" s="19" t="s">
        <v>55</v>
      </c>
      <c r="W470" s="19" t="s">
        <v>56</v>
      </c>
      <c r="X470" s="19"/>
      <c r="Y470" s="19"/>
      <c r="Z470" s="19"/>
      <c r="AA470" s="19">
        <v>0</v>
      </c>
      <c r="AB470" s="19"/>
      <c r="AC470" s="19" t="s">
        <v>308</v>
      </c>
      <c r="AD470" s="19"/>
      <c r="AE470" s="19"/>
      <c r="AF470" s="19"/>
    </row>
    <row r="471" spans="1:34">
      <c r="A471" s="19">
        <v>465</v>
      </c>
      <c r="B471" s="19" t="s">
        <v>1826</v>
      </c>
      <c r="C471" s="19" t="s">
        <v>2093</v>
      </c>
      <c r="D471" s="19" t="str">
        <f>HYPERLINK("http://www.henontech.com/fieldsafety/harzard/harzard_show.php?rid=17763&amp;url=harzardrecs.php","35t锅炉一楼废旧铁皮放置不规范，一员工夜间巡检时不慎被铁皮拌到，致使左前臂碰到鼓风机机坐，导致前臂骨折住院治疗。")</f>
        <v>35t锅炉一楼废旧铁皮放置不规范，一员工夜间巡检时不慎被铁皮拌到，致使左前臂碰到鼓风机机坐，导致前臂骨折住院治疗。</v>
      </c>
      <c r="E471" s="19" t="s">
        <v>2151</v>
      </c>
      <c r="F471" s="23" t="s">
        <v>304</v>
      </c>
      <c r="G471" s="22" t="s">
        <v>63</v>
      </c>
      <c r="H471" s="19" t="s">
        <v>44</v>
      </c>
      <c r="I471" s="19" t="s">
        <v>120</v>
      </c>
      <c r="J471" s="19" t="s">
        <v>46</v>
      </c>
      <c r="K471" s="19" t="s">
        <v>64</v>
      </c>
      <c r="L471" s="19" t="s">
        <v>76</v>
      </c>
      <c r="M471" s="19" t="s">
        <v>1033</v>
      </c>
      <c r="N471" s="19" t="s">
        <v>1742</v>
      </c>
      <c r="O471" s="19"/>
      <c r="P471" s="19"/>
      <c r="Q471" s="19"/>
      <c r="R471" s="19" t="s">
        <v>1944</v>
      </c>
      <c r="S471" s="19" t="s">
        <v>1372</v>
      </c>
      <c r="T471" s="19" t="s">
        <v>53</v>
      </c>
      <c r="U471" s="19" t="s">
        <v>80</v>
      </c>
      <c r="V471" s="19" t="s">
        <v>97</v>
      </c>
      <c r="W471" s="19" t="s">
        <v>70</v>
      </c>
      <c r="X471" s="19"/>
      <c r="Y471" s="19"/>
      <c r="Z471" s="19"/>
      <c r="AA471" s="19">
        <v>0</v>
      </c>
      <c r="AB471" s="19"/>
      <c r="AC471" s="19" t="s">
        <v>308</v>
      </c>
      <c r="AD471" s="19"/>
      <c r="AE471" s="19"/>
      <c r="AF471" s="19"/>
    </row>
    <row r="472" spans="1:34" customHeight="1" ht="42">
      <c r="A472" s="19">
        <v>466</v>
      </c>
      <c r="B472" s="19" t="s">
        <v>1826</v>
      </c>
      <c r="C472" s="19" t="s">
        <v>374</v>
      </c>
      <c r="D472" s="19" t="str">
        <f>HYPERLINK("http://www.henontech.com/fieldsafety/harzard/harzard_show.php?rid=17781&amp;url=harzardrecs.php","西一地沟2#给料机南侧第一组下调心支架腐烂托辊掉落，运行中一旦偏带，会造成带边磨损，胶带撕裂。")</f>
        <v>西一地沟2#给料机南侧第一组下调心支架腐烂托辊掉落，运行中一旦偏带，会造成带边磨损，胶带撕裂。</v>
      </c>
      <c r="E472" s="19" t="s">
        <v>2152</v>
      </c>
      <c r="F472" s="20" t="s">
        <v>42</v>
      </c>
      <c r="G472" s="21" t="s">
        <v>43</v>
      </c>
      <c r="H472" s="19" t="s">
        <v>44</v>
      </c>
      <c r="I472" s="19" t="s">
        <v>2000</v>
      </c>
      <c r="J472" s="19" t="s">
        <v>46</v>
      </c>
      <c r="K472" s="19"/>
      <c r="L472" s="19"/>
      <c r="M472" s="19" t="s">
        <v>364</v>
      </c>
      <c r="N472" s="19" t="s">
        <v>2153</v>
      </c>
      <c r="O472" s="19" t="s">
        <v>364</v>
      </c>
      <c r="P472" s="19" t="s">
        <v>425</v>
      </c>
      <c r="Q472" s="19" t="s">
        <v>1649</v>
      </c>
      <c r="R472" s="19" t="s">
        <v>1695</v>
      </c>
      <c r="S472" s="19"/>
      <c r="T472" s="19" t="s">
        <v>189</v>
      </c>
      <c r="U472" s="19" t="s">
        <v>54</v>
      </c>
      <c r="V472" s="19" t="s">
        <v>97</v>
      </c>
      <c r="W472" s="19" t="s">
        <v>81</v>
      </c>
      <c r="X472" s="19" t="s">
        <v>126</v>
      </c>
      <c r="Y472" s="19" t="s">
        <v>126</v>
      </c>
      <c r="Z472" s="19" t="s">
        <v>2154</v>
      </c>
      <c r="AA472" s="19">
        <v>2</v>
      </c>
      <c r="AB472" s="19">
        <v>2</v>
      </c>
      <c r="AC472" s="19" t="s">
        <v>58</v>
      </c>
      <c r="AD472" s="19" t="s">
        <v>425</v>
      </c>
      <c r="AE472" s="19" t="s">
        <v>2155</v>
      </c>
      <c r="AF472" s="19"/>
    </row>
    <row r="473" spans="1:34">
      <c r="A473" s="19">
        <v>467</v>
      </c>
      <c r="B473" s="19" t="s">
        <v>2155</v>
      </c>
      <c r="C473" s="19" t="s">
        <v>1903</v>
      </c>
      <c r="D473" s="19" t="str">
        <f>HYPERLINK("http://www.henontech.com/fieldsafety/harzard/harzard_show.php?rid=17782&amp;url=harzardrecs.php","东五卸料器下面的托辊损坏，一旦不及时更换，容易造成卸料器漏煤以及皮带划伤")</f>
        <v>东五卸料器下面的托辊损坏，一旦不及时更换，容易造成卸料器漏煤以及皮带划伤</v>
      </c>
      <c r="E473" s="19" t="s">
        <v>2156</v>
      </c>
      <c r="F473" s="20" t="s">
        <v>42</v>
      </c>
      <c r="G473" s="21" t="s">
        <v>43</v>
      </c>
      <c r="H473" s="19" t="s">
        <v>44</v>
      </c>
      <c r="I473" s="19" t="s">
        <v>45</v>
      </c>
      <c r="J473" s="19"/>
      <c r="K473" s="19"/>
      <c r="L473" s="19" t="s">
        <v>76</v>
      </c>
      <c r="M473" s="19" t="s">
        <v>364</v>
      </c>
      <c r="N473" s="19" t="s">
        <v>2157</v>
      </c>
      <c r="O473" s="19" t="s">
        <v>364</v>
      </c>
      <c r="P473" s="19" t="s">
        <v>1687</v>
      </c>
      <c r="Q473" s="19" t="s">
        <v>2127</v>
      </c>
      <c r="R473" s="19" t="s">
        <v>2158</v>
      </c>
      <c r="S473" s="19"/>
      <c r="T473" s="19" t="s">
        <v>189</v>
      </c>
      <c r="U473" s="19" t="s">
        <v>202</v>
      </c>
      <c r="V473" s="19" t="s">
        <v>69</v>
      </c>
      <c r="W473" s="19" t="s">
        <v>56</v>
      </c>
      <c r="X473" s="19"/>
      <c r="Y473" s="19"/>
      <c r="Z473" s="19" t="s">
        <v>2159</v>
      </c>
      <c r="AA473" s="19">
        <v>1</v>
      </c>
      <c r="AB473" s="19">
        <v>1</v>
      </c>
      <c r="AC473" s="19" t="s">
        <v>58</v>
      </c>
      <c r="AD473" s="19" t="s">
        <v>1687</v>
      </c>
      <c r="AE473" s="19" t="s">
        <v>2055</v>
      </c>
      <c r="AF473" s="19"/>
    </row>
    <row r="474" spans="1:34" customHeight="1" ht="42">
      <c r="A474" s="19">
        <v>468</v>
      </c>
      <c r="B474" s="19" t="s">
        <v>2155</v>
      </c>
      <c r="C474" s="19" t="s">
        <v>2160</v>
      </c>
      <c r="D474" s="19" t="str">
        <f>HYPERLINK("http://www.henontech.com/fieldsafety/harzard/harzard_show.php?rid=17787&amp;url=harzardrecs.php","焦三皮带斜桥西侧外部一彩钢瓦腐蚀开裂，假如刮大风时掉落，恰巧砸中一名由此经过的巡检工右手臂。")</f>
        <v>焦三皮带斜桥西侧外部一彩钢瓦腐蚀开裂，假如刮大风时掉落，恰巧砸中一名由此经过的巡检工右手臂。</v>
      </c>
      <c r="E474" s="19" t="s">
        <v>2161</v>
      </c>
      <c r="F474" s="25" t="s">
        <v>1455</v>
      </c>
      <c r="G474" s="21" t="s">
        <v>43</v>
      </c>
      <c r="H474" s="19" t="s">
        <v>44</v>
      </c>
      <c r="I474" s="19" t="s">
        <v>108</v>
      </c>
      <c r="J474" s="19"/>
      <c r="K474" s="19" t="s">
        <v>102</v>
      </c>
      <c r="L474" s="19" t="s">
        <v>76</v>
      </c>
      <c r="M474" s="19" t="s">
        <v>121</v>
      </c>
      <c r="N474" s="19" t="s">
        <v>807</v>
      </c>
      <c r="O474" s="19" t="s">
        <v>121</v>
      </c>
      <c r="P474" s="19" t="s">
        <v>316</v>
      </c>
      <c r="Q474" s="19" t="s">
        <v>1989</v>
      </c>
      <c r="R474" s="19" t="s">
        <v>2162</v>
      </c>
      <c r="S474" s="19"/>
      <c r="T474" s="19" t="s">
        <v>53</v>
      </c>
      <c r="U474" s="19" t="s">
        <v>80</v>
      </c>
      <c r="V474" s="19" t="s">
        <v>97</v>
      </c>
      <c r="W474" s="19" t="s">
        <v>70</v>
      </c>
      <c r="X474" s="19" t="s">
        <v>191</v>
      </c>
      <c r="Y474" s="19"/>
      <c r="Z474" s="19" t="s">
        <v>2163</v>
      </c>
      <c r="AA474" s="19">
        <v>2</v>
      </c>
      <c r="AB474" s="19"/>
      <c r="AC474" s="19" t="s">
        <v>308</v>
      </c>
      <c r="AD474" s="19"/>
      <c r="AE474" s="19"/>
      <c r="AF474" s="19"/>
    </row>
    <row r="475" spans="1:34">
      <c r="A475" s="19">
        <v>469</v>
      </c>
      <c r="B475" s="19" t="s">
        <v>2155</v>
      </c>
      <c r="C475" s="19" t="s">
        <v>2093</v>
      </c>
      <c r="D475" s="19" t="str">
        <f>HYPERLINK("http://www.henontech.com/fieldsafety/harzard/harzard_show.php?rid=17854&amp;url=harzardrecs.php","35吨锅炉炉顶爬梯离锅炉平台间隙过大，未安装连接护板，末安全警示，一名锅炉操作工在巡检时不慎从炉顶爬梯与锅炉夹缝中坠落当场死亡。")</f>
        <v>35吨锅炉炉顶爬梯离锅炉平台间隙过大，未安装连接护板，末安全警示，一名锅炉操作工在巡检时不慎从炉顶爬梯与锅炉夹缝中坠落当场死亡。</v>
      </c>
      <c r="E475" s="19" t="s">
        <v>2164</v>
      </c>
      <c r="F475" s="23" t="s">
        <v>304</v>
      </c>
      <c r="G475" s="22" t="s">
        <v>63</v>
      </c>
      <c r="H475" s="19" t="s">
        <v>44</v>
      </c>
      <c r="I475" s="19" t="s">
        <v>45</v>
      </c>
      <c r="J475" s="19" t="s">
        <v>46</v>
      </c>
      <c r="K475" s="19"/>
      <c r="L475" s="19"/>
      <c r="M475" s="19" t="s">
        <v>1033</v>
      </c>
      <c r="N475" s="19" t="s">
        <v>1397</v>
      </c>
      <c r="O475" s="19"/>
      <c r="P475" s="19"/>
      <c r="Q475" s="19"/>
      <c r="R475" s="19" t="s">
        <v>2165</v>
      </c>
      <c r="S475" s="19" t="s">
        <v>1372</v>
      </c>
      <c r="T475" s="19" t="s">
        <v>53</v>
      </c>
      <c r="U475" s="19" t="s">
        <v>236</v>
      </c>
      <c r="V475" s="19" t="s">
        <v>69</v>
      </c>
      <c r="W475" s="19" t="s">
        <v>190</v>
      </c>
      <c r="X475" s="19"/>
      <c r="Y475" s="19"/>
      <c r="Z475" s="19"/>
      <c r="AA475" s="19">
        <v>0</v>
      </c>
      <c r="AB475" s="19"/>
      <c r="AC475" s="19" t="s">
        <v>308</v>
      </c>
      <c r="AD475" s="19"/>
      <c r="AE475" s="19"/>
      <c r="AF475" s="19"/>
    </row>
    <row r="476" spans="1:34">
      <c r="A476" s="19">
        <v>470</v>
      </c>
      <c r="B476" s="19" t="s">
        <v>2155</v>
      </c>
      <c r="C476" s="19" t="s">
        <v>1460</v>
      </c>
      <c r="D476" s="19" t="str">
        <f>HYPERLINK("http://www.henontech.com/fieldsafety/harzard/harzard_show.php?rid=17909&amp;url=harzardrecs.php","新化学水加碱泵排气口处无排气管，操作工巡检时发现碱泵不上液，排气时，碱液喷出，造成操作工面部烧伤，面积较大，程度较深。")</f>
        <v>新化学水加碱泵排气口处无排气管，操作工巡检时发现碱泵不上液，排气时，碱液喷出，造成操作工面部烧伤，面积较大，程度较深。</v>
      </c>
      <c r="E476" s="19" t="s">
        <v>2166</v>
      </c>
      <c r="F476" s="23" t="s">
        <v>304</v>
      </c>
      <c r="G476" s="22" t="s">
        <v>63</v>
      </c>
      <c r="H476" s="19" t="s">
        <v>44</v>
      </c>
      <c r="I476" s="19" t="s">
        <v>45</v>
      </c>
      <c r="J476" s="19" t="s">
        <v>109</v>
      </c>
      <c r="K476" s="19" t="s">
        <v>64</v>
      </c>
      <c r="L476" s="19"/>
      <c r="M476" s="19" t="s">
        <v>1033</v>
      </c>
      <c r="N476" s="19" t="s">
        <v>1700</v>
      </c>
      <c r="O476" s="19"/>
      <c r="P476" s="19"/>
      <c r="Q476" s="19"/>
      <c r="R476" s="19" t="s">
        <v>1893</v>
      </c>
      <c r="S476" s="19" t="s">
        <v>2084</v>
      </c>
      <c r="T476" s="19" t="s">
        <v>53</v>
      </c>
      <c r="U476" s="19" t="s">
        <v>54</v>
      </c>
      <c r="V476" s="19" t="s">
        <v>69</v>
      </c>
      <c r="W476" s="19" t="s">
        <v>70</v>
      </c>
      <c r="X476" s="19"/>
      <c r="Y476" s="19"/>
      <c r="Z476" s="19"/>
      <c r="AA476" s="19">
        <v>0</v>
      </c>
      <c r="AB476" s="19"/>
      <c r="AC476" s="19" t="s">
        <v>308</v>
      </c>
      <c r="AD476" s="19"/>
      <c r="AE476" s="19"/>
      <c r="AF476" s="19"/>
    </row>
    <row r="477" spans="1:34">
      <c r="A477" s="19">
        <v>471</v>
      </c>
      <c r="B477" s="19" t="s">
        <v>2155</v>
      </c>
      <c r="C477" s="19" t="s">
        <v>2138</v>
      </c>
      <c r="D477" s="19" t="str">
        <f>HYPERLINK("http://www.henontech.com/fieldsafety/harzard/harzard_show.php?rid=17956&amp;url=harzardrecs.php","二号带过桥处照明不亮，员工在跨越过桥时，没看清最后一个台阶，跌倒在地，造成脚踝扭伤。")</f>
        <v>二号带过桥处照明不亮，员工在跨越过桥时，没看清最后一个台阶，跌倒在地，造成脚踝扭伤。</v>
      </c>
      <c r="E477" s="19" t="s">
        <v>2167</v>
      </c>
      <c r="F477" s="23" t="s">
        <v>304</v>
      </c>
      <c r="G477" s="22" t="s">
        <v>63</v>
      </c>
      <c r="H477" s="19" t="s">
        <v>44</v>
      </c>
      <c r="I477" s="19" t="s">
        <v>108</v>
      </c>
      <c r="J477" s="19" t="s">
        <v>46</v>
      </c>
      <c r="K477" s="19" t="s">
        <v>64</v>
      </c>
      <c r="L477" s="19" t="s">
        <v>76</v>
      </c>
      <c r="M477" s="19" t="s">
        <v>1033</v>
      </c>
      <c r="N477" s="19" t="s">
        <v>1531</v>
      </c>
      <c r="O477" s="19"/>
      <c r="P477" s="19"/>
      <c r="Q477" s="19"/>
      <c r="R477" s="19" t="s">
        <v>2168</v>
      </c>
      <c r="S477" s="19" t="s">
        <v>1372</v>
      </c>
      <c r="T477" s="19" t="s">
        <v>53</v>
      </c>
      <c r="U477" s="19" t="s">
        <v>80</v>
      </c>
      <c r="V477" s="19" t="s">
        <v>97</v>
      </c>
      <c r="W477" s="19" t="s">
        <v>70</v>
      </c>
      <c r="X477" s="19"/>
      <c r="Y477" s="19"/>
      <c r="Z477" s="19"/>
      <c r="AA477" s="19">
        <v>0</v>
      </c>
      <c r="AB477" s="19"/>
      <c r="AC477" s="19" t="s">
        <v>308</v>
      </c>
      <c r="AD477" s="19"/>
      <c r="AE477" s="19"/>
      <c r="AF477" s="19"/>
    </row>
    <row r="478" spans="1:34" customHeight="1" ht="42">
      <c r="A478" s="19">
        <v>472</v>
      </c>
      <c r="B478" s="19" t="s">
        <v>2155</v>
      </c>
      <c r="C478" s="19" t="s">
        <v>1824</v>
      </c>
      <c r="D478" s="19" t="str">
        <f>HYPERLINK("http://www.henontech.com/fieldsafety/harzard/harzard_show.php?rid=17995&amp;url=harzardrecs.php","5.5米煤仓东墙彩钢瓦开裂，如遇大风天气彩钢瓦高处坠落，恰巧砸中由此经过的操作工左肩，送医检查骨折。")</f>
        <v>5.5米煤仓东墙彩钢瓦开裂，如遇大风天气彩钢瓦高处坠落，恰巧砸中由此经过的操作工左肩，送医检查骨折。</v>
      </c>
      <c r="E478" s="19" t="s">
        <v>2169</v>
      </c>
      <c r="F478" s="25" t="s">
        <v>1455</v>
      </c>
      <c r="G478" s="22" t="s">
        <v>63</v>
      </c>
      <c r="H478" s="19" t="s">
        <v>44</v>
      </c>
      <c r="I478" s="19" t="s">
        <v>45</v>
      </c>
      <c r="J478" s="19" t="s">
        <v>46</v>
      </c>
      <c r="K478" s="19" t="s">
        <v>102</v>
      </c>
      <c r="L478" s="19" t="s">
        <v>76</v>
      </c>
      <c r="M478" s="19" t="s">
        <v>121</v>
      </c>
      <c r="N478" s="19" t="s">
        <v>1637</v>
      </c>
      <c r="O478" s="19" t="s">
        <v>121</v>
      </c>
      <c r="P478" s="19" t="s">
        <v>316</v>
      </c>
      <c r="Q478" s="19" t="s">
        <v>1989</v>
      </c>
      <c r="R478" s="19" t="s">
        <v>2170</v>
      </c>
      <c r="S478" s="19"/>
      <c r="T478" s="19" t="s">
        <v>53</v>
      </c>
      <c r="U478" s="19" t="s">
        <v>80</v>
      </c>
      <c r="V478" s="19" t="s">
        <v>97</v>
      </c>
      <c r="W478" s="19" t="s">
        <v>70</v>
      </c>
      <c r="X478" s="19" t="s">
        <v>191</v>
      </c>
      <c r="Y478" s="19"/>
      <c r="Z478" s="19" t="s">
        <v>2171</v>
      </c>
      <c r="AA478" s="19">
        <v>2</v>
      </c>
      <c r="AB478" s="19"/>
      <c r="AC478" s="19" t="s">
        <v>308</v>
      </c>
      <c r="AD478" s="19"/>
      <c r="AE478" s="19"/>
      <c r="AF478" s="19"/>
    </row>
    <row r="479" spans="1:34" customHeight="1" ht="42">
      <c r="A479" s="19">
        <v>473</v>
      </c>
      <c r="B479" s="19" t="s">
        <v>2155</v>
      </c>
      <c r="C479" s="19" t="s">
        <v>2172</v>
      </c>
      <c r="D479" s="19" t="str">
        <f>HYPERLINK("http://www.henontech.com/fieldsafety/harzard/harzard_show.php?rid=18041&amp;url=harzardrecs.php","因汽轮机电动门无操作平台操作工站在不固定的物体上操作，不慎摔倒导致左小腿骨折需住院治疗。")</f>
        <v>因汽轮机电动门无操作平台操作工站在不固定的物体上操作，不慎摔倒导致左小腿骨折需住院治疗。</v>
      </c>
      <c r="E479" s="19" t="s">
        <v>2117</v>
      </c>
      <c r="F479" s="25" t="s">
        <v>1455</v>
      </c>
      <c r="G479" s="22" t="s">
        <v>63</v>
      </c>
      <c r="H479" s="19" t="s">
        <v>44</v>
      </c>
      <c r="I479" s="19"/>
      <c r="J479" s="19" t="s">
        <v>46</v>
      </c>
      <c r="K479" s="19" t="s">
        <v>64</v>
      </c>
      <c r="L479" s="19"/>
      <c r="M479" s="19" t="s">
        <v>1033</v>
      </c>
      <c r="N479" s="19" t="s">
        <v>1755</v>
      </c>
      <c r="O479" s="19" t="s">
        <v>1033</v>
      </c>
      <c r="P479" s="19" t="s">
        <v>1034</v>
      </c>
      <c r="Q479" s="19" t="s">
        <v>2097</v>
      </c>
      <c r="R479" s="19" t="s">
        <v>2173</v>
      </c>
      <c r="S479" s="19"/>
      <c r="T479" s="19" t="s">
        <v>53</v>
      </c>
      <c r="U479" s="19" t="s">
        <v>80</v>
      </c>
      <c r="V479" s="19" t="s">
        <v>97</v>
      </c>
      <c r="W479" s="19" t="s">
        <v>70</v>
      </c>
      <c r="X479" s="19" t="s">
        <v>154</v>
      </c>
      <c r="Y479" s="19"/>
      <c r="Z479" s="19" t="s">
        <v>2174</v>
      </c>
      <c r="AA479" s="19">
        <v>2</v>
      </c>
      <c r="AB479" s="19"/>
      <c r="AC479" s="19" t="s">
        <v>308</v>
      </c>
      <c r="AD479" s="19"/>
      <c r="AE479" s="19"/>
      <c r="AF479" s="19"/>
    </row>
    <row r="480" spans="1:34">
      <c r="A480" s="19">
        <v>474</v>
      </c>
      <c r="B480" s="19" t="s">
        <v>2175</v>
      </c>
      <c r="C480" s="19" t="s">
        <v>422</v>
      </c>
      <c r="D480" s="19" t="str">
        <f>HYPERLINK("http://www.henontech.com/fieldsafety/harzard/harzard_show.php?rid=18061&amp;url=harzardrecs.php","点名室宣传牌前放了一把暖壶，由于是上夜班，光线不好，一旦职工碰倒，将烫伤职工脚部，送医院检查，左脚轻微烫伤，在家修养3天")</f>
        <v>点名室宣传牌前放了一把暖壶，由于是上夜班，光线不好，一旦职工碰倒，将烫伤职工脚部，送医院检查，左脚轻微烫伤，在家修养3天</v>
      </c>
      <c r="E480" s="19" t="s">
        <v>2176</v>
      </c>
      <c r="F480" s="20" t="s">
        <v>42</v>
      </c>
      <c r="G480" s="21" t="s">
        <v>43</v>
      </c>
      <c r="H480" s="19" t="s">
        <v>44</v>
      </c>
      <c r="I480" s="19" t="s">
        <v>45</v>
      </c>
      <c r="J480" s="19"/>
      <c r="K480" s="19"/>
      <c r="L480" s="19"/>
      <c r="M480" s="19" t="s">
        <v>364</v>
      </c>
      <c r="N480" s="19" t="s">
        <v>2177</v>
      </c>
      <c r="O480" s="19" t="s">
        <v>364</v>
      </c>
      <c r="P480" s="19" t="s">
        <v>1687</v>
      </c>
      <c r="Q480" s="19" t="s">
        <v>2178</v>
      </c>
      <c r="R480" s="19" t="s">
        <v>2179</v>
      </c>
      <c r="S480" s="19"/>
      <c r="T480" s="19" t="s">
        <v>53</v>
      </c>
      <c r="U480" s="19" t="s">
        <v>80</v>
      </c>
      <c r="V480" s="19" t="s">
        <v>97</v>
      </c>
      <c r="W480" s="19" t="s">
        <v>70</v>
      </c>
      <c r="X480" s="19"/>
      <c r="Y480" s="19"/>
      <c r="Z480" s="19" t="s">
        <v>2180</v>
      </c>
      <c r="AA480" s="19">
        <v>1</v>
      </c>
      <c r="AB480" s="19">
        <v>1</v>
      </c>
      <c r="AC480" s="19" t="s">
        <v>58</v>
      </c>
      <c r="AD480" s="19" t="s">
        <v>1687</v>
      </c>
      <c r="AE480" s="19" t="s">
        <v>2175</v>
      </c>
      <c r="AF480" s="19"/>
    </row>
    <row r="481" spans="1:34">
      <c r="A481" s="19">
        <v>475</v>
      </c>
      <c r="B481" s="19" t="s">
        <v>2175</v>
      </c>
      <c r="C481" s="19" t="s">
        <v>422</v>
      </c>
      <c r="D481" s="19" t="str">
        <f>HYPERLINK("http://www.henontech.com/fieldsafety/harzard/harzard_show.php?rid=18062&amp;url=harzardrecs.php","东三卸料车上的钎子横放外平台上，未定置摆放，一旦职工开动卸料车，钎子从卸料车坠落，职工左臂轻微擦伤，休息一会儿继续工作")</f>
        <v>东三卸料车上的钎子横放外平台上，未定置摆放，一旦职工开动卸料车，钎子从卸料车坠落，职工左臂轻微擦伤，休息一会儿继续工作</v>
      </c>
      <c r="E481" s="19" t="s">
        <v>2181</v>
      </c>
      <c r="F481" s="20" t="s">
        <v>42</v>
      </c>
      <c r="G481" s="21" t="s">
        <v>43</v>
      </c>
      <c r="H481" s="19" t="s">
        <v>44</v>
      </c>
      <c r="I481" s="19" t="s">
        <v>45</v>
      </c>
      <c r="J481" s="19"/>
      <c r="K481" s="19"/>
      <c r="L481" s="19"/>
      <c r="M481" s="19" t="s">
        <v>364</v>
      </c>
      <c r="N481" s="19" t="s">
        <v>2182</v>
      </c>
      <c r="O481" s="19" t="s">
        <v>364</v>
      </c>
      <c r="P481" s="19" t="s">
        <v>1687</v>
      </c>
      <c r="Q481" s="19" t="s">
        <v>2178</v>
      </c>
      <c r="R481" s="19" t="s">
        <v>2183</v>
      </c>
      <c r="S481" s="19"/>
      <c r="T481" s="19" t="s">
        <v>53</v>
      </c>
      <c r="U481" s="19" t="s">
        <v>54</v>
      </c>
      <c r="V481" s="19" t="s">
        <v>97</v>
      </c>
      <c r="W481" s="19" t="s">
        <v>81</v>
      </c>
      <c r="X481" s="19"/>
      <c r="Y481" s="19"/>
      <c r="Z481" s="19" t="s">
        <v>2184</v>
      </c>
      <c r="AA481" s="19">
        <v>1</v>
      </c>
      <c r="AB481" s="19">
        <v>1</v>
      </c>
      <c r="AC481" s="19" t="s">
        <v>58</v>
      </c>
      <c r="AD481" s="19" t="s">
        <v>1687</v>
      </c>
      <c r="AE481" s="19" t="s">
        <v>2175</v>
      </c>
      <c r="AF481" s="19"/>
    </row>
    <row r="482" spans="1:34" customHeight="1" ht="42">
      <c r="A482" s="19">
        <v>476</v>
      </c>
      <c r="B482" s="19" t="s">
        <v>2175</v>
      </c>
      <c r="C482" s="19" t="s">
        <v>2130</v>
      </c>
      <c r="D482" s="19" t="str">
        <f>HYPERLINK("http://www.henontech.com/fieldsafety/harzard/harzard_show.php?rid=18070&amp;url=harzardrecs.php","焦炉机侧平台铺板凸起，一名操作工用铁锨清理余煤时用力过大锨头碰到凸起处造成手臂关节错位。")</f>
        <v>焦炉机侧平台铺板凸起，一名操作工用铁锨清理余煤时用力过大锨头碰到凸起处造成手臂关节错位。</v>
      </c>
      <c r="E482" s="19" t="s">
        <v>2185</v>
      </c>
      <c r="F482" s="20" t="s">
        <v>42</v>
      </c>
      <c r="G482" s="22" t="s">
        <v>63</v>
      </c>
      <c r="H482" s="19" t="s">
        <v>44</v>
      </c>
      <c r="I482" s="19"/>
      <c r="J482" s="19"/>
      <c r="K482" s="19" t="s">
        <v>47</v>
      </c>
      <c r="L482" s="19" t="s">
        <v>76</v>
      </c>
      <c r="M482" s="19" t="s">
        <v>121</v>
      </c>
      <c r="N482" s="19" t="s">
        <v>2186</v>
      </c>
      <c r="O482" s="19" t="s">
        <v>121</v>
      </c>
      <c r="P482" s="19" t="s">
        <v>812</v>
      </c>
      <c r="Q482" s="19" t="s">
        <v>2178</v>
      </c>
      <c r="R482" s="19" t="s">
        <v>2187</v>
      </c>
      <c r="S482" s="19"/>
      <c r="T482" s="19" t="s">
        <v>53</v>
      </c>
      <c r="U482" s="19" t="s">
        <v>80</v>
      </c>
      <c r="V482" s="19" t="s">
        <v>97</v>
      </c>
      <c r="W482" s="19" t="s">
        <v>70</v>
      </c>
      <c r="X482" s="19" t="s">
        <v>191</v>
      </c>
      <c r="Y482" s="19"/>
      <c r="Z482" s="19" t="s">
        <v>2188</v>
      </c>
      <c r="AA482" s="19">
        <v>2</v>
      </c>
      <c r="AB482" s="19">
        <v>2</v>
      </c>
      <c r="AC482" s="19" t="s">
        <v>58</v>
      </c>
      <c r="AD482" s="19" t="s">
        <v>812</v>
      </c>
      <c r="AE482" s="19" t="s">
        <v>2189</v>
      </c>
      <c r="AF482" s="19" t="s">
        <v>2190</v>
      </c>
    </row>
    <row r="483" spans="1:34" customHeight="1" ht="42">
      <c r="A483" s="19">
        <v>477</v>
      </c>
      <c r="B483" s="19" t="s">
        <v>2175</v>
      </c>
      <c r="C483" s="19" t="s">
        <v>2191</v>
      </c>
      <c r="D483" s="19" t="str">
        <f>HYPERLINK("http://www.henontech.com/fieldsafety/harzard/harzard_show.php?rid=18071&amp;url=harzardrecs.php","一名巡检工在开二号减温减压到分汽缸进汽阀门时，因阀门漏气造成烫伤送医院治疗")</f>
        <v>一名巡检工在开二号减温减压到分汽缸进汽阀门时，因阀门漏气造成烫伤送医院治疗</v>
      </c>
      <c r="E483" s="19" t="s">
        <v>2192</v>
      </c>
      <c r="F483" s="25" t="s">
        <v>1455</v>
      </c>
      <c r="G483" s="22" t="s">
        <v>63</v>
      </c>
      <c r="H483" s="19" t="s">
        <v>44</v>
      </c>
      <c r="I483" s="19" t="s">
        <v>45</v>
      </c>
      <c r="J483" s="19" t="s">
        <v>46</v>
      </c>
      <c r="K483" s="19"/>
      <c r="L483" s="19"/>
      <c r="M483" s="19" t="s">
        <v>1033</v>
      </c>
      <c r="N483" s="19" t="s">
        <v>1183</v>
      </c>
      <c r="O483" s="19" t="s">
        <v>1033</v>
      </c>
      <c r="P483" s="19" t="s">
        <v>1034</v>
      </c>
      <c r="Q483" s="19" t="s">
        <v>2097</v>
      </c>
      <c r="R483" s="19" t="s">
        <v>2193</v>
      </c>
      <c r="S483" s="19"/>
      <c r="T483" s="19" t="s">
        <v>53</v>
      </c>
      <c r="U483" s="19" t="s">
        <v>80</v>
      </c>
      <c r="V483" s="19" t="s">
        <v>97</v>
      </c>
      <c r="W483" s="19" t="s">
        <v>70</v>
      </c>
      <c r="X483" s="19" t="s">
        <v>154</v>
      </c>
      <c r="Y483" s="19"/>
      <c r="Z483" s="19" t="s">
        <v>2194</v>
      </c>
      <c r="AA483" s="19">
        <v>2</v>
      </c>
      <c r="AB483" s="19"/>
      <c r="AC483" s="19" t="s">
        <v>308</v>
      </c>
      <c r="AD483" s="19"/>
      <c r="AE483" s="19"/>
      <c r="AF483" s="19"/>
    </row>
    <row r="484" spans="1:34" customHeight="1" ht="42">
      <c r="A484" s="19">
        <v>478</v>
      </c>
      <c r="B484" s="19" t="s">
        <v>2175</v>
      </c>
      <c r="C484" s="19" t="s">
        <v>2066</v>
      </c>
      <c r="D484" s="19" t="str">
        <f>HYPERLINK("http://www.henontech.com/fieldsafety/harzard/harzard_show.php?rid=18091&amp;url=harzardrecs.php","送煤车刮板机篦子钢筋横梁锈蚀损毁，一操作工经过时不慎踩入刮板机，送医院治疗，住院6个月，修养6个月。")</f>
        <v>送煤车刮板机篦子钢筋横梁锈蚀损毁，一操作工经过时不慎踩入刮板机，送医院治疗，住院6个月，修养6个月。</v>
      </c>
      <c r="E484" s="19" t="s">
        <v>2195</v>
      </c>
      <c r="F484" s="25" t="s">
        <v>1455</v>
      </c>
      <c r="G484" s="22" t="s">
        <v>63</v>
      </c>
      <c r="H484" s="19" t="s">
        <v>44</v>
      </c>
      <c r="I484" s="19" t="s">
        <v>45</v>
      </c>
      <c r="J484" s="19" t="s">
        <v>46</v>
      </c>
      <c r="K484" s="19" t="s">
        <v>47</v>
      </c>
      <c r="L484" s="19" t="s">
        <v>76</v>
      </c>
      <c r="M484" s="19" t="s">
        <v>121</v>
      </c>
      <c r="N484" s="19" t="s">
        <v>2196</v>
      </c>
      <c r="O484" s="19" t="s">
        <v>121</v>
      </c>
      <c r="P484" s="19" t="s">
        <v>316</v>
      </c>
      <c r="Q484" s="19" t="s">
        <v>2197</v>
      </c>
      <c r="R484" s="19" t="s">
        <v>2198</v>
      </c>
      <c r="S484" s="19"/>
      <c r="T484" s="19" t="s">
        <v>53</v>
      </c>
      <c r="U484" s="19" t="s">
        <v>80</v>
      </c>
      <c r="V484" s="19" t="s">
        <v>97</v>
      </c>
      <c r="W484" s="19" t="s">
        <v>70</v>
      </c>
      <c r="X484" s="19" t="s">
        <v>154</v>
      </c>
      <c r="Y484" s="19"/>
      <c r="Z484" s="19" t="s">
        <v>2199</v>
      </c>
      <c r="AA484" s="19">
        <v>2</v>
      </c>
      <c r="AB484" s="19"/>
      <c r="AC484" s="19" t="s">
        <v>308</v>
      </c>
      <c r="AD484" s="19"/>
      <c r="AE484" s="19"/>
      <c r="AF484" s="19"/>
    </row>
    <row r="485" spans="1:34" customHeight="1" ht="42">
      <c r="A485" s="19">
        <v>479</v>
      </c>
      <c r="B485" s="19" t="s">
        <v>2175</v>
      </c>
      <c r="C485" s="19" t="s">
        <v>2200</v>
      </c>
      <c r="D485" s="19" t="str">
        <f>HYPERLINK("http://www.henontech.com/fieldsafety/harzard/harzard_show.php?rid=18105&amp;url=harzardrecs.php","炉门修理站卷扬机连触器出现裂缝如果在使用过程中断裂会造成电机烧损")</f>
        <v>炉门修理站卷扬机连触器出现裂缝如果在使用过程中断裂会造成电机烧损</v>
      </c>
      <c r="E485" s="19" t="s">
        <v>2201</v>
      </c>
      <c r="F485" s="25" t="s">
        <v>1455</v>
      </c>
      <c r="G485" s="21" t="s">
        <v>43</v>
      </c>
      <c r="H485" s="19" t="s">
        <v>44</v>
      </c>
      <c r="I485" s="19" t="s">
        <v>108</v>
      </c>
      <c r="J485" s="19" t="s">
        <v>46</v>
      </c>
      <c r="K485" s="19"/>
      <c r="L485" s="19"/>
      <c r="M485" s="19" t="s">
        <v>121</v>
      </c>
      <c r="N485" s="19" t="s">
        <v>2202</v>
      </c>
      <c r="O485" s="19" t="s">
        <v>121</v>
      </c>
      <c r="P485" s="19" t="s">
        <v>316</v>
      </c>
      <c r="Q485" s="19" t="s">
        <v>2203</v>
      </c>
      <c r="R485" s="19" t="s">
        <v>2204</v>
      </c>
      <c r="S485" s="19"/>
      <c r="T485" s="19" t="s">
        <v>189</v>
      </c>
      <c r="U485" s="19" t="s">
        <v>54</v>
      </c>
      <c r="V485" s="19" t="s">
        <v>55</v>
      </c>
      <c r="W485" s="19" t="s">
        <v>56</v>
      </c>
      <c r="X485" s="19" t="s">
        <v>154</v>
      </c>
      <c r="Y485" s="19"/>
      <c r="Z485" s="19" t="s">
        <v>2205</v>
      </c>
      <c r="AA485" s="19">
        <v>2</v>
      </c>
      <c r="AB485" s="19"/>
      <c r="AC485" s="19" t="s">
        <v>308</v>
      </c>
      <c r="AD485" s="19"/>
      <c r="AE485" s="19"/>
      <c r="AF485" s="19"/>
    </row>
    <row r="486" spans="1:34" customHeight="1" ht="42">
      <c r="A486" s="19">
        <v>480</v>
      </c>
      <c r="B486" s="19" t="s">
        <v>2175</v>
      </c>
      <c r="C486" s="19" t="s">
        <v>1604</v>
      </c>
      <c r="D486" s="19" t="str">
        <f>HYPERLINK("http://www.henontech.com/fieldsafety/harzard/harzard_show.php?rid=18152&amp;url=harzardrecs.php","拦焦车平台堵烟梯子处锈蚀严重，一操作工在堵完烟从梯子上下来时踩在上面，因锈蚀严重，不负重力，右脚跌落，造成腿部受伤，随即送医，经诊断为小腿骨折，皮肉划伤，住院治疗1个月，回家休养3个月。")</f>
        <v>拦焦车平台堵烟梯子处锈蚀严重，一操作工在堵完烟从梯子上下来时踩在上面，因锈蚀严重，不负重力，右脚跌落，造成腿部受伤，随即送医，经诊断为小腿骨折，皮肉划伤，住院治疗1个月，回家休养3个月。</v>
      </c>
      <c r="E486" s="19" t="s">
        <v>2206</v>
      </c>
      <c r="F486" s="25" t="s">
        <v>1455</v>
      </c>
      <c r="G486" s="22" t="s">
        <v>63</v>
      </c>
      <c r="H486" s="19" t="s">
        <v>44</v>
      </c>
      <c r="I486" s="19" t="s">
        <v>45</v>
      </c>
      <c r="J486" s="19" t="s">
        <v>46</v>
      </c>
      <c r="K486" s="19" t="s">
        <v>47</v>
      </c>
      <c r="L486" s="19" t="s">
        <v>76</v>
      </c>
      <c r="M486" s="19" t="s">
        <v>121</v>
      </c>
      <c r="N486" s="19" t="s">
        <v>549</v>
      </c>
      <c r="O486" s="19" t="s">
        <v>121</v>
      </c>
      <c r="P486" s="19" t="s">
        <v>316</v>
      </c>
      <c r="Q486" s="19" t="s">
        <v>2197</v>
      </c>
      <c r="R486" s="19" t="s">
        <v>2207</v>
      </c>
      <c r="S486" s="19"/>
      <c r="T486" s="19" t="s">
        <v>53</v>
      </c>
      <c r="U486" s="19" t="s">
        <v>80</v>
      </c>
      <c r="V486" s="19" t="s">
        <v>97</v>
      </c>
      <c r="W486" s="19" t="s">
        <v>70</v>
      </c>
      <c r="X486" s="19" t="s">
        <v>154</v>
      </c>
      <c r="Y486" s="19"/>
      <c r="Z486" s="19" t="s">
        <v>2208</v>
      </c>
      <c r="AA486" s="19">
        <v>2</v>
      </c>
      <c r="AB486" s="19"/>
      <c r="AC486" s="19" t="s">
        <v>308</v>
      </c>
      <c r="AD486" s="19"/>
      <c r="AE486" s="19"/>
      <c r="AF486" s="19"/>
    </row>
    <row r="487" spans="1:34" customHeight="1" ht="42">
      <c r="A487" s="19">
        <v>481</v>
      </c>
      <c r="B487" s="19" t="s">
        <v>2175</v>
      </c>
      <c r="C487" s="19" t="s">
        <v>544</v>
      </c>
      <c r="D487" s="19" t="str">
        <f>HYPERLINK("http://www.henontech.com/fieldsafety/harzard/harzard_show.php?rid=18153&amp;url=harzardrecs.php","焦侧46#炉门，在推完焦后的对门操作时，炉门下落不到位，1操作工在此干活时，不幸被突然掉落的炉门砸伤，随即送医，经抢救无效死亡。")</f>
        <v>焦侧46#炉门，在推完焦后的对门操作时，炉门下落不到位，1操作工在此干活时，不幸被突然掉落的炉门砸伤，随即送医，经抢救无效死亡。</v>
      </c>
      <c r="E487" s="19" t="s">
        <v>2209</v>
      </c>
      <c r="F487" s="20" t="s">
        <v>42</v>
      </c>
      <c r="G487" s="24" t="s">
        <v>322</v>
      </c>
      <c r="H487" s="19" t="s">
        <v>44</v>
      </c>
      <c r="I487" s="19" t="s">
        <v>120</v>
      </c>
      <c r="J487" s="19" t="s">
        <v>46</v>
      </c>
      <c r="K487" s="19" t="s">
        <v>47</v>
      </c>
      <c r="L487" s="19" t="s">
        <v>76</v>
      </c>
      <c r="M487" s="19" t="s">
        <v>121</v>
      </c>
      <c r="N487" s="19" t="s">
        <v>662</v>
      </c>
      <c r="O487" s="19" t="s">
        <v>121</v>
      </c>
      <c r="P487" s="19" t="s">
        <v>662</v>
      </c>
      <c r="Q487" s="19" t="s">
        <v>2197</v>
      </c>
      <c r="R487" s="19" t="s">
        <v>2210</v>
      </c>
      <c r="S487" s="19"/>
      <c r="T487" s="19" t="s">
        <v>53</v>
      </c>
      <c r="U487" s="19" t="s">
        <v>236</v>
      </c>
      <c r="V487" s="19" t="s">
        <v>97</v>
      </c>
      <c r="W487" s="19" t="s">
        <v>190</v>
      </c>
      <c r="X487" s="19" t="s">
        <v>191</v>
      </c>
      <c r="Y487" s="19"/>
      <c r="Z487" s="19" t="s">
        <v>2211</v>
      </c>
      <c r="AA487" s="19">
        <v>2</v>
      </c>
      <c r="AB487" s="19">
        <v>2</v>
      </c>
      <c r="AC487" s="19" t="s">
        <v>58</v>
      </c>
      <c r="AD487" s="19" t="s">
        <v>662</v>
      </c>
      <c r="AE487" s="19" t="s">
        <v>1863</v>
      </c>
      <c r="AF487" s="19"/>
    </row>
    <row r="488" spans="1:34" customHeight="1" ht="42">
      <c r="A488" s="19">
        <v>482</v>
      </c>
      <c r="B488" s="19" t="s">
        <v>1401</v>
      </c>
      <c r="C488" s="19" t="s">
        <v>2212</v>
      </c>
      <c r="D488" s="19" t="str">
        <f>HYPERLINK("http://www.henontech.com/fieldsafety/harzard/harzard_show.php?rid=18162&amp;url=harzardrecs.php","疏水阀疏水管断开，易发生烫伤")</f>
        <v>疏水阀疏水管断开，易发生烫伤</v>
      </c>
      <c r="E488" s="19" t="s">
        <v>2213</v>
      </c>
      <c r="F488" s="25" t="s">
        <v>1455</v>
      </c>
      <c r="G488" s="22" t="s">
        <v>63</v>
      </c>
      <c r="H488" s="19" t="s">
        <v>44</v>
      </c>
      <c r="I488" s="19" t="s">
        <v>108</v>
      </c>
      <c r="J488" s="19" t="s">
        <v>46</v>
      </c>
      <c r="K488" s="19" t="s">
        <v>47</v>
      </c>
      <c r="L488" s="19" t="s">
        <v>76</v>
      </c>
      <c r="M488" s="19" t="s">
        <v>1033</v>
      </c>
      <c r="N488" s="19" t="s">
        <v>1405</v>
      </c>
      <c r="O488" s="19" t="s">
        <v>1033</v>
      </c>
      <c r="P488" s="19" t="s">
        <v>1034</v>
      </c>
      <c r="Q488" s="19" t="s">
        <v>2088</v>
      </c>
      <c r="R488" s="19" t="s">
        <v>2214</v>
      </c>
      <c r="S488" s="19"/>
      <c r="T488" s="19" t="s">
        <v>53</v>
      </c>
      <c r="U488" s="19" t="s">
        <v>54</v>
      </c>
      <c r="V488" s="19" t="s">
        <v>55</v>
      </c>
      <c r="W488" s="19" t="s">
        <v>56</v>
      </c>
      <c r="X488" s="19" t="s">
        <v>154</v>
      </c>
      <c r="Y488" s="19"/>
      <c r="Z488" s="19" t="s">
        <v>2215</v>
      </c>
      <c r="AA488" s="19">
        <v>2</v>
      </c>
      <c r="AB488" s="19"/>
      <c r="AC488" s="19" t="s">
        <v>308</v>
      </c>
      <c r="AD488" s="19"/>
      <c r="AE488" s="19"/>
      <c r="AF488" s="19"/>
    </row>
    <row r="489" spans="1:34">
      <c r="A489" s="19">
        <v>483</v>
      </c>
      <c r="B489" s="19" t="s">
        <v>1401</v>
      </c>
      <c r="C489" s="19" t="s">
        <v>2172</v>
      </c>
      <c r="D489" s="19" t="str">
        <f>HYPERLINK("http://www.henontech.com/fieldsafety/harzard/harzard_show.php?rid=18163&amp;url=harzardrecs.php","一号减温减压安全阀在泄压时排汽口贴近墙面造成墙面脱落")</f>
        <v>一号减温减压安全阀在泄压时排汽口贴近墙面造成墙面脱落</v>
      </c>
      <c r="E489" s="19" t="s">
        <v>2216</v>
      </c>
      <c r="F489" s="23" t="s">
        <v>304</v>
      </c>
      <c r="G489" s="22" t="s">
        <v>63</v>
      </c>
      <c r="H489" s="19" t="s">
        <v>44</v>
      </c>
      <c r="I489" s="19" t="s">
        <v>45</v>
      </c>
      <c r="J489" s="19" t="s">
        <v>46</v>
      </c>
      <c r="K489" s="19" t="s">
        <v>102</v>
      </c>
      <c r="L489" s="19"/>
      <c r="M489" s="19" t="s">
        <v>1033</v>
      </c>
      <c r="N489" s="19" t="s">
        <v>1632</v>
      </c>
      <c r="O489" s="19"/>
      <c r="P489" s="19"/>
      <c r="Q489" s="19"/>
      <c r="R489" s="19" t="s">
        <v>2217</v>
      </c>
      <c r="S489" s="19" t="s">
        <v>1372</v>
      </c>
      <c r="T489" s="19" t="s">
        <v>393</v>
      </c>
      <c r="U489" s="19" t="s">
        <v>202</v>
      </c>
      <c r="V489" s="19" t="s">
        <v>69</v>
      </c>
      <c r="W489" s="19" t="s">
        <v>56</v>
      </c>
      <c r="X489" s="19"/>
      <c r="Y489" s="19"/>
      <c r="Z489" s="19"/>
      <c r="AA489" s="19">
        <v>0</v>
      </c>
      <c r="AB489" s="19"/>
      <c r="AC489" s="19" t="s">
        <v>308</v>
      </c>
      <c r="AD489" s="19"/>
      <c r="AE489" s="19"/>
      <c r="AF489" s="19"/>
    </row>
    <row r="490" spans="1:34" customHeight="1" ht="42">
      <c r="A490" s="19">
        <v>484</v>
      </c>
      <c r="B490" s="19" t="s">
        <v>1401</v>
      </c>
      <c r="C490" s="19" t="s">
        <v>1824</v>
      </c>
      <c r="D490" s="19" t="str">
        <f>HYPERLINK("http://www.henontech.com/fieldsafety/harzard/harzard_show.php?rid=18203&amp;url=harzardrecs.php","焦炉炉顶上升管平台走廊处物品杂乱，一名操作工巡检时假如被绊倒摔伤，造成右手臂骨折。")</f>
        <v>焦炉炉顶上升管平台走廊处物品杂乱，一名操作工巡检时假如被绊倒摔伤，造成右手臂骨折。</v>
      </c>
      <c r="E490" s="19" t="s">
        <v>2218</v>
      </c>
      <c r="F490" s="20" t="s">
        <v>42</v>
      </c>
      <c r="G490" s="22" t="s">
        <v>63</v>
      </c>
      <c r="H490" s="19" t="s">
        <v>44</v>
      </c>
      <c r="I490" s="19" t="s">
        <v>120</v>
      </c>
      <c r="J490" s="19" t="s">
        <v>46</v>
      </c>
      <c r="K490" s="19" t="s">
        <v>47</v>
      </c>
      <c r="L490" s="19" t="s">
        <v>76</v>
      </c>
      <c r="M490" s="19" t="s">
        <v>121</v>
      </c>
      <c r="N490" s="19" t="s">
        <v>2219</v>
      </c>
      <c r="O490" s="19" t="s">
        <v>121</v>
      </c>
      <c r="P490" s="19" t="s">
        <v>662</v>
      </c>
      <c r="Q490" s="19" t="s">
        <v>2197</v>
      </c>
      <c r="R490" s="19" t="s">
        <v>2220</v>
      </c>
      <c r="S490" s="19"/>
      <c r="T490" s="19" t="s">
        <v>53</v>
      </c>
      <c r="U490" s="19" t="s">
        <v>80</v>
      </c>
      <c r="V490" s="19" t="s">
        <v>55</v>
      </c>
      <c r="W490" s="19" t="s">
        <v>81</v>
      </c>
      <c r="X490" s="19" t="s">
        <v>191</v>
      </c>
      <c r="Y490" s="19"/>
      <c r="Z490" s="19" t="s">
        <v>2221</v>
      </c>
      <c r="AA490" s="19">
        <v>2</v>
      </c>
      <c r="AB490" s="19">
        <v>2</v>
      </c>
      <c r="AC490" s="19" t="s">
        <v>58</v>
      </c>
      <c r="AD490" s="19" t="s">
        <v>662</v>
      </c>
      <c r="AE490" s="19" t="s">
        <v>2222</v>
      </c>
      <c r="AF490" s="19"/>
    </row>
    <row r="491" spans="1:34" customHeight="1" ht="42">
      <c r="A491" s="19">
        <v>485</v>
      </c>
      <c r="B491" s="19" t="s">
        <v>1401</v>
      </c>
      <c r="C491" s="19" t="s">
        <v>1604</v>
      </c>
      <c r="D491" s="19" t="str">
        <f>HYPERLINK("http://www.henontech.com/fieldsafety/harzard/harzard_show.php?rid=18204&amp;url=harzardrecs.php","拦焦除尘水封槽干管上部腐蚀严重，一名操作工在清理水槽经过此处时恰巧左腿落入干管内划伤，送医治疗7天。")</f>
        <v>拦焦除尘水封槽干管上部腐蚀严重，一名操作工在清理水槽经过此处时恰巧左腿落入干管内划伤，送医治疗7天。</v>
      </c>
      <c r="E491" s="19" t="s">
        <v>2223</v>
      </c>
      <c r="F491" s="25" t="s">
        <v>1455</v>
      </c>
      <c r="G491" s="22" t="s">
        <v>63</v>
      </c>
      <c r="H491" s="19" t="s">
        <v>44</v>
      </c>
      <c r="I491" s="19" t="s">
        <v>45</v>
      </c>
      <c r="J491" s="19" t="s">
        <v>46</v>
      </c>
      <c r="K491" s="19" t="s">
        <v>47</v>
      </c>
      <c r="L491" s="19" t="s">
        <v>76</v>
      </c>
      <c r="M491" s="19" t="s">
        <v>121</v>
      </c>
      <c r="N491" s="19" t="s">
        <v>2224</v>
      </c>
      <c r="O491" s="19" t="s">
        <v>121</v>
      </c>
      <c r="P491" s="19" t="s">
        <v>316</v>
      </c>
      <c r="Q491" s="19" t="s">
        <v>2197</v>
      </c>
      <c r="R491" s="19" t="s">
        <v>2225</v>
      </c>
      <c r="S491" s="19"/>
      <c r="T491" s="19" t="s">
        <v>53</v>
      </c>
      <c r="U491" s="19" t="s">
        <v>80</v>
      </c>
      <c r="V491" s="19" t="s">
        <v>55</v>
      </c>
      <c r="W491" s="19" t="s">
        <v>81</v>
      </c>
      <c r="X491" s="19" t="s">
        <v>154</v>
      </c>
      <c r="Y491" s="19"/>
      <c r="Z491" s="19" t="s">
        <v>2226</v>
      </c>
      <c r="AA491" s="19">
        <v>2</v>
      </c>
      <c r="AB491" s="19"/>
      <c r="AC491" s="19" t="s">
        <v>308</v>
      </c>
      <c r="AD491" s="19"/>
      <c r="AE491" s="19"/>
      <c r="AF491" s="19"/>
    </row>
    <row r="492" spans="1:34" customHeight="1" ht="42">
      <c r="A492" s="19">
        <v>486</v>
      </c>
      <c r="B492" s="19" t="s">
        <v>1401</v>
      </c>
      <c r="C492" s="19" t="s">
        <v>1824</v>
      </c>
      <c r="D492" s="19" t="str">
        <f>HYPERLINK("http://www.henontech.com/fieldsafety/harzard/harzard_show.php?rid=18217&amp;url=harzardrecs.php","炉顶南侧护栏开焊，如果一名操作工在巡检时一不小心闪落至7米高的拦焦平台上头部着地，经送医院抢救无效死亡。")</f>
        <v>炉顶南侧护栏开焊，如果一名操作工在巡检时一不小心闪落至7米高的拦焦平台上头部着地，经送医院抢救无效死亡。</v>
      </c>
      <c r="E492" s="19" t="s">
        <v>2227</v>
      </c>
      <c r="F492" s="20" t="s">
        <v>42</v>
      </c>
      <c r="G492" s="22" t="s">
        <v>63</v>
      </c>
      <c r="H492" s="19" t="s">
        <v>44</v>
      </c>
      <c r="I492" s="19" t="s">
        <v>120</v>
      </c>
      <c r="J492" s="19" t="s">
        <v>109</v>
      </c>
      <c r="K492" s="19" t="s">
        <v>132</v>
      </c>
      <c r="L492" s="19"/>
      <c r="M492" s="19" t="s">
        <v>121</v>
      </c>
      <c r="N492" s="19" t="s">
        <v>2228</v>
      </c>
      <c r="O492" s="19" t="s">
        <v>121</v>
      </c>
      <c r="P492" s="19" t="s">
        <v>316</v>
      </c>
      <c r="Q492" s="19" t="s">
        <v>2197</v>
      </c>
      <c r="R492" s="19" t="s">
        <v>2229</v>
      </c>
      <c r="S492" s="19"/>
      <c r="T492" s="19" t="s">
        <v>53</v>
      </c>
      <c r="U492" s="19" t="s">
        <v>236</v>
      </c>
      <c r="V492" s="19" t="s">
        <v>97</v>
      </c>
      <c r="W492" s="19" t="s">
        <v>190</v>
      </c>
      <c r="X492" s="19" t="s">
        <v>191</v>
      </c>
      <c r="Y492" s="19"/>
      <c r="Z492" s="19" t="s">
        <v>2230</v>
      </c>
      <c r="AA492" s="19">
        <v>2</v>
      </c>
      <c r="AB492" s="19">
        <v>2</v>
      </c>
      <c r="AC492" s="19" t="s">
        <v>58</v>
      </c>
      <c r="AD492" s="19" t="s">
        <v>316</v>
      </c>
      <c r="AE492" s="19" t="s">
        <v>1512</v>
      </c>
      <c r="AF492" s="19"/>
    </row>
    <row r="493" spans="1:34" customHeight="1" ht="42">
      <c r="A493" s="19">
        <v>487</v>
      </c>
      <c r="B493" s="19" t="s">
        <v>1401</v>
      </c>
      <c r="C493" s="19" t="s">
        <v>2231</v>
      </c>
      <c r="D493" s="19" t="str">
        <f>HYPERLINK("http://www.henontech.com/fieldsafety/harzard/harzard_show.php?rid=18250&amp;url=harzardrecs.php","5.5米焦炉焦侧南头测总烟道吸力小井，缺失警示标志，若夜班一职工从此经过恰巧被绊倒，扭伤脚踝，在家休养7天。")</f>
        <v>5.5米焦炉焦侧南头测总烟道吸力小井，缺失警示标志，若夜班一职工从此经过恰巧被绊倒，扭伤脚踝，在家休养7天。</v>
      </c>
      <c r="E493" s="19" t="s">
        <v>2232</v>
      </c>
      <c r="F493" s="20" t="s">
        <v>42</v>
      </c>
      <c r="G493" s="22" t="s">
        <v>63</v>
      </c>
      <c r="H493" s="19" t="s">
        <v>44</v>
      </c>
      <c r="I493" s="19" t="s">
        <v>45</v>
      </c>
      <c r="J493" s="19" t="s">
        <v>46</v>
      </c>
      <c r="K493" s="19" t="s">
        <v>47</v>
      </c>
      <c r="L493" s="19" t="s">
        <v>76</v>
      </c>
      <c r="M493" s="19" t="s">
        <v>121</v>
      </c>
      <c r="N493" s="19" t="s">
        <v>880</v>
      </c>
      <c r="O493" s="19" t="s">
        <v>121</v>
      </c>
      <c r="P493" s="19" t="s">
        <v>812</v>
      </c>
      <c r="Q493" s="19" t="s">
        <v>2197</v>
      </c>
      <c r="R493" s="19" t="s">
        <v>2233</v>
      </c>
      <c r="S493" s="19"/>
      <c r="T493" s="19" t="s">
        <v>53</v>
      </c>
      <c r="U493" s="19" t="s">
        <v>80</v>
      </c>
      <c r="V493" s="19" t="s">
        <v>55</v>
      </c>
      <c r="W493" s="19" t="s">
        <v>81</v>
      </c>
      <c r="X493" s="19" t="s">
        <v>191</v>
      </c>
      <c r="Y493" s="19"/>
      <c r="Z493" s="19" t="s">
        <v>2234</v>
      </c>
      <c r="AA493" s="19">
        <v>2</v>
      </c>
      <c r="AB493" s="19">
        <v>1</v>
      </c>
      <c r="AC493" s="19" t="s">
        <v>58</v>
      </c>
      <c r="AD493" s="19" t="s">
        <v>812</v>
      </c>
      <c r="AE493" s="19" t="s">
        <v>2189</v>
      </c>
      <c r="AF493" s="19" t="s">
        <v>2235</v>
      </c>
    </row>
    <row r="494" spans="1:34">
      <c r="A494" s="19">
        <v>488</v>
      </c>
      <c r="B494" s="19" t="s">
        <v>1401</v>
      </c>
      <c r="C494" s="19" t="s">
        <v>2093</v>
      </c>
      <c r="D494" s="19" t="str">
        <f>HYPERLINK("http://www.henontech.com/fieldsafety/harzard/harzard_show.php?rid=18277&amp;url=harzardrecs.php","盖板松动，间隙过大。")</f>
        <v>盖板松动，间隙过大。</v>
      </c>
      <c r="E494" s="19" t="s">
        <v>2236</v>
      </c>
      <c r="F494" s="23" t="s">
        <v>304</v>
      </c>
      <c r="G494" s="22" t="s">
        <v>63</v>
      </c>
      <c r="H494" s="19" t="s">
        <v>44</v>
      </c>
      <c r="I494" s="19" t="s">
        <v>108</v>
      </c>
      <c r="J494" s="19" t="s">
        <v>109</v>
      </c>
      <c r="K494" s="19" t="s">
        <v>102</v>
      </c>
      <c r="L494" s="19" t="s">
        <v>76</v>
      </c>
      <c r="M494" s="19" t="s">
        <v>1033</v>
      </c>
      <c r="N494" s="19" t="s">
        <v>1669</v>
      </c>
      <c r="O494" s="19"/>
      <c r="P494" s="19"/>
      <c r="Q494" s="19"/>
      <c r="R494" s="19" t="s">
        <v>906</v>
      </c>
      <c r="S494" s="19" t="s">
        <v>1372</v>
      </c>
      <c r="T494" s="19" t="s">
        <v>53</v>
      </c>
      <c r="U494" s="19" t="s">
        <v>54</v>
      </c>
      <c r="V494" s="19" t="s">
        <v>203</v>
      </c>
      <c r="W494" s="19" t="s">
        <v>56</v>
      </c>
      <c r="X494" s="19"/>
      <c r="Y494" s="19"/>
      <c r="Z494" s="19"/>
      <c r="AA494" s="19">
        <v>0</v>
      </c>
      <c r="AB494" s="19"/>
      <c r="AC494" s="19" t="s">
        <v>308</v>
      </c>
      <c r="AD494" s="19"/>
      <c r="AE494" s="19"/>
      <c r="AF494" s="19"/>
    </row>
    <row r="495" spans="1:34">
      <c r="A495" s="19">
        <v>489</v>
      </c>
      <c r="B495" s="19" t="s">
        <v>1649</v>
      </c>
      <c r="C495" s="19" t="s">
        <v>1964</v>
      </c>
      <c r="D495" s="19" t="str">
        <f>HYPERLINK("http://www.henontech.com/fieldsafety/harzard/harzard_show.php?rid=18307&amp;url=harzardrecs.php","铁钎未按定制摆放，掉入仓中放煤过程中造成皮带划伤，造成财产损失")</f>
        <v>铁钎未按定制摆放，掉入仓中放煤过程中造成皮带划伤，造成财产损失</v>
      </c>
      <c r="E495" s="19" t="s">
        <v>189</v>
      </c>
      <c r="F495" s="20" t="s">
        <v>42</v>
      </c>
      <c r="G495" s="22" t="s">
        <v>63</v>
      </c>
      <c r="H495" s="19" t="s">
        <v>44</v>
      </c>
      <c r="I495" s="19" t="s">
        <v>120</v>
      </c>
      <c r="J495" s="19" t="s">
        <v>580</v>
      </c>
      <c r="K495" s="19"/>
      <c r="L495" s="19"/>
      <c r="M495" s="19" t="s">
        <v>364</v>
      </c>
      <c r="N495" s="19" t="s">
        <v>1686</v>
      </c>
      <c r="O495" s="19" t="s">
        <v>364</v>
      </c>
      <c r="P495" s="19" t="s">
        <v>1687</v>
      </c>
      <c r="Q495" s="19" t="s">
        <v>2127</v>
      </c>
      <c r="R495" s="19" t="s">
        <v>1689</v>
      </c>
      <c r="S495" s="19"/>
      <c r="T495" s="19" t="s">
        <v>189</v>
      </c>
      <c r="U495" s="19" t="s">
        <v>202</v>
      </c>
      <c r="V495" s="19" t="s">
        <v>55</v>
      </c>
      <c r="W495" s="19" t="s">
        <v>56</v>
      </c>
      <c r="X495" s="19"/>
      <c r="Y495" s="19"/>
      <c r="Z495" s="19" t="s">
        <v>2237</v>
      </c>
      <c r="AA495" s="19">
        <v>1</v>
      </c>
      <c r="AB495" s="19">
        <v>1</v>
      </c>
      <c r="AC495" s="19" t="s">
        <v>58</v>
      </c>
      <c r="AD495" s="19" t="s">
        <v>1687</v>
      </c>
      <c r="AE495" s="19" t="s">
        <v>2055</v>
      </c>
      <c r="AF495" s="19"/>
    </row>
    <row r="496" spans="1:34">
      <c r="A496" s="19">
        <v>490</v>
      </c>
      <c r="B496" s="19" t="s">
        <v>1649</v>
      </c>
      <c r="C496" s="19" t="s">
        <v>927</v>
      </c>
      <c r="D496" s="19" t="str">
        <f>HYPERLINK("http://www.henontech.com/fieldsafety/harzard/harzard_show.php?rid=18319&amp;url=harzardrecs.php","捕油器爬梯护栏开焊，假如一名员工巡检时不小心可能会从三米高处坠落造成右臂骨折，去医院治疗一个月，在家休养二个月后复工。")</f>
        <v>捕油器爬梯护栏开焊，假如一名员工巡检时不小心可能会从三米高处坠落造成右臂骨折，去医院治疗一个月，在家休养二个月后复工。</v>
      </c>
      <c r="E496" s="19" t="s">
        <v>2238</v>
      </c>
      <c r="F496" s="20" t="s">
        <v>42</v>
      </c>
      <c r="G496" s="22" t="s">
        <v>63</v>
      </c>
      <c r="H496" s="19" t="s">
        <v>44</v>
      </c>
      <c r="I496" s="19" t="s">
        <v>45</v>
      </c>
      <c r="J496" s="19" t="s">
        <v>46</v>
      </c>
      <c r="K496" s="19" t="s">
        <v>47</v>
      </c>
      <c r="L496" s="19"/>
      <c r="M496" s="19" t="s">
        <v>48</v>
      </c>
      <c r="N496" s="19" t="s">
        <v>2239</v>
      </c>
      <c r="O496" s="19" t="s">
        <v>48</v>
      </c>
      <c r="P496" s="19" t="s">
        <v>50</v>
      </c>
      <c r="Q496" s="19" t="s">
        <v>1959</v>
      </c>
      <c r="R496" s="19" t="s">
        <v>2240</v>
      </c>
      <c r="S496" s="19"/>
      <c r="T496" s="19" t="s">
        <v>53</v>
      </c>
      <c r="U496" s="19" t="s">
        <v>80</v>
      </c>
      <c r="V496" s="19" t="s">
        <v>55</v>
      </c>
      <c r="W496" s="19" t="s">
        <v>81</v>
      </c>
      <c r="X496" s="19"/>
      <c r="Y496" s="19"/>
      <c r="Z496" s="19" t="s">
        <v>2241</v>
      </c>
      <c r="AA496" s="19">
        <v>1</v>
      </c>
      <c r="AB496" s="19">
        <v>1</v>
      </c>
      <c r="AC496" s="19" t="s">
        <v>58</v>
      </c>
      <c r="AD496" s="19" t="s">
        <v>50</v>
      </c>
      <c r="AE496" s="19" t="s">
        <v>1503</v>
      </c>
      <c r="AF496" s="19"/>
    </row>
    <row r="497" spans="1:34" customHeight="1" ht="42">
      <c r="A497" s="19">
        <v>491</v>
      </c>
      <c r="B497" s="19" t="s">
        <v>1649</v>
      </c>
      <c r="C497" s="19" t="s">
        <v>1824</v>
      </c>
      <c r="D497" s="19" t="str">
        <f>HYPERLINK("http://www.henontech.com/fieldsafety/harzard/harzard_show.php?rid=18359&amp;url=harzardrecs.php","5.5米焦炉北悬臂吊处现场废铁杂乱，操作人员在此工作时，不慎被绊倒，手臂与铁件碰到，造成手臂受伤，送医救治。")</f>
        <v>5.5米焦炉北悬臂吊处现场废铁杂乱，操作人员在此工作时，不慎被绊倒，手臂与铁件碰到，造成手臂受伤，送医救治。</v>
      </c>
      <c r="E497" s="19" t="s">
        <v>2242</v>
      </c>
      <c r="F497" s="20" t="s">
        <v>42</v>
      </c>
      <c r="G497" s="22" t="s">
        <v>63</v>
      </c>
      <c r="H497" s="19" t="s">
        <v>44</v>
      </c>
      <c r="I497" s="19" t="s">
        <v>45</v>
      </c>
      <c r="J497" s="19" t="s">
        <v>580</v>
      </c>
      <c r="K497" s="19" t="s">
        <v>47</v>
      </c>
      <c r="L497" s="19" t="s">
        <v>599</v>
      </c>
      <c r="M497" s="19" t="s">
        <v>121</v>
      </c>
      <c r="N497" s="19" t="s">
        <v>1637</v>
      </c>
      <c r="O497" s="19" t="s">
        <v>121</v>
      </c>
      <c r="P497" s="19" t="s">
        <v>316</v>
      </c>
      <c r="Q497" s="19" t="s">
        <v>1959</v>
      </c>
      <c r="R497" s="19" t="s">
        <v>2243</v>
      </c>
      <c r="S497" s="19"/>
      <c r="T497" s="19" t="s">
        <v>53</v>
      </c>
      <c r="U497" s="19" t="s">
        <v>80</v>
      </c>
      <c r="V497" s="19" t="s">
        <v>55</v>
      </c>
      <c r="W497" s="19" t="s">
        <v>81</v>
      </c>
      <c r="X497" s="19" t="s">
        <v>191</v>
      </c>
      <c r="Y497" s="19"/>
      <c r="Z497" s="19" t="s">
        <v>2244</v>
      </c>
      <c r="AA497" s="19">
        <v>2</v>
      </c>
      <c r="AB497" s="19">
        <v>2</v>
      </c>
      <c r="AC497" s="19" t="s">
        <v>58</v>
      </c>
      <c r="AD497" s="19" t="s">
        <v>316</v>
      </c>
      <c r="AE497" s="19" t="s">
        <v>1512</v>
      </c>
      <c r="AF497" s="19"/>
    </row>
    <row r="498" spans="1:34" customHeight="1" ht="42">
      <c r="A498" s="19">
        <v>492</v>
      </c>
      <c r="B498" s="19" t="s">
        <v>1649</v>
      </c>
      <c r="C498" s="19" t="s">
        <v>1389</v>
      </c>
      <c r="D498" s="19" t="str">
        <f>HYPERLINK("http://www.henontech.com/fieldsafety/harzard/harzard_show.php?rid=18380&amp;url=harzardrecs.php","由于炉顶上升管平台严重腐蚀变形，操作人员站在此处干活，平台断裂，导致操作人员摔下去，造成腿部骨折。")</f>
        <v>由于炉顶上升管平台严重腐蚀变形，操作人员站在此处干活，平台断裂，导致操作人员摔下去，造成腿部骨折。</v>
      </c>
      <c r="E498" s="19" t="s">
        <v>2245</v>
      </c>
      <c r="F498" s="25" t="s">
        <v>1455</v>
      </c>
      <c r="G498" s="22" t="s">
        <v>63</v>
      </c>
      <c r="H498" s="19" t="s">
        <v>44</v>
      </c>
      <c r="I498" s="19" t="s">
        <v>120</v>
      </c>
      <c r="J498" s="19" t="s">
        <v>109</v>
      </c>
      <c r="K498" s="19" t="s">
        <v>47</v>
      </c>
      <c r="L498" s="19" t="s">
        <v>599</v>
      </c>
      <c r="M498" s="19" t="s">
        <v>121</v>
      </c>
      <c r="N498" s="19" t="s">
        <v>1419</v>
      </c>
      <c r="O498" s="19" t="s">
        <v>121</v>
      </c>
      <c r="P498" s="19" t="s">
        <v>316</v>
      </c>
      <c r="Q498" s="19" t="s">
        <v>1959</v>
      </c>
      <c r="R498" s="19" t="s">
        <v>2246</v>
      </c>
      <c r="S498" s="19"/>
      <c r="T498" s="19" t="s">
        <v>53</v>
      </c>
      <c r="U498" s="19" t="s">
        <v>80</v>
      </c>
      <c r="V498" s="19" t="s">
        <v>97</v>
      </c>
      <c r="W498" s="19" t="s">
        <v>70</v>
      </c>
      <c r="X498" s="19" t="s">
        <v>154</v>
      </c>
      <c r="Y498" s="19"/>
      <c r="Z498" s="19" t="s">
        <v>2247</v>
      </c>
      <c r="AA498" s="19">
        <v>2</v>
      </c>
      <c r="AB498" s="19"/>
      <c r="AC498" s="19" t="s">
        <v>308</v>
      </c>
      <c r="AD498" s="19"/>
      <c r="AE498" s="19"/>
      <c r="AF498" s="19"/>
    </row>
    <row r="499" spans="1:34" customHeight="1" ht="42">
      <c r="A499" s="19">
        <v>493</v>
      </c>
      <c r="B499" s="19" t="s">
        <v>1649</v>
      </c>
      <c r="C499" s="19" t="s">
        <v>2231</v>
      </c>
      <c r="D499" s="19" t="str">
        <f>HYPERLINK("http://www.henontech.com/fieldsafety/harzard/harzard_show.php?rid=18422&amp;url=harzardrecs.php","干熄车停车送罐定位点，由于长时间摩擦碰撞把道轨磨平导致定位误差大，在送焦罐时车辆摆动幅度较大容易导致夹紧碰坏，影响正常生产。")</f>
        <v>干熄车停车送罐定位点，由于长时间摩擦碰撞把道轨磨平导致定位误差大，在送焦罐时车辆摆动幅度较大容易导致夹紧碰坏，影响正常生产。</v>
      </c>
      <c r="E499" s="19" t="s">
        <v>2248</v>
      </c>
      <c r="F499" s="25" t="s">
        <v>1455</v>
      </c>
      <c r="G499" s="22" t="s">
        <v>63</v>
      </c>
      <c r="H499" s="19" t="s">
        <v>44</v>
      </c>
      <c r="I499" s="19" t="s">
        <v>108</v>
      </c>
      <c r="J499" s="19" t="s">
        <v>109</v>
      </c>
      <c r="K499" s="19" t="s">
        <v>102</v>
      </c>
      <c r="L499" s="19" t="s">
        <v>76</v>
      </c>
      <c r="M499" s="19" t="s">
        <v>121</v>
      </c>
      <c r="N499" s="19" t="s">
        <v>2249</v>
      </c>
      <c r="O499" s="19" t="s">
        <v>121</v>
      </c>
      <c r="P499" s="19" t="s">
        <v>316</v>
      </c>
      <c r="Q499" s="19" t="s">
        <v>2203</v>
      </c>
      <c r="R499" s="19" t="s">
        <v>2250</v>
      </c>
      <c r="S499" s="19"/>
      <c r="T499" s="19" t="s">
        <v>189</v>
      </c>
      <c r="U499" s="19" t="s">
        <v>202</v>
      </c>
      <c r="V499" s="19" t="s">
        <v>97</v>
      </c>
      <c r="W499" s="19" t="s">
        <v>56</v>
      </c>
      <c r="X499" s="19" t="s">
        <v>154</v>
      </c>
      <c r="Y499" s="19"/>
      <c r="Z499" s="19" t="s">
        <v>2251</v>
      </c>
      <c r="AA499" s="19">
        <v>2</v>
      </c>
      <c r="AB499" s="19"/>
      <c r="AC499" s="19" t="s">
        <v>308</v>
      </c>
      <c r="AD499" s="19"/>
      <c r="AE499" s="19"/>
      <c r="AF499" s="19"/>
    </row>
    <row r="500" spans="1:34">
      <c r="A500" s="19">
        <v>494</v>
      </c>
      <c r="B500" s="19" t="s">
        <v>2252</v>
      </c>
      <c r="C500" s="19" t="s">
        <v>1060</v>
      </c>
      <c r="D500" s="19" t="str">
        <f>HYPERLINK("http://www.henontech.com/fieldsafety/harzard/harzard_show.php?rid=18447&amp;url=harzardrecs.php","除尘箱体下方盖板未盖，一员工在清理卫生时踩空，造成左腿坠落，未造成伤害。")</f>
        <v>除尘箱体下方盖板未盖，一员工在清理卫生时踩空，造成左腿坠落，未造成伤害。</v>
      </c>
      <c r="E500" s="19" t="s">
        <v>2253</v>
      </c>
      <c r="F500" s="20" t="s">
        <v>42</v>
      </c>
      <c r="G500" s="22" t="s">
        <v>63</v>
      </c>
      <c r="H500" s="19" t="s">
        <v>44</v>
      </c>
      <c r="I500" s="19" t="s">
        <v>120</v>
      </c>
      <c r="J500" s="19"/>
      <c r="K500" s="19" t="s">
        <v>110</v>
      </c>
      <c r="L500" s="19"/>
      <c r="M500" s="19" t="s">
        <v>364</v>
      </c>
      <c r="N500" s="19" t="s">
        <v>2254</v>
      </c>
      <c r="O500" s="19" t="s">
        <v>364</v>
      </c>
      <c r="P500" s="19" t="s">
        <v>1687</v>
      </c>
      <c r="Q500" s="19" t="s">
        <v>2127</v>
      </c>
      <c r="R500" s="19" t="s">
        <v>2255</v>
      </c>
      <c r="S500" s="19"/>
      <c r="T500" s="19" t="s">
        <v>53</v>
      </c>
      <c r="U500" s="19" t="s">
        <v>202</v>
      </c>
      <c r="V500" s="19" t="s">
        <v>97</v>
      </c>
      <c r="W500" s="19" t="s">
        <v>56</v>
      </c>
      <c r="X500" s="19"/>
      <c r="Y500" s="19"/>
      <c r="Z500" s="19" t="s">
        <v>2256</v>
      </c>
      <c r="AA500" s="19">
        <v>1</v>
      </c>
      <c r="AB500" s="19">
        <v>1</v>
      </c>
      <c r="AC500" s="19" t="s">
        <v>58</v>
      </c>
      <c r="AD500" s="19" t="s">
        <v>1687</v>
      </c>
      <c r="AE500" s="19" t="s">
        <v>2055</v>
      </c>
      <c r="AF500" s="19"/>
    </row>
    <row r="501" spans="1:34">
      <c r="A501" s="19">
        <v>495</v>
      </c>
      <c r="B501" s="19" t="s">
        <v>2252</v>
      </c>
      <c r="C501" s="19" t="s">
        <v>2257</v>
      </c>
      <c r="D501" s="19" t="str">
        <f>HYPERLINK("http://www.henontech.com/fieldsafety/harzard/harzard_show.php?rid=18484&amp;url=harzardrecs.php","南脱硫二楼压滤机油泵电机护罩破损，如果一名操作人员在擦拭设备时不小心会被破损的电机护罩划伤手指简单包扎后继续上班。")</f>
        <v>南脱硫二楼压滤机油泵电机护罩破损，如果一名操作人员在擦拭设备时不小心会被破损的电机护罩划伤手指简单包扎后继续上班。</v>
      </c>
      <c r="E501" s="19" t="s">
        <v>2258</v>
      </c>
      <c r="F501" s="20" t="s">
        <v>42</v>
      </c>
      <c r="G501" s="22" t="s">
        <v>63</v>
      </c>
      <c r="H501" s="19" t="s">
        <v>44</v>
      </c>
      <c r="I501" s="19" t="s">
        <v>45</v>
      </c>
      <c r="J501" s="19" t="s">
        <v>46</v>
      </c>
      <c r="K501" s="19" t="s">
        <v>64</v>
      </c>
      <c r="L501" s="19" t="s">
        <v>76</v>
      </c>
      <c r="M501" s="19" t="s">
        <v>48</v>
      </c>
      <c r="N501" s="19" t="s">
        <v>163</v>
      </c>
      <c r="O501" s="19" t="s">
        <v>48</v>
      </c>
      <c r="P501" s="19" t="s">
        <v>50</v>
      </c>
      <c r="Q501" s="19" t="s">
        <v>2259</v>
      </c>
      <c r="R501" s="19" t="s">
        <v>2260</v>
      </c>
      <c r="S501" s="19"/>
      <c r="T501" s="19" t="s">
        <v>53</v>
      </c>
      <c r="U501" s="19" t="s">
        <v>54</v>
      </c>
      <c r="V501" s="19" t="s">
        <v>97</v>
      </c>
      <c r="W501" s="19" t="s">
        <v>81</v>
      </c>
      <c r="X501" s="19"/>
      <c r="Y501" s="19"/>
      <c r="Z501" s="19" t="s">
        <v>1985</v>
      </c>
      <c r="AA501" s="19">
        <v>1</v>
      </c>
      <c r="AB501" s="19">
        <v>1</v>
      </c>
      <c r="AC501" s="19" t="s">
        <v>58</v>
      </c>
      <c r="AD501" s="19" t="s">
        <v>50</v>
      </c>
      <c r="AE501" s="19" t="s">
        <v>1503</v>
      </c>
      <c r="AF501" s="19"/>
    </row>
    <row r="502" spans="1:34" customHeight="1" ht="42">
      <c r="A502" s="19">
        <v>496</v>
      </c>
      <c r="B502" s="19" t="s">
        <v>2252</v>
      </c>
      <c r="C502" s="19" t="s">
        <v>2261</v>
      </c>
      <c r="D502" s="19" t="str">
        <f>HYPERLINK("http://www.henontech.com/fieldsafety/harzard/harzard_show.php?rid=18491&amp;url=harzardrecs.php","在巡检过程中发现絮凝剂加药管道破裂漏液，如果不小心喷到胳膊上将会损害皮肤")</f>
        <v>在巡检过程中发现絮凝剂加药管道破裂漏液，如果不小心喷到胳膊上将会损害皮肤</v>
      </c>
      <c r="E502" s="19" t="s">
        <v>2262</v>
      </c>
      <c r="F502" s="25" t="s">
        <v>1455</v>
      </c>
      <c r="G502" s="22" t="s">
        <v>63</v>
      </c>
      <c r="H502" s="19" t="s">
        <v>44</v>
      </c>
      <c r="I502" s="19" t="s">
        <v>108</v>
      </c>
      <c r="J502" s="19" t="s">
        <v>46</v>
      </c>
      <c r="K502" s="19" t="s">
        <v>64</v>
      </c>
      <c r="L502" s="19"/>
      <c r="M502" s="19" t="s">
        <v>1033</v>
      </c>
      <c r="N502" s="19" t="s">
        <v>405</v>
      </c>
      <c r="O502" s="19" t="s">
        <v>1033</v>
      </c>
      <c r="P502" s="19" t="s">
        <v>1034</v>
      </c>
      <c r="Q502" s="19" t="s">
        <v>2097</v>
      </c>
      <c r="R502" s="19" t="s">
        <v>2263</v>
      </c>
      <c r="S502" s="19"/>
      <c r="T502" s="19" t="s">
        <v>53</v>
      </c>
      <c r="U502" s="19" t="s">
        <v>202</v>
      </c>
      <c r="V502" s="19" t="s">
        <v>55</v>
      </c>
      <c r="W502" s="19" t="s">
        <v>56</v>
      </c>
      <c r="X502" s="19" t="s">
        <v>154</v>
      </c>
      <c r="Y502" s="19"/>
      <c r="Z502" s="19" t="s">
        <v>2264</v>
      </c>
      <c r="AA502" s="19">
        <v>2</v>
      </c>
      <c r="AB502" s="19"/>
      <c r="AC502" s="19" t="s">
        <v>308</v>
      </c>
      <c r="AD502" s="19"/>
      <c r="AE502" s="19"/>
      <c r="AF502" s="19"/>
    </row>
    <row r="503" spans="1:34" customHeight="1" ht="42">
      <c r="A503" s="19">
        <v>497</v>
      </c>
      <c r="B503" s="19" t="s">
        <v>2189</v>
      </c>
      <c r="C503" s="19" t="s">
        <v>1722</v>
      </c>
      <c r="D503" s="19" t="str">
        <f>HYPERLINK("http://www.henontech.com/fieldsafety/harzard/harzard_show.php?rid=18519&amp;url=harzardrecs.php","维修通廊护拦开焊。")</f>
        <v>维修通廊护拦开焊。</v>
      </c>
      <c r="E503" s="19" t="s">
        <v>2265</v>
      </c>
      <c r="F503" s="25" t="s">
        <v>1455</v>
      </c>
      <c r="G503" s="22" t="s">
        <v>63</v>
      </c>
      <c r="H503" s="19" t="s">
        <v>44</v>
      </c>
      <c r="I503" s="19" t="s">
        <v>45</v>
      </c>
      <c r="J503" s="19" t="s">
        <v>109</v>
      </c>
      <c r="K503" s="19" t="s">
        <v>47</v>
      </c>
      <c r="L503" s="19" t="s">
        <v>76</v>
      </c>
      <c r="M503" s="19" t="s">
        <v>1033</v>
      </c>
      <c r="N503" s="19" t="s">
        <v>1656</v>
      </c>
      <c r="O503" s="19" t="s">
        <v>1033</v>
      </c>
      <c r="P503" s="19" t="s">
        <v>1034</v>
      </c>
      <c r="Q503" s="19" t="s">
        <v>2127</v>
      </c>
      <c r="R503" s="19" t="s">
        <v>2266</v>
      </c>
      <c r="S503" s="19"/>
      <c r="T503" s="19" t="s">
        <v>53</v>
      </c>
      <c r="U503" s="19" t="s">
        <v>80</v>
      </c>
      <c r="V503" s="19" t="s">
        <v>97</v>
      </c>
      <c r="W503" s="19" t="s">
        <v>70</v>
      </c>
      <c r="X503" s="19" t="s">
        <v>154</v>
      </c>
      <c r="Y503" s="19"/>
      <c r="Z503" s="19" t="s">
        <v>2267</v>
      </c>
      <c r="AA503" s="19">
        <v>2</v>
      </c>
      <c r="AB503" s="19"/>
      <c r="AC503" s="19" t="s">
        <v>308</v>
      </c>
      <c r="AD503" s="19"/>
      <c r="AE503" s="19"/>
      <c r="AF503" s="19"/>
    </row>
    <row r="504" spans="1:34">
      <c r="A504" s="19">
        <v>498</v>
      </c>
      <c r="B504" s="19" t="s">
        <v>2189</v>
      </c>
      <c r="C504" s="19" t="s">
        <v>2268</v>
      </c>
      <c r="D504" s="19" t="str">
        <f>HYPERLINK("http://www.henontech.com/fieldsafety/harzard/harzard_show.php?rid=18540&amp;url=harzardrecs.php","75t空压机房西门门框开焊，一巡检工在开门时门框突然脱落，可能导致巡检工右手扭伤，送医院就医，在家休养10天，损工10天")</f>
        <v>75t空压机房西门门框开焊，一巡检工在开门时门框突然脱落，可能导致巡检工右手扭伤，送医院就医，在家休养10天，损工10天</v>
      </c>
      <c r="E504" s="19" t="s">
        <v>2269</v>
      </c>
      <c r="F504" s="23" t="s">
        <v>304</v>
      </c>
      <c r="G504" s="22" t="s">
        <v>63</v>
      </c>
      <c r="H504" s="19" t="s">
        <v>44</v>
      </c>
      <c r="I504" s="19" t="s">
        <v>120</v>
      </c>
      <c r="J504" s="19" t="s">
        <v>46</v>
      </c>
      <c r="K504" s="19" t="s">
        <v>102</v>
      </c>
      <c r="L504" s="19" t="s">
        <v>76</v>
      </c>
      <c r="M504" s="19" t="s">
        <v>1033</v>
      </c>
      <c r="N504" s="19" t="s">
        <v>1470</v>
      </c>
      <c r="O504" s="19"/>
      <c r="P504" s="19"/>
      <c r="Q504" s="19"/>
      <c r="R504" s="19" t="s">
        <v>2270</v>
      </c>
      <c r="S504" s="19" t="s">
        <v>2084</v>
      </c>
      <c r="T504" s="19" t="s">
        <v>53</v>
      </c>
      <c r="U504" s="19" t="s">
        <v>54</v>
      </c>
      <c r="V504" s="19" t="s">
        <v>55</v>
      </c>
      <c r="W504" s="19" t="s">
        <v>56</v>
      </c>
      <c r="X504" s="19"/>
      <c r="Y504" s="19"/>
      <c r="Z504" s="19"/>
      <c r="AA504" s="19">
        <v>0</v>
      </c>
      <c r="AB504" s="19"/>
      <c r="AC504" s="19" t="s">
        <v>308</v>
      </c>
      <c r="AD504" s="19"/>
      <c r="AE504" s="19"/>
      <c r="AF504" s="19"/>
    </row>
    <row r="505" spans="1:34">
      <c r="A505" s="19">
        <v>499</v>
      </c>
      <c r="B505" s="19" t="s">
        <v>2189</v>
      </c>
      <c r="C505" s="19" t="s">
        <v>1932</v>
      </c>
      <c r="D505" s="19" t="str">
        <f>HYPERLINK("http://www.henontech.com/fieldsafety/harzard/harzard_show.php?rid=18591&amp;url=harzardrecs.php","西硫铵皮带机三角带老化松动，高速运转时三角带脱落，击中一名包运工颈部，皮肤轻微出血损伤，去医务室包扎休息一天后复工")</f>
        <v>西硫铵皮带机三角带老化松动，高速运转时三角带脱落，击中一名包运工颈部，皮肤轻微出血损伤，去医务室包扎休息一天后复工</v>
      </c>
      <c r="E505" s="19" t="s">
        <v>2271</v>
      </c>
      <c r="F505" s="20" t="s">
        <v>42</v>
      </c>
      <c r="G505" s="22" t="s">
        <v>63</v>
      </c>
      <c r="H505" s="19" t="s">
        <v>44</v>
      </c>
      <c r="I505" s="19" t="s">
        <v>45</v>
      </c>
      <c r="J505" s="19" t="s">
        <v>46</v>
      </c>
      <c r="K505" s="19" t="s">
        <v>47</v>
      </c>
      <c r="L505" s="19" t="s">
        <v>76</v>
      </c>
      <c r="M505" s="19" t="s">
        <v>48</v>
      </c>
      <c r="N505" s="19" t="s">
        <v>483</v>
      </c>
      <c r="O505" s="19" t="s">
        <v>48</v>
      </c>
      <c r="P505" s="19" t="s">
        <v>50</v>
      </c>
      <c r="Q505" s="19" t="s">
        <v>2259</v>
      </c>
      <c r="R505" s="19" t="s">
        <v>437</v>
      </c>
      <c r="S505" s="19"/>
      <c r="T505" s="19" t="s">
        <v>53</v>
      </c>
      <c r="U505" s="19" t="s">
        <v>80</v>
      </c>
      <c r="V505" s="19" t="s">
        <v>55</v>
      </c>
      <c r="W505" s="19" t="s">
        <v>81</v>
      </c>
      <c r="X505" s="19"/>
      <c r="Y505" s="19"/>
      <c r="Z505" s="19" t="s">
        <v>2272</v>
      </c>
      <c r="AA505" s="19">
        <v>1</v>
      </c>
      <c r="AB505" s="19">
        <v>1</v>
      </c>
      <c r="AC505" s="19" t="s">
        <v>58</v>
      </c>
      <c r="AD505" s="19" t="s">
        <v>50</v>
      </c>
      <c r="AE505" s="19" t="s">
        <v>1839</v>
      </c>
      <c r="AF505" s="19"/>
    </row>
    <row r="506" spans="1:34" customHeight="1" ht="42">
      <c r="A506" s="19">
        <v>500</v>
      </c>
      <c r="B506" s="19" t="s">
        <v>2189</v>
      </c>
      <c r="C506" s="19" t="s">
        <v>1903</v>
      </c>
      <c r="D506" s="19" t="str">
        <f>HYPERLINK("http://www.henontech.com/fieldsafety/harzard/harzard_show.php?rid=18602&amp;url=harzardrecs.php","一职工走到东六通廊下部时不慎被凸起的固定螺栓绊倒，造成手掌部轻微擦伤。")</f>
        <v>一职工走到东六通廊下部时不慎被凸起的固定螺栓绊倒，造成手掌部轻微擦伤。</v>
      </c>
      <c r="E506" s="19" t="s">
        <v>2273</v>
      </c>
      <c r="F506" s="20" t="s">
        <v>42</v>
      </c>
      <c r="G506" s="22" t="s">
        <v>63</v>
      </c>
      <c r="H506" s="19" t="s">
        <v>44</v>
      </c>
      <c r="I506" s="19"/>
      <c r="J506" s="19" t="s">
        <v>46</v>
      </c>
      <c r="K506" s="19" t="s">
        <v>47</v>
      </c>
      <c r="L506" s="19" t="s">
        <v>76</v>
      </c>
      <c r="M506" s="19" t="s">
        <v>364</v>
      </c>
      <c r="N506" s="19" t="s">
        <v>2274</v>
      </c>
      <c r="O506" s="19" t="s">
        <v>364</v>
      </c>
      <c r="P506" s="19" t="s">
        <v>425</v>
      </c>
      <c r="Q506" s="19" t="s">
        <v>1801</v>
      </c>
      <c r="R506" s="19" t="s">
        <v>2275</v>
      </c>
      <c r="S506" s="19"/>
      <c r="T506" s="19" t="s">
        <v>53</v>
      </c>
      <c r="U506" s="19" t="s">
        <v>54</v>
      </c>
      <c r="V506" s="19" t="s">
        <v>55</v>
      </c>
      <c r="W506" s="19" t="s">
        <v>56</v>
      </c>
      <c r="X506" s="19" t="s">
        <v>126</v>
      </c>
      <c r="Y506" s="19" t="s">
        <v>126</v>
      </c>
      <c r="Z506" s="19" t="s">
        <v>2276</v>
      </c>
      <c r="AA506" s="19">
        <v>2</v>
      </c>
      <c r="AB506" s="19">
        <v>2</v>
      </c>
      <c r="AC506" s="19" t="s">
        <v>58</v>
      </c>
      <c r="AD506" s="19" t="s">
        <v>425</v>
      </c>
      <c r="AE506" s="19" t="s">
        <v>2055</v>
      </c>
      <c r="AF506" s="19"/>
    </row>
    <row r="507" spans="1:34">
      <c r="A507" s="19">
        <v>501</v>
      </c>
      <c r="B507" s="19" t="s">
        <v>2189</v>
      </c>
      <c r="C507" s="19" t="s">
        <v>2277</v>
      </c>
      <c r="D507" s="19" t="str">
        <f>HYPERLINK("http://www.henontech.com/fieldsafety/harzard/harzard_show.php?rid=18616&amp;url=harzardrecs.php","脱硫塔南框架保温铝皮被施工人员踩坏未修复，如果被风吹落砸在正好路过的巡检人员头部，送医务室检查")</f>
        <v>脱硫塔南框架保温铝皮被施工人员踩坏未修复，如果被风吹落砸在正好路过的巡检人员头部，送医务室检查</v>
      </c>
      <c r="E507" s="19" t="s">
        <v>2278</v>
      </c>
      <c r="F507" s="20" t="s">
        <v>42</v>
      </c>
      <c r="G507" s="22" t="s">
        <v>63</v>
      </c>
      <c r="H507" s="19" t="s">
        <v>44</v>
      </c>
      <c r="I507" s="19" t="s">
        <v>108</v>
      </c>
      <c r="J507" s="19" t="s">
        <v>46</v>
      </c>
      <c r="K507" s="19" t="s">
        <v>110</v>
      </c>
      <c r="L507" s="19" t="s">
        <v>76</v>
      </c>
      <c r="M507" s="19" t="s">
        <v>48</v>
      </c>
      <c r="N507" s="19" t="s">
        <v>468</v>
      </c>
      <c r="O507" s="19" t="s">
        <v>48</v>
      </c>
      <c r="P507" s="19" t="s">
        <v>50</v>
      </c>
      <c r="Q507" s="19" t="s">
        <v>2259</v>
      </c>
      <c r="R507" s="19" t="s">
        <v>2279</v>
      </c>
      <c r="S507" s="19"/>
      <c r="T507" s="19" t="s">
        <v>53</v>
      </c>
      <c r="U507" s="19" t="s">
        <v>54</v>
      </c>
      <c r="V507" s="19" t="s">
        <v>97</v>
      </c>
      <c r="W507" s="19" t="s">
        <v>81</v>
      </c>
      <c r="X507" s="19"/>
      <c r="Y507" s="19"/>
      <c r="Z507" s="19" t="s">
        <v>2280</v>
      </c>
      <c r="AA507" s="19">
        <v>1</v>
      </c>
      <c r="AB507" s="19">
        <v>1</v>
      </c>
      <c r="AC507" s="19" t="s">
        <v>58</v>
      </c>
      <c r="AD507" s="19" t="s">
        <v>50</v>
      </c>
      <c r="AE507" s="19" t="s">
        <v>1503</v>
      </c>
      <c r="AF507" s="19"/>
    </row>
    <row r="508" spans="1:34" customHeight="1" ht="42">
      <c r="A508" s="19">
        <v>502</v>
      </c>
      <c r="B508" s="19" t="s">
        <v>2189</v>
      </c>
      <c r="C508" s="19" t="s">
        <v>422</v>
      </c>
      <c r="D508" s="19" t="str">
        <f>HYPERLINK("http://www.henontech.com/fieldsafety/harzard/harzard_show.php?rid=18629&amp;url=harzardrecs.php","东五后尾电缆桥架有杂物未及时清理，巡检人员经过一旦掉落会砸伤肩膀造成肩膀轻微伤。")</f>
        <v>东五后尾电缆桥架有杂物未及时清理，巡检人员经过一旦掉落会砸伤肩膀造成肩膀轻微伤。</v>
      </c>
      <c r="E508" s="19" t="s">
        <v>2281</v>
      </c>
      <c r="F508" s="20" t="s">
        <v>42</v>
      </c>
      <c r="G508" s="22" t="s">
        <v>63</v>
      </c>
      <c r="H508" s="19" t="s">
        <v>44</v>
      </c>
      <c r="I508" s="19" t="s">
        <v>108</v>
      </c>
      <c r="J508" s="19"/>
      <c r="K508" s="19" t="s">
        <v>64</v>
      </c>
      <c r="L508" s="19" t="s">
        <v>76</v>
      </c>
      <c r="M508" s="19" t="s">
        <v>364</v>
      </c>
      <c r="N508" s="19" t="s">
        <v>2282</v>
      </c>
      <c r="O508" s="19" t="s">
        <v>364</v>
      </c>
      <c r="P508" s="19" t="s">
        <v>425</v>
      </c>
      <c r="Q508" s="19" t="s">
        <v>1801</v>
      </c>
      <c r="R508" s="19" t="s">
        <v>2283</v>
      </c>
      <c r="S508" s="19"/>
      <c r="T508" s="19" t="s">
        <v>53</v>
      </c>
      <c r="U508" s="19" t="s">
        <v>54</v>
      </c>
      <c r="V508" s="19" t="s">
        <v>55</v>
      </c>
      <c r="W508" s="19" t="s">
        <v>56</v>
      </c>
      <c r="X508" s="19" t="s">
        <v>126</v>
      </c>
      <c r="Y508" s="19" t="s">
        <v>126</v>
      </c>
      <c r="Z508" s="19" t="s">
        <v>2284</v>
      </c>
      <c r="AA508" s="19">
        <v>2</v>
      </c>
      <c r="AB508" s="19">
        <v>2</v>
      </c>
      <c r="AC508" s="19" t="s">
        <v>58</v>
      </c>
      <c r="AD508" s="19" t="s">
        <v>425</v>
      </c>
      <c r="AE508" s="19" t="s">
        <v>2055</v>
      </c>
      <c r="AF508" s="19"/>
    </row>
    <row r="509" spans="1:34" customHeight="1" ht="42">
      <c r="A509" s="19">
        <v>503</v>
      </c>
      <c r="B509" s="19" t="s">
        <v>2189</v>
      </c>
      <c r="C509" s="19" t="s">
        <v>374</v>
      </c>
      <c r="D509" s="19" t="str">
        <f>HYPERLINK("http://www.henontech.com/fieldsafety/harzard/harzard_show.php?rid=18638&amp;url=harzardrecs.php","西四除铁器处一下调心托辊轴承坏！一旦不及时更换开车时易造成皮带跑偏造成皮带划伤或撕裂！")</f>
        <v>西四除铁器处一下调心托辊轴承坏！一旦不及时更换开车时易造成皮带跑偏造成皮带划伤或撕裂！</v>
      </c>
      <c r="E509" s="19" t="s">
        <v>2285</v>
      </c>
      <c r="F509" s="20" t="s">
        <v>42</v>
      </c>
      <c r="G509" s="21" t="s">
        <v>43</v>
      </c>
      <c r="H509" s="19" t="s">
        <v>44</v>
      </c>
      <c r="I509" s="19" t="s">
        <v>108</v>
      </c>
      <c r="J509" s="19" t="s">
        <v>46</v>
      </c>
      <c r="K509" s="19" t="s">
        <v>110</v>
      </c>
      <c r="L509" s="19" t="s">
        <v>76</v>
      </c>
      <c r="M509" s="19" t="s">
        <v>364</v>
      </c>
      <c r="N509" s="19" t="s">
        <v>2286</v>
      </c>
      <c r="O509" s="19" t="s">
        <v>364</v>
      </c>
      <c r="P509" s="19" t="s">
        <v>425</v>
      </c>
      <c r="Q509" s="19" t="s">
        <v>1801</v>
      </c>
      <c r="R509" s="19" t="s">
        <v>2056</v>
      </c>
      <c r="S509" s="19"/>
      <c r="T509" s="19" t="s">
        <v>189</v>
      </c>
      <c r="U509" s="19" t="s">
        <v>54</v>
      </c>
      <c r="V509" s="19" t="s">
        <v>55</v>
      </c>
      <c r="W509" s="19" t="s">
        <v>56</v>
      </c>
      <c r="X509" s="19" t="s">
        <v>154</v>
      </c>
      <c r="Y509" s="19" t="s">
        <v>154</v>
      </c>
      <c r="Z509" s="19" t="s">
        <v>2287</v>
      </c>
      <c r="AA509" s="19">
        <v>2</v>
      </c>
      <c r="AB509" s="19">
        <v>2</v>
      </c>
      <c r="AC509" s="19" t="s">
        <v>58</v>
      </c>
      <c r="AD509" s="19" t="s">
        <v>425</v>
      </c>
      <c r="AE509" s="19" t="s">
        <v>2055</v>
      </c>
      <c r="AF509" s="19"/>
    </row>
    <row r="510" spans="1:34">
      <c r="A510" s="19">
        <v>504</v>
      </c>
      <c r="B510" s="19" t="s">
        <v>2189</v>
      </c>
      <c r="C510" s="19" t="s">
        <v>1903</v>
      </c>
      <c r="D510" s="19" t="str">
        <f>HYPERLINK("http://www.henontech.com/fieldsafety/harzard/harzard_show.php?rid=18640&amp;url=harzardrecs.php","东四岗位控制箱无接地线，一旦控制箱内线路故障造成设备事故，造成财产损失")</f>
        <v>东四岗位控制箱无接地线，一旦控制箱内线路故障造成设备事故，造成财产损失</v>
      </c>
      <c r="E510" s="19" t="s">
        <v>2288</v>
      </c>
      <c r="F510" s="20" t="s">
        <v>42</v>
      </c>
      <c r="G510" s="21" t="s">
        <v>43</v>
      </c>
      <c r="H510" s="19" t="s">
        <v>44</v>
      </c>
      <c r="I510" s="19" t="s">
        <v>45</v>
      </c>
      <c r="J510" s="19" t="s">
        <v>311</v>
      </c>
      <c r="K510" s="19" t="s">
        <v>64</v>
      </c>
      <c r="L510" s="19" t="s">
        <v>76</v>
      </c>
      <c r="M510" s="19" t="s">
        <v>364</v>
      </c>
      <c r="N510" s="19" t="s">
        <v>2289</v>
      </c>
      <c r="O510" s="19" t="s">
        <v>364</v>
      </c>
      <c r="P510" s="19" t="s">
        <v>1687</v>
      </c>
      <c r="Q510" s="19" t="s">
        <v>2127</v>
      </c>
      <c r="R510" s="19" t="s">
        <v>2290</v>
      </c>
      <c r="S510" s="19"/>
      <c r="T510" s="19" t="s">
        <v>189</v>
      </c>
      <c r="U510" s="19" t="s">
        <v>202</v>
      </c>
      <c r="V510" s="19" t="s">
        <v>69</v>
      </c>
      <c r="W510" s="19" t="s">
        <v>56</v>
      </c>
      <c r="X510" s="19"/>
      <c r="Y510" s="19"/>
      <c r="Z510" s="19" t="s">
        <v>2291</v>
      </c>
      <c r="AA510" s="19">
        <v>1</v>
      </c>
      <c r="AB510" s="19">
        <v>1</v>
      </c>
      <c r="AC510" s="19" t="s">
        <v>58</v>
      </c>
      <c r="AD510" s="19" t="s">
        <v>1687</v>
      </c>
      <c r="AE510" s="19" t="s">
        <v>2055</v>
      </c>
      <c r="AF510" s="19"/>
    </row>
    <row r="511" spans="1:34">
      <c r="A511" s="19">
        <v>505</v>
      </c>
      <c r="B511" s="19" t="s">
        <v>1512</v>
      </c>
      <c r="C511" s="19" t="s">
        <v>927</v>
      </c>
      <c r="D511" s="19" t="str">
        <f>HYPERLINK("http://www.henontech.com/fieldsafety/harzard/harzard_show.php?rid=18641&amp;url=harzardrecs.php","北脱硫泵房北门有废弃铁管，如果夜间视线不好，操作工巡检走到此处会被铁管绊倒，造成膝盖轻微擦伤，送卫生室简单处理包扎后不影响工作。")</f>
        <v>北脱硫泵房北门有废弃铁管，如果夜间视线不好，操作工巡检走到此处会被铁管绊倒，造成膝盖轻微擦伤，送卫生室简单处理包扎后不影响工作。</v>
      </c>
      <c r="E511" s="19" t="s">
        <v>2292</v>
      </c>
      <c r="F511" s="20" t="s">
        <v>42</v>
      </c>
      <c r="G511" s="22" t="s">
        <v>63</v>
      </c>
      <c r="H511" s="19" t="s">
        <v>44</v>
      </c>
      <c r="I511" s="19" t="s">
        <v>45</v>
      </c>
      <c r="J511" s="19" t="s">
        <v>46</v>
      </c>
      <c r="K511" s="19" t="s">
        <v>47</v>
      </c>
      <c r="L511" s="19" t="s">
        <v>76</v>
      </c>
      <c r="M511" s="19" t="s">
        <v>48</v>
      </c>
      <c r="N511" s="19" t="s">
        <v>1678</v>
      </c>
      <c r="O511" s="19" t="s">
        <v>48</v>
      </c>
      <c r="P511" s="19" t="s">
        <v>50</v>
      </c>
      <c r="Q511" s="19" t="s">
        <v>2259</v>
      </c>
      <c r="R511" s="19" t="s">
        <v>2293</v>
      </c>
      <c r="S511" s="19"/>
      <c r="T511" s="19" t="s">
        <v>53</v>
      </c>
      <c r="U511" s="19" t="s">
        <v>54</v>
      </c>
      <c r="V511" s="19" t="s">
        <v>97</v>
      </c>
      <c r="W511" s="19" t="s">
        <v>81</v>
      </c>
      <c r="X511" s="19"/>
      <c r="Y511" s="19"/>
      <c r="Z511" s="19" t="s">
        <v>2294</v>
      </c>
      <c r="AA511" s="19">
        <v>1</v>
      </c>
      <c r="AB511" s="19">
        <v>1</v>
      </c>
      <c r="AC511" s="19" t="s">
        <v>58</v>
      </c>
      <c r="AD511" s="19" t="s">
        <v>50</v>
      </c>
      <c r="AE511" s="19" t="s">
        <v>1503</v>
      </c>
      <c r="AF511" s="19"/>
    </row>
    <row r="512" spans="1:34" customHeight="1" ht="42">
      <c r="A512" s="19">
        <v>506</v>
      </c>
      <c r="B512" s="19" t="s">
        <v>2055</v>
      </c>
      <c r="C512" s="19" t="s">
        <v>2295</v>
      </c>
      <c r="D512" s="19" t="str">
        <f>HYPERLINK("http://www.henontech.com/fieldsafety/harzard/harzard_show.php?rid=18678&amp;url=harzardrecs.php","点名室屋门腐烂严重，职工进出点名时容易砸伤，造成人员伤害")</f>
        <v>点名室屋门腐烂严重，职工进出点名时容易砸伤，造成人员伤害</v>
      </c>
      <c r="E512" s="19" t="s">
        <v>53</v>
      </c>
      <c r="F512" s="20" t="s">
        <v>42</v>
      </c>
      <c r="G512" s="22" t="s">
        <v>63</v>
      </c>
      <c r="H512" s="19" t="s">
        <v>44</v>
      </c>
      <c r="I512" s="19" t="s">
        <v>108</v>
      </c>
      <c r="J512" s="19" t="s">
        <v>349</v>
      </c>
      <c r="K512" s="19" t="s">
        <v>110</v>
      </c>
      <c r="L512" s="19" t="s">
        <v>76</v>
      </c>
      <c r="M512" s="19" t="s">
        <v>364</v>
      </c>
      <c r="N512" s="19" t="s">
        <v>2296</v>
      </c>
      <c r="O512" s="19" t="s">
        <v>364</v>
      </c>
      <c r="P512" s="19" t="s">
        <v>425</v>
      </c>
      <c r="Q512" s="19" t="s">
        <v>2297</v>
      </c>
      <c r="R512" s="19" t="s">
        <v>2298</v>
      </c>
      <c r="S512" s="19"/>
      <c r="T512" s="19" t="s">
        <v>53</v>
      </c>
      <c r="U512" s="19" t="s">
        <v>54</v>
      </c>
      <c r="V512" s="19" t="s">
        <v>55</v>
      </c>
      <c r="W512" s="19" t="s">
        <v>56</v>
      </c>
      <c r="X512" s="19" t="s">
        <v>126</v>
      </c>
      <c r="Y512" s="19" t="s">
        <v>126</v>
      </c>
      <c r="Z512" s="19" t="s">
        <v>2299</v>
      </c>
      <c r="AA512" s="19">
        <v>2</v>
      </c>
      <c r="AB512" s="19">
        <v>2</v>
      </c>
      <c r="AC512" s="19" t="s">
        <v>58</v>
      </c>
      <c r="AD512" s="19" t="s">
        <v>425</v>
      </c>
      <c r="AE512" s="19" t="s">
        <v>2055</v>
      </c>
      <c r="AF512" s="19"/>
    </row>
    <row r="513" spans="1:34" customHeight="1" ht="42">
      <c r="A513" s="19">
        <v>507</v>
      </c>
      <c r="B513" s="19" t="s">
        <v>2055</v>
      </c>
      <c r="C513" s="19" t="s">
        <v>2300</v>
      </c>
      <c r="D513" s="19" t="str">
        <f>HYPERLINK("http://www.henontech.com/fieldsafety/harzard/harzard_show.php?rid=18689&amp;url=harzardrecs.php","挡煤板和皮带之间有积煤，在设备运行中造成设备带煤形成煤尘，影响室内环境。")</f>
        <v>挡煤板和皮带之间有积煤，在设备运行中造成设备带煤形成煤尘，影响室内环境。</v>
      </c>
      <c r="E513" s="19" t="s">
        <v>2301</v>
      </c>
      <c r="F513" s="20" t="s">
        <v>42</v>
      </c>
      <c r="G513" s="22" t="s">
        <v>63</v>
      </c>
      <c r="H513" s="19" t="s">
        <v>44</v>
      </c>
      <c r="I513" s="19"/>
      <c r="J513" s="19"/>
      <c r="K513" s="19" t="s">
        <v>64</v>
      </c>
      <c r="L513" s="19"/>
      <c r="M513" s="19" t="s">
        <v>364</v>
      </c>
      <c r="N513" s="19" t="s">
        <v>2302</v>
      </c>
      <c r="O513" s="19" t="s">
        <v>364</v>
      </c>
      <c r="P513" s="19" t="s">
        <v>425</v>
      </c>
      <c r="Q513" s="19" t="s">
        <v>2222</v>
      </c>
      <c r="R513" s="19" t="s">
        <v>2303</v>
      </c>
      <c r="S513" s="19"/>
      <c r="T513" s="19" t="s">
        <v>393</v>
      </c>
      <c r="U513" s="19" t="s">
        <v>202</v>
      </c>
      <c r="V513" s="19" t="s">
        <v>203</v>
      </c>
      <c r="W513" s="19" t="s">
        <v>56</v>
      </c>
      <c r="X513" s="19" t="s">
        <v>126</v>
      </c>
      <c r="Y513" s="19" t="s">
        <v>126</v>
      </c>
      <c r="Z513" s="19" t="s">
        <v>2304</v>
      </c>
      <c r="AA513" s="19">
        <v>2</v>
      </c>
      <c r="AB513" s="19">
        <v>2</v>
      </c>
      <c r="AC513" s="19" t="s">
        <v>58</v>
      </c>
      <c r="AD513" s="19" t="s">
        <v>425</v>
      </c>
      <c r="AE513" s="19" t="s">
        <v>2055</v>
      </c>
      <c r="AF513" s="19"/>
    </row>
    <row r="514" spans="1:34" customHeight="1" ht="42">
      <c r="A514" s="19">
        <v>508</v>
      </c>
      <c r="B514" s="19" t="s">
        <v>2055</v>
      </c>
      <c r="C514" s="19" t="s">
        <v>422</v>
      </c>
      <c r="D514" s="19" t="str">
        <f>HYPERLINK("http://www.henontech.com/fieldsafety/harzard/harzard_show.php?rid=18696&amp;url=harzardrecs.php","东三下调心轴承损坏，开车时会偏带造成皮带划伤")</f>
        <v>东三下调心轴承损坏，开车时会偏带造成皮带划伤</v>
      </c>
      <c r="E514" s="19" t="s">
        <v>2305</v>
      </c>
      <c r="F514" s="20" t="s">
        <v>42</v>
      </c>
      <c r="G514" s="22" t="s">
        <v>63</v>
      </c>
      <c r="H514" s="19" t="s">
        <v>44</v>
      </c>
      <c r="I514" s="19" t="s">
        <v>2000</v>
      </c>
      <c r="J514" s="19" t="s">
        <v>46</v>
      </c>
      <c r="K514" s="19"/>
      <c r="L514" s="19"/>
      <c r="M514" s="19" t="s">
        <v>364</v>
      </c>
      <c r="N514" s="19" t="s">
        <v>2306</v>
      </c>
      <c r="O514" s="19" t="s">
        <v>364</v>
      </c>
      <c r="P514" s="19" t="s">
        <v>425</v>
      </c>
      <c r="Q514" s="19" t="s">
        <v>2297</v>
      </c>
      <c r="R514" s="19" t="s">
        <v>2183</v>
      </c>
      <c r="S514" s="19"/>
      <c r="T514" s="19" t="s">
        <v>189</v>
      </c>
      <c r="U514" s="19" t="s">
        <v>202</v>
      </c>
      <c r="V514" s="19" t="s">
        <v>55</v>
      </c>
      <c r="W514" s="19" t="s">
        <v>56</v>
      </c>
      <c r="X514" s="19" t="s">
        <v>154</v>
      </c>
      <c r="Y514" s="19" t="s">
        <v>154</v>
      </c>
      <c r="Z514" s="19" t="s">
        <v>2307</v>
      </c>
      <c r="AA514" s="19">
        <v>2</v>
      </c>
      <c r="AB514" s="19">
        <v>2</v>
      </c>
      <c r="AC514" s="19" t="s">
        <v>58</v>
      </c>
      <c r="AD514" s="19" t="s">
        <v>425</v>
      </c>
      <c r="AE514" s="19" t="s">
        <v>2055</v>
      </c>
      <c r="AF514" s="19"/>
    </row>
    <row r="515" spans="1:34" customHeight="1" ht="42">
      <c r="A515" s="19">
        <v>509</v>
      </c>
      <c r="B515" s="19" t="s">
        <v>2055</v>
      </c>
      <c r="C515" s="19" t="s">
        <v>2300</v>
      </c>
      <c r="D515" s="19" t="str">
        <f>HYPERLINK("http://www.henontech.com/fieldsafety/harzard/harzard_show.php?rid=18720&amp;url=harzardrecs.php","煤七机头钢平台护栏开焊，人员经过容易出现伤害事故")</f>
        <v>煤七机头钢平台护栏开焊，人员经过容易出现伤害事故</v>
      </c>
      <c r="E515" s="19" t="s">
        <v>2308</v>
      </c>
      <c r="F515" s="20" t="s">
        <v>42</v>
      </c>
      <c r="G515" s="22" t="s">
        <v>63</v>
      </c>
      <c r="H515" s="19" t="s">
        <v>44</v>
      </c>
      <c r="I515" s="19" t="s">
        <v>108</v>
      </c>
      <c r="J515" s="19" t="s">
        <v>46</v>
      </c>
      <c r="K515" s="19" t="s">
        <v>132</v>
      </c>
      <c r="L515" s="19" t="s">
        <v>76</v>
      </c>
      <c r="M515" s="19" t="s">
        <v>364</v>
      </c>
      <c r="N515" s="19" t="s">
        <v>2309</v>
      </c>
      <c r="O515" s="19" t="s">
        <v>364</v>
      </c>
      <c r="P515" s="19" t="s">
        <v>425</v>
      </c>
      <c r="Q515" s="19" t="s">
        <v>2297</v>
      </c>
      <c r="R515" s="19" t="s">
        <v>2310</v>
      </c>
      <c r="S515" s="19"/>
      <c r="T515" s="19" t="s">
        <v>53</v>
      </c>
      <c r="U515" s="19" t="s">
        <v>54</v>
      </c>
      <c r="V515" s="19" t="s">
        <v>203</v>
      </c>
      <c r="W515" s="19" t="s">
        <v>56</v>
      </c>
      <c r="X515" s="19" t="s">
        <v>126</v>
      </c>
      <c r="Y515" s="19" t="s">
        <v>126</v>
      </c>
      <c r="Z515" s="19" t="s">
        <v>2311</v>
      </c>
      <c r="AA515" s="19">
        <v>2</v>
      </c>
      <c r="AB515" s="19">
        <v>2</v>
      </c>
      <c r="AC515" s="19" t="s">
        <v>58</v>
      </c>
      <c r="AD515" s="19" t="s">
        <v>425</v>
      </c>
      <c r="AE515" s="19" t="s">
        <v>2055</v>
      </c>
      <c r="AF515" s="19"/>
    </row>
    <row r="516" spans="1:34" customHeight="1" ht="42">
      <c r="A516" s="19">
        <v>510</v>
      </c>
      <c r="B516" s="19" t="s">
        <v>2055</v>
      </c>
      <c r="C516" s="19" t="s">
        <v>1903</v>
      </c>
      <c r="D516" s="19" t="str">
        <f>HYPERLINK("http://www.henontech.com/fieldsafety/harzard/harzard_show.php?rid=18724&amp;url=harzardrecs.php","东一皮带地沟一托辊损坏，长时间使用磨损皮带。")</f>
        <v>东一皮带地沟一托辊损坏，长时间使用磨损皮带。</v>
      </c>
      <c r="E516" s="19" t="s">
        <v>2312</v>
      </c>
      <c r="F516" s="20" t="s">
        <v>42</v>
      </c>
      <c r="G516" s="22" t="s">
        <v>63</v>
      </c>
      <c r="H516" s="19" t="s">
        <v>44</v>
      </c>
      <c r="I516" s="19" t="s">
        <v>108</v>
      </c>
      <c r="J516" s="19" t="s">
        <v>46</v>
      </c>
      <c r="K516" s="19"/>
      <c r="L516" s="19" t="s">
        <v>76</v>
      </c>
      <c r="M516" s="19" t="s">
        <v>364</v>
      </c>
      <c r="N516" s="19" t="s">
        <v>2313</v>
      </c>
      <c r="O516" s="19" t="s">
        <v>364</v>
      </c>
      <c r="P516" s="19" t="s">
        <v>425</v>
      </c>
      <c r="Q516" s="19" t="s">
        <v>2297</v>
      </c>
      <c r="R516" s="19" t="s">
        <v>1056</v>
      </c>
      <c r="S516" s="19"/>
      <c r="T516" s="19" t="s">
        <v>189</v>
      </c>
      <c r="U516" s="19" t="s">
        <v>202</v>
      </c>
      <c r="V516" s="19" t="s">
        <v>203</v>
      </c>
      <c r="W516" s="19" t="s">
        <v>56</v>
      </c>
      <c r="X516" s="19" t="s">
        <v>126</v>
      </c>
      <c r="Y516" s="19" t="s">
        <v>126</v>
      </c>
      <c r="Z516" s="19" t="s">
        <v>2314</v>
      </c>
      <c r="AA516" s="19">
        <v>2</v>
      </c>
      <c r="AB516" s="19">
        <v>2</v>
      </c>
      <c r="AC516" s="19" t="s">
        <v>58</v>
      </c>
      <c r="AD516" s="19" t="s">
        <v>425</v>
      </c>
      <c r="AE516" s="19" t="s">
        <v>2055</v>
      </c>
      <c r="AF516" s="19"/>
    </row>
    <row r="517" spans="1:34" customHeight="1" ht="42">
      <c r="A517" s="19">
        <v>511</v>
      </c>
      <c r="B517" s="19" t="s">
        <v>2055</v>
      </c>
      <c r="C517" s="19" t="s">
        <v>422</v>
      </c>
      <c r="D517" s="19" t="str">
        <f>HYPERLINK("http://www.henontech.com/fieldsafety/harzard/harzard_show.php?rid=18726&amp;url=harzardrecs.php","东一斜桥一托辊损坏，易造成皮带撕裂，耽误生产，造成经济损失")</f>
        <v>东一斜桥一托辊损坏，易造成皮带撕裂，耽误生产，造成经济损失</v>
      </c>
      <c r="E517" s="19" t="s">
        <v>2315</v>
      </c>
      <c r="F517" s="20" t="s">
        <v>42</v>
      </c>
      <c r="G517" s="22" t="s">
        <v>63</v>
      </c>
      <c r="H517" s="19" t="s">
        <v>44</v>
      </c>
      <c r="I517" s="19" t="s">
        <v>2000</v>
      </c>
      <c r="J517" s="19" t="s">
        <v>46</v>
      </c>
      <c r="K517" s="19"/>
      <c r="L517" s="19"/>
      <c r="M517" s="19" t="s">
        <v>364</v>
      </c>
      <c r="N517" s="19" t="s">
        <v>2316</v>
      </c>
      <c r="O517" s="19" t="s">
        <v>364</v>
      </c>
      <c r="P517" s="19" t="s">
        <v>425</v>
      </c>
      <c r="Q517" s="19" t="s">
        <v>2297</v>
      </c>
      <c r="R517" s="19" t="s">
        <v>1056</v>
      </c>
      <c r="S517" s="19"/>
      <c r="T517" s="19" t="s">
        <v>189</v>
      </c>
      <c r="U517" s="19" t="s">
        <v>54</v>
      </c>
      <c r="V517" s="19" t="s">
        <v>97</v>
      </c>
      <c r="W517" s="19" t="s">
        <v>81</v>
      </c>
      <c r="X517" s="19" t="s">
        <v>126</v>
      </c>
      <c r="Y517" s="19" t="s">
        <v>126</v>
      </c>
      <c r="Z517" s="19" t="s">
        <v>2317</v>
      </c>
      <c r="AA517" s="19">
        <v>2</v>
      </c>
      <c r="AB517" s="19">
        <v>2</v>
      </c>
      <c r="AC517" s="19" t="s">
        <v>58</v>
      </c>
      <c r="AD517" s="19" t="s">
        <v>425</v>
      </c>
      <c r="AE517" s="19" t="s">
        <v>2055</v>
      </c>
      <c r="AF517" s="19"/>
    </row>
    <row r="518" spans="1:34" customHeight="1" ht="42">
      <c r="A518" s="19">
        <v>512</v>
      </c>
      <c r="B518" s="19" t="s">
        <v>2055</v>
      </c>
      <c r="C518" s="19" t="s">
        <v>1903</v>
      </c>
      <c r="D518" s="19" t="str">
        <f>HYPERLINK("http://www.henontech.com/fieldsafety/harzard/harzard_show.php?rid=18727&amp;url=harzardrecs.php","东五皮带机一小托辊坏，如不及时更换，易划伤皮带，造成设备损坏")</f>
        <v>东五皮带机一小托辊坏，如不及时更换，易划伤皮带，造成设备损坏</v>
      </c>
      <c r="E518" s="19" t="s">
        <v>2318</v>
      </c>
      <c r="F518" s="20" t="s">
        <v>42</v>
      </c>
      <c r="G518" s="22" t="s">
        <v>63</v>
      </c>
      <c r="H518" s="19" t="s">
        <v>44</v>
      </c>
      <c r="I518" s="19" t="s">
        <v>108</v>
      </c>
      <c r="J518" s="19" t="s">
        <v>46</v>
      </c>
      <c r="K518" s="19" t="s">
        <v>110</v>
      </c>
      <c r="L518" s="19" t="s">
        <v>76</v>
      </c>
      <c r="M518" s="19" t="s">
        <v>364</v>
      </c>
      <c r="N518" s="19" t="s">
        <v>2319</v>
      </c>
      <c r="O518" s="19" t="s">
        <v>364</v>
      </c>
      <c r="P518" s="19" t="s">
        <v>425</v>
      </c>
      <c r="Q518" s="19" t="s">
        <v>2297</v>
      </c>
      <c r="R518" s="19" t="s">
        <v>2320</v>
      </c>
      <c r="S518" s="19"/>
      <c r="T518" s="19" t="s">
        <v>189</v>
      </c>
      <c r="U518" s="19" t="s">
        <v>202</v>
      </c>
      <c r="V518" s="19" t="s">
        <v>55</v>
      </c>
      <c r="W518" s="19" t="s">
        <v>56</v>
      </c>
      <c r="X518" s="19" t="s">
        <v>126</v>
      </c>
      <c r="Y518" s="19" t="s">
        <v>126</v>
      </c>
      <c r="Z518" s="19" t="s">
        <v>2321</v>
      </c>
      <c r="AA518" s="19">
        <v>2</v>
      </c>
      <c r="AB518" s="19">
        <v>2</v>
      </c>
      <c r="AC518" s="19" t="s">
        <v>58</v>
      </c>
      <c r="AD518" s="19" t="s">
        <v>425</v>
      </c>
      <c r="AE518" s="19" t="s">
        <v>2055</v>
      </c>
      <c r="AF518" s="19"/>
    </row>
    <row r="519" spans="1:34" customHeight="1" ht="42">
      <c r="A519" s="19">
        <v>513</v>
      </c>
      <c r="B519" s="19" t="s">
        <v>2055</v>
      </c>
      <c r="C519" s="19" t="s">
        <v>422</v>
      </c>
      <c r="D519" s="19" t="str">
        <f>HYPERLINK("http://www.henontech.com/fieldsafety/harzard/harzard_show.php?rid=18728&amp;url=harzardrecs.php","东三下托辊积煤过多，开车时易造成皮带跑偏，造成皮带划伤。")</f>
        <v>东三下托辊积煤过多，开车时易造成皮带跑偏，造成皮带划伤。</v>
      </c>
      <c r="E519" s="19" t="s">
        <v>2305</v>
      </c>
      <c r="F519" s="20" t="s">
        <v>42</v>
      </c>
      <c r="G519" s="22" t="s">
        <v>63</v>
      </c>
      <c r="H519" s="19" t="s">
        <v>44</v>
      </c>
      <c r="I519" s="19" t="s">
        <v>108</v>
      </c>
      <c r="J519" s="19" t="s">
        <v>46</v>
      </c>
      <c r="K519" s="19"/>
      <c r="L519" s="19"/>
      <c r="M519" s="19" t="s">
        <v>364</v>
      </c>
      <c r="N519" s="19" t="s">
        <v>2322</v>
      </c>
      <c r="O519" s="19" t="s">
        <v>364</v>
      </c>
      <c r="P519" s="19" t="s">
        <v>425</v>
      </c>
      <c r="Q519" s="19" t="s">
        <v>1801</v>
      </c>
      <c r="R519" s="19" t="s">
        <v>2183</v>
      </c>
      <c r="S519" s="19"/>
      <c r="T519" s="19" t="s">
        <v>189</v>
      </c>
      <c r="U519" s="19" t="s">
        <v>202</v>
      </c>
      <c r="V519" s="19" t="s">
        <v>55</v>
      </c>
      <c r="W519" s="19" t="s">
        <v>56</v>
      </c>
      <c r="X519" s="19" t="s">
        <v>126</v>
      </c>
      <c r="Y519" s="19" t="s">
        <v>126</v>
      </c>
      <c r="Z519" s="19" t="s">
        <v>2323</v>
      </c>
      <c r="AA519" s="19">
        <v>2</v>
      </c>
      <c r="AB519" s="19">
        <v>2</v>
      </c>
      <c r="AC519" s="19" t="s">
        <v>58</v>
      </c>
      <c r="AD519" s="19" t="s">
        <v>425</v>
      </c>
      <c r="AE519" s="19" t="s">
        <v>2055</v>
      </c>
      <c r="AF519" s="19"/>
    </row>
    <row r="520" spans="1:34" customHeight="1" ht="42">
      <c r="A520" s="19">
        <v>514</v>
      </c>
      <c r="B520" s="19" t="s">
        <v>2055</v>
      </c>
      <c r="C520" s="19" t="s">
        <v>1964</v>
      </c>
      <c r="D520" s="19" t="str">
        <f>HYPERLINK("http://www.henontech.com/fieldsafety/harzard/harzard_show.php?rid=18729&amp;url=harzardrecs.php","西二皮带一托辊轴承损坏，长时间开车会磨损皮带，影响生产。")</f>
        <v>西二皮带一托辊轴承损坏，长时间开车会磨损皮带，影响生产。</v>
      </c>
      <c r="E520" s="19" t="s">
        <v>2324</v>
      </c>
      <c r="F520" s="20" t="s">
        <v>42</v>
      </c>
      <c r="G520" s="22" t="s">
        <v>63</v>
      </c>
      <c r="H520" s="19" t="s">
        <v>44</v>
      </c>
      <c r="I520" s="19" t="s">
        <v>108</v>
      </c>
      <c r="J520" s="19" t="s">
        <v>46</v>
      </c>
      <c r="K520" s="19"/>
      <c r="L520" s="19" t="s">
        <v>76</v>
      </c>
      <c r="M520" s="19" t="s">
        <v>364</v>
      </c>
      <c r="N520" s="19" t="s">
        <v>2325</v>
      </c>
      <c r="O520" s="19" t="s">
        <v>364</v>
      </c>
      <c r="P520" s="19" t="s">
        <v>425</v>
      </c>
      <c r="Q520" s="19" t="s">
        <v>2297</v>
      </c>
      <c r="R520" s="19" t="s">
        <v>2326</v>
      </c>
      <c r="S520" s="19"/>
      <c r="T520" s="19" t="s">
        <v>189</v>
      </c>
      <c r="U520" s="19" t="s">
        <v>202</v>
      </c>
      <c r="V520" s="19" t="s">
        <v>203</v>
      </c>
      <c r="W520" s="19" t="s">
        <v>56</v>
      </c>
      <c r="X520" s="19" t="s">
        <v>126</v>
      </c>
      <c r="Y520" s="19" t="s">
        <v>126</v>
      </c>
      <c r="Z520" s="19" t="s">
        <v>2327</v>
      </c>
      <c r="AA520" s="19">
        <v>2</v>
      </c>
      <c r="AB520" s="19">
        <v>2</v>
      </c>
      <c r="AC520" s="19" t="s">
        <v>58</v>
      </c>
      <c r="AD520" s="19" t="s">
        <v>425</v>
      </c>
      <c r="AE520" s="19" t="s">
        <v>2055</v>
      </c>
      <c r="AF520" s="19"/>
    </row>
    <row r="521" spans="1:34">
      <c r="A521" s="19">
        <v>515</v>
      </c>
      <c r="B521" s="19" t="s">
        <v>2055</v>
      </c>
      <c r="C521" s="19" t="s">
        <v>74</v>
      </c>
      <c r="D521" s="19" t="str">
        <f>HYPERLINK("http://www.henontech.com/fieldsafety/harzard/harzard_show.php?rid=18733&amp;url=harzardrecs.php","化产车间深度脱硫煤气总管流量计安装位置高且无保温措施，煤气含水量大，冬天结冰堵塞流量计取压管导致煤气流量测量不准确，影响调度室对煤气用量的判断，造成日升公司停产。")</f>
        <v>化产车间深度脱硫煤气总管流量计安装位置高且无保温措施，煤气含水量大，冬天结冰堵塞流量计取压管导致煤气流量测量不准确，影响调度室对煤气用量的判断，造成日升公司停产。</v>
      </c>
      <c r="E521" s="19" t="s">
        <v>2328</v>
      </c>
      <c r="F521" s="25" t="s">
        <v>1455</v>
      </c>
      <c r="G521" s="22" t="s">
        <v>63</v>
      </c>
      <c r="H521" s="19" t="s">
        <v>44</v>
      </c>
      <c r="I521" s="19" t="s">
        <v>108</v>
      </c>
      <c r="J521" s="19" t="s">
        <v>46</v>
      </c>
      <c r="K521" s="19" t="s">
        <v>47</v>
      </c>
      <c r="L521" s="19" t="s">
        <v>76</v>
      </c>
      <c r="M521" s="19" t="s">
        <v>2329</v>
      </c>
      <c r="N521" s="19" t="s">
        <v>2330</v>
      </c>
      <c r="O521" s="19" t="s">
        <v>48</v>
      </c>
      <c r="P521" s="19" t="s">
        <v>50</v>
      </c>
      <c r="Q521" s="19" t="s">
        <v>2331</v>
      </c>
      <c r="R521" s="19" t="s">
        <v>2332</v>
      </c>
      <c r="S521" s="19"/>
      <c r="T521" s="19" t="s">
        <v>189</v>
      </c>
      <c r="U521" s="19" t="s">
        <v>54</v>
      </c>
      <c r="V521" s="19" t="s">
        <v>97</v>
      </c>
      <c r="W521" s="19" t="s">
        <v>81</v>
      </c>
      <c r="X521" s="19"/>
      <c r="Y521" s="19"/>
      <c r="Z521" s="19" t="s">
        <v>2333</v>
      </c>
      <c r="AA521" s="19">
        <v>1</v>
      </c>
      <c r="AB521" s="19"/>
      <c r="AC521" s="19" t="s">
        <v>308</v>
      </c>
      <c r="AD521" s="19"/>
      <c r="AE521" s="19"/>
      <c r="AF521" s="19"/>
    </row>
    <row r="522" spans="1:34" customHeight="1" ht="42">
      <c r="A522" s="19">
        <v>516</v>
      </c>
      <c r="B522" s="19" t="s">
        <v>2055</v>
      </c>
      <c r="C522" s="19" t="s">
        <v>1903</v>
      </c>
      <c r="D522" s="19" t="str">
        <f>HYPERLINK("http://www.henontech.com/fieldsafety/harzard/harzard_show.php?rid=18734&amp;url=harzardrecs.php","维修班值班室外部铁爬梯底部腐烂，一人员上爬梯时不小心绊倒，造成腿部轻微擦伤")</f>
        <v>维修班值班室外部铁爬梯底部腐烂，一人员上爬梯时不小心绊倒，造成腿部轻微擦伤</v>
      </c>
      <c r="E522" s="19" t="s">
        <v>2334</v>
      </c>
      <c r="F522" s="20" t="s">
        <v>42</v>
      </c>
      <c r="G522" s="21" t="s">
        <v>43</v>
      </c>
      <c r="H522" s="19" t="s">
        <v>44</v>
      </c>
      <c r="I522" s="19" t="s">
        <v>108</v>
      </c>
      <c r="J522" s="19" t="s">
        <v>349</v>
      </c>
      <c r="K522" s="19" t="s">
        <v>110</v>
      </c>
      <c r="L522" s="19" t="s">
        <v>76</v>
      </c>
      <c r="M522" s="19" t="s">
        <v>364</v>
      </c>
      <c r="N522" s="19" t="s">
        <v>424</v>
      </c>
      <c r="O522" s="19" t="s">
        <v>364</v>
      </c>
      <c r="P522" s="19" t="s">
        <v>425</v>
      </c>
      <c r="Q522" s="19" t="s">
        <v>1801</v>
      </c>
      <c r="R522" s="19" t="s">
        <v>2335</v>
      </c>
      <c r="S522" s="19"/>
      <c r="T522" s="19" t="s">
        <v>53</v>
      </c>
      <c r="U522" s="19" t="s">
        <v>54</v>
      </c>
      <c r="V522" s="19" t="s">
        <v>55</v>
      </c>
      <c r="W522" s="19" t="s">
        <v>56</v>
      </c>
      <c r="X522" s="19" t="s">
        <v>126</v>
      </c>
      <c r="Y522" s="19" t="s">
        <v>126</v>
      </c>
      <c r="Z522" s="19" t="s">
        <v>2336</v>
      </c>
      <c r="AA522" s="19">
        <v>2</v>
      </c>
      <c r="AB522" s="19">
        <v>2</v>
      </c>
      <c r="AC522" s="19" t="s">
        <v>58</v>
      </c>
      <c r="AD522" s="19" t="s">
        <v>425</v>
      </c>
      <c r="AE522" s="19" t="s">
        <v>2055</v>
      </c>
      <c r="AF522" s="19"/>
    </row>
    <row r="523" spans="1:34" customHeight="1" ht="42">
      <c r="A523" s="19">
        <v>517</v>
      </c>
      <c r="B523" s="19" t="s">
        <v>2055</v>
      </c>
      <c r="C523" s="19" t="s">
        <v>118</v>
      </c>
      <c r="D523" s="19" t="str">
        <f>HYPERLINK("http://www.henontech.com/fieldsafety/harzard/harzard_show.php?rid=18741&amp;url=harzardrecs.php","蒸汽管道外保温铝皮开裂，若遇大风等振动，该块铝皮（尺寸约50＊50）自近7m高空坠落，击中自下方通行的巡检人员头部。")</f>
        <v>蒸汽管道外保温铝皮开裂，若遇大风等振动，该块铝皮（尺寸约50＊50）自近7m高空坠落，击中自下方通行的巡检人员头部。</v>
      </c>
      <c r="E523" s="19" t="s">
        <v>2337</v>
      </c>
      <c r="F523" s="20" t="s">
        <v>42</v>
      </c>
      <c r="G523" s="22" t="s">
        <v>63</v>
      </c>
      <c r="H523" s="19" t="s">
        <v>44</v>
      </c>
      <c r="I523" s="19"/>
      <c r="J523" s="19" t="s">
        <v>46</v>
      </c>
      <c r="K523" s="19"/>
      <c r="L523" s="19"/>
      <c r="M523" s="19" t="s">
        <v>121</v>
      </c>
      <c r="N523" s="19" t="s">
        <v>2338</v>
      </c>
      <c r="O523" s="19" t="s">
        <v>121</v>
      </c>
      <c r="P523" s="19" t="s">
        <v>315</v>
      </c>
      <c r="Q523" s="19" t="s">
        <v>1897</v>
      </c>
      <c r="R523" s="19" t="s">
        <v>2339</v>
      </c>
      <c r="S523" s="19"/>
      <c r="T523" s="19" t="s">
        <v>53</v>
      </c>
      <c r="U523" s="19" t="s">
        <v>80</v>
      </c>
      <c r="V523" s="19" t="s">
        <v>55</v>
      </c>
      <c r="W523" s="19" t="s">
        <v>81</v>
      </c>
      <c r="X523" s="19" t="s">
        <v>154</v>
      </c>
      <c r="Y523" s="19"/>
      <c r="Z523" s="19" t="s">
        <v>2340</v>
      </c>
      <c r="AA523" s="19">
        <v>2</v>
      </c>
      <c r="AB523" s="19">
        <v>1</v>
      </c>
      <c r="AC523" s="19" t="s">
        <v>58</v>
      </c>
      <c r="AD523" s="19" t="s">
        <v>315</v>
      </c>
      <c r="AE523" s="19" t="s">
        <v>2341</v>
      </c>
      <c r="AF523" s="19" t="s">
        <v>2342</v>
      </c>
    </row>
    <row r="524" spans="1:34" customHeight="1" ht="42">
      <c r="A524" s="19">
        <v>518</v>
      </c>
      <c r="B524" s="19" t="s">
        <v>2055</v>
      </c>
      <c r="C524" s="19" t="s">
        <v>118</v>
      </c>
      <c r="D524" s="19" t="str">
        <f>HYPERLINK("http://www.henontech.com/fieldsafety/harzard/harzard_show.php?rid=18767&amp;url=harzardrecs.php","一循环水加药细管贴地设置，凸出地面10cm以上，若1名巡检人员自此通行时，因疏忽大意导致绊倒，身体向前倾倒，手部与绿化带边台磕碰。")</f>
        <v>一循环水加药细管贴地设置，凸出地面10cm以上，若1名巡检人员自此通行时，因疏忽大意导致绊倒，身体向前倾倒，手部与绿化带边台磕碰。</v>
      </c>
      <c r="E524" s="19" t="s">
        <v>2343</v>
      </c>
      <c r="F524" s="20" t="s">
        <v>42</v>
      </c>
      <c r="G524" s="22" t="s">
        <v>63</v>
      </c>
      <c r="H524" s="19" t="s">
        <v>44</v>
      </c>
      <c r="I524" s="19"/>
      <c r="J524" s="19" t="s">
        <v>109</v>
      </c>
      <c r="K524" s="19"/>
      <c r="L524" s="19"/>
      <c r="M524" s="19" t="s">
        <v>121</v>
      </c>
      <c r="N524" s="19" t="s">
        <v>2338</v>
      </c>
      <c r="O524" s="19" t="s">
        <v>121</v>
      </c>
      <c r="P524" s="19" t="s">
        <v>254</v>
      </c>
      <c r="Q524" s="19" t="s">
        <v>1897</v>
      </c>
      <c r="R524" s="19" t="s">
        <v>2344</v>
      </c>
      <c r="S524" s="19"/>
      <c r="T524" s="19" t="s">
        <v>53</v>
      </c>
      <c r="U524" s="19" t="s">
        <v>80</v>
      </c>
      <c r="V524" s="19" t="s">
        <v>55</v>
      </c>
      <c r="W524" s="19" t="s">
        <v>81</v>
      </c>
      <c r="X524" s="19" t="s">
        <v>126</v>
      </c>
      <c r="Y524" s="19"/>
      <c r="Z524" s="19" t="s">
        <v>2345</v>
      </c>
      <c r="AA524" s="19">
        <v>2</v>
      </c>
      <c r="AB524" s="19">
        <v>1</v>
      </c>
      <c r="AC524" s="19" t="s">
        <v>58</v>
      </c>
      <c r="AD524" s="19" t="s">
        <v>254</v>
      </c>
      <c r="AE524" s="19" t="s">
        <v>2222</v>
      </c>
      <c r="AF524" s="19" t="s">
        <v>2346</v>
      </c>
    </row>
    <row r="525" spans="1:34" customHeight="1" ht="42">
      <c r="A525" s="19">
        <v>519</v>
      </c>
      <c r="B525" s="19" t="s">
        <v>2055</v>
      </c>
      <c r="C525" s="19" t="s">
        <v>1594</v>
      </c>
      <c r="D525" s="19" t="str">
        <f>HYPERLINK("http://www.henontech.com/fieldsafety/harzard/harzard_show.php?rid=18773&amp;url=harzardrecs.php","75t锅炉三楼平台通向渣库的爬梯未按装安全警示牌，一名锅炉操作工在爬此爬梯准备去渣库顶部看料位时不小心踩空从爬梯上滑落到地下。")</f>
        <v>75t锅炉三楼平台通向渣库的爬梯未按装安全警示牌，一名锅炉操作工在爬此爬梯准备去渣库顶部看料位时不小心踩空从爬梯上滑落到地下。</v>
      </c>
      <c r="E525" s="19" t="s">
        <v>2347</v>
      </c>
      <c r="F525" s="25" t="s">
        <v>1455</v>
      </c>
      <c r="G525" s="22" t="s">
        <v>63</v>
      </c>
      <c r="H525" s="19" t="s">
        <v>44</v>
      </c>
      <c r="I525" s="19" t="s">
        <v>108</v>
      </c>
      <c r="J525" s="19" t="s">
        <v>386</v>
      </c>
      <c r="K525" s="19" t="s">
        <v>132</v>
      </c>
      <c r="L525" s="19" t="s">
        <v>76</v>
      </c>
      <c r="M525" s="19" t="s">
        <v>1033</v>
      </c>
      <c r="N525" s="19" t="s">
        <v>1763</v>
      </c>
      <c r="O525" s="19" t="s">
        <v>1033</v>
      </c>
      <c r="P525" s="19" t="s">
        <v>1034</v>
      </c>
      <c r="Q525" s="19" t="s">
        <v>2097</v>
      </c>
      <c r="R525" s="19" t="s">
        <v>2348</v>
      </c>
      <c r="S525" s="19"/>
      <c r="T525" s="19" t="s">
        <v>53</v>
      </c>
      <c r="U525" s="19" t="s">
        <v>80</v>
      </c>
      <c r="V525" s="19" t="s">
        <v>55</v>
      </c>
      <c r="W525" s="19" t="s">
        <v>81</v>
      </c>
      <c r="X525" s="19" t="s">
        <v>154</v>
      </c>
      <c r="Y525" s="19"/>
      <c r="Z525" s="19" t="s">
        <v>2123</v>
      </c>
      <c r="AA525" s="19">
        <v>2</v>
      </c>
      <c r="AB525" s="19"/>
      <c r="AC525" s="19" t="s">
        <v>308</v>
      </c>
      <c r="AD525" s="19"/>
      <c r="AE525" s="19"/>
      <c r="AF525" s="19"/>
    </row>
    <row r="526" spans="1:34">
      <c r="A526" s="19">
        <v>520</v>
      </c>
      <c r="B526" s="19" t="s">
        <v>1512</v>
      </c>
      <c r="C526" s="19" t="s">
        <v>2349</v>
      </c>
      <c r="D526" s="19" t="str">
        <f>HYPERLINK("http://www.henontech.com/fieldsafety/harzard/harzard_show.php?rid=18790&amp;url=harzardrecs.php","灰库二楼平台配电箱，把手缺失，关不严")</f>
        <v>灰库二楼平台配电箱，把手缺失，关不严</v>
      </c>
      <c r="E526" s="19" t="s">
        <v>2350</v>
      </c>
      <c r="F526" s="23" t="s">
        <v>304</v>
      </c>
      <c r="G526" s="22" t="s">
        <v>63</v>
      </c>
      <c r="H526" s="19" t="s">
        <v>44</v>
      </c>
      <c r="I526" s="19" t="s">
        <v>108</v>
      </c>
      <c r="J526" s="19" t="s">
        <v>46</v>
      </c>
      <c r="K526" s="19" t="s">
        <v>47</v>
      </c>
      <c r="L526" s="19" t="s">
        <v>76</v>
      </c>
      <c r="M526" s="19" t="s">
        <v>1033</v>
      </c>
      <c r="N526" s="19" t="s">
        <v>1705</v>
      </c>
      <c r="O526" s="19"/>
      <c r="P526" s="19"/>
      <c r="Q526" s="19"/>
      <c r="R526" s="19" t="s">
        <v>2351</v>
      </c>
      <c r="S526" s="19" t="s">
        <v>1372</v>
      </c>
      <c r="T526" s="19" t="s">
        <v>53</v>
      </c>
      <c r="U526" s="19" t="s">
        <v>54</v>
      </c>
      <c r="V526" s="19" t="s">
        <v>55</v>
      </c>
      <c r="W526" s="19" t="s">
        <v>56</v>
      </c>
      <c r="X526" s="19"/>
      <c r="Y526" s="19"/>
      <c r="Z526" s="19"/>
      <c r="AA526" s="19">
        <v>0</v>
      </c>
      <c r="AB526" s="19"/>
      <c r="AC526" s="19" t="s">
        <v>308</v>
      </c>
      <c r="AD526" s="19"/>
      <c r="AE526" s="19"/>
      <c r="AF526" s="19"/>
    </row>
    <row r="527" spans="1:34">
      <c r="A527" s="19">
        <v>521</v>
      </c>
      <c r="B527" s="19" t="s">
        <v>1512</v>
      </c>
      <c r="C527" s="19" t="s">
        <v>1740</v>
      </c>
      <c r="D527" s="19" t="str">
        <f>HYPERLINK("http://www.henontech.com/fieldsafety/harzard/harzard_show.php?rid=18821&amp;url=harzardrecs.php","一职工巡检时，不慎摔倒，导致手部受伤，在家休养两天后上班。")</f>
        <v>一职工巡检时，不慎摔倒，导致手部受伤，在家休养两天后上班。</v>
      </c>
      <c r="E527" s="19" t="s">
        <v>2352</v>
      </c>
      <c r="F527" s="23" t="s">
        <v>304</v>
      </c>
      <c r="G527" s="22" t="s">
        <v>63</v>
      </c>
      <c r="H527" s="19" t="s">
        <v>44</v>
      </c>
      <c r="I527" s="19" t="s">
        <v>45</v>
      </c>
      <c r="J527" s="19" t="s">
        <v>46</v>
      </c>
      <c r="K527" s="19"/>
      <c r="L527" s="19"/>
      <c r="M527" s="19" t="s">
        <v>1033</v>
      </c>
      <c r="N527" s="19" t="s">
        <v>1661</v>
      </c>
      <c r="O527" s="19"/>
      <c r="P527" s="19"/>
      <c r="Q527" s="19"/>
      <c r="R527" s="19" t="s">
        <v>2353</v>
      </c>
      <c r="S527" s="19" t="s">
        <v>1372</v>
      </c>
      <c r="T527" s="19" t="s">
        <v>53</v>
      </c>
      <c r="U527" s="19" t="s">
        <v>54</v>
      </c>
      <c r="V527" s="19" t="s">
        <v>97</v>
      </c>
      <c r="W527" s="19" t="s">
        <v>81</v>
      </c>
      <c r="X527" s="19"/>
      <c r="Y527" s="19"/>
      <c r="Z527" s="19"/>
      <c r="AA527" s="19">
        <v>0</v>
      </c>
      <c r="AB527" s="19"/>
      <c r="AC527" s="19" t="s">
        <v>308</v>
      </c>
      <c r="AD527" s="19"/>
      <c r="AE527" s="19"/>
      <c r="AF527" s="19"/>
    </row>
    <row r="528" spans="1:34" customHeight="1" ht="42">
      <c r="A528" s="19">
        <v>522</v>
      </c>
      <c r="B528" s="19" t="s">
        <v>1512</v>
      </c>
      <c r="C528" s="19" t="s">
        <v>1903</v>
      </c>
      <c r="D528" s="19" t="str">
        <f>HYPERLINK("http://www.henontech.com/fieldsafety/harzard/harzard_show.php?rid=18840&amp;url=harzardrecs.php","东四机头刮煤板销子缺失，开车期间配重铁脱落可能砸伤脚。")</f>
        <v>东四机头刮煤板销子缺失，开车期间配重铁脱落可能砸伤脚。</v>
      </c>
      <c r="E528" s="19" t="s">
        <v>2354</v>
      </c>
      <c r="F528" s="20" t="s">
        <v>42</v>
      </c>
      <c r="G528" s="21" t="s">
        <v>43</v>
      </c>
      <c r="H528" s="19" t="s">
        <v>44</v>
      </c>
      <c r="I528" s="19" t="s">
        <v>108</v>
      </c>
      <c r="J528" s="19" t="s">
        <v>46</v>
      </c>
      <c r="K528" s="19" t="s">
        <v>64</v>
      </c>
      <c r="L528" s="19" t="s">
        <v>76</v>
      </c>
      <c r="M528" s="19" t="s">
        <v>364</v>
      </c>
      <c r="N528" s="19" t="s">
        <v>2322</v>
      </c>
      <c r="O528" s="19" t="s">
        <v>364</v>
      </c>
      <c r="P528" s="19" t="s">
        <v>425</v>
      </c>
      <c r="Q528" s="19" t="s">
        <v>1801</v>
      </c>
      <c r="R528" s="19" t="s">
        <v>427</v>
      </c>
      <c r="S528" s="19"/>
      <c r="T528" s="19" t="s">
        <v>53</v>
      </c>
      <c r="U528" s="19" t="s">
        <v>54</v>
      </c>
      <c r="V528" s="19" t="s">
        <v>55</v>
      </c>
      <c r="W528" s="19" t="s">
        <v>56</v>
      </c>
      <c r="X528" s="19" t="s">
        <v>126</v>
      </c>
      <c r="Y528" s="19" t="s">
        <v>126</v>
      </c>
      <c r="Z528" s="19" t="s">
        <v>2355</v>
      </c>
      <c r="AA528" s="19">
        <v>2</v>
      </c>
      <c r="AB528" s="19">
        <v>2</v>
      </c>
      <c r="AC528" s="19" t="s">
        <v>58</v>
      </c>
      <c r="AD528" s="19" t="s">
        <v>425</v>
      </c>
      <c r="AE528" s="19" t="s">
        <v>1512</v>
      </c>
      <c r="AF528" s="19"/>
    </row>
    <row r="529" spans="1:34" customHeight="1" ht="42">
      <c r="A529" s="19">
        <v>523</v>
      </c>
      <c r="B529" s="19" t="s">
        <v>1512</v>
      </c>
      <c r="C529" s="19" t="s">
        <v>1964</v>
      </c>
      <c r="D529" s="19" t="str">
        <f>HYPERLINK("http://www.henontech.com/fieldsafety/harzard/harzard_show.php?rid=18847&amp;url=harzardrecs.php","西一岗位一托辊损坏不转，长时间开车损伤皮带。")</f>
        <v>西一岗位一托辊损坏不转，长时间开车损伤皮带。</v>
      </c>
      <c r="E529" s="19" t="s">
        <v>2324</v>
      </c>
      <c r="F529" s="20" t="s">
        <v>42</v>
      </c>
      <c r="G529" s="21" t="s">
        <v>43</v>
      </c>
      <c r="H529" s="19" t="s">
        <v>44</v>
      </c>
      <c r="I529" s="19" t="s">
        <v>108</v>
      </c>
      <c r="J529" s="19" t="s">
        <v>46</v>
      </c>
      <c r="K529" s="19"/>
      <c r="L529" s="19" t="s">
        <v>76</v>
      </c>
      <c r="M529" s="19" t="s">
        <v>364</v>
      </c>
      <c r="N529" s="19" t="s">
        <v>2356</v>
      </c>
      <c r="O529" s="19" t="s">
        <v>364</v>
      </c>
      <c r="P529" s="19" t="s">
        <v>425</v>
      </c>
      <c r="Q529" s="19" t="s">
        <v>1801</v>
      </c>
      <c r="R529" s="19" t="s">
        <v>1695</v>
      </c>
      <c r="S529" s="19"/>
      <c r="T529" s="19" t="s">
        <v>189</v>
      </c>
      <c r="U529" s="19" t="s">
        <v>202</v>
      </c>
      <c r="V529" s="19" t="s">
        <v>203</v>
      </c>
      <c r="W529" s="19" t="s">
        <v>56</v>
      </c>
      <c r="X529" s="19" t="s">
        <v>126</v>
      </c>
      <c r="Y529" s="19" t="s">
        <v>126</v>
      </c>
      <c r="Z529" s="19" t="s">
        <v>2357</v>
      </c>
      <c r="AA529" s="19">
        <v>2</v>
      </c>
      <c r="AB529" s="19">
        <v>2</v>
      </c>
      <c r="AC529" s="19" t="s">
        <v>58</v>
      </c>
      <c r="AD529" s="19" t="s">
        <v>425</v>
      </c>
      <c r="AE529" s="19" t="s">
        <v>1512</v>
      </c>
      <c r="AF529" s="19"/>
    </row>
    <row r="530" spans="1:34" customHeight="1" ht="42">
      <c r="A530" s="19">
        <v>524</v>
      </c>
      <c r="B530" s="19" t="s">
        <v>1512</v>
      </c>
      <c r="C530" s="19" t="s">
        <v>1964</v>
      </c>
      <c r="D530" s="19" t="str">
        <f>HYPERLINK("http://www.henontech.com/fieldsafety/harzard/harzard_show.php?rid=18855&amp;url=harzardrecs.php","西四除铁器南边托辊中间有铁丝缠绕，一旦开车，皮带运转，容易造成皮带划伤")</f>
        <v>西四除铁器南边托辊中间有铁丝缠绕，一旦开车，皮带运转，容易造成皮带划伤</v>
      </c>
      <c r="E530" s="19" t="s">
        <v>2305</v>
      </c>
      <c r="F530" s="20" t="s">
        <v>42</v>
      </c>
      <c r="G530" s="22" t="s">
        <v>63</v>
      </c>
      <c r="H530" s="19" t="s">
        <v>44</v>
      </c>
      <c r="I530" s="19" t="s">
        <v>108</v>
      </c>
      <c r="J530" s="19" t="s">
        <v>580</v>
      </c>
      <c r="K530" s="19" t="s">
        <v>64</v>
      </c>
      <c r="L530" s="19" t="s">
        <v>76</v>
      </c>
      <c r="M530" s="19" t="s">
        <v>364</v>
      </c>
      <c r="N530" s="19" t="s">
        <v>2358</v>
      </c>
      <c r="O530" s="19" t="s">
        <v>364</v>
      </c>
      <c r="P530" s="19" t="s">
        <v>425</v>
      </c>
      <c r="Q530" s="19" t="s">
        <v>1801</v>
      </c>
      <c r="R530" s="19" t="s">
        <v>2056</v>
      </c>
      <c r="S530" s="19"/>
      <c r="T530" s="19" t="s">
        <v>189</v>
      </c>
      <c r="U530" s="19" t="s">
        <v>202</v>
      </c>
      <c r="V530" s="19" t="s">
        <v>55</v>
      </c>
      <c r="W530" s="19" t="s">
        <v>56</v>
      </c>
      <c r="X530" s="19" t="s">
        <v>126</v>
      </c>
      <c r="Y530" s="19" t="s">
        <v>126</v>
      </c>
      <c r="Z530" s="19" t="s">
        <v>2359</v>
      </c>
      <c r="AA530" s="19">
        <v>2</v>
      </c>
      <c r="AB530" s="19">
        <v>2</v>
      </c>
      <c r="AC530" s="19" t="s">
        <v>58</v>
      </c>
      <c r="AD530" s="19" t="s">
        <v>425</v>
      </c>
      <c r="AE530" s="19" t="s">
        <v>1512</v>
      </c>
      <c r="AF530" s="19"/>
    </row>
    <row r="531" spans="1:34" customHeight="1" ht="42">
      <c r="A531" s="19">
        <v>525</v>
      </c>
      <c r="B531" s="19" t="s">
        <v>1512</v>
      </c>
      <c r="C531" s="19" t="s">
        <v>2200</v>
      </c>
      <c r="D531" s="19" t="str">
        <f>HYPERLINK("http://www.henontech.com/fieldsafety/harzard/harzard_show.php?rid=18856&amp;url=harzardrecs.php","推焦岗位更换下的炉门横栓没有下靠到挂耳内，员工在此经过或是工作时不慎炉门脱落，造成伤人事故。")</f>
        <v>推焦岗位更换下的炉门横栓没有下靠到挂耳内，员工在此经过或是工作时不慎炉门脱落，造成伤人事故。</v>
      </c>
      <c r="E531" s="19" t="s">
        <v>2360</v>
      </c>
      <c r="F531" s="25" t="s">
        <v>1455</v>
      </c>
      <c r="G531" s="24" t="s">
        <v>322</v>
      </c>
      <c r="H531" s="19" t="s">
        <v>44</v>
      </c>
      <c r="I531" s="19" t="s">
        <v>358</v>
      </c>
      <c r="J531" s="19" t="s">
        <v>349</v>
      </c>
      <c r="K531" s="19" t="s">
        <v>47</v>
      </c>
      <c r="L531" s="19" t="s">
        <v>599</v>
      </c>
      <c r="M531" s="19" t="s">
        <v>121</v>
      </c>
      <c r="N531" s="19" t="s">
        <v>2361</v>
      </c>
      <c r="O531" s="19" t="s">
        <v>121</v>
      </c>
      <c r="P531" s="19" t="s">
        <v>2362</v>
      </c>
      <c r="Q531" s="19" t="s">
        <v>2363</v>
      </c>
      <c r="R531" s="19" t="s">
        <v>2364</v>
      </c>
      <c r="S531" s="19"/>
      <c r="T531" s="19" t="s">
        <v>53</v>
      </c>
      <c r="U531" s="19" t="s">
        <v>236</v>
      </c>
      <c r="V531" s="19" t="s">
        <v>69</v>
      </c>
      <c r="W531" s="19" t="s">
        <v>190</v>
      </c>
      <c r="X531" s="19" t="s">
        <v>191</v>
      </c>
      <c r="Y531" s="19"/>
      <c r="Z531" s="19" t="s">
        <v>2365</v>
      </c>
      <c r="AA531" s="19">
        <v>2</v>
      </c>
      <c r="AB531" s="19"/>
      <c r="AC531" s="19" t="s">
        <v>308</v>
      </c>
      <c r="AD531" s="19"/>
      <c r="AE531" s="19"/>
      <c r="AF531" s="19"/>
    </row>
    <row r="532" spans="1:34" customHeight="1" ht="42">
      <c r="A532" s="19">
        <v>526</v>
      </c>
      <c r="B532" s="19" t="s">
        <v>1512</v>
      </c>
      <c r="C532" s="19" t="s">
        <v>2231</v>
      </c>
      <c r="D532" s="19" t="str">
        <f>HYPERLINK("http://www.henontech.com/fieldsafety/harzard/harzard_show.php?rid=18858&amp;url=harzardrecs.php","机侧除尘备件摆放杂乱，一操作工巡检翻越时摔倒，造成肋骨骨折，就医治疗。")</f>
        <v>机侧除尘备件摆放杂乱，一操作工巡检翻越时摔倒，造成肋骨骨折，就医治疗。</v>
      </c>
      <c r="E532" s="19" t="s">
        <v>2366</v>
      </c>
      <c r="F532" s="20" t="s">
        <v>42</v>
      </c>
      <c r="G532" s="22" t="s">
        <v>63</v>
      </c>
      <c r="H532" s="19" t="s">
        <v>44</v>
      </c>
      <c r="I532" s="19" t="s">
        <v>120</v>
      </c>
      <c r="J532" s="19" t="s">
        <v>580</v>
      </c>
      <c r="K532" s="19" t="s">
        <v>47</v>
      </c>
      <c r="L532" s="19" t="s">
        <v>599</v>
      </c>
      <c r="M532" s="19" t="s">
        <v>121</v>
      </c>
      <c r="N532" s="19" t="s">
        <v>620</v>
      </c>
      <c r="O532" s="19" t="s">
        <v>121</v>
      </c>
      <c r="P532" s="19" t="s">
        <v>316</v>
      </c>
      <c r="Q532" s="19" t="s">
        <v>2097</v>
      </c>
      <c r="R532" s="19" t="s">
        <v>2367</v>
      </c>
      <c r="S532" s="19"/>
      <c r="T532" s="19" t="s">
        <v>53</v>
      </c>
      <c r="U532" s="19" t="s">
        <v>80</v>
      </c>
      <c r="V532" s="19" t="s">
        <v>55</v>
      </c>
      <c r="W532" s="19" t="s">
        <v>81</v>
      </c>
      <c r="X532" s="19" t="s">
        <v>191</v>
      </c>
      <c r="Y532" s="19"/>
      <c r="Z532" s="19" t="s">
        <v>2368</v>
      </c>
      <c r="AA532" s="19">
        <v>2</v>
      </c>
      <c r="AB532" s="19">
        <v>2</v>
      </c>
      <c r="AC532" s="19" t="s">
        <v>58</v>
      </c>
      <c r="AD532" s="19" t="s">
        <v>316</v>
      </c>
      <c r="AE532" s="19" t="s">
        <v>1457</v>
      </c>
      <c r="AF532" s="19"/>
    </row>
    <row r="533" spans="1:34" customHeight="1" ht="42">
      <c r="A533" s="19">
        <v>527</v>
      </c>
      <c r="B533" s="19" t="s">
        <v>1512</v>
      </c>
      <c r="C533" s="19" t="s">
        <v>1357</v>
      </c>
      <c r="D533" s="19" t="str">
        <f>HYPERLINK("http://www.henontech.com/fieldsafety/harzard/harzard_show.php?rid=18860&amp;url=harzardrecs.php","扒焦平台北头废料杂乱，操作工在操作时，被绊倒造成膝盖半月板破裂，就医治疗。")</f>
        <v>扒焦平台北头废料杂乱，操作工在操作时，被绊倒造成膝盖半月板破裂，就医治疗。</v>
      </c>
      <c r="E533" s="19" t="s">
        <v>2369</v>
      </c>
      <c r="F533" s="20" t="s">
        <v>42</v>
      </c>
      <c r="G533" s="22" t="s">
        <v>63</v>
      </c>
      <c r="H533" s="19" t="s">
        <v>44</v>
      </c>
      <c r="I533" s="19" t="s">
        <v>120</v>
      </c>
      <c r="J533" s="19" t="s">
        <v>580</v>
      </c>
      <c r="K533" s="19" t="s">
        <v>47</v>
      </c>
      <c r="L533" s="19" t="s">
        <v>599</v>
      </c>
      <c r="M533" s="19" t="s">
        <v>121</v>
      </c>
      <c r="N533" s="19" t="s">
        <v>2362</v>
      </c>
      <c r="O533" s="19" t="s">
        <v>121</v>
      </c>
      <c r="P533" s="19" t="s">
        <v>171</v>
      </c>
      <c r="Q533" s="19" t="s">
        <v>2097</v>
      </c>
      <c r="R533" s="19" t="s">
        <v>2370</v>
      </c>
      <c r="S533" s="19"/>
      <c r="T533" s="19" t="s">
        <v>53</v>
      </c>
      <c r="U533" s="19" t="s">
        <v>80</v>
      </c>
      <c r="V533" s="19" t="s">
        <v>55</v>
      </c>
      <c r="W533" s="19" t="s">
        <v>81</v>
      </c>
      <c r="X533" s="19" t="s">
        <v>191</v>
      </c>
      <c r="Y533" s="19"/>
      <c r="Z533" s="19" t="s">
        <v>2371</v>
      </c>
      <c r="AA533" s="19">
        <v>2</v>
      </c>
      <c r="AB533" s="19">
        <v>2</v>
      </c>
      <c r="AC533" s="19" t="s">
        <v>58</v>
      </c>
      <c r="AD533" s="19" t="s">
        <v>171</v>
      </c>
      <c r="AE533" s="19" t="s">
        <v>1457</v>
      </c>
      <c r="AF533" s="19"/>
    </row>
    <row r="534" spans="1:34" customHeight="1" ht="42">
      <c r="A534" s="19">
        <v>528</v>
      </c>
      <c r="B534" s="19" t="s">
        <v>1512</v>
      </c>
      <c r="C534" s="19" t="s">
        <v>1824</v>
      </c>
      <c r="D534" s="19" t="str">
        <f>HYPERLINK("http://www.henontech.com/fieldsafety/harzard/harzard_show.php?rid=18861&amp;url=harzardrecs.php","炉顶北头悬臂吊处废料未及时清理，一操作工在操作时，被废料绊倒，小臂与铁器撞击，造成粉碎性骨折，就医治疗。")</f>
        <v>炉顶北头悬臂吊处废料未及时清理，一操作工在操作时，被废料绊倒，小臂与铁器撞击，造成粉碎性骨折，就医治疗。</v>
      </c>
      <c r="E534" s="19" t="s">
        <v>2372</v>
      </c>
      <c r="F534" s="20" t="s">
        <v>42</v>
      </c>
      <c r="G534" s="22" t="s">
        <v>63</v>
      </c>
      <c r="H534" s="19" t="s">
        <v>44</v>
      </c>
      <c r="I534" s="19" t="s">
        <v>120</v>
      </c>
      <c r="J534" s="19" t="s">
        <v>580</v>
      </c>
      <c r="K534" s="19" t="s">
        <v>47</v>
      </c>
      <c r="L534" s="19" t="s">
        <v>599</v>
      </c>
      <c r="M534" s="19" t="s">
        <v>121</v>
      </c>
      <c r="N534" s="19" t="s">
        <v>2362</v>
      </c>
      <c r="O534" s="19" t="s">
        <v>121</v>
      </c>
      <c r="P534" s="19" t="s">
        <v>171</v>
      </c>
      <c r="Q534" s="19" t="s">
        <v>2097</v>
      </c>
      <c r="R534" s="19" t="s">
        <v>2373</v>
      </c>
      <c r="S534" s="19"/>
      <c r="T534" s="19" t="s">
        <v>53</v>
      </c>
      <c r="U534" s="19" t="s">
        <v>80</v>
      </c>
      <c r="V534" s="19" t="s">
        <v>55</v>
      </c>
      <c r="W534" s="19" t="s">
        <v>81</v>
      </c>
      <c r="X534" s="19" t="s">
        <v>191</v>
      </c>
      <c r="Y534" s="19"/>
      <c r="Z534" s="19" t="s">
        <v>2374</v>
      </c>
      <c r="AA534" s="19">
        <v>2</v>
      </c>
      <c r="AB534" s="19">
        <v>2</v>
      </c>
      <c r="AC534" s="19" t="s">
        <v>58</v>
      </c>
      <c r="AD534" s="19" t="s">
        <v>171</v>
      </c>
      <c r="AE534" s="19" t="s">
        <v>1457</v>
      </c>
      <c r="AF534" s="19"/>
    </row>
    <row r="535" spans="1:34" customHeight="1" ht="42">
      <c r="A535" s="19">
        <v>529</v>
      </c>
      <c r="B535" s="19" t="s">
        <v>1512</v>
      </c>
      <c r="C535" s="19" t="s">
        <v>2375</v>
      </c>
      <c r="D535" s="19" t="str">
        <f>HYPERLINK("http://www.henontech.com/fieldsafety/harzard/harzard_show.php?rid=18862&amp;url=harzardrecs.php","焦三巡检通道现场杂乱，夜班一操作人员巡检时，不慎被绊倒，脑部与铁器撞击，当场昏迷不醒，送医救治。")</f>
        <v>焦三巡检通道现场杂乱，夜班一操作人员巡检时，不慎被绊倒，脑部与铁器撞击，当场昏迷不醒，送医救治。</v>
      </c>
      <c r="E535" s="19" t="s">
        <v>2376</v>
      </c>
      <c r="F535" s="25" t="s">
        <v>1455</v>
      </c>
      <c r="G535" s="22" t="s">
        <v>63</v>
      </c>
      <c r="H535" s="19" t="s">
        <v>44</v>
      </c>
      <c r="I535" s="19" t="s">
        <v>120</v>
      </c>
      <c r="J535" s="19" t="s">
        <v>580</v>
      </c>
      <c r="K535" s="19" t="s">
        <v>47</v>
      </c>
      <c r="L535" s="19" t="s">
        <v>599</v>
      </c>
      <c r="M535" s="19" t="s">
        <v>121</v>
      </c>
      <c r="N535" s="19" t="s">
        <v>2377</v>
      </c>
      <c r="O535" s="19" t="s">
        <v>121</v>
      </c>
      <c r="P535" s="19" t="s">
        <v>568</v>
      </c>
      <c r="Q535" s="19" t="s">
        <v>2097</v>
      </c>
      <c r="R535" s="19" t="s">
        <v>2378</v>
      </c>
      <c r="S535" s="19"/>
      <c r="T535" s="19" t="s">
        <v>53</v>
      </c>
      <c r="U535" s="19" t="s">
        <v>80</v>
      </c>
      <c r="V535" s="19" t="s">
        <v>55</v>
      </c>
      <c r="W535" s="19" t="s">
        <v>81</v>
      </c>
      <c r="X535" s="19" t="s">
        <v>191</v>
      </c>
      <c r="Y535" s="19"/>
      <c r="Z535" s="19" t="s">
        <v>2379</v>
      </c>
      <c r="AA535" s="19">
        <v>2</v>
      </c>
      <c r="AB535" s="19"/>
      <c r="AC535" s="19" t="s">
        <v>308</v>
      </c>
      <c r="AD535" s="19"/>
      <c r="AE535" s="19"/>
      <c r="AF535" s="19"/>
    </row>
    <row r="536" spans="1:34">
      <c r="A536" s="19">
        <v>530</v>
      </c>
      <c r="B536" s="19" t="s">
        <v>1512</v>
      </c>
      <c r="C536" s="19" t="s">
        <v>2375</v>
      </c>
      <c r="D536" s="19" t="str">
        <f>HYPERLINK("http://www.henontech.com/fieldsafety/harzard/harzard_show.php?rid=18875&amp;url=harzardrecs.php","爪斗抱闸螺丝松动导致抱闸失灵！")</f>
        <v>爪斗抱闸螺丝松动导致抱闸失灵！</v>
      </c>
      <c r="E536" s="19" t="s">
        <v>2380</v>
      </c>
      <c r="F536" s="23" t="s">
        <v>304</v>
      </c>
      <c r="G536" s="22" t="s">
        <v>63</v>
      </c>
      <c r="H536" s="19" t="s">
        <v>44</v>
      </c>
      <c r="I536" s="19" t="s">
        <v>184</v>
      </c>
      <c r="J536" s="19" t="s">
        <v>46</v>
      </c>
      <c r="K536" s="19" t="s">
        <v>64</v>
      </c>
      <c r="L536" s="19" t="s">
        <v>76</v>
      </c>
      <c r="M536" s="19" t="s">
        <v>1033</v>
      </c>
      <c r="N536" s="19" t="s">
        <v>1793</v>
      </c>
      <c r="O536" s="19"/>
      <c r="P536" s="19"/>
      <c r="Q536" s="19"/>
      <c r="R536" s="19" t="s">
        <v>1794</v>
      </c>
      <c r="S536" s="19" t="s">
        <v>2381</v>
      </c>
      <c r="T536" s="19" t="s">
        <v>189</v>
      </c>
      <c r="U536" s="19" t="s">
        <v>202</v>
      </c>
      <c r="V536" s="19" t="s">
        <v>69</v>
      </c>
      <c r="W536" s="19" t="s">
        <v>56</v>
      </c>
      <c r="X536" s="19"/>
      <c r="Y536" s="19"/>
      <c r="Z536" s="19"/>
      <c r="AA536" s="19">
        <v>0</v>
      </c>
      <c r="AB536" s="19"/>
      <c r="AC536" s="19" t="s">
        <v>308</v>
      </c>
      <c r="AD536" s="19"/>
      <c r="AE536" s="19"/>
      <c r="AF536" s="19"/>
    </row>
    <row r="537" spans="1:34" customHeight="1" ht="42">
      <c r="A537" s="19">
        <v>531</v>
      </c>
      <c r="B537" s="19" t="s">
        <v>1512</v>
      </c>
      <c r="C537" s="19" t="s">
        <v>374</v>
      </c>
      <c r="D537" s="19" t="str">
        <f>HYPERLINK("http://www.henontech.com/fieldsafety/harzard/harzard_show.php?rid=18876&amp;url=harzardrecs.php","西三卸料车行走轮护罩开焊，一旦落下，会造成人员伤害")</f>
        <v>西三卸料车行走轮护罩开焊，一旦落下，会造成人员伤害</v>
      </c>
      <c r="E537" s="19" t="s">
        <v>53</v>
      </c>
      <c r="F537" s="20" t="s">
        <v>42</v>
      </c>
      <c r="G537" s="22" t="s">
        <v>63</v>
      </c>
      <c r="H537" s="19" t="s">
        <v>44</v>
      </c>
      <c r="I537" s="19" t="s">
        <v>108</v>
      </c>
      <c r="J537" s="19" t="s">
        <v>46</v>
      </c>
      <c r="K537" s="19"/>
      <c r="L537" s="19"/>
      <c r="M537" s="19" t="s">
        <v>364</v>
      </c>
      <c r="N537" s="19" t="s">
        <v>2306</v>
      </c>
      <c r="O537" s="19" t="s">
        <v>364</v>
      </c>
      <c r="P537" s="19" t="s">
        <v>425</v>
      </c>
      <c r="Q537" s="19" t="s">
        <v>2297</v>
      </c>
      <c r="R537" s="19" t="s">
        <v>1689</v>
      </c>
      <c r="S537" s="19"/>
      <c r="T537" s="19" t="s">
        <v>53</v>
      </c>
      <c r="U537" s="19" t="s">
        <v>54</v>
      </c>
      <c r="V537" s="19" t="s">
        <v>203</v>
      </c>
      <c r="W537" s="19" t="s">
        <v>56</v>
      </c>
      <c r="X537" s="19" t="s">
        <v>126</v>
      </c>
      <c r="Y537" s="19" t="s">
        <v>126</v>
      </c>
      <c r="Z537" s="19" t="s">
        <v>2382</v>
      </c>
      <c r="AA537" s="19">
        <v>2</v>
      </c>
      <c r="AB537" s="19">
        <v>2</v>
      </c>
      <c r="AC537" s="19" t="s">
        <v>58</v>
      </c>
      <c r="AD537" s="19" t="s">
        <v>425</v>
      </c>
      <c r="AE537" s="19" t="s">
        <v>1867</v>
      </c>
      <c r="AF537" s="19"/>
    </row>
    <row r="538" spans="1:34" customHeight="1" ht="42">
      <c r="A538" s="19">
        <v>532</v>
      </c>
      <c r="B538" s="19" t="s">
        <v>1512</v>
      </c>
      <c r="C538" s="19" t="s">
        <v>2093</v>
      </c>
      <c r="D538" s="19" t="str">
        <f>HYPERLINK("http://www.henontech.com/fieldsafety/harzard/harzard_show.php?rid=18881&amp;url=harzardrecs.php","35锅炉操作平台爬梯警示标语缺失致操作人员摔伤")</f>
        <v>35锅炉操作平台爬梯警示标语缺失致操作人员摔伤</v>
      </c>
      <c r="E538" s="19" t="s">
        <v>2383</v>
      </c>
      <c r="F538" s="25" t="s">
        <v>1455</v>
      </c>
      <c r="G538" s="22" t="s">
        <v>63</v>
      </c>
      <c r="H538" s="19" t="s">
        <v>44</v>
      </c>
      <c r="I538" s="19" t="s">
        <v>45</v>
      </c>
      <c r="J538" s="19" t="s">
        <v>109</v>
      </c>
      <c r="K538" s="19" t="s">
        <v>110</v>
      </c>
      <c r="L538" s="19" t="s">
        <v>76</v>
      </c>
      <c r="M538" s="19" t="s">
        <v>1033</v>
      </c>
      <c r="N538" s="19" t="s">
        <v>2384</v>
      </c>
      <c r="O538" s="19" t="s">
        <v>1033</v>
      </c>
      <c r="P538" s="19" t="s">
        <v>1034</v>
      </c>
      <c r="Q538" s="19" t="s">
        <v>2097</v>
      </c>
      <c r="R538" s="19" t="s">
        <v>2385</v>
      </c>
      <c r="S538" s="19"/>
      <c r="T538" s="19" t="s">
        <v>53</v>
      </c>
      <c r="U538" s="19" t="s">
        <v>80</v>
      </c>
      <c r="V538" s="19" t="s">
        <v>97</v>
      </c>
      <c r="W538" s="19" t="s">
        <v>70</v>
      </c>
      <c r="X538" s="19" t="s">
        <v>154</v>
      </c>
      <c r="Y538" s="19"/>
      <c r="Z538" s="19" t="s">
        <v>2123</v>
      </c>
      <c r="AA538" s="19">
        <v>2</v>
      </c>
      <c r="AB538" s="19"/>
      <c r="AC538" s="19" t="s">
        <v>308</v>
      </c>
      <c r="AD538" s="19"/>
      <c r="AE538" s="19"/>
      <c r="AF538" s="19"/>
    </row>
    <row r="539" spans="1:34" customHeight="1" ht="42">
      <c r="A539" s="19">
        <v>533</v>
      </c>
      <c r="B539" s="19" t="s">
        <v>1512</v>
      </c>
      <c r="C539" s="19" t="s">
        <v>2138</v>
      </c>
      <c r="D539" s="19" t="str">
        <f>HYPERLINK("http://www.henontech.com/fieldsafety/harzard/harzard_show.php?rid=18884&amp;url=harzardrecs.php","抱闸螺丝松动导致乱绳爪斗坠落")</f>
        <v>抱闸螺丝松动导致乱绳爪斗坠落</v>
      </c>
      <c r="E539" s="19" t="s">
        <v>2386</v>
      </c>
      <c r="F539" s="25" t="s">
        <v>1455</v>
      </c>
      <c r="G539" s="22" t="s">
        <v>63</v>
      </c>
      <c r="H539" s="19" t="s">
        <v>2387</v>
      </c>
      <c r="I539" s="19" t="s">
        <v>184</v>
      </c>
      <c r="J539" s="19" t="s">
        <v>46</v>
      </c>
      <c r="K539" s="19" t="s">
        <v>64</v>
      </c>
      <c r="L539" s="19" t="s">
        <v>76</v>
      </c>
      <c r="M539" s="19" t="s">
        <v>1033</v>
      </c>
      <c r="N539" s="19" t="s">
        <v>1793</v>
      </c>
      <c r="O539" s="19" t="s">
        <v>1033</v>
      </c>
      <c r="P539" s="19" t="s">
        <v>1034</v>
      </c>
      <c r="Q539" s="19" t="s">
        <v>2097</v>
      </c>
      <c r="R539" s="19" t="s">
        <v>1725</v>
      </c>
      <c r="S539" s="19"/>
      <c r="T539" s="19" t="s">
        <v>189</v>
      </c>
      <c r="U539" s="19" t="s">
        <v>202</v>
      </c>
      <c r="V539" s="19" t="s">
        <v>69</v>
      </c>
      <c r="W539" s="19" t="s">
        <v>56</v>
      </c>
      <c r="X539" s="19" t="s">
        <v>154</v>
      </c>
      <c r="Y539" s="19"/>
      <c r="Z539" s="19" t="s">
        <v>2388</v>
      </c>
      <c r="AA539" s="19">
        <v>2</v>
      </c>
      <c r="AB539" s="19"/>
      <c r="AC539" s="19" t="s">
        <v>308</v>
      </c>
      <c r="AD539" s="19"/>
      <c r="AE539" s="19"/>
      <c r="AF539" s="19"/>
    </row>
    <row r="540" spans="1:34" customHeight="1" ht="42">
      <c r="A540" s="19">
        <v>534</v>
      </c>
      <c r="B540" s="19" t="s">
        <v>1512</v>
      </c>
      <c r="C540" s="19" t="s">
        <v>2389</v>
      </c>
      <c r="D540" s="19" t="str">
        <f>HYPERLINK("http://www.henontech.com/fieldsafety/harzard/harzard_show.php?rid=18922&amp;url=harzardrecs.php","熄焦道轨东侧，裸露在地面的管线未刷安全漆，操作工在巡检过程中被绊倒")</f>
        <v>熄焦道轨东侧，裸露在地面的管线未刷安全漆，操作工在巡检过程中被绊倒</v>
      </c>
      <c r="E540" s="19" t="s">
        <v>2390</v>
      </c>
      <c r="F540" s="25" t="s">
        <v>1455</v>
      </c>
      <c r="G540" s="22" t="s">
        <v>63</v>
      </c>
      <c r="H540" s="19" t="s">
        <v>44</v>
      </c>
      <c r="I540" s="19" t="s">
        <v>108</v>
      </c>
      <c r="J540" s="19" t="s">
        <v>386</v>
      </c>
      <c r="K540" s="19" t="s">
        <v>47</v>
      </c>
      <c r="L540" s="19" t="s">
        <v>76</v>
      </c>
      <c r="M540" s="19" t="s">
        <v>121</v>
      </c>
      <c r="N540" s="19" t="s">
        <v>2391</v>
      </c>
      <c r="O540" s="19" t="s">
        <v>121</v>
      </c>
      <c r="P540" s="19" t="s">
        <v>2362</v>
      </c>
      <c r="Q540" s="19" t="s">
        <v>2363</v>
      </c>
      <c r="R540" s="19" t="s">
        <v>2392</v>
      </c>
      <c r="S540" s="19"/>
      <c r="T540" s="19" t="s">
        <v>53</v>
      </c>
      <c r="U540" s="19" t="s">
        <v>80</v>
      </c>
      <c r="V540" s="19" t="s">
        <v>97</v>
      </c>
      <c r="W540" s="19" t="s">
        <v>70</v>
      </c>
      <c r="X540" s="19" t="s">
        <v>191</v>
      </c>
      <c r="Y540" s="19"/>
      <c r="Z540" s="19" t="s">
        <v>2393</v>
      </c>
      <c r="AA540" s="19">
        <v>2</v>
      </c>
      <c r="AB540" s="19"/>
      <c r="AC540" s="19" t="s">
        <v>308</v>
      </c>
      <c r="AD540" s="19"/>
      <c r="AE540" s="19"/>
      <c r="AF540" s="19"/>
    </row>
    <row r="541" spans="1:34">
      <c r="A541" s="19">
        <v>535</v>
      </c>
      <c r="B541" s="19" t="s">
        <v>1512</v>
      </c>
      <c r="C541" s="19" t="s">
        <v>2394</v>
      </c>
      <c r="D541" s="19" t="str">
        <f>HYPERLINK("http://www.henontech.com/fieldsafety/harzard/harzard_show.php?rid=18926&amp;url=harzardrecs.php","深度处理最终沉淀池一爬梯踏板不规范，如果一名操作人员在操作时不慎踩蹭，造成右脚踝扭伤，在家休息三天后复工。")</f>
        <v>深度处理最终沉淀池一爬梯踏板不规范，如果一名操作人员在操作时不慎踩蹭，造成右脚踝扭伤，在家休息三天后复工。</v>
      </c>
      <c r="E541" s="19" t="s">
        <v>2395</v>
      </c>
      <c r="F541" s="20" t="s">
        <v>42</v>
      </c>
      <c r="G541" s="22" t="s">
        <v>63</v>
      </c>
      <c r="H541" s="19" t="s">
        <v>44</v>
      </c>
      <c r="I541" s="19" t="s">
        <v>120</v>
      </c>
      <c r="J541" s="19" t="s">
        <v>46</v>
      </c>
      <c r="K541" s="19" t="s">
        <v>132</v>
      </c>
      <c r="L541" s="19" t="s">
        <v>76</v>
      </c>
      <c r="M541" s="19" t="s">
        <v>149</v>
      </c>
      <c r="N541" s="19" t="s">
        <v>413</v>
      </c>
      <c r="O541" s="19" t="s">
        <v>149</v>
      </c>
      <c r="P541" s="19" t="s">
        <v>211</v>
      </c>
      <c r="Q541" s="19" t="s">
        <v>2396</v>
      </c>
      <c r="R541" s="19" t="s">
        <v>2397</v>
      </c>
      <c r="S541" s="19"/>
      <c r="T541" s="19" t="s">
        <v>53</v>
      </c>
      <c r="U541" s="19" t="s">
        <v>80</v>
      </c>
      <c r="V541" s="19" t="s">
        <v>97</v>
      </c>
      <c r="W541" s="19" t="s">
        <v>70</v>
      </c>
      <c r="X541" s="19" t="s">
        <v>154</v>
      </c>
      <c r="Y541" s="19" t="s">
        <v>154</v>
      </c>
      <c r="Z541" s="19" t="s">
        <v>2398</v>
      </c>
      <c r="AA541" s="19">
        <v>1</v>
      </c>
      <c r="AB541" s="19">
        <v>1</v>
      </c>
      <c r="AC541" s="19" t="s">
        <v>58</v>
      </c>
      <c r="AD541" s="19" t="s">
        <v>211</v>
      </c>
      <c r="AE541" s="19" t="s">
        <v>1512</v>
      </c>
      <c r="AF541" s="19"/>
    </row>
    <row r="542" spans="1:34">
      <c r="A542" s="19">
        <v>536</v>
      </c>
      <c r="B542" s="19" t="s">
        <v>1512</v>
      </c>
      <c r="C542" s="19" t="s">
        <v>2394</v>
      </c>
      <c r="D542" s="19" t="str">
        <f>HYPERLINK("http://www.henontech.com/fieldsafety/harzard/harzard_show.php?rid=18932&amp;url=harzardrecs.php","深度处理氧化剂计量泵泵头密封圈腐蚀漏液，如果一名操作人员在操作过程中不慎被喷射的氧化剂溅射到脸上，马上用大量清水冲洗，休息一会后不影响工作。")</f>
        <v>深度处理氧化剂计量泵泵头密封圈腐蚀漏液，如果一名操作人员在操作过程中不慎被喷射的氧化剂溅射到脸上，马上用大量清水冲洗，休息一会后不影响工作。</v>
      </c>
      <c r="E542" s="19" t="s">
        <v>2399</v>
      </c>
      <c r="F542" s="20" t="s">
        <v>42</v>
      </c>
      <c r="G542" s="22" t="s">
        <v>63</v>
      </c>
      <c r="H542" s="19" t="s">
        <v>44</v>
      </c>
      <c r="I542" s="19" t="s">
        <v>120</v>
      </c>
      <c r="J542" s="19" t="s">
        <v>531</v>
      </c>
      <c r="K542" s="19" t="s">
        <v>110</v>
      </c>
      <c r="L542" s="19" t="s">
        <v>76</v>
      </c>
      <c r="M542" s="19" t="s">
        <v>149</v>
      </c>
      <c r="N542" s="19" t="s">
        <v>1158</v>
      </c>
      <c r="O542" s="19" t="s">
        <v>149</v>
      </c>
      <c r="P542" s="19" t="s">
        <v>211</v>
      </c>
      <c r="Q542" s="19" t="s">
        <v>2396</v>
      </c>
      <c r="R542" s="19" t="s">
        <v>2400</v>
      </c>
      <c r="S542" s="19"/>
      <c r="T542" s="19" t="s">
        <v>53</v>
      </c>
      <c r="U542" s="19" t="s">
        <v>54</v>
      </c>
      <c r="V542" s="19" t="s">
        <v>97</v>
      </c>
      <c r="W542" s="19" t="s">
        <v>81</v>
      </c>
      <c r="X542" s="19" t="s">
        <v>154</v>
      </c>
      <c r="Y542" s="19" t="s">
        <v>154</v>
      </c>
      <c r="Z542" s="19" t="s">
        <v>2401</v>
      </c>
      <c r="AA542" s="19">
        <v>1</v>
      </c>
      <c r="AB542" s="19">
        <v>1</v>
      </c>
      <c r="AC542" s="19" t="s">
        <v>58</v>
      </c>
      <c r="AD542" s="19" t="s">
        <v>211</v>
      </c>
      <c r="AE542" s="19" t="s">
        <v>1512</v>
      </c>
      <c r="AF542" s="19"/>
    </row>
    <row r="543" spans="1:34" customHeight="1" ht="42">
      <c r="A543" s="19">
        <v>537</v>
      </c>
      <c r="B543" s="19" t="s">
        <v>1512</v>
      </c>
      <c r="C543" s="19" t="s">
        <v>1604</v>
      </c>
      <c r="D543" s="19" t="str">
        <f>HYPERLINK("http://www.henontech.com/fieldsafety/harzard/harzard_show.php?rid=18988&amp;url=harzardrecs.php","在离地5米拦焦除尘管道处有一扫帚，假如刮大风时坠落，刚好一名职工路过划伤脸部，造成事故！")</f>
        <v>在离地5米拦焦除尘管道处有一扫帚，假如刮大风时坠落，刚好一名职工路过划伤脸部，造成事故！</v>
      </c>
      <c r="E543" s="19" t="s">
        <v>2402</v>
      </c>
      <c r="F543" s="25" t="s">
        <v>1455</v>
      </c>
      <c r="G543" s="22" t="s">
        <v>63</v>
      </c>
      <c r="H543" s="19" t="s">
        <v>44</v>
      </c>
      <c r="I543" s="19" t="s">
        <v>120</v>
      </c>
      <c r="J543" s="19" t="s">
        <v>349</v>
      </c>
      <c r="K543" s="19" t="s">
        <v>110</v>
      </c>
      <c r="L543" s="19" t="s">
        <v>76</v>
      </c>
      <c r="M543" s="19" t="s">
        <v>121</v>
      </c>
      <c r="N543" s="19" t="s">
        <v>2403</v>
      </c>
      <c r="O543" s="19" t="s">
        <v>121</v>
      </c>
      <c r="P543" s="19" t="s">
        <v>568</v>
      </c>
      <c r="Q543" s="19" t="s">
        <v>2097</v>
      </c>
      <c r="R543" s="19" t="s">
        <v>2404</v>
      </c>
      <c r="S543" s="19"/>
      <c r="T543" s="19" t="s">
        <v>53</v>
      </c>
      <c r="U543" s="19" t="s">
        <v>80</v>
      </c>
      <c r="V543" s="19" t="s">
        <v>97</v>
      </c>
      <c r="W543" s="19" t="s">
        <v>70</v>
      </c>
      <c r="X543" s="19" t="s">
        <v>191</v>
      </c>
      <c r="Y543" s="19"/>
      <c r="Z543" s="19" t="s">
        <v>2405</v>
      </c>
      <c r="AA543" s="19">
        <v>2</v>
      </c>
      <c r="AB543" s="19"/>
      <c r="AC543" s="19" t="s">
        <v>308</v>
      </c>
      <c r="AD543" s="19"/>
      <c r="AE543" s="19"/>
      <c r="AF543" s="19"/>
    </row>
    <row r="544" spans="1:34" customHeight="1" ht="42">
      <c r="A544" s="19">
        <v>538</v>
      </c>
      <c r="B544" s="19" t="s">
        <v>2222</v>
      </c>
      <c r="C544" s="19" t="s">
        <v>1071</v>
      </c>
      <c r="D544" s="19" t="str">
        <f>HYPERLINK("http://www.henontech.com/fieldsafety/harzard/harzard_show.php?rid=18999&amp;url=harzardrecs.php","Voc风机排放塔输水管因震动破裂，废水外溢，对公司内部环境造成影响。")</f>
        <v>Voc风机排放塔输水管因震动破裂，废水外溢，对公司内部环境造成影响。</v>
      </c>
      <c r="E544" s="19" t="s">
        <v>2406</v>
      </c>
      <c r="F544" s="20" t="s">
        <v>42</v>
      </c>
      <c r="G544" s="21" t="s">
        <v>43</v>
      </c>
      <c r="H544" s="19" t="s">
        <v>44</v>
      </c>
      <c r="I544" s="19"/>
      <c r="J544" s="19" t="s">
        <v>46</v>
      </c>
      <c r="K544" s="19"/>
      <c r="L544" s="19"/>
      <c r="M544" s="19" t="s">
        <v>149</v>
      </c>
      <c r="N544" s="19" t="s">
        <v>1073</v>
      </c>
      <c r="O544" s="19" t="s">
        <v>149</v>
      </c>
      <c r="P544" s="19" t="s">
        <v>2407</v>
      </c>
      <c r="Q544" s="19" t="s">
        <v>2408</v>
      </c>
      <c r="R544" s="19" t="s">
        <v>2409</v>
      </c>
      <c r="S544" s="19"/>
      <c r="T544" s="19" t="s">
        <v>393</v>
      </c>
      <c r="U544" s="19" t="s">
        <v>202</v>
      </c>
      <c r="V544" s="19" t="s">
        <v>69</v>
      </c>
      <c r="W544" s="19" t="s">
        <v>56</v>
      </c>
      <c r="X544" s="19" t="s">
        <v>154</v>
      </c>
      <c r="Y544" s="19" t="s">
        <v>154</v>
      </c>
      <c r="Z544" s="19" t="s">
        <v>2410</v>
      </c>
      <c r="AA544" s="19">
        <v>2</v>
      </c>
      <c r="AB544" s="19">
        <v>2</v>
      </c>
      <c r="AC544" s="19" t="s">
        <v>58</v>
      </c>
      <c r="AD544" s="19" t="s">
        <v>2407</v>
      </c>
      <c r="AE544" s="19" t="s">
        <v>2411</v>
      </c>
      <c r="AF544" s="19"/>
    </row>
    <row r="545" spans="1:34" customHeight="1" ht="42">
      <c r="A545" s="19">
        <v>539</v>
      </c>
      <c r="B545" s="19" t="s">
        <v>2222</v>
      </c>
      <c r="C545" s="19" t="s">
        <v>2300</v>
      </c>
      <c r="D545" s="19" t="str">
        <f>HYPERLINK("http://www.henontech.com/fieldsafety/harzard/harzard_show.php?rid=19050&amp;url=harzardrecs.php","煤十挡皮破损，开车时喷煤，造成环境污染")</f>
        <v>煤十挡皮破损，开车时喷煤，造成环境污染</v>
      </c>
      <c r="E545" s="19" t="s">
        <v>393</v>
      </c>
      <c r="F545" s="20" t="s">
        <v>42</v>
      </c>
      <c r="G545" s="22" t="s">
        <v>63</v>
      </c>
      <c r="H545" s="19" t="s">
        <v>44</v>
      </c>
      <c r="I545" s="19" t="s">
        <v>108</v>
      </c>
      <c r="J545" s="19" t="s">
        <v>46</v>
      </c>
      <c r="K545" s="19" t="s">
        <v>64</v>
      </c>
      <c r="L545" s="19"/>
      <c r="M545" s="19" t="s">
        <v>364</v>
      </c>
      <c r="N545" s="19" t="s">
        <v>2412</v>
      </c>
      <c r="O545" s="19" t="s">
        <v>364</v>
      </c>
      <c r="P545" s="19" t="s">
        <v>425</v>
      </c>
      <c r="Q545" s="19" t="s">
        <v>2297</v>
      </c>
      <c r="R545" s="19" t="s">
        <v>2413</v>
      </c>
      <c r="S545" s="19"/>
      <c r="T545" s="19" t="s">
        <v>393</v>
      </c>
      <c r="U545" s="19" t="s">
        <v>202</v>
      </c>
      <c r="V545" s="19" t="s">
        <v>69</v>
      </c>
      <c r="W545" s="19" t="s">
        <v>56</v>
      </c>
      <c r="X545" s="19" t="s">
        <v>126</v>
      </c>
      <c r="Y545" s="19" t="s">
        <v>126</v>
      </c>
      <c r="Z545" s="19" t="s">
        <v>2414</v>
      </c>
      <c r="AA545" s="19">
        <v>2</v>
      </c>
      <c r="AB545" s="19">
        <v>2</v>
      </c>
      <c r="AC545" s="19" t="s">
        <v>58</v>
      </c>
      <c r="AD545" s="19" t="s">
        <v>425</v>
      </c>
      <c r="AE545" s="19" t="s">
        <v>1867</v>
      </c>
      <c r="AF545" s="19"/>
    </row>
    <row r="546" spans="1:34" customHeight="1" ht="42">
      <c r="A546" s="19">
        <v>540</v>
      </c>
      <c r="B546" s="19" t="s">
        <v>2222</v>
      </c>
      <c r="C546" s="19" t="s">
        <v>2300</v>
      </c>
      <c r="D546" s="19" t="str">
        <f>HYPERLINK("http://www.henontech.com/fieldsafety/harzard/harzard_show.php?rid=19051&amp;url=harzardrecs.php","煤十行灯线线路老化，人员使用时易造成电击伤，造成人员伤害")</f>
        <v>煤十行灯线线路老化，人员使用时易造成电击伤，造成人员伤害</v>
      </c>
      <c r="E546" s="19" t="s">
        <v>2415</v>
      </c>
      <c r="F546" s="20" t="s">
        <v>42</v>
      </c>
      <c r="G546" s="22" t="s">
        <v>63</v>
      </c>
      <c r="H546" s="19" t="s">
        <v>44</v>
      </c>
      <c r="I546" s="19" t="s">
        <v>108</v>
      </c>
      <c r="J546" s="19" t="s">
        <v>46</v>
      </c>
      <c r="K546" s="19" t="s">
        <v>110</v>
      </c>
      <c r="L546" s="19" t="s">
        <v>76</v>
      </c>
      <c r="M546" s="19" t="s">
        <v>364</v>
      </c>
      <c r="N546" s="19" t="s">
        <v>2416</v>
      </c>
      <c r="O546" s="19" t="s">
        <v>364</v>
      </c>
      <c r="P546" s="19" t="s">
        <v>425</v>
      </c>
      <c r="Q546" s="19" t="s">
        <v>1801</v>
      </c>
      <c r="R546" s="19" t="s">
        <v>2413</v>
      </c>
      <c r="S546" s="19"/>
      <c r="T546" s="19" t="s">
        <v>53</v>
      </c>
      <c r="U546" s="19" t="s">
        <v>54</v>
      </c>
      <c r="V546" s="19" t="s">
        <v>203</v>
      </c>
      <c r="W546" s="19" t="s">
        <v>56</v>
      </c>
      <c r="X546" s="19" t="s">
        <v>126</v>
      </c>
      <c r="Y546" s="19" t="s">
        <v>126</v>
      </c>
      <c r="Z546" s="19" t="s">
        <v>2417</v>
      </c>
      <c r="AA546" s="19">
        <v>2</v>
      </c>
      <c r="AB546" s="19">
        <v>2</v>
      </c>
      <c r="AC546" s="19" t="s">
        <v>58</v>
      </c>
      <c r="AD546" s="19" t="s">
        <v>425</v>
      </c>
      <c r="AE546" s="19" t="s">
        <v>2222</v>
      </c>
      <c r="AF546" s="19"/>
    </row>
    <row r="547" spans="1:34" customHeight="1" ht="42">
      <c r="A547" s="19">
        <v>541</v>
      </c>
      <c r="B547" s="19" t="s">
        <v>2222</v>
      </c>
      <c r="C547" s="19" t="s">
        <v>422</v>
      </c>
      <c r="D547" s="19" t="str">
        <f>HYPERLINK("http://www.henontech.com/fieldsafety/harzard/harzard_show.php?rid=19060&amp;url=harzardrecs.php","东五机尾刮煤板磨损严重，运行时容易造成划伤，撕裂皮带。")</f>
        <v>东五机尾刮煤板磨损严重，运行时容易造成划伤，撕裂皮带。</v>
      </c>
      <c r="E547" s="19" t="s">
        <v>2418</v>
      </c>
      <c r="F547" s="20" t="s">
        <v>42</v>
      </c>
      <c r="G547" s="22" t="s">
        <v>63</v>
      </c>
      <c r="H547" s="19" t="s">
        <v>44</v>
      </c>
      <c r="I547" s="19" t="s">
        <v>108</v>
      </c>
      <c r="J547" s="19" t="s">
        <v>46</v>
      </c>
      <c r="K547" s="19" t="s">
        <v>64</v>
      </c>
      <c r="L547" s="19"/>
      <c r="M547" s="19" t="s">
        <v>364</v>
      </c>
      <c r="N547" s="19" t="s">
        <v>1693</v>
      </c>
      <c r="O547" s="19" t="s">
        <v>364</v>
      </c>
      <c r="P547" s="19" t="s">
        <v>425</v>
      </c>
      <c r="Q547" s="19" t="s">
        <v>2297</v>
      </c>
      <c r="R547" s="19" t="s">
        <v>2419</v>
      </c>
      <c r="S547" s="19"/>
      <c r="T547" s="19" t="s">
        <v>189</v>
      </c>
      <c r="U547" s="19" t="s">
        <v>54</v>
      </c>
      <c r="V547" s="19" t="s">
        <v>55</v>
      </c>
      <c r="W547" s="19" t="s">
        <v>56</v>
      </c>
      <c r="X547" s="19" t="s">
        <v>126</v>
      </c>
      <c r="Y547" s="19" t="s">
        <v>126</v>
      </c>
      <c r="Z547" s="19" t="s">
        <v>2420</v>
      </c>
      <c r="AA547" s="19">
        <v>2</v>
      </c>
      <c r="AB547" s="19">
        <v>2</v>
      </c>
      <c r="AC547" s="19" t="s">
        <v>58</v>
      </c>
      <c r="AD547" s="19" t="s">
        <v>425</v>
      </c>
      <c r="AE547" s="19" t="s">
        <v>1867</v>
      </c>
      <c r="AF547" s="19"/>
    </row>
    <row r="548" spans="1:34" customHeight="1" ht="42">
      <c r="A548" s="19">
        <v>542</v>
      </c>
      <c r="B548" s="19" t="s">
        <v>2222</v>
      </c>
      <c r="C548" s="19" t="s">
        <v>1964</v>
      </c>
      <c r="D548" s="19" t="str">
        <f>HYPERLINK("http://www.henontech.com/fieldsafety/harzard/harzard_show.php?rid=19062&amp;url=harzardrecs.php","西一皮带机下调心支架腐烂严重，皮带机在运行时，一旦支架脱落，将造成皮带磨损撕裂，影响正常生产。")</f>
        <v>西一皮带机下调心支架腐烂严重，皮带机在运行时，一旦支架脱落，将造成皮带磨损撕裂，影响正常生产。</v>
      </c>
      <c r="E548" s="19" t="s">
        <v>2421</v>
      </c>
      <c r="F548" s="20" t="s">
        <v>42</v>
      </c>
      <c r="G548" s="22" t="s">
        <v>63</v>
      </c>
      <c r="H548" s="19" t="s">
        <v>44</v>
      </c>
      <c r="I548" s="19"/>
      <c r="J548" s="19"/>
      <c r="K548" s="19" t="s">
        <v>110</v>
      </c>
      <c r="L548" s="19"/>
      <c r="M548" s="19" t="s">
        <v>364</v>
      </c>
      <c r="N548" s="19" t="s">
        <v>2422</v>
      </c>
      <c r="O548" s="19" t="s">
        <v>364</v>
      </c>
      <c r="P548" s="19" t="s">
        <v>425</v>
      </c>
      <c r="Q548" s="19" t="s">
        <v>2297</v>
      </c>
      <c r="R548" s="19" t="s">
        <v>2423</v>
      </c>
      <c r="S548" s="19"/>
      <c r="T548" s="19" t="s">
        <v>189</v>
      </c>
      <c r="U548" s="19" t="s">
        <v>202</v>
      </c>
      <c r="V548" s="19" t="s">
        <v>97</v>
      </c>
      <c r="W548" s="19" t="s">
        <v>56</v>
      </c>
      <c r="X548" s="19" t="s">
        <v>126</v>
      </c>
      <c r="Y548" s="19" t="s">
        <v>126</v>
      </c>
      <c r="Z548" s="19" t="s">
        <v>2424</v>
      </c>
      <c r="AA548" s="19">
        <v>2</v>
      </c>
      <c r="AB548" s="19">
        <v>2</v>
      </c>
      <c r="AC548" s="19" t="s">
        <v>58</v>
      </c>
      <c r="AD548" s="19" t="s">
        <v>425</v>
      </c>
      <c r="AE548" s="19" t="s">
        <v>1867</v>
      </c>
      <c r="AF548" s="19"/>
    </row>
    <row r="549" spans="1:34" customHeight="1" ht="42">
      <c r="A549" s="19">
        <v>543</v>
      </c>
      <c r="B549" s="19" t="s">
        <v>2222</v>
      </c>
      <c r="C549" s="19" t="s">
        <v>1722</v>
      </c>
      <c r="D549" s="19" t="str">
        <f>HYPERLINK("http://www.henontech.com/fieldsafety/harzard/harzard_show.php?rid=19069&amp;url=harzardrecs.php","因爬梯无警示牌，一名操作工夜间上煤时，不慎从爬梯滑落到地面，造成左小腿骨折。")</f>
        <v>因爬梯无警示牌，一名操作工夜间上煤时，不慎从爬梯滑落到地面，造成左小腿骨折。</v>
      </c>
      <c r="E549" s="19" t="s">
        <v>2425</v>
      </c>
      <c r="F549" s="25" t="s">
        <v>1455</v>
      </c>
      <c r="G549" s="22" t="s">
        <v>63</v>
      </c>
      <c r="H549" s="19" t="s">
        <v>44</v>
      </c>
      <c r="I549" s="19" t="s">
        <v>45</v>
      </c>
      <c r="J549" s="19" t="s">
        <v>46</v>
      </c>
      <c r="K549" s="19" t="s">
        <v>47</v>
      </c>
      <c r="L549" s="19"/>
      <c r="M549" s="19" t="s">
        <v>1033</v>
      </c>
      <c r="N549" s="19" t="s">
        <v>1940</v>
      </c>
      <c r="O549" s="19" t="s">
        <v>1033</v>
      </c>
      <c r="P549" s="19" t="s">
        <v>1034</v>
      </c>
      <c r="Q549" s="19" t="s">
        <v>2097</v>
      </c>
      <c r="R549" s="19" t="s">
        <v>2426</v>
      </c>
      <c r="S549" s="19"/>
      <c r="T549" s="19" t="s">
        <v>53</v>
      </c>
      <c r="U549" s="19" t="s">
        <v>80</v>
      </c>
      <c r="V549" s="19" t="s">
        <v>97</v>
      </c>
      <c r="W549" s="19" t="s">
        <v>70</v>
      </c>
      <c r="X549" s="19" t="s">
        <v>154</v>
      </c>
      <c r="Y549" s="19"/>
      <c r="Z549" s="19" t="s">
        <v>2123</v>
      </c>
      <c r="AA549" s="19">
        <v>2</v>
      </c>
      <c r="AB549" s="19"/>
      <c r="AC549" s="19" t="s">
        <v>308</v>
      </c>
      <c r="AD549" s="19"/>
      <c r="AE549" s="19"/>
      <c r="AF549" s="19"/>
    </row>
    <row r="550" spans="1:34">
      <c r="A550" s="19">
        <v>544</v>
      </c>
      <c r="B550" s="19" t="s">
        <v>2222</v>
      </c>
      <c r="C550" s="19" t="s">
        <v>1820</v>
      </c>
      <c r="D550" s="19" t="str">
        <f>HYPERLINK("http://www.henontech.com/fieldsafety/harzard/harzard_show.php?rid=19133&amp;url=harzardrecs.php","操作工夜间巡检时不小心掉落水沟")</f>
        <v>操作工夜间巡检时不小心掉落水沟</v>
      </c>
      <c r="E550" s="19" t="s">
        <v>2427</v>
      </c>
      <c r="F550" s="23" t="s">
        <v>304</v>
      </c>
      <c r="G550" s="22" t="s">
        <v>63</v>
      </c>
      <c r="H550" s="19" t="s">
        <v>44</v>
      </c>
      <c r="I550" s="19" t="s">
        <v>108</v>
      </c>
      <c r="J550" s="19" t="s">
        <v>109</v>
      </c>
      <c r="K550" s="19" t="s">
        <v>47</v>
      </c>
      <c r="L550" s="19" t="s">
        <v>76</v>
      </c>
      <c r="M550" s="19" t="s">
        <v>1033</v>
      </c>
      <c r="N550" s="19" t="s">
        <v>1303</v>
      </c>
      <c r="O550" s="19"/>
      <c r="P550" s="19"/>
      <c r="Q550" s="19"/>
      <c r="R550" s="19" t="s">
        <v>2428</v>
      </c>
      <c r="S550" s="19" t="s">
        <v>2429</v>
      </c>
      <c r="T550" s="19" t="s">
        <v>53</v>
      </c>
      <c r="U550" s="19" t="s">
        <v>54</v>
      </c>
      <c r="V550" s="19" t="s">
        <v>55</v>
      </c>
      <c r="W550" s="19" t="s">
        <v>56</v>
      </c>
      <c r="X550" s="19"/>
      <c r="Y550" s="19"/>
      <c r="Z550" s="19"/>
      <c r="AA550" s="19">
        <v>0</v>
      </c>
      <c r="AB550" s="19"/>
      <c r="AC550" s="19" t="s">
        <v>308</v>
      </c>
      <c r="AD550" s="19"/>
      <c r="AE550" s="19"/>
      <c r="AF550" s="19"/>
    </row>
    <row r="551" spans="1:34">
      <c r="A551" s="19">
        <v>545</v>
      </c>
      <c r="B551" s="19" t="s">
        <v>1867</v>
      </c>
      <c r="C551" s="19" t="s">
        <v>74</v>
      </c>
      <c r="D551" s="19" t="str">
        <f>HYPERLINK("http://www.henontech.com/fieldsafety/harzard/harzard_show.php?rid=19233&amp;url=harzardrecs.php","1号熔硫釜温度套管破损，当下雨天气，雨水沿套管进去温度变送器内，造成温度变送器损坏，损失1500元。")</f>
        <v>1号熔硫釜温度套管破损，当下雨天气，雨水沿套管进去温度变送器内，造成温度变送器损坏，损失1500元。</v>
      </c>
      <c r="E551" s="19" t="s">
        <v>2430</v>
      </c>
      <c r="F551" s="20" t="s">
        <v>42</v>
      </c>
      <c r="G551" s="22" t="s">
        <v>63</v>
      </c>
      <c r="H551" s="19" t="s">
        <v>44</v>
      </c>
      <c r="I551" s="19" t="s">
        <v>45</v>
      </c>
      <c r="J551" s="19" t="s">
        <v>109</v>
      </c>
      <c r="K551" s="19" t="s">
        <v>47</v>
      </c>
      <c r="L551" s="19" t="s">
        <v>76</v>
      </c>
      <c r="M551" s="19" t="s">
        <v>48</v>
      </c>
      <c r="N551" s="19" t="s">
        <v>979</v>
      </c>
      <c r="O551" s="19" t="s">
        <v>48</v>
      </c>
      <c r="P551" s="19" t="s">
        <v>50</v>
      </c>
      <c r="Q551" s="19" t="s">
        <v>2259</v>
      </c>
      <c r="R551" s="19" t="s">
        <v>2431</v>
      </c>
      <c r="S551" s="19"/>
      <c r="T551" s="19" t="s">
        <v>189</v>
      </c>
      <c r="U551" s="19" t="s">
        <v>202</v>
      </c>
      <c r="V551" s="19" t="s">
        <v>203</v>
      </c>
      <c r="W551" s="19" t="s">
        <v>56</v>
      </c>
      <c r="X551" s="19"/>
      <c r="Y551" s="19"/>
      <c r="Z551" s="19" t="s">
        <v>2432</v>
      </c>
      <c r="AA551" s="19">
        <v>1</v>
      </c>
      <c r="AB551" s="19">
        <v>1</v>
      </c>
      <c r="AC551" s="19" t="s">
        <v>58</v>
      </c>
      <c r="AD551" s="19" t="s">
        <v>50</v>
      </c>
      <c r="AE551" s="19" t="s">
        <v>1839</v>
      </c>
      <c r="AF551" s="19"/>
    </row>
    <row r="552" spans="1:34" customHeight="1" ht="42">
      <c r="A552" s="19">
        <v>546</v>
      </c>
      <c r="B552" s="19" t="s">
        <v>1867</v>
      </c>
      <c r="C552" s="19" t="s">
        <v>1903</v>
      </c>
      <c r="D552" s="19" t="str">
        <f>HYPERLINK("http://www.henontech.com/fieldsafety/harzard/harzard_show.php?rid=19252&amp;url=harzardrecs.php","东四下调心站滚掉落，皮带运转时，一旦偏带时容易造成皮带划伤")</f>
        <v>东四下调心站滚掉落，皮带运转时，一旦偏带时容易造成皮带划伤</v>
      </c>
      <c r="E552" s="19" t="s">
        <v>2305</v>
      </c>
      <c r="F552" s="20" t="s">
        <v>42</v>
      </c>
      <c r="G552" s="22" t="s">
        <v>63</v>
      </c>
      <c r="H552" s="19" t="s">
        <v>44</v>
      </c>
      <c r="I552" s="19" t="s">
        <v>108</v>
      </c>
      <c r="J552" s="19" t="s">
        <v>46</v>
      </c>
      <c r="K552" s="19" t="s">
        <v>64</v>
      </c>
      <c r="L552" s="19" t="s">
        <v>76</v>
      </c>
      <c r="M552" s="19" t="s">
        <v>364</v>
      </c>
      <c r="N552" s="19" t="s">
        <v>2433</v>
      </c>
      <c r="O552" s="19" t="s">
        <v>364</v>
      </c>
      <c r="P552" s="19" t="s">
        <v>425</v>
      </c>
      <c r="Q552" s="19" t="s">
        <v>1959</v>
      </c>
      <c r="R552" s="19" t="s">
        <v>2290</v>
      </c>
      <c r="S552" s="19"/>
      <c r="T552" s="19" t="s">
        <v>189</v>
      </c>
      <c r="U552" s="19" t="s">
        <v>202</v>
      </c>
      <c r="V552" s="19" t="s">
        <v>55</v>
      </c>
      <c r="W552" s="19" t="s">
        <v>56</v>
      </c>
      <c r="X552" s="19" t="s">
        <v>126</v>
      </c>
      <c r="Y552" s="19" t="s">
        <v>126</v>
      </c>
      <c r="Z552" s="19" t="s">
        <v>2434</v>
      </c>
      <c r="AA552" s="19">
        <v>2</v>
      </c>
      <c r="AB552" s="19">
        <v>2</v>
      </c>
      <c r="AC552" s="19" t="s">
        <v>58</v>
      </c>
      <c r="AD552" s="19" t="s">
        <v>425</v>
      </c>
      <c r="AE552" s="19" t="s">
        <v>1798</v>
      </c>
      <c r="AF552" s="19"/>
    </row>
    <row r="553" spans="1:34" customHeight="1" ht="42">
      <c r="A553" s="19">
        <v>547</v>
      </c>
      <c r="B553" s="19" t="s">
        <v>1867</v>
      </c>
      <c r="C553" s="19" t="s">
        <v>1770</v>
      </c>
      <c r="D553" s="19" t="str">
        <f>HYPERLINK("http://www.henontech.com/fieldsafety/harzard/harzard_show.php?rid=19257&amp;url=harzardrecs.php","稠厚器上部杂乱，中班1名巡检人员在上去巡检时，被伴倒胳膊擦伤去医务室上药后回来继续工作。")</f>
        <v>稠厚器上部杂乱，中班1名巡检人员在上去巡检时，被伴倒胳膊擦伤去医务室上药后回来继续工作。</v>
      </c>
      <c r="E553" s="19" t="s">
        <v>2435</v>
      </c>
      <c r="F553" s="25" t="s">
        <v>1455</v>
      </c>
      <c r="G553" s="22" t="s">
        <v>63</v>
      </c>
      <c r="H553" s="19" t="s">
        <v>44</v>
      </c>
      <c r="I553" s="19" t="s">
        <v>45</v>
      </c>
      <c r="J553" s="19" t="s">
        <v>46</v>
      </c>
      <c r="K553" s="19" t="s">
        <v>47</v>
      </c>
      <c r="L553" s="19"/>
      <c r="M553" s="19" t="s">
        <v>1033</v>
      </c>
      <c r="N553" s="19" t="s">
        <v>1047</v>
      </c>
      <c r="O553" s="19" t="s">
        <v>1033</v>
      </c>
      <c r="P553" s="19" t="s">
        <v>1153</v>
      </c>
      <c r="Q553" s="19" t="s">
        <v>2097</v>
      </c>
      <c r="R553" s="19" t="s">
        <v>1751</v>
      </c>
      <c r="S553" s="19"/>
      <c r="T553" s="19" t="s">
        <v>53</v>
      </c>
      <c r="U553" s="19" t="s">
        <v>54</v>
      </c>
      <c r="V553" s="19" t="s">
        <v>97</v>
      </c>
      <c r="W553" s="19" t="s">
        <v>81</v>
      </c>
      <c r="X553" s="19" t="s">
        <v>154</v>
      </c>
      <c r="Y553" s="19"/>
      <c r="Z553" s="19" t="s">
        <v>2436</v>
      </c>
      <c r="AA553" s="19">
        <v>2</v>
      </c>
      <c r="AB553" s="19"/>
      <c r="AC553" s="19" t="s">
        <v>308</v>
      </c>
      <c r="AD553" s="19"/>
      <c r="AE553" s="19"/>
      <c r="AF553" s="19"/>
    </row>
    <row r="554" spans="1:34">
      <c r="A554" s="19">
        <v>548</v>
      </c>
      <c r="B554" s="19" t="s">
        <v>1867</v>
      </c>
      <c r="C554" s="19" t="s">
        <v>1964</v>
      </c>
      <c r="D554" s="19" t="str">
        <f>HYPERLINK("http://www.henontech.com/fieldsafety/harzard/harzard_show.php?rid=19445&amp;url=harzardrecs.php","西五皮带机下调芯托辊损坏，一旦不及时更换容易造成皮带划伤")</f>
        <v>西五皮带机下调芯托辊损坏，一旦不及时更换容易造成皮带划伤</v>
      </c>
      <c r="E554" s="19" t="s">
        <v>2305</v>
      </c>
      <c r="F554" s="20" t="s">
        <v>42</v>
      </c>
      <c r="G554" s="21" t="s">
        <v>43</v>
      </c>
      <c r="H554" s="19" t="s">
        <v>44</v>
      </c>
      <c r="I554" s="19" t="s">
        <v>45</v>
      </c>
      <c r="J554" s="19"/>
      <c r="K554" s="19"/>
      <c r="L554" s="19" t="s">
        <v>76</v>
      </c>
      <c r="M554" s="19" t="s">
        <v>364</v>
      </c>
      <c r="N554" s="19" t="s">
        <v>2437</v>
      </c>
      <c r="O554" s="19" t="s">
        <v>364</v>
      </c>
      <c r="P554" s="19" t="s">
        <v>1687</v>
      </c>
      <c r="Q554" s="19" t="s">
        <v>2438</v>
      </c>
      <c r="R554" s="19" t="s">
        <v>2128</v>
      </c>
      <c r="S554" s="19"/>
      <c r="T554" s="19" t="s">
        <v>189</v>
      </c>
      <c r="U554" s="19" t="s">
        <v>202</v>
      </c>
      <c r="V554" s="19" t="s">
        <v>97</v>
      </c>
      <c r="W554" s="19" t="s">
        <v>56</v>
      </c>
      <c r="X554" s="19"/>
      <c r="Y554" s="19"/>
      <c r="Z554" s="19" t="s">
        <v>2439</v>
      </c>
      <c r="AA554" s="19">
        <v>1</v>
      </c>
      <c r="AB554" s="19">
        <v>1</v>
      </c>
      <c r="AC554" s="19" t="s">
        <v>58</v>
      </c>
      <c r="AD554" s="19" t="s">
        <v>1687</v>
      </c>
      <c r="AE554" s="19" t="s">
        <v>1503</v>
      </c>
      <c r="AF554" s="19"/>
    </row>
    <row r="555" spans="1:34">
      <c r="A555" s="19">
        <v>549</v>
      </c>
      <c r="B555" s="19" t="s">
        <v>1867</v>
      </c>
      <c r="C555" s="19" t="s">
        <v>252</v>
      </c>
      <c r="D555" s="19" t="str">
        <f>HYPERLINK("http://www.henontech.com/fieldsafety/harzard/harzard_show.php?rid=19448&amp;url=harzardrecs.php","一名操作人员，在清理汽机7米卫生时，因操作不当，被励磁防护罩边缘划伤，送医务室包扎处理！")</f>
        <v>一名操作人员，在清理汽机7米卫生时，因操作不当，被励磁防护罩边缘划伤，送医务室包扎处理！</v>
      </c>
      <c r="E555" s="19" t="s">
        <v>2440</v>
      </c>
      <c r="F555" s="20" t="s">
        <v>42</v>
      </c>
      <c r="G555" s="22" t="s">
        <v>63</v>
      </c>
      <c r="H555" s="19" t="s">
        <v>44</v>
      </c>
      <c r="I555" s="19" t="s">
        <v>358</v>
      </c>
      <c r="J555" s="19" t="s">
        <v>46</v>
      </c>
      <c r="K555" s="19"/>
      <c r="L555" s="19"/>
      <c r="M555" s="19" t="s">
        <v>121</v>
      </c>
      <c r="N555" s="19" t="s">
        <v>958</v>
      </c>
      <c r="O555" s="19" t="s">
        <v>121</v>
      </c>
      <c r="P555" s="19" t="s">
        <v>233</v>
      </c>
      <c r="Q555" s="19" t="s">
        <v>2441</v>
      </c>
      <c r="R555" s="19" t="s">
        <v>824</v>
      </c>
      <c r="S555" s="19" t="s">
        <v>2442</v>
      </c>
      <c r="T555" s="19" t="s">
        <v>53</v>
      </c>
      <c r="U555" s="19" t="s">
        <v>54</v>
      </c>
      <c r="V555" s="19" t="s">
        <v>55</v>
      </c>
      <c r="W555" s="19" t="s">
        <v>56</v>
      </c>
      <c r="X555" s="19" t="s">
        <v>154</v>
      </c>
      <c r="Y555" s="19"/>
      <c r="Z555" s="19" t="s">
        <v>2443</v>
      </c>
      <c r="AA555" s="19">
        <v>1</v>
      </c>
      <c r="AB555" s="19">
        <v>1</v>
      </c>
      <c r="AC555" s="19" t="s">
        <v>58</v>
      </c>
      <c r="AD555" s="19" t="s">
        <v>233</v>
      </c>
      <c r="AE555" s="19" t="s">
        <v>2411</v>
      </c>
      <c r="AF555" s="19" t="s">
        <v>2444</v>
      </c>
    </row>
    <row r="556" spans="1:34">
      <c r="A556" s="19">
        <v>550</v>
      </c>
      <c r="B556" s="19" t="s">
        <v>1867</v>
      </c>
      <c r="C556" s="19" t="s">
        <v>824</v>
      </c>
      <c r="D556" s="19" t="str">
        <f>HYPERLINK("http://www.henontech.com/fieldsafety/harzard/harzard_show.php?rid=19449&amp;url=harzardrecs.php","2#减温减压安全阀排空管支撑架过长，一巡检人员巡检至减温减压时，被支撑架刮伤左肩上部，送医务室治疗。")</f>
        <v>2#减温减压安全阀排空管支撑架过长，一巡检人员巡检至减温减压时，被支撑架刮伤左肩上部，送医务室治疗。</v>
      </c>
      <c r="E556" s="19" t="s">
        <v>2445</v>
      </c>
      <c r="F556" s="20" t="s">
        <v>42</v>
      </c>
      <c r="G556" s="22" t="s">
        <v>63</v>
      </c>
      <c r="H556" s="19" t="s">
        <v>44</v>
      </c>
      <c r="I556" s="19" t="s">
        <v>45</v>
      </c>
      <c r="J556" s="19" t="s">
        <v>109</v>
      </c>
      <c r="K556" s="19"/>
      <c r="L556" s="19"/>
      <c r="M556" s="19" t="s">
        <v>121</v>
      </c>
      <c r="N556" s="19" t="s">
        <v>1082</v>
      </c>
      <c r="O556" s="19" t="s">
        <v>121</v>
      </c>
      <c r="P556" s="19" t="s">
        <v>233</v>
      </c>
      <c r="Q556" s="19" t="s">
        <v>2441</v>
      </c>
      <c r="R556" s="19" t="s">
        <v>2446</v>
      </c>
      <c r="S556" s="19" t="s">
        <v>2447</v>
      </c>
      <c r="T556" s="19" t="s">
        <v>53</v>
      </c>
      <c r="U556" s="19" t="s">
        <v>80</v>
      </c>
      <c r="V556" s="19" t="s">
        <v>55</v>
      </c>
      <c r="W556" s="19" t="s">
        <v>81</v>
      </c>
      <c r="X556" s="19" t="s">
        <v>191</v>
      </c>
      <c r="Y556" s="19"/>
      <c r="Z556" s="19" t="s">
        <v>2448</v>
      </c>
      <c r="AA556" s="19">
        <v>1</v>
      </c>
      <c r="AB556" s="19">
        <v>1</v>
      </c>
      <c r="AC556" s="19" t="s">
        <v>58</v>
      </c>
      <c r="AD556" s="19" t="s">
        <v>233</v>
      </c>
      <c r="AE556" s="19" t="s">
        <v>2411</v>
      </c>
      <c r="AF556" s="19" t="s">
        <v>2449</v>
      </c>
    </row>
    <row r="557" spans="1:34">
      <c r="A557" s="19">
        <v>551</v>
      </c>
      <c r="B557" s="19" t="s">
        <v>1867</v>
      </c>
      <c r="C557" s="19" t="s">
        <v>1903</v>
      </c>
      <c r="D557" s="19" t="str">
        <f>HYPERLINK("http://www.henontech.com/fieldsafety/harzard/harzard_show.php?rid=19452&amp;url=harzardrecs.php","岗位人员使用后的拖把随手放在电机上，一旦拖把上有水会使电机烧毁或者漏电造成人员触电")</f>
        <v>岗位人员使用后的拖把随手放在电机上，一旦拖把上有水会使电机烧毁或者漏电造成人员触电</v>
      </c>
      <c r="E557" s="19" t="s">
        <v>2450</v>
      </c>
      <c r="F557" s="20" t="s">
        <v>42</v>
      </c>
      <c r="G557" s="21" t="s">
        <v>43</v>
      </c>
      <c r="H557" s="19" t="s">
        <v>44</v>
      </c>
      <c r="I557" s="19" t="s">
        <v>45</v>
      </c>
      <c r="J557" s="19"/>
      <c r="K557" s="19"/>
      <c r="L557" s="19" t="s">
        <v>76</v>
      </c>
      <c r="M557" s="19" t="s">
        <v>364</v>
      </c>
      <c r="N557" s="19" t="s">
        <v>2451</v>
      </c>
      <c r="O557" s="19" t="s">
        <v>364</v>
      </c>
      <c r="P557" s="19" t="s">
        <v>1687</v>
      </c>
      <c r="Q557" s="19" t="s">
        <v>2438</v>
      </c>
      <c r="R557" s="19" t="s">
        <v>2290</v>
      </c>
      <c r="S557" s="19"/>
      <c r="T557" s="19" t="s">
        <v>53</v>
      </c>
      <c r="U557" s="19" t="s">
        <v>202</v>
      </c>
      <c r="V557" s="19" t="s">
        <v>97</v>
      </c>
      <c r="W557" s="19" t="s">
        <v>56</v>
      </c>
      <c r="X557" s="19"/>
      <c r="Y557" s="19"/>
      <c r="Z557" s="19" t="s">
        <v>2452</v>
      </c>
      <c r="AA557" s="19">
        <v>1</v>
      </c>
      <c r="AB557" s="19">
        <v>1</v>
      </c>
      <c r="AC557" s="19" t="s">
        <v>58</v>
      </c>
      <c r="AD557" s="19" t="s">
        <v>1687</v>
      </c>
      <c r="AE557" s="19" t="s">
        <v>1886</v>
      </c>
      <c r="AF557" s="19"/>
    </row>
    <row r="558" spans="1:34">
      <c r="A558" s="19">
        <v>552</v>
      </c>
      <c r="B558" s="19" t="s">
        <v>1867</v>
      </c>
      <c r="C558" s="19" t="s">
        <v>2453</v>
      </c>
      <c r="D558" s="19" t="str">
        <f>HYPERLINK("http://www.henontech.com/fieldsafety/harzard/harzard_show.php?rid=19455&amp;url=harzardrecs.php","4号减温减压后电动阀保温缺失，人员巡检至此处时，手臂不慎碰触到高温阀门，送医治疗。")</f>
        <v>4号减温减压后电动阀保温缺失，人员巡检至此处时，手臂不慎碰触到高温阀门，送医治疗。</v>
      </c>
      <c r="E558" s="19" t="s">
        <v>2454</v>
      </c>
      <c r="F558" s="20" t="s">
        <v>42</v>
      </c>
      <c r="G558" s="22" t="s">
        <v>63</v>
      </c>
      <c r="H558" s="19" t="s">
        <v>44</v>
      </c>
      <c r="I558" s="19" t="s">
        <v>120</v>
      </c>
      <c r="J558" s="19" t="s">
        <v>109</v>
      </c>
      <c r="K558" s="19" t="s">
        <v>110</v>
      </c>
      <c r="L558" s="19" t="s">
        <v>76</v>
      </c>
      <c r="M558" s="19" t="s">
        <v>121</v>
      </c>
      <c r="N558" s="19" t="s">
        <v>289</v>
      </c>
      <c r="O558" s="19" t="s">
        <v>121</v>
      </c>
      <c r="P558" s="19" t="s">
        <v>289</v>
      </c>
      <c r="Q558" s="19" t="s">
        <v>2441</v>
      </c>
      <c r="R558" s="19" t="s">
        <v>2455</v>
      </c>
      <c r="S558" s="19" t="s">
        <v>2456</v>
      </c>
      <c r="T558" s="19" t="s">
        <v>53</v>
      </c>
      <c r="U558" s="19" t="s">
        <v>80</v>
      </c>
      <c r="V558" s="19" t="s">
        <v>97</v>
      </c>
      <c r="W558" s="19" t="s">
        <v>70</v>
      </c>
      <c r="X558" s="19" t="s">
        <v>154</v>
      </c>
      <c r="Y558" s="19"/>
      <c r="Z558" s="19" t="s">
        <v>2457</v>
      </c>
      <c r="AA558" s="19">
        <v>1</v>
      </c>
      <c r="AB558" s="19">
        <v>1</v>
      </c>
      <c r="AC558" s="19" t="s">
        <v>58</v>
      </c>
      <c r="AD558" s="19" t="s">
        <v>289</v>
      </c>
      <c r="AE558" s="19" t="s">
        <v>2411</v>
      </c>
      <c r="AF558" s="19" t="s">
        <v>2458</v>
      </c>
    </row>
    <row r="559" spans="1:34">
      <c r="A559" s="19">
        <v>553</v>
      </c>
      <c r="B559" s="19" t="s">
        <v>1867</v>
      </c>
      <c r="C559" s="19" t="s">
        <v>252</v>
      </c>
      <c r="D559" s="19" t="str">
        <f>HYPERLINK("http://www.henontech.com/fieldsafety/harzard/harzard_show.php?rid=19456&amp;url=harzardrecs.php","主控楼化验室自来水水管边缘锋利，化验人员清洗手部时，不慎划伤左手拇指，送医务室包扎。")</f>
        <v>主控楼化验室自来水水管边缘锋利，化验人员清洗手部时，不慎划伤左手拇指，送医务室包扎。</v>
      </c>
      <c r="E559" s="19" t="s">
        <v>2459</v>
      </c>
      <c r="F559" s="20" t="s">
        <v>42</v>
      </c>
      <c r="G559" s="22" t="s">
        <v>63</v>
      </c>
      <c r="H559" s="19" t="s">
        <v>44</v>
      </c>
      <c r="I559" s="19" t="s">
        <v>108</v>
      </c>
      <c r="J559" s="19" t="s">
        <v>46</v>
      </c>
      <c r="K559" s="19" t="s">
        <v>110</v>
      </c>
      <c r="L559" s="19" t="s">
        <v>76</v>
      </c>
      <c r="M559" s="19" t="s">
        <v>121</v>
      </c>
      <c r="N559" s="19" t="s">
        <v>862</v>
      </c>
      <c r="O559" s="19" t="s">
        <v>121</v>
      </c>
      <c r="P559" s="19" t="s">
        <v>233</v>
      </c>
      <c r="Q559" s="19" t="s">
        <v>2441</v>
      </c>
      <c r="R559" s="19" t="s">
        <v>2460</v>
      </c>
      <c r="S559" s="19" t="s">
        <v>2461</v>
      </c>
      <c r="T559" s="19" t="s">
        <v>53</v>
      </c>
      <c r="U559" s="19" t="s">
        <v>80</v>
      </c>
      <c r="V559" s="19" t="s">
        <v>97</v>
      </c>
      <c r="W559" s="19" t="s">
        <v>70</v>
      </c>
      <c r="X559" s="19" t="s">
        <v>126</v>
      </c>
      <c r="Y559" s="19"/>
      <c r="Z559" s="19" t="s">
        <v>2462</v>
      </c>
      <c r="AA559" s="19">
        <v>1</v>
      </c>
      <c r="AB559" s="19">
        <v>1</v>
      </c>
      <c r="AC559" s="19" t="s">
        <v>58</v>
      </c>
      <c r="AD559" s="19" t="s">
        <v>233</v>
      </c>
      <c r="AE559" s="19" t="s">
        <v>2411</v>
      </c>
      <c r="AF559" s="19" t="s">
        <v>2463</v>
      </c>
    </row>
    <row r="560" spans="1:34">
      <c r="A560" s="19">
        <v>554</v>
      </c>
      <c r="B560" s="19" t="s">
        <v>1801</v>
      </c>
      <c r="C560" s="19" t="s">
        <v>955</v>
      </c>
      <c r="D560" s="19" t="str">
        <f>HYPERLINK("http://www.henontech.com/fieldsafety/harzard/harzard_show.php?rid=19530&amp;url=harzardrecs.php","粗苯计量槽西框架爬梯护笼腐蚀缺失，假如一名操作工上下爬梯时由于爬梯护笼缺失，护笼未能起到防护作用导致一名操作人员从爬梯坠落造成左脚脚腕崴伤，去医院治疗7天在家休息7天后正常上班损工14天")</f>
        <v>粗苯计量槽西框架爬梯护笼腐蚀缺失，假如一名操作工上下爬梯时由于爬梯护笼缺失，护笼未能起到防护作用导致一名操作人员从爬梯坠落造成左脚脚腕崴伤，去医院治疗7天在家休息7天后正常上班损工14天</v>
      </c>
      <c r="E560" s="19" t="s">
        <v>2464</v>
      </c>
      <c r="F560" s="20" t="s">
        <v>42</v>
      </c>
      <c r="G560" s="22" t="s">
        <v>63</v>
      </c>
      <c r="H560" s="19" t="s">
        <v>44</v>
      </c>
      <c r="I560" s="19" t="s">
        <v>108</v>
      </c>
      <c r="J560" s="19" t="s">
        <v>349</v>
      </c>
      <c r="K560" s="19" t="s">
        <v>47</v>
      </c>
      <c r="L560" s="19" t="s">
        <v>76</v>
      </c>
      <c r="M560" s="19" t="s">
        <v>48</v>
      </c>
      <c r="N560" s="19" t="s">
        <v>585</v>
      </c>
      <c r="O560" s="19" t="s">
        <v>48</v>
      </c>
      <c r="P560" s="19" t="s">
        <v>50</v>
      </c>
      <c r="Q560" s="19" t="s">
        <v>2259</v>
      </c>
      <c r="R560" s="19" t="s">
        <v>2465</v>
      </c>
      <c r="S560" s="19"/>
      <c r="T560" s="19" t="s">
        <v>53</v>
      </c>
      <c r="U560" s="19" t="s">
        <v>80</v>
      </c>
      <c r="V560" s="19" t="s">
        <v>97</v>
      </c>
      <c r="W560" s="19" t="s">
        <v>70</v>
      </c>
      <c r="X560" s="19"/>
      <c r="Y560" s="19"/>
      <c r="Z560" s="19" t="s">
        <v>2466</v>
      </c>
      <c r="AA560" s="19">
        <v>1</v>
      </c>
      <c r="AB560" s="19">
        <v>1</v>
      </c>
      <c r="AC560" s="19" t="s">
        <v>58</v>
      </c>
      <c r="AD560" s="19" t="s">
        <v>50</v>
      </c>
      <c r="AE560" s="19" t="s">
        <v>2467</v>
      </c>
      <c r="AF560" s="19"/>
    </row>
    <row r="561" spans="1:34">
      <c r="A561" s="19">
        <v>555</v>
      </c>
      <c r="B561" s="19" t="s">
        <v>1801</v>
      </c>
      <c r="C561" s="19" t="s">
        <v>927</v>
      </c>
      <c r="D561" s="19" t="str">
        <f>HYPERLINK("http://www.henontech.com/fieldsafety/harzard/harzard_show.php?rid=19536&amp;url=harzardrecs.php","外来施工人员在动火切割作业时动火点与气瓶距离不足十米，如果气瓶有漏气现象会造成着火人员右手轻度烧伤，去医务室处理后继续工作")</f>
        <v>外来施工人员在动火切割作业时动火点与气瓶距离不足十米，如果气瓶有漏气现象会造成着火人员右手轻度烧伤，去医务室处理后继续工作</v>
      </c>
      <c r="E561" s="19" t="s">
        <v>2468</v>
      </c>
      <c r="F561" s="20" t="s">
        <v>42</v>
      </c>
      <c r="G561" s="22" t="s">
        <v>63</v>
      </c>
      <c r="H561" s="19" t="s">
        <v>44</v>
      </c>
      <c r="I561" s="19" t="s">
        <v>184</v>
      </c>
      <c r="J561" s="19" t="s">
        <v>2469</v>
      </c>
      <c r="K561" s="19" t="s">
        <v>47</v>
      </c>
      <c r="L561" s="19" t="s">
        <v>76</v>
      </c>
      <c r="M561" s="19" t="s">
        <v>48</v>
      </c>
      <c r="N561" s="19" t="s">
        <v>2470</v>
      </c>
      <c r="O561" s="19" t="s">
        <v>48</v>
      </c>
      <c r="P561" s="19" t="s">
        <v>50</v>
      </c>
      <c r="Q561" s="19" t="s">
        <v>2259</v>
      </c>
      <c r="R561" s="19" t="s">
        <v>2471</v>
      </c>
      <c r="S561" s="19"/>
      <c r="T561" s="19" t="s">
        <v>53</v>
      </c>
      <c r="U561" s="19" t="s">
        <v>202</v>
      </c>
      <c r="V561" s="19" t="s">
        <v>55</v>
      </c>
      <c r="W561" s="19" t="s">
        <v>56</v>
      </c>
      <c r="X561" s="19"/>
      <c r="Y561" s="19"/>
      <c r="Z561" s="19" t="s">
        <v>2472</v>
      </c>
      <c r="AA561" s="19">
        <v>1</v>
      </c>
      <c r="AB561" s="19">
        <v>1</v>
      </c>
      <c r="AC561" s="19" t="s">
        <v>58</v>
      </c>
      <c r="AD561" s="19" t="s">
        <v>50</v>
      </c>
      <c r="AE561" s="19" t="s">
        <v>1839</v>
      </c>
      <c r="AF561" s="19"/>
    </row>
    <row r="562" spans="1:34">
      <c r="A562" s="19">
        <v>556</v>
      </c>
      <c r="B562" s="19" t="s">
        <v>1801</v>
      </c>
      <c r="C562" s="19" t="s">
        <v>2453</v>
      </c>
      <c r="D562" s="19" t="str">
        <f>HYPERLINK("http://www.henontech.com/fieldsafety/harzard/harzard_show.php?rid=19570&amp;url=harzardrecs.php","均压箱溢流管道保温缺失，巡检人员在此操作阀门时，右小腿不慎碰触高温管道，右小腿烫伤，送医治疗，损工七天。")</f>
        <v>均压箱溢流管道保温缺失，巡检人员在此操作阀门时，右小腿不慎碰触高温管道，右小腿烫伤，送医治疗，损工七天。</v>
      </c>
      <c r="E562" s="19" t="s">
        <v>2473</v>
      </c>
      <c r="F562" s="20" t="s">
        <v>42</v>
      </c>
      <c r="G562" s="22" t="s">
        <v>63</v>
      </c>
      <c r="H562" s="19" t="s">
        <v>44</v>
      </c>
      <c r="I562" s="19" t="s">
        <v>108</v>
      </c>
      <c r="J562" s="19" t="s">
        <v>46</v>
      </c>
      <c r="K562" s="19" t="s">
        <v>110</v>
      </c>
      <c r="L562" s="19" t="s">
        <v>76</v>
      </c>
      <c r="M562" s="19" t="s">
        <v>121</v>
      </c>
      <c r="N562" s="19" t="s">
        <v>827</v>
      </c>
      <c r="O562" s="19" t="s">
        <v>121</v>
      </c>
      <c r="P562" s="19" t="s">
        <v>233</v>
      </c>
      <c r="Q562" s="19" t="s">
        <v>2441</v>
      </c>
      <c r="R562" s="19" t="s">
        <v>2474</v>
      </c>
      <c r="S562" s="19" t="s">
        <v>2475</v>
      </c>
      <c r="T562" s="19" t="s">
        <v>53</v>
      </c>
      <c r="U562" s="19" t="s">
        <v>80</v>
      </c>
      <c r="V562" s="19" t="s">
        <v>97</v>
      </c>
      <c r="W562" s="19" t="s">
        <v>70</v>
      </c>
      <c r="X562" s="19" t="s">
        <v>154</v>
      </c>
      <c r="Y562" s="19"/>
      <c r="Z562" s="19" t="s">
        <v>2457</v>
      </c>
      <c r="AA562" s="19">
        <v>1</v>
      </c>
      <c r="AB562" s="19">
        <v>1</v>
      </c>
      <c r="AC562" s="19" t="s">
        <v>58</v>
      </c>
      <c r="AD562" s="19" t="s">
        <v>233</v>
      </c>
      <c r="AE562" s="19" t="s">
        <v>2411</v>
      </c>
      <c r="AF562" s="19" t="s">
        <v>2476</v>
      </c>
    </row>
    <row r="563" spans="1:34" customHeight="1" ht="42">
      <c r="A563" s="19">
        <v>557</v>
      </c>
      <c r="B563" s="19" t="s">
        <v>1897</v>
      </c>
      <c r="C563" s="19" t="s">
        <v>374</v>
      </c>
      <c r="D563" s="19" t="str">
        <f>HYPERLINK("http://www.henontech.com/fieldsafety/harzard/harzard_show.php?rid=19588&amp;url=harzardrecs.php","西三楼道照明灯损坏 操作工上下楼梯时 不慎踩空摔倒 造成右前臂骨折送医院治疗住院一个月在家修养91天")</f>
        <v>西三楼道照明灯损坏 操作工上下楼梯时 不慎踩空摔倒 造成右前臂骨折送医院治疗住院一个月在家修养91天</v>
      </c>
      <c r="E563" s="19" t="s">
        <v>2477</v>
      </c>
      <c r="F563" s="20" t="s">
        <v>42</v>
      </c>
      <c r="G563" s="22" t="s">
        <v>63</v>
      </c>
      <c r="H563" s="19" t="s">
        <v>44</v>
      </c>
      <c r="I563" s="19" t="s">
        <v>45</v>
      </c>
      <c r="J563" s="19"/>
      <c r="K563" s="19" t="s">
        <v>64</v>
      </c>
      <c r="L563" s="19" t="s">
        <v>76</v>
      </c>
      <c r="M563" s="19" t="s">
        <v>364</v>
      </c>
      <c r="N563" s="19" t="s">
        <v>2478</v>
      </c>
      <c r="O563" s="19" t="s">
        <v>364</v>
      </c>
      <c r="P563" s="19" t="s">
        <v>2479</v>
      </c>
      <c r="Q563" s="19" t="s">
        <v>2097</v>
      </c>
      <c r="R563" s="19" t="s">
        <v>2480</v>
      </c>
      <c r="S563" s="19"/>
      <c r="T563" s="19" t="s">
        <v>53</v>
      </c>
      <c r="U563" s="19" t="s">
        <v>80</v>
      </c>
      <c r="V563" s="19" t="s">
        <v>55</v>
      </c>
      <c r="W563" s="19" t="s">
        <v>81</v>
      </c>
      <c r="X563" s="19"/>
      <c r="Y563" s="19"/>
      <c r="Z563" s="19" t="s">
        <v>2481</v>
      </c>
      <c r="AA563" s="19">
        <v>2</v>
      </c>
      <c r="AB563" s="19">
        <v>2</v>
      </c>
      <c r="AC563" s="19" t="s">
        <v>58</v>
      </c>
      <c r="AD563" s="19" t="s">
        <v>2479</v>
      </c>
      <c r="AE563" s="19" t="s">
        <v>2482</v>
      </c>
      <c r="AF563" s="19"/>
    </row>
    <row r="564" spans="1:34">
      <c r="A564" s="19">
        <v>558</v>
      </c>
      <c r="B564" s="19" t="s">
        <v>1897</v>
      </c>
      <c r="C564" s="19" t="s">
        <v>422</v>
      </c>
      <c r="D564" s="19" t="str">
        <f>HYPERLINK("http://www.henontech.com/fieldsafety/harzard/harzard_show.php?rid=19589&amp;url=harzardrecs.php","东二斜桥爬梯处照明灯损坏 操作工过爬梯是看不清脚下踩空摔倒 扭伤右脚脚踝 休息一会不影响工作")</f>
        <v>东二斜桥爬梯处照明灯损坏 操作工过爬梯是看不清脚下踩空摔倒 扭伤右脚脚踝 休息一会不影响工作</v>
      </c>
      <c r="E564" s="19" t="s">
        <v>2483</v>
      </c>
      <c r="F564" s="20" t="s">
        <v>42</v>
      </c>
      <c r="G564" s="22" t="s">
        <v>63</v>
      </c>
      <c r="H564" s="19" t="s">
        <v>44</v>
      </c>
      <c r="I564" s="19" t="s">
        <v>45</v>
      </c>
      <c r="J564" s="19"/>
      <c r="K564" s="19" t="s">
        <v>64</v>
      </c>
      <c r="L564" s="19" t="s">
        <v>76</v>
      </c>
      <c r="M564" s="19" t="s">
        <v>364</v>
      </c>
      <c r="N564" s="19" t="s">
        <v>2484</v>
      </c>
      <c r="O564" s="19" t="s">
        <v>364</v>
      </c>
      <c r="P564" s="19" t="s">
        <v>2479</v>
      </c>
      <c r="Q564" s="19" t="s">
        <v>2097</v>
      </c>
      <c r="R564" s="19" t="s">
        <v>2485</v>
      </c>
      <c r="S564" s="19"/>
      <c r="T564" s="19" t="s">
        <v>53</v>
      </c>
      <c r="U564" s="19" t="s">
        <v>54</v>
      </c>
      <c r="V564" s="19" t="s">
        <v>55</v>
      </c>
      <c r="W564" s="19" t="s">
        <v>56</v>
      </c>
      <c r="X564" s="19"/>
      <c r="Y564" s="19"/>
      <c r="Z564" s="19" t="s">
        <v>2486</v>
      </c>
      <c r="AA564" s="19">
        <v>1</v>
      </c>
      <c r="AB564" s="19">
        <v>1</v>
      </c>
      <c r="AC564" s="19" t="s">
        <v>58</v>
      </c>
      <c r="AD564" s="19" t="s">
        <v>2479</v>
      </c>
      <c r="AE564" s="19" t="s">
        <v>2482</v>
      </c>
      <c r="AF564" s="19"/>
    </row>
    <row r="565" spans="1:34" customHeight="1" ht="42">
      <c r="A565" s="19">
        <v>559</v>
      </c>
      <c r="B565" s="19" t="s">
        <v>1897</v>
      </c>
      <c r="C565" s="19" t="s">
        <v>422</v>
      </c>
      <c r="D565" s="19" t="str">
        <f>HYPERLINK("http://www.henontech.com/fieldsafety/harzard/harzard_show.php?rid=19590&amp;url=harzardrecs.php","东一机头插座护盖丢失 操作工使用时不慎碰触到裸露在外的带电处触电造成右手食指电伤送医院包扎在家修养一星期")</f>
        <v>东一机头插座护盖丢失 操作工使用时不慎碰触到裸露在外的带电处触电造成右手食指电伤送医院包扎在家修养一星期</v>
      </c>
      <c r="E565" s="19" t="s">
        <v>2487</v>
      </c>
      <c r="F565" s="20" t="s">
        <v>42</v>
      </c>
      <c r="G565" s="22" t="s">
        <v>63</v>
      </c>
      <c r="H565" s="19" t="s">
        <v>44</v>
      </c>
      <c r="I565" s="19" t="s">
        <v>45</v>
      </c>
      <c r="J565" s="19" t="s">
        <v>311</v>
      </c>
      <c r="K565" s="19"/>
      <c r="L565" s="19" t="s">
        <v>76</v>
      </c>
      <c r="M565" s="19" t="s">
        <v>364</v>
      </c>
      <c r="N565" s="19" t="s">
        <v>2488</v>
      </c>
      <c r="O565" s="19" t="s">
        <v>364</v>
      </c>
      <c r="P565" s="19" t="s">
        <v>2479</v>
      </c>
      <c r="Q565" s="19" t="s">
        <v>2097</v>
      </c>
      <c r="R565" s="19" t="s">
        <v>1056</v>
      </c>
      <c r="S565" s="19"/>
      <c r="T565" s="19" t="s">
        <v>53</v>
      </c>
      <c r="U565" s="19" t="s">
        <v>80</v>
      </c>
      <c r="V565" s="19" t="s">
        <v>55</v>
      </c>
      <c r="W565" s="19" t="s">
        <v>81</v>
      </c>
      <c r="X565" s="19"/>
      <c r="Y565" s="19"/>
      <c r="Z565" s="19" t="s">
        <v>2489</v>
      </c>
      <c r="AA565" s="19">
        <v>2</v>
      </c>
      <c r="AB565" s="19">
        <v>2</v>
      </c>
      <c r="AC565" s="19" t="s">
        <v>58</v>
      </c>
      <c r="AD565" s="19" t="s">
        <v>2479</v>
      </c>
      <c r="AE565" s="19" t="s">
        <v>2482</v>
      </c>
      <c r="AF565" s="19"/>
    </row>
    <row r="566" spans="1:34" customHeight="1" ht="42">
      <c r="A566" s="19">
        <v>560</v>
      </c>
      <c r="B566" s="19" t="s">
        <v>1897</v>
      </c>
      <c r="C566" s="19" t="s">
        <v>374</v>
      </c>
      <c r="D566" s="19" t="str">
        <f>HYPERLINK("http://www.henontech.com/fieldsafety/harzard/harzard_show.php?rid=19591&amp;url=harzardrecs.php","西三卸料车行走轮腐蚀脱落 操作工经过时不慎摔倒碰触到行走轮 造成右前臂骨折送医院治疗住院一个月在家修养91天")</f>
        <v>西三卸料车行走轮腐蚀脱落 操作工经过时不慎摔倒碰触到行走轮 造成右前臂骨折送医院治疗住院一个月在家修养91天</v>
      </c>
      <c r="E566" s="19" t="s">
        <v>2477</v>
      </c>
      <c r="F566" s="20" t="s">
        <v>42</v>
      </c>
      <c r="G566" s="22" t="s">
        <v>63</v>
      </c>
      <c r="H566" s="19" t="s">
        <v>44</v>
      </c>
      <c r="I566" s="19" t="s">
        <v>45</v>
      </c>
      <c r="J566" s="19" t="s">
        <v>46</v>
      </c>
      <c r="K566" s="19"/>
      <c r="L566" s="19" t="s">
        <v>76</v>
      </c>
      <c r="M566" s="19" t="s">
        <v>364</v>
      </c>
      <c r="N566" s="19" t="s">
        <v>546</v>
      </c>
      <c r="O566" s="19" t="s">
        <v>364</v>
      </c>
      <c r="P566" s="19" t="s">
        <v>2479</v>
      </c>
      <c r="Q566" s="19" t="s">
        <v>2097</v>
      </c>
      <c r="R566" s="19" t="s">
        <v>1689</v>
      </c>
      <c r="S566" s="19"/>
      <c r="T566" s="19" t="s">
        <v>53</v>
      </c>
      <c r="U566" s="19" t="s">
        <v>80</v>
      </c>
      <c r="V566" s="19" t="s">
        <v>55</v>
      </c>
      <c r="W566" s="19" t="s">
        <v>81</v>
      </c>
      <c r="X566" s="19"/>
      <c r="Y566" s="19"/>
      <c r="Z566" s="19" t="s">
        <v>2490</v>
      </c>
      <c r="AA566" s="19">
        <v>2</v>
      </c>
      <c r="AB566" s="19">
        <v>2</v>
      </c>
      <c r="AC566" s="19" t="s">
        <v>58</v>
      </c>
      <c r="AD566" s="19" t="s">
        <v>2479</v>
      </c>
      <c r="AE566" s="19" t="s">
        <v>2482</v>
      </c>
      <c r="AF566" s="19"/>
    </row>
    <row r="567" spans="1:34" customHeight="1" ht="42">
      <c r="A567" s="19">
        <v>561</v>
      </c>
      <c r="B567" s="19" t="s">
        <v>1897</v>
      </c>
      <c r="C567" s="19" t="s">
        <v>422</v>
      </c>
      <c r="D567" s="19" t="str">
        <f>HYPERLINK("http://www.henontech.com/fieldsafety/harzard/harzard_show.php?rid=19592&amp;url=harzardrecs.php","东一地沟皮带支撑腐蚀 皮带启动时拉力大如果支撑处断裂造成无法开车 将影响正常造成损失生产")</f>
        <v>东一地沟皮带支撑腐蚀 皮带启动时拉力大如果支撑处断裂造成无法开车 将影响正常造成损失生产</v>
      </c>
      <c r="E567" s="19" t="s">
        <v>2491</v>
      </c>
      <c r="F567" s="20" t="s">
        <v>42</v>
      </c>
      <c r="G567" s="22" t="s">
        <v>63</v>
      </c>
      <c r="H567" s="19" t="s">
        <v>44</v>
      </c>
      <c r="I567" s="19"/>
      <c r="J567" s="19"/>
      <c r="K567" s="19" t="s">
        <v>110</v>
      </c>
      <c r="L567" s="19" t="s">
        <v>76</v>
      </c>
      <c r="M567" s="19" t="s">
        <v>364</v>
      </c>
      <c r="N567" s="19" t="s">
        <v>2492</v>
      </c>
      <c r="O567" s="19" t="s">
        <v>364</v>
      </c>
      <c r="P567" s="19" t="s">
        <v>2479</v>
      </c>
      <c r="Q567" s="19" t="s">
        <v>2097</v>
      </c>
      <c r="R567" s="19" t="s">
        <v>2493</v>
      </c>
      <c r="S567" s="19"/>
      <c r="T567" s="19" t="s">
        <v>189</v>
      </c>
      <c r="U567" s="19" t="s">
        <v>202</v>
      </c>
      <c r="V567" s="19" t="s">
        <v>55</v>
      </c>
      <c r="W567" s="19" t="s">
        <v>56</v>
      </c>
      <c r="X567" s="19"/>
      <c r="Y567" s="19"/>
      <c r="Z567" s="19" t="s">
        <v>2489</v>
      </c>
      <c r="AA567" s="19">
        <v>2</v>
      </c>
      <c r="AB567" s="19">
        <v>2</v>
      </c>
      <c r="AC567" s="19" t="s">
        <v>58</v>
      </c>
      <c r="AD567" s="19" t="s">
        <v>2479</v>
      </c>
      <c r="AE567" s="19" t="s">
        <v>2482</v>
      </c>
      <c r="AF567" s="19"/>
    </row>
    <row r="568" spans="1:34" customHeight="1" ht="42">
      <c r="A568" s="19">
        <v>562</v>
      </c>
      <c r="B568" s="19" t="s">
        <v>1897</v>
      </c>
      <c r="C568" s="19" t="s">
        <v>374</v>
      </c>
      <c r="D568" s="19" t="str">
        <f>HYPERLINK("http://www.henontech.com/fieldsafety/harzard/harzard_show.php?rid=19594&amp;url=harzardrecs.php","西四照明灯损坏 操作工经过时看不清脚下不慎摔倒 造成右手手腕扭伤休息一会不影响工作")</f>
        <v>西四照明灯损坏 操作工经过时看不清脚下不慎摔倒 造成右手手腕扭伤休息一会不影响工作</v>
      </c>
      <c r="E568" s="19" t="s">
        <v>2494</v>
      </c>
      <c r="F568" s="20" t="s">
        <v>42</v>
      </c>
      <c r="G568" s="22" t="s">
        <v>63</v>
      </c>
      <c r="H568" s="19" t="s">
        <v>44</v>
      </c>
      <c r="I568" s="19" t="s">
        <v>45</v>
      </c>
      <c r="J568" s="19"/>
      <c r="K568" s="19" t="s">
        <v>64</v>
      </c>
      <c r="L568" s="19" t="s">
        <v>76</v>
      </c>
      <c r="M568" s="19" t="s">
        <v>364</v>
      </c>
      <c r="N568" s="19" t="s">
        <v>2495</v>
      </c>
      <c r="O568" s="19" t="s">
        <v>364</v>
      </c>
      <c r="P568" s="19" t="s">
        <v>2479</v>
      </c>
      <c r="Q568" s="19" t="s">
        <v>2097</v>
      </c>
      <c r="R568" s="19" t="s">
        <v>2056</v>
      </c>
      <c r="S568" s="19"/>
      <c r="T568" s="19" t="s">
        <v>53</v>
      </c>
      <c r="U568" s="19" t="s">
        <v>54</v>
      </c>
      <c r="V568" s="19" t="s">
        <v>55</v>
      </c>
      <c r="W568" s="19" t="s">
        <v>56</v>
      </c>
      <c r="X568" s="19"/>
      <c r="Y568" s="19"/>
      <c r="Z568" s="19" t="s">
        <v>2496</v>
      </c>
      <c r="AA568" s="19">
        <v>2</v>
      </c>
      <c r="AB568" s="19">
        <v>2</v>
      </c>
      <c r="AC568" s="19" t="s">
        <v>58</v>
      </c>
      <c r="AD568" s="19" t="s">
        <v>2479</v>
      </c>
      <c r="AE568" s="19" t="s">
        <v>2482</v>
      </c>
      <c r="AF568" s="19"/>
    </row>
    <row r="569" spans="1:34">
      <c r="A569" s="19">
        <v>563</v>
      </c>
      <c r="B569" s="19" t="s">
        <v>1897</v>
      </c>
      <c r="C569" s="19" t="s">
        <v>2497</v>
      </c>
      <c r="D569" s="19" t="str">
        <f>HYPERLINK("http://www.henontech.com/fieldsafety/harzard/harzard_show.php?rid=19603&amp;url=harzardrecs.php","1#站生化工段，二级沉淀池上部北侧仪表电缆桥架盖板缺失，长期外露会对电缆寿命造成影响，另外分布于防雷装置保护范围外极容易遭受雷电的侵入，从而对连接的PLC机柜操作电脑造成击穿，甚至着火。财产损失8万元")</f>
        <v>1#站生化工段，二级沉淀池上部北侧仪表电缆桥架盖板缺失，长期外露会对电缆寿命造成影响，另外分布于防雷装置保护范围外极容易遭受雷电的侵入，从而对连接的PLC机柜操作电脑造成击穿，甚至着火。财产损失8万元</v>
      </c>
      <c r="E569" s="19" t="s">
        <v>1957</v>
      </c>
      <c r="F569" s="20" t="s">
        <v>42</v>
      </c>
      <c r="G569" s="22" t="s">
        <v>63</v>
      </c>
      <c r="H569" s="19" t="s">
        <v>482</v>
      </c>
      <c r="I569" s="19"/>
      <c r="J569" s="19" t="s">
        <v>109</v>
      </c>
      <c r="K569" s="19"/>
      <c r="L569" s="19"/>
      <c r="M569" s="19" t="s">
        <v>149</v>
      </c>
      <c r="N569" s="19" t="s">
        <v>2498</v>
      </c>
      <c r="O569" s="19" t="s">
        <v>149</v>
      </c>
      <c r="P569" s="19" t="s">
        <v>211</v>
      </c>
      <c r="Q569" s="19" t="s">
        <v>2499</v>
      </c>
      <c r="R569" s="19" t="s">
        <v>2500</v>
      </c>
      <c r="S569" s="19"/>
      <c r="T569" s="19" t="s">
        <v>189</v>
      </c>
      <c r="U569" s="19" t="s">
        <v>54</v>
      </c>
      <c r="V569" s="19" t="s">
        <v>55</v>
      </c>
      <c r="W569" s="19" t="s">
        <v>56</v>
      </c>
      <c r="X569" s="19" t="s">
        <v>154</v>
      </c>
      <c r="Y569" s="19" t="s">
        <v>154</v>
      </c>
      <c r="Z569" s="19" t="s">
        <v>2501</v>
      </c>
      <c r="AA569" s="19">
        <v>1</v>
      </c>
      <c r="AB569" s="19">
        <v>1</v>
      </c>
      <c r="AC569" s="19" t="s">
        <v>58</v>
      </c>
      <c r="AD569" s="19" t="s">
        <v>211</v>
      </c>
      <c r="AE569" s="19" t="s">
        <v>2411</v>
      </c>
      <c r="AF569" s="19"/>
    </row>
    <row r="570" spans="1:34">
      <c r="A570" s="19">
        <v>564</v>
      </c>
      <c r="B570" s="19" t="s">
        <v>1897</v>
      </c>
      <c r="C570" s="19" t="s">
        <v>2300</v>
      </c>
      <c r="D570" s="19" t="str">
        <f>HYPERLINK("http://www.henontech.com/fieldsafety/harzard/harzard_show.php?rid=19626&amp;url=harzardrecs.php","煤十下料筒挡皮损坏，下料时漏煤，造成皮带偏带，皮带磨损，停车")</f>
        <v>煤十下料筒挡皮损坏，下料时漏煤，造成皮带偏带，皮带磨损，停车</v>
      </c>
      <c r="E570" s="19" t="s">
        <v>2502</v>
      </c>
      <c r="F570" s="20" t="s">
        <v>42</v>
      </c>
      <c r="G570" s="22" t="s">
        <v>63</v>
      </c>
      <c r="H570" s="19" t="s">
        <v>44</v>
      </c>
      <c r="I570" s="19" t="s">
        <v>120</v>
      </c>
      <c r="J570" s="19" t="s">
        <v>46</v>
      </c>
      <c r="K570" s="19" t="s">
        <v>64</v>
      </c>
      <c r="L570" s="19" t="s">
        <v>76</v>
      </c>
      <c r="M570" s="19" t="s">
        <v>364</v>
      </c>
      <c r="N570" s="19" t="s">
        <v>2503</v>
      </c>
      <c r="O570" s="19" t="s">
        <v>364</v>
      </c>
      <c r="P570" s="19" t="s">
        <v>1687</v>
      </c>
      <c r="Q570" s="19" t="s">
        <v>2438</v>
      </c>
      <c r="R570" s="19" t="s">
        <v>2413</v>
      </c>
      <c r="S570" s="19"/>
      <c r="T570" s="19" t="s">
        <v>189</v>
      </c>
      <c r="U570" s="19" t="s">
        <v>202</v>
      </c>
      <c r="V570" s="19" t="s">
        <v>55</v>
      </c>
      <c r="W570" s="19" t="s">
        <v>56</v>
      </c>
      <c r="X570" s="19"/>
      <c r="Y570" s="19"/>
      <c r="Z570" s="19" t="s">
        <v>2504</v>
      </c>
      <c r="AA570" s="19">
        <v>1</v>
      </c>
      <c r="AB570" s="19">
        <v>1</v>
      </c>
      <c r="AC570" s="19" t="s">
        <v>58</v>
      </c>
      <c r="AD570" s="19" t="s">
        <v>1687</v>
      </c>
      <c r="AE570" s="19" t="s">
        <v>1503</v>
      </c>
      <c r="AF570" s="19"/>
    </row>
    <row r="571" spans="1:34">
      <c r="A571" s="19">
        <v>565</v>
      </c>
      <c r="B571" s="19" t="s">
        <v>1897</v>
      </c>
      <c r="C571" s="19" t="s">
        <v>1964</v>
      </c>
      <c r="D571" s="19" t="str">
        <f>HYPERLINK("http://www.henontech.com/fieldsafety/harzard/harzard_show.php?rid=19667&amp;url=harzardrecs.php","使用后的钎子违规放在下料桶爬梯上，巡检人员在使用震动电机时钎子从高处掉落，容易造成人员伤害。")</f>
        <v>使用后的钎子违规放在下料桶爬梯上，巡检人员在使用震动电机时钎子从高处掉落，容易造成人员伤害。</v>
      </c>
      <c r="E571" s="19" t="s">
        <v>2505</v>
      </c>
      <c r="F571" s="20" t="s">
        <v>42</v>
      </c>
      <c r="G571" s="22" t="s">
        <v>63</v>
      </c>
      <c r="H571" s="19" t="s">
        <v>44</v>
      </c>
      <c r="I571" s="19" t="s">
        <v>108</v>
      </c>
      <c r="J571" s="19" t="s">
        <v>349</v>
      </c>
      <c r="K571" s="19" t="s">
        <v>64</v>
      </c>
      <c r="L571" s="19" t="s">
        <v>76</v>
      </c>
      <c r="M571" s="19" t="s">
        <v>364</v>
      </c>
      <c r="N571" s="19" t="s">
        <v>2506</v>
      </c>
      <c r="O571" s="19" t="s">
        <v>364</v>
      </c>
      <c r="P571" s="19" t="s">
        <v>377</v>
      </c>
      <c r="Q571" s="19" t="s">
        <v>2341</v>
      </c>
      <c r="R571" s="19" t="s">
        <v>2128</v>
      </c>
      <c r="S571" s="19"/>
      <c r="T571" s="19" t="s">
        <v>53</v>
      </c>
      <c r="U571" s="19" t="s">
        <v>54</v>
      </c>
      <c r="V571" s="19" t="s">
        <v>97</v>
      </c>
      <c r="W571" s="19" t="s">
        <v>81</v>
      </c>
      <c r="X571" s="19"/>
      <c r="Y571" s="19"/>
      <c r="Z571" s="19" t="s">
        <v>2507</v>
      </c>
      <c r="AA571" s="19">
        <v>1</v>
      </c>
      <c r="AB571" s="19">
        <v>1</v>
      </c>
      <c r="AC571" s="19" t="s">
        <v>58</v>
      </c>
      <c r="AD571" s="19" t="s">
        <v>377</v>
      </c>
      <c r="AE571" s="19" t="s">
        <v>2341</v>
      </c>
      <c r="AF571" s="19"/>
    </row>
    <row r="572" spans="1:34">
      <c r="A572" s="19">
        <v>566</v>
      </c>
      <c r="B572" s="19" t="s">
        <v>1897</v>
      </c>
      <c r="C572" s="19" t="s">
        <v>1887</v>
      </c>
      <c r="D572" s="19" t="str">
        <f>HYPERLINK("http://www.henontech.com/fieldsafety/harzard/harzard_show.php?rid=19697&amp;url=harzardrecs.php","1#循环氨水泵接地线脱落，如果巡检人员检查设备时外壳漏电可能会发生触电伤害，严重时造成人员触电死亡。")</f>
        <v>1#循环氨水泵接地线脱落，如果巡检人员检查设备时外壳漏电可能会发生触电伤害，严重时造成人员触电死亡。</v>
      </c>
      <c r="E572" s="19" t="s">
        <v>2508</v>
      </c>
      <c r="F572" s="20" t="s">
        <v>42</v>
      </c>
      <c r="G572" s="22" t="s">
        <v>63</v>
      </c>
      <c r="H572" s="19" t="s">
        <v>44</v>
      </c>
      <c r="I572" s="19" t="s">
        <v>108</v>
      </c>
      <c r="J572" s="19" t="s">
        <v>46</v>
      </c>
      <c r="K572" s="19" t="s">
        <v>64</v>
      </c>
      <c r="L572" s="19" t="s">
        <v>76</v>
      </c>
      <c r="M572" s="19" t="s">
        <v>48</v>
      </c>
      <c r="N572" s="19" t="s">
        <v>2509</v>
      </c>
      <c r="O572" s="19" t="s">
        <v>48</v>
      </c>
      <c r="P572" s="19" t="s">
        <v>50</v>
      </c>
      <c r="Q572" s="19" t="s">
        <v>2259</v>
      </c>
      <c r="R572" s="19" t="s">
        <v>2510</v>
      </c>
      <c r="S572" s="19"/>
      <c r="T572" s="19" t="s">
        <v>53</v>
      </c>
      <c r="U572" s="19" t="s">
        <v>236</v>
      </c>
      <c r="V572" s="19" t="s">
        <v>97</v>
      </c>
      <c r="W572" s="19" t="s">
        <v>190</v>
      </c>
      <c r="X572" s="19"/>
      <c r="Y572" s="19"/>
      <c r="Z572" s="19" t="s">
        <v>2511</v>
      </c>
      <c r="AA572" s="19">
        <v>1</v>
      </c>
      <c r="AB572" s="19">
        <v>1</v>
      </c>
      <c r="AC572" s="19" t="s">
        <v>58</v>
      </c>
      <c r="AD572" s="19" t="s">
        <v>50</v>
      </c>
      <c r="AE572" s="19" t="s">
        <v>1839</v>
      </c>
      <c r="AF572" s="19"/>
    </row>
    <row r="573" spans="1:34">
      <c r="A573" s="19">
        <v>567</v>
      </c>
      <c r="B573" s="19" t="s">
        <v>1897</v>
      </c>
      <c r="C573" s="19" t="s">
        <v>556</v>
      </c>
      <c r="D573" s="19" t="str">
        <f>HYPERLINK("http://www.henontech.com/fieldsafety/harzard/harzard_show.php?rid=19716&amp;url=harzardrecs.php","北脱硫北边路面上有一玻璃钢瓦横放在路中间，如果巡检人员走到此处不注意，被路面上的玻璃钢瓦绊倒，造成巡检人员左腿膝盖轻微擦伤，不影响工作，轻微人身伤害。")</f>
        <v>北脱硫北边路面上有一玻璃钢瓦横放在路中间，如果巡检人员走到此处不注意，被路面上的玻璃钢瓦绊倒，造成巡检人员左腿膝盖轻微擦伤，不影响工作，轻微人身伤害。</v>
      </c>
      <c r="E573" s="19" t="s">
        <v>2512</v>
      </c>
      <c r="F573" s="25" t="s">
        <v>1455</v>
      </c>
      <c r="G573" s="22" t="s">
        <v>63</v>
      </c>
      <c r="H573" s="19" t="s">
        <v>44</v>
      </c>
      <c r="I573" s="19" t="s">
        <v>45</v>
      </c>
      <c r="J573" s="19"/>
      <c r="K573" s="19" t="s">
        <v>47</v>
      </c>
      <c r="L573" s="19" t="s">
        <v>76</v>
      </c>
      <c r="M573" s="19" t="s">
        <v>48</v>
      </c>
      <c r="N573" s="19" t="s">
        <v>558</v>
      </c>
      <c r="O573" s="19" t="s">
        <v>48</v>
      </c>
      <c r="P573" s="19" t="s">
        <v>50</v>
      </c>
      <c r="Q573" s="19" t="s">
        <v>2259</v>
      </c>
      <c r="R573" s="19" t="s">
        <v>2513</v>
      </c>
      <c r="S573" s="19"/>
      <c r="T573" s="19" t="s">
        <v>53</v>
      </c>
      <c r="U573" s="19" t="s">
        <v>54</v>
      </c>
      <c r="V573" s="19" t="s">
        <v>97</v>
      </c>
      <c r="W573" s="19" t="s">
        <v>81</v>
      </c>
      <c r="X573" s="19"/>
      <c r="Y573" s="19"/>
      <c r="Z573" s="19" t="s">
        <v>2514</v>
      </c>
      <c r="AA573" s="19">
        <v>1</v>
      </c>
      <c r="AB573" s="19"/>
      <c r="AC573" s="19" t="s">
        <v>308</v>
      </c>
      <c r="AD573" s="19"/>
      <c r="AE573" s="19"/>
      <c r="AF573" s="19"/>
    </row>
    <row r="574" spans="1:34">
      <c r="A574" s="19">
        <v>568</v>
      </c>
      <c r="B574" s="19" t="s">
        <v>1839</v>
      </c>
      <c r="C574" s="19" t="s">
        <v>374</v>
      </c>
      <c r="D574" s="19" t="str">
        <f>HYPERLINK("http://www.henontech.com/fieldsafety/harzard/harzard_show.php?rid=19720&amp;url=harzardrecs.php","3#煤场原料煤内有木块，如不及时捡出，一旦进入输煤工序，极易堵塞料筒溢料后烧毁电机，造成非计划停机1小时，经济损失500元。")</f>
        <v>3#煤场原料煤内有木块，如不及时捡出，一旦进入输煤工序，极易堵塞料筒溢料后烧毁电机，造成非计划停机1小时，经济损失500元。</v>
      </c>
      <c r="E574" s="19" t="s">
        <v>2515</v>
      </c>
      <c r="F574" s="20" t="s">
        <v>42</v>
      </c>
      <c r="G574" s="22" t="s">
        <v>63</v>
      </c>
      <c r="H574" s="19" t="s">
        <v>482</v>
      </c>
      <c r="I574" s="19" t="s">
        <v>108</v>
      </c>
      <c r="J574" s="19" t="s">
        <v>580</v>
      </c>
      <c r="K574" s="19" t="s">
        <v>110</v>
      </c>
      <c r="L574" s="19" t="s">
        <v>599</v>
      </c>
      <c r="M574" s="19" t="s">
        <v>364</v>
      </c>
      <c r="N574" s="19" t="s">
        <v>377</v>
      </c>
      <c r="O574" s="19" t="s">
        <v>364</v>
      </c>
      <c r="P574" s="19" t="s">
        <v>377</v>
      </c>
      <c r="Q574" s="19" t="s">
        <v>2482</v>
      </c>
      <c r="R574" s="19" t="s">
        <v>2516</v>
      </c>
      <c r="S574" s="19"/>
      <c r="T574" s="19" t="s">
        <v>189</v>
      </c>
      <c r="U574" s="19" t="s">
        <v>202</v>
      </c>
      <c r="V574" s="19" t="s">
        <v>97</v>
      </c>
      <c r="W574" s="19" t="s">
        <v>56</v>
      </c>
      <c r="X574" s="19"/>
      <c r="Y574" s="19"/>
      <c r="Z574" s="19" t="s">
        <v>2517</v>
      </c>
      <c r="AA574" s="19">
        <v>1</v>
      </c>
      <c r="AB574" s="19">
        <v>1</v>
      </c>
      <c r="AC574" s="19" t="s">
        <v>58</v>
      </c>
      <c r="AD574" s="19" t="s">
        <v>377</v>
      </c>
      <c r="AE574" s="19" t="s">
        <v>2482</v>
      </c>
      <c r="AF574" s="19"/>
    </row>
    <row r="575" spans="1:34" customHeight="1" ht="42">
      <c r="A575" s="19">
        <v>569</v>
      </c>
      <c r="B575" s="19" t="s">
        <v>1839</v>
      </c>
      <c r="C575" s="19" t="s">
        <v>2300</v>
      </c>
      <c r="D575" s="19" t="str">
        <f>HYPERLINK("http://www.henontech.com/fieldsafety/harzard/harzard_show.php?rid=19725&amp;url=harzardrecs.php","煤五外部爬梯护栏开焊，人员行走时易出现伤害事故")</f>
        <v>煤五外部爬梯护栏开焊，人员行走时易出现伤害事故</v>
      </c>
      <c r="E575" s="19" t="s">
        <v>2518</v>
      </c>
      <c r="F575" s="20" t="s">
        <v>42</v>
      </c>
      <c r="G575" s="22" t="s">
        <v>63</v>
      </c>
      <c r="H575" s="19" t="s">
        <v>44</v>
      </c>
      <c r="I575" s="19" t="s">
        <v>108</v>
      </c>
      <c r="J575" s="19" t="s">
        <v>109</v>
      </c>
      <c r="K575" s="19" t="s">
        <v>132</v>
      </c>
      <c r="L575" s="19"/>
      <c r="M575" s="19" t="s">
        <v>364</v>
      </c>
      <c r="N575" s="19" t="s">
        <v>425</v>
      </c>
      <c r="O575" s="19" t="s">
        <v>364</v>
      </c>
      <c r="P575" s="19" t="s">
        <v>425</v>
      </c>
      <c r="Q575" s="19" t="s">
        <v>2519</v>
      </c>
      <c r="R575" s="19" t="s">
        <v>2520</v>
      </c>
      <c r="S575" s="19"/>
      <c r="T575" s="19" t="s">
        <v>53</v>
      </c>
      <c r="U575" s="19" t="s">
        <v>54</v>
      </c>
      <c r="V575" s="19" t="s">
        <v>55</v>
      </c>
      <c r="W575" s="19" t="s">
        <v>56</v>
      </c>
      <c r="X575" s="19" t="s">
        <v>126</v>
      </c>
      <c r="Y575" s="19" t="s">
        <v>126</v>
      </c>
      <c r="Z575" s="19" t="s">
        <v>2521</v>
      </c>
      <c r="AA575" s="19">
        <v>2</v>
      </c>
      <c r="AB575" s="19">
        <v>2</v>
      </c>
      <c r="AC575" s="19" t="s">
        <v>58</v>
      </c>
      <c r="AD575" s="19" t="s">
        <v>425</v>
      </c>
      <c r="AE575" s="19" t="s">
        <v>1839</v>
      </c>
      <c r="AF575" s="19"/>
    </row>
    <row r="576" spans="1:34">
      <c r="A576" s="19">
        <v>570</v>
      </c>
      <c r="B576" s="19" t="s">
        <v>1839</v>
      </c>
      <c r="C576" s="19" t="s">
        <v>113</v>
      </c>
      <c r="D576" s="19" t="str">
        <f>HYPERLINK("http://www.henontech.com/fieldsafety/harzard/harzard_show.php?rid=19733&amp;url=harzardrecs.php","两盐厂房顶部彩钢板严重腐烂，巡检人员经过时不慎被掉落碎片擦伤，送医务室检查后无损伤，立即恢复工作。")</f>
        <v>两盐厂房顶部彩钢板严重腐烂，巡检人员经过时不慎被掉落碎片擦伤，送医务室检查后无损伤，立即恢复工作。</v>
      </c>
      <c r="E576" s="19" t="s">
        <v>2522</v>
      </c>
      <c r="F576" s="20" t="s">
        <v>42</v>
      </c>
      <c r="G576" s="22" t="s">
        <v>63</v>
      </c>
      <c r="H576" s="19" t="s">
        <v>44</v>
      </c>
      <c r="I576" s="19" t="s">
        <v>108</v>
      </c>
      <c r="J576" s="19" t="s">
        <v>46</v>
      </c>
      <c r="K576" s="19" t="s">
        <v>102</v>
      </c>
      <c r="L576" s="19" t="s">
        <v>76</v>
      </c>
      <c r="M576" s="19" t="s">
        <v>48</v>
      </c>
      <c r="N576" s="19" t="s">
        <v>2523</v>
      </c>
      <c r="O576" s="19" t="s">
        <v>48</v>
      </c>
      <c r="P576" s="19" t="s">
        <v>50</v>
      </c>
      <c r="Q576" s="19" t="s">
        <v>2259</v>
      </c>
      <c r="R576" s="19" t="s">
        <v>2004</v>
      </c>
      <c r="S576" s="19"/>
      <c r="T576" s="19" t="s">
        <v>53</v>
      </c>
      <c r="U576" s="19" t="s">
        <v>202</v>
      </c>
      <c r="V576" s="19" t="s">
        <v>97</v>
      </c>
      <c r="W576" s="19" t="s">
        <v>56</v>
      </c>
      <c r="X576" s="19"/>
      <c r="Y576" s="19"/>
      <c r="Z576" s="19" t="s">
        <v>2524</v>
      </c>
      <c r="AA576" s="19">
        <v>1</v>
      </c>
      <c r="AB576" s="19">
        <v>1</v>
      </c>
      <c r="AC576" s="19" t="s">
        <v>58</v>
      </c>
      <c r="AD576" s="19" t="s">
        <v>50</v>
      </c>
      <c r="AE576" s="19" t="s">
        <v>1576</v>
      </c>
      <c r="AF576" s="19"/>
    </row>
    <row r="577" spans="1:34">
      <c r="A577" s="19">
        <v>571</v>
      </c>
      <c r="B577" s="19" t="s">
        <v>1839</v>
      </c>
      <c r="C577" s="19" t="s">
        <v>2525</v>
      </c>
      <c r="D577" s="19" t="str">
        <f>HYPERLINK("http://www.henontech.com/fieldsafety/harzard/harzard_show.php?rid=19741&amp;url=harzardrecs.php","二级反渗透加碱管道支架处因长期摩擦，管道壁变薄出现漏点，如果管道漏点突然扩大，一名巡检人员可能会被喷溅的碱灼伤面部，送医治疗15天")</f>
        <v>二级反渗透加碱管道支架处因长期摩擦，管道壁变薄出现漏点，如果管道漏点突然扩大，一名巡检人员可能会被喷溅的碱灼伤面部，送医治疗15天</v>
      </c>
      <c r="E577" s="19" t="s">
        <v>2526</v>
      </c>
      <c r="F577" s="20" t="s">
        <v>42</v>
      </c>
      <c r="G577" s="22" t="s">
        <v>63</v>
      </c>
      <c r="H577" s="19" t="s">
        <v>44</v>
      </c>
      <c r="I577" s="19"/>
      <c r="J577" s="19" t="s">
        <v>46</v>
      </c>
      <c r="K577" s="19"/>
      <c r="L577" s="19"/>
      <c r="M577" s="19" t="s">
        <v>121</v>
      </c>
      <c r="N577" s="19" t="s">
        <v>917</v>
      </c>
      <c r="O577" s="19" t="s">
        <v>121</v>
      </c>
      <c r="P577" s="19" t="s">
        <v>233</v>
      </c>
      <c r="Q577" s="19" t="s">
        <v>2527</v>
      </c>
      <c r="R577" s="19" t="s">
        <v>2528</v>
      </c>
      <c r="S577" s="19" t="s">
        <v>2529</v>
      </c>
      <c r="T577" s="19" t="s">
        <v>53</v>
      </c>
      <c r="U577" s="19" t="s">
        <v>80</v>
      </c>
      <c r="V577" s="19" t="s">
        <v>97</v>
      </c>
      <c r="W577" s="19" t="s">
        <v>70</v>
      </c>
      <c r="X577" s="19" t="s">
        <v>154</v>
      </c>
      <c r="Y577" s="19"/>
      <c r="Z577" s="19" t="s">
        <v>2530</v>
      </c>
      <c r="AA577" s="19">
        <v>1</v>
      </c>
      <c r="AB577" s="19">
        <v>1</v>
      </c>
      <c r="AC577" s="19" t="s">
        <v>58</v>
      </c>
      <c r="AD577" s="19" t="s">
        <v>233</v>
      </c>
      <c r="AE577" s="19" t="s">
        <v>1503</v>
      </c>
      <c r="AF577" s="19" t="s">
        <v>2531</v>
      </c>
    </row>
    <row r="578" spans="1:34" customHeight="1" ht="42">
      <c r="A578" s="19">
        <v>572</v>
      </c>
      <c r="B578" s="19" t="s">
        <v>1839</v>
      </c>
      <c r="C578" s="19" t="s">
        <v>566</v>
      </c>
      <c r="D578" s="19" t="str">
        <f>HYPERLINK("http://www.henontech.com/fieldsafety/harzard/harzard_show.php?rid=19751&amp;url=harzardrecs.php","拆除施工现场工具棚上方边沿放置铁制水杯，若1名施工人员低头自棚内取用工具时，因振动造成水杯掉落砸中人员头部。")</f>
        <v>拆除施工现场工具棚上方边沿放置铁制水杯，若1名施工人员低头自棚内取用工具时，因振动造成水杯掉落砸中人员头部。</v>
      </c>
      <c r="E578" s="19" t="s">
        <v>2532</v>
      </c>
      <c r="F578" s="20" t="s">
        <v>42</v>
      </c>
      <c r="G578" s="22" t="s">
        <v>63</v>
      </c>
      <c r="H578" s="19" t="s">
        <v>44</v>
      </c>
      <c r="I578" s="19"/>
      <c r="J578" s="19" t="s">
        <v>109</v>
      </c>
      <c r="K578" s="19"/>
      <c r="L578" s="19"/>
      <c r="M578" s="19" t="s">
        <v>121</v>
      </c>
      <c r="N578" s="19" t="s">
        <v>2533</v>
      </c>
      <c r="O578" s="19" t="s">
        <v>121</v>
      </c>
      <c r="P578" s="19" t="s">
        <v>2533</v>
      </c>
      <c r="Q578" s="19" t="s">
        <v>2411</v>
      </c>
      <c r="R578" s="19" t="s">
        <v>2534</v>
      </c>
      <c r="S578" s="19"/>
      <c r="T578" s="19" t="s">
        <v>53</v>
      </c>
      <c r="U578" s="19" t="s">
        <v>80</v>
      </c>
      <c r="V578" s="19" t="s">
        <v>55</v>
      </c>
      <c r="W578" s="19" t="s">
        <v>81</v>
      </c>
      <c r="X578" s="19" t="s">
        <v>126</v>
      </c>
      <c r="Y578" s="19"/>
      <c r="Z578" s="19" t="s">
        <v>2535</v>
      </c>
      <c r="AA578" s="19">
        <v>2</v>
      </c>
      <c r="AB578" s="19">
        <v>2</v>
      </c>
      <c r="AC578" s="19" t="s">
        <v>58</v>
      </c>
      <c r="AD578" s="19" t="s">
        <v>2533</v>
      </c>
      <c r="AE578" s="19" t="s">
        <v>1839</v>
      </c>
      <c r="AF578" s="19" t="s">
        <v>2536</v>
      </c>
    </row>
    <row r="579" spans="1:34">
      <c r="A579" s="19">
        <v>573</v>
      </c>
      <c r="B579" s="19" t="s">
        <v>1839</v>
      </c>
      <c r="C579" s="19" t="s">
        <v>118</v>
      </c>
      <c r="D579" s="19" t="str">
        <f>HYPERLINK("http://www.henontech.com/fieldsafety/harzard/harzard_show.php?rid=19757&amp;url=harzardrecs.php","副省煤器排水池盖板缺失，一巡检人员巡检时，左脚踩空掉入池中，造成左小腿擦伤，送医治疗。")</f>
        <v>副省煤器排水池盖板缺失，一巡检人员巡检时，左脚踩空掉入池中，造成左小腿擦伤，送医治疗。</v>
      </c>
      <c r="E579" s="19" t="s">
        <v>2537</v>
      </c>
      <c r="F579" s="20" t="s">
        <v>42</v>
      </c>
      <c r="G579" s="22" t="s">
        <v>63</v>
      </c>
      <c r="H579" s="19" t="s">
        <v>44</v>
      </c>
      <c r="I579" s="19" t="s">
        <v>108</v>
      </c>
      <c r="J579" s="19" t="s">
        <v>46</v>
      </c>
      <c r="K579" s="19" t="s">
        <v>110</v>
      </c>
      <c r="L579" s="19" t="s">
        <v>76</v>
      </c>
      <c r="M579" s="19" t="s">
        <v>121</v>
      </c>
      <c r="N579" s="19" t="s">
        <v>2538</v>
      </c>
      <c r="O579" s="19" t="s">
        <v>121</v>
      </c>
      <c r="P579" s="19" t="s">
        <v>233</v>
      </c>
      <c r="Q579" s="19" t="s">
        <v>2097</v>
      </c>
      <c r="R579" s="19" t="s">
        <v>2539</v>
      </c>
      <c r="S579" s="19" t="s">
        <v>2540</v>
      </c>
      <c r="T579" s="19" t="s">
        <v>53</v>
      </c>
      <c r="U579" s="19" t="s">
        <v>80</v>
      </c>
      <c r="V579" s="19" t="s">
        <v>97</v>
      </c>
      <c r="W579" s="19" t="s">
        <v>70</v>
      </c>
      <c r="X579" s="19" t="s">
        <v>191</v>
      </c>
      <c r="Y579" s="19" t="s">
        <v>191</v>
      </c>
      <c r="Z579" s="19" t="s">
        <v>2541</v>
      </c>
      <c r="AA579" s="19">
        <v>1</v>
      </c>
      <c r="AB579" s="19">
        <v>1</v>
      </c>
      <c r="AC579" s="19" t="s">
        <v>58</v>
      </c>
      <c r="AD579" s="19" t="s">
        <v>233</v>
      </c>
      <c r="AE579" s="19" t="s">
        <v>1503</v>
      </c>
      <c r="AF579" s="19" t="s">
        <v>2542</v>
      </c>
    </row>
    <row r="580" spans="1:34">
      <c r="A580" s="19">
        <v>574</v>
      </c>
      <c r="B580" s="19" t="s">
        <v>1839</v>
      </c>
      <c r="C580" s="19" t="s">
        <v>118</v>
      </c>
      <c r="D580" s="19" t="str">
        <f>HYPERLINK("http://www.henontech.com/fieldsafety/harzard/harzard_show.php?rid=19817&amp;url=harzardrecs.php","环境除尘顶部东侧电缆头裸露，一巡检人员巡检时左小腿碰到电缆头，造成左小腿电灼伤，送医治疗。")</f>
        <v>环境除尘顶部东侧电缆头裸露，一巡检人员巡检时左小腿碰到电缆头，造成左小腿电灼伤，送医治疗。</v>
      </c>
      <c r="E580" s="19" t="s">
        <v>2543</v>
      </c>
      <c r="F580" s="20" t="s">
        <v>42</v>
      </c>
      <c r="G580" s="22" t="s">
        <v>63</v>
      </c>
      <c r="H580" s="19" t="s">
        <v>44</v>
      </c>
      <c r="I580" s="19" t="s">
        <v>108</v>
      </c>
      <c r="J580" s="19" t="s">
        <v>46</v>
      </c>
      <c r="K580" s="19" t="s">
        <v>110</v>
      </c>
      <c r="L580" s="19" t="s">
        <v>76</v>
      </c>
      <c r="M580" s="19" t="s">
        <v>121</v>
      </c>
      <c r="N580" s="19" t="s">
        <v>2544</v>
      </c>
      <c r="O580" s="19" t="s">
        <v>121</v>
      </c>
      <c r="P580" s="19" t="s">
        <v>233</v>
      </c>
      <c r="Q580" s="19" t="s">
        <v>2097</v>
      </c>
      <c r="R580" s="19" t="s">
        <v>2545</v>
      </c>
      <c r="S580" s="19" t="s">
        <v>2546</v>
      </c>
      <c r="T580" s="19" t="s">
        <v>53</v>
      </c>
      <c r="U580" s="19" t="s">
        <v>80</v>
      </c>
      <c r="V580" s="19" t="s">
        <v>97</v>
      </c>
      <c r="W580" s="19" t="s">
        <v>70</v>
      </c>
      <c r="X580" s="19" t="s">
        <v>257</v>
      </c>
      <c r="Y580" s="19" t="s">
        <v>257</v>
      </c>
      <c r="Z580" s="19" t="s">
        <v>2547</v>
      </c>
      <c r="AA580" s="19">
        <v>1</v>
      </c>
      <c r="AB580" s="19">
        <v>1</v>
      </c>
      <c r="AC580" s="19" t="s">
        <v>58</v>
      </c>
      <c r="AD580" s="19" t="s">
        <v>233</v>
      </c>
      <c r="AE580" s="19" t="s">
        <v>1503</v>
      </c>
      <c r="AF580" s="19" t="s">
        <v>2548</v>
      </c>
    </row>
    <row r="581" spans="1:34">
      <c r="A581" s="19">
        <v>575</v>
      </c>
      <c r="B581" s="19" t="s">
        <v>1839</v>
      </c>
      <c r="C581" s="19" t="s">
        <v>2106</v>
      </c>
      <c r="D581" s="19" t="str">
        <f>HYPERLINK("http://www.henontech.com/fieldsafety/harzard/harzard_show.php?rid=19839&amp;url=harzardrecs.php","终冷塔南侧框架有一块木板斜放于柱子上，当五级大风天气木板被大风吹倒，砸伤正在此处巡检人员，造成人员头部受击当场昏迷，送医检查脑部有大量淤血，住院治疗两个月后复工。")</f>
        <v>终冷塔南侧框架有一块木板斜放于柱子上，当五级大风天气木板被大风吹倒，砸伤正在此处巡检人员，造成人员头部受击当场昏迷，送医检查脑部有大量淤血，住院治疗两个月后复工。</v>
      </c>
      <c r="E581" s="19" t="s">
        <v>2549</v>
      </c>
      <c r="F581" s="20" t="s">
        <v>42</v>
      </c>
      <c r="G581" s="22" t="s">
        <v>63</v>
      </c>
      <c r="H581" s="19" t="s">
        <v>44</v>
      </c>
      <c r="I581" s="19" t="s">
        <v>45</v>
      </c>
      <c r="J581" s="19" t="s">
        <v>46</v>
      </c>
      <c r="K581" s="19" t="s">
        <v>110</v>
      </c>
      <c r="L581" s="19" t="s">
        <v>76</v>
      </c>
      <c r="M581" s="19" t="s">
        <v>48</v>
      </c>
      <c r="N581" s="19" t="s">
        <v>439</v>
      </c>
      <c r="O581" s="19" t="s">
        <v>48</v>
      </c>
      <c r="P581" s="19" t="s">
        <v>50</v>
      </c>
      <c r="Q581" s="19" t="s">
        <v>2331</v>
      </c>
      <c r="R581" s="19" t="s">
        <v>437</v>
      </c>
      <c r="S581" s="19"/>
      <c r="T581" s="19" t="s">
        <v>53</v>
      </c>
      <c r="U581" s="19" t="s">
        <v>80</v>
      </c>
      <c r="V581" s="19" t="s">
        <v>55</v>
      </c>
      <c r="W581" s="19" t="s">
        <v>81</v>
      </c>
      <c r="X581" s="19"/>
      <c r="Y581" s="19"/>
      <c r="Z581" s="19" t="s">
        <v>2550</v>
      </c>
      <c r="AA581" s="19">
        <v>1</v>
      </c>
      <c r="AB581" s="19">
        <v>1</v>
      </c>
      <c r="AC581" s="19" t="s">
        <v>58</v>
      </c>
      <c r="AD581" s="19" t="s">
        <v>50</v>
      </c>
      <c r="AE581" s="19" t="s">
        <v>1503</v>
      </c>
      <c r="AF581" s="19"/>
    </row>
    <row r="582" spans="1:34">
      <c r="A582" s="19">
        <v>576</v>
      </c>
      <c r="B582" s="19" t="s">
        <v>1839</v>
      </c>
      <c r="C582" s="19" t="s">
        <v>2551</v>
      </c>
      <c r="D582" s="19" t="str">
        <f>HYPERLINK("http://www.henontech.com/fieldsafety/harzard/harzard_show.php?rid=19869&amp;url=harzardrecs.php","化产车间粗苯二段贫油冷却器处爬梯无警示牌，如果一名操作工攀登时，不慎摔落，脚部受伤，经送医诊断，脚部轻微伤。")</f>
        <v>化产车间粗苯二段贫油冷却器处爬梯无警示牌，如果一名操作工攀登时，不慎摔落，脚部受伤，经送医诊断，脚部轻微伤。</v>
      </c>
      <c r="E582" s="19" t="s">
        <v>2552</v>
      </c>
      <c r="F582" s="20" t="s">
        <v>42</v>
      </c>
      <c r="G582" s="22" t="s">
        <v>63</v>
      </c>
      <c r="H582" s="19" t="s">
        <v>44</v>
      </c>
      <c r="I582" s="19" t="s">
        <v>45</v>
      </c>
      <c r="J582" s="19" t="s">
        <v>386</v>
      </c>
      <c r="K582" s="19" t="s">
        <v>47</v>
      </c>
      <c r="L582" s="19" t="s">
        <v>76</v>
      </c>
      <c r="M582" s="19" t="s">
        <v>48</v>
      </c>
      <c r="N582" s="19" t="s">
        <v>634</v>
      </c>
      <c r="O582" s="19" t="s">
        <v>48</v>
      </c>
      <c r="P582" s="19" t="s">
        <v>50</v>
      </c>
      <c r="Q582" s="19" t="s">
        <v>2331</v>
      </c>
      <c r="R582" s="19" t="s">
        <v>2553</v>
      </c>
      <c r="S582" s="19"/>
      <c r="T582" s="19" t="s">
        <v>53</v>
      </c>
      <c r="U582" s="19" t="s">
        <v>80</v>
      </c>
      <c r="V582" s="19" t="s">
        <v>55</v>
      </c>
      <c r="W582" s="19" t="s">
        <v>81</v>
      </c>
      <c r="X582" s="19"/>
      <c r="Y582" s="19"/>
      <c r="Z582" s="19" t="s">
        <v>2554</v>
      </c>
      <c r="AA582" s="19">
        <v>1</v>
      </c>
      <c r="AB582" s="19">
        <v>1</v>
      </c>
      <c r="AC582" s="19" t="s">
        <v>58</v>
      </c>
      <c r="AD582" s="19" t="s">
        <v>50</v>
      </c>
      <c r="AE582" s="19" t="s">
        <v>1676</v>
      </c>
      <c r="AF582" s="19"/>
    </row>
    <row r="583" spans="1:34">
      <c r="A583" s="19">
        <v>577</v>
      </c>
      <c r="B583" s="19" t="s">
        <v>1839</v>
      </c>
      <c r="C583" s="19" t="s">
        <v>1824</v>
      </c>
      <c r="D583" s="19" t="str">
        <f>HYPERLINK("http://www.henontech.com/fieldsafety/harzard/harzard_show.php?rid=19873&amp;url=harzardrecs.php","电缆未有压盖，因温度太高烤坏电缆，造成经济损失")</f>
        <v>电缆未有压盖，因温度太高烤坏电缆，造成经济损失</v>
      </c>
      <c r="E583" s="19" t="s">
        <v>2555</v>
      </c>
      <c r="F583" s="23" t="s">
        <v>304</v>
      </c>
      <c r="G583" s="22" t="s">
        <v>63</v>
      </c>
      <c r="H583" s="19" t="s">
        <v>482</v>
      </c>
      <c r="I583" s="19"/>
      <c r="J583" s="19" t="s">
        <v>109</v>
      </c>
      <c r="K583" s="19"/>
      <c r="L583" s="19"/>
      <c r="M583" s="19" t="s">
        <v>1033</v>
      </c>
      <c r="N583" s="19" t="s">
        <v>1731</v>
      </c>
      <c r="O583" s="19"/>
      <c r="P583" s="19"/>
      <c r="Q583" s="19"/>
      <c r="R583" s="19" t="s">
        <v>2556</v>
      </c>
      <c r="S583" s="19" t="s">
        <v>2557</v>
      </c>
      <c r="T583" s="19" t="s">
        <v>189</v>
      </c>
      <c r="U583" s="19" t="s">
        <v>202</v>
      </c>
      <c r="V583" s="19" t="s">
        <v>203</v>
      </c>
      <c r="W583" s="19" t="s">
        <v>56</v>
      </c>
      <c r="X583" s="19"/>
      <c r="Y583" s="19"/>
      <c r="Z583" s="19"/>
      <c r="AA583" s="19">
        <v>0</v>
      </c>
      <c r="AB583" s="19"/>
      <c r="AC583" s="19" t="s">
        <v>308</v>
      </c>
      <c r="AD583" s="19"/>
      <c r="AE583" s="19"/>
      <c r="AF583" s="19"/>
    </row>
    <row r="584" spans="1:34" customHeight="1" ht="42">
      <c r="A584" s="19">
        <v>578</v>
      </c>
      <c r="B584" s="19" t="s">
        <v>1839</v>
      </c>
      <c r="C584" s="19" t="s">
        <v>1913</v>
      </c>
      <c r="D584" s="19" t="str">
        <f>HYPERLINK("http://www.henontech.com/fieldsafety/harzard/harzard_show.php?rid=19880&amp;url=harzardrecs.php","放渣皮带机地沟与平面处未按装防隔离栏，一名操作工在清理卫生时不小心掉入放渣皮带机地沟处。")</f>
        <v>放渣皮带机地沟与平面处未按装防隔离栏，一名操作工在清理卫生时不小心掉入放渣皮带机地沟处。</v>
      </c>
      <c r="E584" s="19" t="s">
        <v>2558</v>
      </c>
      <c r="F584" s="25" t="s">
        <v>1455</v>
      </c>
      <c r="G584" s="22" t="s">
        <v>63</v>
      </c>
      <c r="H584" s="19" t="s">
        <v>44</v>
      </c>
      <c r="I584" s="19" t="s">
        <v>108</v>
      </c>
      <c r="J584" s="19" t="s">
        <v>46</v>
      </c>
      <c r="K584" s="19" t="s">
        <v>132</v>
      </c>
      <c r="L584" s="19" t="s">
        <v>76</v>
      </c>
      <c r="M584" s="19" t="s">
        <v>1033</v>
      </c>
      <c r="N584" s="19" t="s">
        <v>2559</v>
      </c>
      <c r="O584" s="19" t="s">
        <v>1033</v>
      </c>
      <c r="P584" s="19" t="s">
        <v>1034</v>
      </c>
      <c r="Q584" s="19" t="s">
        <v>2097</v>
      </c>
      <c r="R584" s="19" t="s">
        <v>2560</v>
      </c>
      <c r="S584" s="19"/>
      <c r="T584" s="19" t="s">
        <v>53</v>
      </c>
      <c r="U584" s="19" t="s">
        <v>80</v>
      </c>
      <c r="V584" s="19" t="s">
        <v>97</v>
      </c>
      <c r="W584" s="19" t="s">
        <v>70</v>
      </c>
      <c r="X584" s="19" t="s">
        <v>154</v>
      </c>
      <c r="Y584" s="19"/>
      <c r="Z584" s="19" t="s">
        <v>2561</v>
      </c>
      <c r="AA584" s="19">
        <v>2</v>
      </c>
      <c r="AB584" s="19"/>
      <c r="AC584" s="19" t="s">
        <v>308</v>
      </c>
      <c r="AD584" s="19"/>
      <c r="AE584" s="19"/>
      <c r="AF584" s="19"/>
    </row>
    <row r="585" spans="1:34">
      <c r="A585" s="19">
        <v>579</v>
      </c>
      <c r="B585" s="19" t="s">
        <v>2411</v>
      </c>
      <c r="C585" s="19" t="s">
        <v>2562</v>
      </c>
      <c r="D585" s="19" t="str">
        <f>HYPERLINK("http://www.henontech.com/fieldsafety/harzard/harzard_show.php?rid=19902&amp;url=harzardrecs.php","东四四号仓下料口挡皮损坏，开车过程中挂煤，造成皮带划伤，停车")</f>
        <v>东四四号仓下料口挡皮损坏，开车过程中挂煤，造成皮带划伤，停车</v>
      </c>
      <c r="E585" s="19" t="s">
        <v>2563</v>
      </c>
      <c r="F585" s="20" t="s">
        <v>42</v>
      </c>
      <c r="G585" s="22" t="s">
        <v>63</v>
      </c>
      <c r="H585" s="19" t="s">
        <v>44</v>
      </c>
      <c r="I585" s="19" t="s">
        <v>108</v>
      </c>
      <c r="J585" s="19" t="s">
        <v>46</v>
      </c>
      <c r="K585" s="19" t="s">
        <v>110</v>
      </c>
      <c r="L585" s="19" t="s">
        <v>76</v>
      </c>
      <c r="M585" s="19" t="s">
        <v>364</v>
      </c>
      <c r="N585" s="19" t="s">
        <v>2564</v>
      </c>
      <c r="O585" s="19" t="s">
        <v>364</v>
      </c>
      <c r="P585" s="19" t="s">
        <v>377</v>
      </c>
      <c r="Q585" s="19" t="s">
        <v>1863</v>
      </c>
      <c r="R585" s="19" t="s">
        <v>2290</v>
      </c>
      <c r="S585" s="19"/>
      <c r="T585" s="19" t="s">
        <v>189</v>
      </c>
      <c r="U585" s="19" t="s">
        <v>202</v>
      </c>
      <c r="V585" s="19" t="s">
        <v>55</v>
      </c>
      <c r="W585" s="19" t="s">
        <v>56</v>
      </c>
      <c r="X585" s="19"/>
      <c r="Y585" s="19"/>
      <c r="Z585" s="19" t="s">
        <v>2565</v>
      </c>
      <c r="AA585" s="19">
        <v>1</v>
      </c>
      <c r="AB585" s="19">
        <v>1</v>
      </c>
      <c r="AC585" s="19" t="s">
        <v>58</v>
      </c>
      <c r="AD585" s="19" t="s">
        <v>377</v>
      </c>
      <c r="AE585" s="19" t="s">
        <v>1863</v>
      </c>
      <c r="AF585" s="19"/>
    </row>
    <row r="586" spans="1:34" customHeight="1" ht="42">
      <c r="A586" s="19">
        <v>580</v>
      </c>
      <c r="B586" s="19" t="s">
        <v>2411</v>
      </c>
      <c r="C586" s="19" t="s">
        <v>118</v>
      </c>
      <c r="D586" s="19" t="str">
        <f>HYPERLINK("http://www.henontech.com/fieldsafety/harzard/harzard_show.php?rid=19913&amp;url=harzardrecs.php","电梯7层出口处，线缆检修口盖板缺失，若遇雨雪水进入，1人员巡检乘坐时因线缆短路电梯控制失灵，轿门无法打开，人员被困。")</f>
        <v>电梯7层出口处，线缆检修口盖板缺失，若遇雨雪水进入，1人员巡检乘坐时因线缆短路电梯控制失灵，轿门无法打开，人员被困。</v>
      </c>
      <c r="E586" s="19" t="s">
        <v>2566</v>
      </c>
      <c r="F586" s="20" t="s">
        <v>42</v>
      </c>
      <c r="G586" s="22" t="s">
        <v>63</v>
      </c>
      <c r="H586" s="19" t="s">
        <v>44</v>
      </c>
      <c r="I586" s="19"/>
      <c r="J586" s="19" t="s">
        <v>109</v>
      </c>
      <c r="K586" s="19"/>
      <c r="L586" s="19"/>
      <c r="M586" s="19" t="s">
        <v>121</v>
      </c>
      <c r="N586" s="19" t="s">
        <v>2338</v>
      </c>
      <c r="O586" s="19" t="s">
        <v>121</v>
      </c>
      <c r="P586" s="19" t="s">
        <v>316</v>
      </c>
      <c r="Q586" s="19" t="s">
        <v>1886</v>
      </c>
      <c r="R586" s="19" t="s">
        <v>2567</v>
      </c>
      <c r="S586" s="19"/>
      <c r="T586" s="19" t="s">
        <v>189</v>
      </c>
      <c r="U586" s="19" t="s">
        <v>54</v>
      </c>
      <c r="V586" s="19" t="s">
        <v>97</v>
      </c>
      <c r="W586" s="19" t="s">
        <v>81</v>
      </c>
      <c r="X586" s="19" t="s">
        <v>154</v>
      </c>
      <c r="Y586" s="19"/>
      <c r="Z586" s="19" t="s">
        <v>2568</v>
      </c>
      <c r="AA586" s="19">
        <v>2</v>
      </c>
      <c r="AB586" s="19">
        <v>2</v>
      </c>
      <c r="AC586" s="19" t="s">
        <v>58</v>
      </c>
      <c r="AD586" s="19" t="s">
        <v>316</v>
      </c>
      <c r="AE586" s="19" t="s">
        <v>2411</v>
      </c>
      <c r="AF586" s="19"/>
    </row>
    <row r="587" spans="1:34">
      <c r="A587" s="19">
        <v>581</v>
      </c>
      <c r="B587" s="19" t="s">
        <v>2411</v>
      </c>
      <c r="C587" s="19" t="s">
        <v>2394</v>
      </c>
      <c r="D587" s="19" t="str">
        <f>HYPERLINK("http://www.henontech.com/fieldsafety/harzard/harzard_show.php?rid=19929&amp;url=harzardrecs.php","深度处理最终沉淀池无过桥，一名操作人员在操作时，踩着管道跨越不慎踩空，造成左脚裸扭伤，在家休息三天后复工。")</f>
        <v>深度处理最终沉淀池无过桥，一名操作人员在操作时，踩着管道跨越不慎踩空，造成左脚裸扭伤，在家休息三天后复工。</v>
      </c>
      <c r="E587" s="19" t="s">
        <v>2569</v>
      </c>
      <c r="F587" s="20" t="s">
        <v>42</v>
      </c>
      <c r="G587" s="22" t="s">
        <v>63</v>
      </c>
      <c r="H587" s="19" t="s">
        <v>482</v>
      </c>
      <c r="I587" s="19" t="s">
        <v>45</v>
      </c>
      <c r="J587" s="19" t="s">
        <v>109</v>
      </c>
      <c r="K587" s="19" t="s">
        <v>47</v>
      </c>
      <c r="L587" s="19" t="s">
        <v>76</v>
      </c>
      <c r="M587" s="19" t="s">
        <v>149</v>
      </c>
      <c r="N587" s="19" t="s">
        <v>2570</v>
      </c>
      <c r="O587" s="19" t="s">
        <v>149</v>
      </c>
      <c r="P587" s="19" t="s">
        <v>211</v>
      </c>
      <c r="Q587" s="19" t="s">
        <v>2499</v>
      </c>
      <c r="R587" s="19" t="s">
        <v>2571</v>
      </c>
      <c r="S587" s="19"/>
      <c r="T587" s="19" t="s">
        <v>53</v>
      </c>
      <c r="U587" s="19" t="s">
        <v>80</v>
      </c>
      <c r="V587" s="19" t="s">
        <v>97</v>
      </c>
      <c r="W587" s="19" t="s">
        <v>70</v>
      </c>
      <c r="X587" s="19" t="s">
        <v>154</v>
      </c>
      <c r="Y587" s="19" t="s">
        <v>154</v>
      </c>
      <c r="Z587" s="19" t="s">
        <v>2572</v>
      </c>
      <c r="AA587" s="19">
        <v>1</v>
      </c>
      <c r="AB587" s="19">
        <v>1</v>
      </c>
      <c r="AC587" s="19" t="s">
        <v>58</v>
      </c>
      <c r="AD587" s="19" t="s">
        <v>211</v>
      </c>
      <c r="AE587" s="19" t="s">
        <v>2411</v>
      </c>
      <c r="AF587" s="19"/>
    </row>
    <row r="588" spans="1:34">
      <c r="A588" s="19">
        <v>582</v>
      </c>
      <c r="B588" s="19" t="s">
        <v>2411</v>
      </c>
      <c r="C588" s="19" t="s">
        <v>2573</v>
      </c>
      <c r="D588" s="19" t="str">
        <f>HYPERLINK("http://www.henontech.com/fieldsafety/harzard/harzard_show.php?rid=19936&amp;url=harzardrecs.php","一名操作工人在进行打水巡查作业时，由于泵电机靠背轮防护罩未固定牢，被靠背轮擦伤小腿，及时去医务室上药处理，造成小腿轻微擦伤，休二天无损工事故。")</f>
        <v>一名操作工人在进行打水巡查作业时，由于泵电机靠背轮防护罩未固定牢，被靠背轮擦伤小腿，及时去医务室上药处理，造成小腿轻微擦伤，休二天无损工事故。</v>
      </c>
      <c r="E588" s="19" t="s">
        <v>2574</v>
      </c>
      <c r="F588" s="20" t="s">
        <v>42</v>
      </c>
      <c r="G588" s="22" t="s">
        <v>63</v>
      </c>
      <c r="H588" s="19" t="s">
        <v>44</v>
      </c>
      <c r="I588" s="19" t="s">
        <v>120</v>
      </c>
      <c r="J588" s="19" t="s">
        <v>46</v>
      </c>
      <c r="K588" s="19" t="s">
        <v>64</v>
      </c>
      <c r="L588" s="19" t="s">
        <v>170</v>
      </c>
      <c r="M588" s="19" t="s">
        <v>149</v>
      </c>
      <c r="N588" s="19" t="s">
        <v>2575</v>
      </c>
      <c r="O588" s="19" t="s">
        <v>149</v>
      </c>
      <c r="P588" s="19" t="s">
        <v>211</v>
      </c>
      <c r="Q588" s="19" t="s">
        <v>2499</v>
      </c>
      <c r="R588" s="19" t="s">
        <v>2576</v>
      </c>
      <c r="S588" s="19"/>
      <c r="T588" s="19" t="s">
        <v>53</v>
      </c>
      <c r="U588" s="19" t="s">
        <v>54</v>
      </c>
      <c r="V588" s="19" t="s">
        <v>69</v>
      </c>
      <c r="W588" s="19" t="s">
        <v>70</v>
      </c>
      <c r="X588" s="19" t="s">
        <v>154</v>
      </c>
      <c r="Y588" s="19" t="s">
        <v>154</v>
      </c>
      <c r="Z588" s="19" t="s">
        <v>2577</v>
      </c>
      <c r="AA588" s="19">
        <v>1</v>
      </c>
      <c r="AB588" s="19">
        <v>1</v>
      </c>
      <c r="AC588" s="19" t="s">
        <v>58</v>
      </c>
      <c r="AD588" s="19" t="s">
        <v>211</v>
      </c>
      <c r="AE588" s="19" t="s">
        <v>2411</v>
      </c>
      <c r="AF588" s="19"/>
    </row>
    <row r="589" spans="1:34">
      <c r="A589" s="19">
        <v>583</v>
      </c>
      <c r="B589" s="19" t="s">
        <v>2411</v>
      </c>
      <c r="C589" s="19" t="s">
        <v>2394</v>
      </c>
      <c r="D589" s="19" t="str">
        <f>HYPERLINK("http://www.henontech.com/fieldsafety/harzard/harzard_show.php?rid=19957&amp;url=harzardrecs.php","污水处理车间深度处理超滤B套进水阀开关不到位，导致进水达不到标准，造成系统停运6小时。")</f>
        <v>污水处理车间深度处理超滤B套进水阀开关不到位，导致进水达不到标准，造成系统停运6小时。</v>
      </c>
      <c r="E589" s="19" t="s">
        <v>2578</v>
      </c>
      <c r="F589" s="20" t="s">
        <v>42</v>
      </c>
      <c r="G589" s="22" t="s">
        <v>63</v>
      </c>
      <c r="H589" s="19" t="s">
        <v>44</v>
      </c>
      <c r="I589" s="19"/>
      <c r="J589" s="19" t="s">
        <v>109</v>
      </c>
      <c r="K589" s="19" t="s">
        <v>64</v>
      </c>
      <c r="L589" s="19"/>
      <c r="M589" s="19" t="s">
        <v>149</v>
      </c>
      <c r="N589" s="19" t="s">
        <v>2579</v>
      </c>
      <c r="O589" s="19" t="s">
        <v>149</v>
      </c>
      <c r="P589" s="19" t="s">
        <v>211</v>
      </c>
      <c r="Q589" s="19" t="s">
        <v>2499</v>
      </c>
      <c r="R589" s="19" t="s">
        <v>2580</v>
      </c>
      <c r="S589" s="19"/>
      <c r="T589" s="19" t="s">
        <v>189</v>
      </c>
      <c r="U589" s="19" t="s">
        <v>80</v>
      </c>
      <c r="V589" s="19" t="s">
        <v>69</v>
      </c>
      <c r="W589" s="19" t="s">
        <v>190</v>
      </c>
      <c r="X589" s="19" t="s">
        <v>154</v>
      </c>
      <c r="Y589" s="19" t="s">
        <v>154</v>
      </c>
      <c r="Z589" s="19" t="s">
        <v>2581</v>
      </c>
      <c r="AA589" s="19">
        <v>1</v>
      </c>
      <c r="AB589" s="19">
        <v>1</v>
      </c>
      <c r="AC589" s="19" t="s">
        <v>58</v>
      </c>
      <c r="AD589" s="19" t="s">
        <v>211</v>
      </c>
      <c r="AE589" s="19" t="s">
        <v>2411</v>
      </c>
      <c r="AF589" s="19"/>
    </row>
    <row r="590" spans="1:34">
      <c r="A590" s="19">
        <v>584</v>
      </c>
      <c r="B590" s="19" t="s">
        <v>2411</v>
      </c>
      <c r="C590" s="19" t="s">
        <v>955</v>
      </c>
      <c r="D590" s="19" t="str">
        <f>HYPERLINK("http://www.henontech.com/fieldsafety/harzard/harzard_show.php?rid=20000&amp;url=harzardrecs.php","南风机1#电捕冲洗完毕后发现高温氨水电动阀关闭失灵，一旦开启电捕投用，造成电捕内部短路，引起爆炸，造成市地媒体报道。")</f>
        <v>南风机1#电捕冲洗完毕后发现高温氨水电动阀关闭失灵，一旦开启电捕投用，造成电捕内部短路，引起爆炸，造成市地媒体报道。</v>
      </c>
      <c r="E590" s="19" t="s">
        <v>2582</v>
      </c>
      <c r="F590" s="20" t="s">
        <v>42</v>
      </c>
      <c r="G590" s="22" t="s">
        <v>63</v>
      </c>
      <c r="H590" s="19" t="s">
        <v>44</v>
      </c>
      <c r="I590" s="19"/>
      <c r="J590" s="19" t="s">
        <v>46</v>
      </c>
      <c r="K590" s="19"/>
      <c r="L590" s="19"/>
      <c r="M590" s="19" t="s">
        <v>48</v>
      </c>
      <c r="N590" s="19" t="s">
        <v>2583</v>
      </c>
      <c r="O590" s="19" t="s">
        <v>48</v>
      </c>
      <c r="P590" s="19" t="s">
        <v>50</v>
      </c>
      <c r="Q590" s="19" t="s">
        <v>2331</v>
      </c>
      <c r="R590" s="19" t="s">
        <v>2584</v>
      </c>
      <c r="S590" s="19"/>
      <c r="T590" s="19" t="s">
        <v>2002</v>
      </c>
      <c r="U590" s="19" t="s">
        <v>80</v>
      </c>
      <c r="V590" s="19" t="s">
        <v>69</v>
      </c>
      <c r="W590" s="19" t="s">
        <v>190</v>
      </c>
      <c r="X590" s="19"/>
      <c r="Y590" s="19"/>
      <c r="Z590" s="19" t="s">
        <v>2585</v>
      </c>
      <c r="AA590" s="19">
        <v>1</v>
      </c>
      <c r="AB590" s="19">
        <v>1</v>
      </c>
      <c r="AC590" s="19" t="s">
        <v>58</v>
      </c>
      <c r="AD590" s="19" t="s">
        <v>50</v>
      </c>
      <c r="AE590" s="19" t="s">
        <v>1503</v>
      </c>
      <c r="AF590" s="19"/>
    </row>
    <row r="591" spans="1:34">
      <c r="A591" s="19">
        <v>585</v>
      </c>
      <c r="B591" s="19" t="s">
        <v>2411</v>
      </c>
      <c r="C591" s="19" t="s">
        <v>1903</v>
      </c>
      <c r="D591" s="19" t="str">
        <f>HYPERLINK("http://www.henontech.com/fieldsafety/harzard/harzard_show.php?rid=20025&amp;url=harzardrecs.php","东一岗位机头刮煤板刮皮磨损严重，一旦刮皮磨损至铁板处，将会造成胶带磨损加快，缩短使用寿命。")</f>
        <v>东一岗位机头刮煤板刮皮磨损严重，一旦刮皮磨损至铁板处，将会造成胶带磨损加快，缩短使用寿命。</v>
      </c>
      <c r="E591" s="19" t="s">
        <v>2586</v>
      </c>
      <c r="F591" s="20" t="s">
        <v>42</v>
      </c>
      <c r="G591" s="22" t="s">
        <v>63</v>
      </c>
      <c r="H591" s="19" t="s">
        <v>44</v>
      </c>
      <c r="I591" s="19" t="s">
        <v>45</v>
      </c>
      <c r="J591" s="19" t="s">
        <v>349</v>
      </c>
      <c r="K591" s="19" t="s">
        <v>110</v>
      </c>
      <c r="L591" s="19" t="s">
        <v>76</v>
      </c>
      <c r="M591" s="19" t="s">
        <v>364</v>
      </c>
      <c r="N591" s="19" t="s">
        <v>2587</v>
      </c>
      <c r="O591" s="19" t="s">
        <v>364</v>
      </c>
      <c r="P591" s="19" t="s">
        <v>377</v>
      </c>
      <c r="Q591" s="19" t="s">
        <v>2341</v>
      </c>
      <c r="R591" s="19" t="s">
        <v>2588</v>
      </c>
      <c r="S591" s="19"/>
      <c r="T591" s="19" t="s">
        <v>189</v>
      </c>
      <c r="U591" s="19" t="s">
        <v>54</v>
      </c>
      <c r="V591" s="19" t="s">
        <v>55</v>
      </c>
      <c r="W591" s="19" t="s">
        <v>56</v>
      </c>
      <c r="X591" s="19"/>
      <c r="Y591" s="19"/>
      <c r="Z591" s="19" t="s">
        <v>2589</v>
      </c>
      <c r="AA591" s="19">
        <v>1</v>
      </c>
      <c r="AB591" s="19">
        <v>1</v>
      </c>
      <c r="AC591" s="19" t="s">
        <v>58</v>
      </c>
      <c r="AD591" s="19" t="s">
        <v>377</v>
      </c>
      <c r="AE591" s="19" t="s">
        <v>2341</v>
      </c>
      <c r="AF591" s="19"/>
    </row>
    <row r="592" spans="1:34">
      <c r="A592" s="19">
        <v>586</v>
      </c>
      <c r="B592" s="19" t="s">
        <v>2411</v>
      </c>
      <c r="C592" s="19" t="s">
        <v>2300</v>
      </c>
      <c r="D592" s="19" t="str">
        <f>HYPERLINK("http://www.henontech.com/fieldsafety/harzard/harzard_show.php?rid=20026&amp;url=harzardrecs.php","1618破碎机平台护栏开焊，一旦职工经过时，左小腿会被轻微划伤，送医务室敷药包扎后，回到岗位继续工作。")</f>
        <v>1618破碎机平台护栏开焊，一旦职工经过时，左小腿会被轻微划伤，送医务室敷药包扎后，回到岗位继续工作。</v>
      </c>
      <c r="E592" s="19" t="s">
        <v>2590</v>
      </c>
      <c r="F592" s="20" t="s">
        <v>42</v>
      </c>
      <c r="G592" s="21" t="s">
        <v>43</v>
      </c>
      <c r="H592" s="19" t="s">
        <v>44</v>
      </c>
      <c r="I592" s="19" t="s">
        <v>45</v>
      </c>
      <c r="J592" s="19" t="s">
        <v>46</v>
      </c>
      <c r="K592" s="19" t="s">
        <v>110</v>
      </c>
      <c r="L592" s="19" t="s">
        <v>76</v>
      </c>
      <c r="M592" s="19" t="s">
        <v>364</v>
      </c>
      <c r="N592" s="19" t="s">
        <v>2591</v>
      </c>
      <c r="O592" s="19" t="s">
        <v>364</v>
      </c>
      <c r="P592" s="19" t="s">
        <v>377</v>
      </c>
      <c r="Q592" s="19" t="s">
        <v>2341</v>
      </c>
      <c r="R592" s="19" t="s">
        <v>1062</v>
      </c>
      <c r="S592" s="19"/>
      <c r="T592" s="19" t="s">
        <v>53</v>
      </c>
      <c r="U592" s="19" t="s">
        <v>54</v>
      </c>
      <c r="V592" s="19" t="s">
        <v>97</v>
      </c>
      <c r="W592" s="19" t="s">
        <v>81</v>
      </c>
      <c r="X592" s="19"/>
      <c r="Y592" s="19"/>
      <c r="Z592" s="19" t="s">
        <v>2592</v>
      </c>
      <c r="AA592" s="19">
        <v>1</v>
      </c>
      <c r="AB592" s="19">
        <v>1</v>
      </c>
      <c r="AC592" s="19" t="s">
        <v>58</v>
      </c>
      <c r="AD592" s="19" t="s">
        <v>377</v>
      </c>
      <c r="AE592" s="19" t="s">
        <v>2341</v>
      </c>
      <c r="AF592" s="19"/>
    </row>
    <row r="593" spans="1:34">
      <c r="A593" s="19">
        <v>587</v>
      </c>
      <c r="B593" s="19" t="s">
        <v>2482</v>
      </c>
      <c r="C593" s="19" t="s">
        <v>955</v>
      </c>
      <c r="D593" s="19" t="str">
        <f>HYPERLINK("http://www.henontech.com/fieldsafety/harzard/harzard_show.php?rid=20040&amp;url=harzardrecs.php","两盐北侧框架上废弃管道一头从框架上滑落悬挂半空中，假如一名操作工在框架下面打扫卫生时由于管道腐蚀致使悬挂的管道坠落，造成一名操作工被坠落的管道砸中头部送医院抢救无效死亡")</f>
        <v>两盐北侧框架上废弃管道一头从框架上滑落悬挂半空中，假如一名操作工在框架下面打扫卫生时由于管道腐蚀致使悬挂的管道坠落，造成一名操作工被坠落的管道砸中头部送医院抢救无效死亡</v>
      </c>
      <c r="E593" s="19" t="s">
        <v>2593</v>
      </c>
      <c r="F593" s="20" t="s">
        <v>42</v>
      </c>
      <c r="G593" s="22" t="s">
        <v>63</v>
      </c>
      <c r="H593" s="19" t="s">
        <v>44</v>
      </c>
      <c r="I593" s="19" t="s">
        <v>108</v>
      </c>
      <c r="J593" s="19" t="s">
        <v>349</v>
      </c>
      <c r="K593" s="19" t="s">
        <v>47</v>
      </c>
      <c r="L593" s="19" t="s">
        <v>76</v>
      </c>
      <c r="M593" s="19" t="s">
        <v>48</v>
      </c>
      <c r="N593" s="19" t="s">
        <v>594</v>
      </c>
      <c r="O593" s="19" t="s">
        <v>48</v>
      </c>
      <c r="P593" s="19" t="s">
        <v>50</v>
      </c>
      <c r="Q593" s="19" t="s">
        <v>2331</v>
      </c>
      <c r="R593" s="19" t="s">
        <v>2594</v>
      </c>
      <c r="S593" s="19"/>
      <c r="T593" s="19" t="s">
        <v>53</v>
      </c>
      <c r="U593" s="19" t="s">
        <v>236</v>
      </c>
      <c r="V593" s="19" t="s">
        <v>69</v>
      </c>
      <c r="W593" s="19" t="s">
        <v>190</v>
      </c>
      <c r="X593" s="19"/>
      <c r="Y593" s="19"/>
      <c r="Z593" s="19" t="s">
        <v>2595</v>
      </c>
      <c r="AA593" s="19">
        <v>1</v>
      </c>
      <c r="AB593" s="19">
        <v>1</v>
      </c>
      <c r="AC593" s="19" t="s">
        <v>58</v>
      </c>
      <c r="AD593" s="19" t="s">
        <v>50</v>
      </c>
      <c r="AE593" s="19" t="s">
        <v>1503</v>
      </c>
      <c r="AF593" s="19"/>
    </row>
    <row r="594" spans="1:34">
      <c r="A594" s="19">
        <v>588</v>
      </c>
      <c r="B594" s="19" t="s">
        <v>2482</v>
      </c>
      <c r="C594" s="19" t="s">
        <v>1460</v>
      </c>
      <c r="D594" s="19" t="str">
        <f>HYPERLINK("http://www.henontech.com/fieldsafety/harzard/harzard_show.php?rid=20101&amp;url=harzardrecs.php","新化学水杀菌剂出口管漏液，由于操作工没有带护目镜，在操作时杀菌剂药液喷出溅入眼中，送医院救治。")</f>
        <v>新化学水杀菌剂出口管漏液，由于操作工没有带护目镜，在操作时杀菌剂药液喷出溅入眼中，送医院救治。</v>
      </c>
      <c r="E594" s="19" t="s">
        <v>2596</v>
      </c>
      <c r="F594" s="23" t="s">
        <v>304</v>
      </c>
      <c r="G594" s="22" t="s">
        <v>63</v>
      </c>
      <c r="H594" s="19" t="s">
        <v>44</v>
      </c>
      <c r="I594" s="19" t="s">
        <v>45</v>
      </c>
      <c r="J594" s="19" t="s">
        <v>109</v>
      </c>
      <c r="K594" s="19" t="s">
        <v>64</v>
      </c>
      <c r="L594" s="19"/>
      <c r="M594" s="19" t="s">
        <v>1033</v>
      </c>
      <c r="N594" s="19" t="s">
        <v>1535</v>
      </c>
      <c r="O594" s="19"/>
      <c r="P594" s="19"/>
      <c r="Q594" s="19"/>
      <c r="R594" s="19" t="s">
        <v>2597</v>
      </c>
      <c r="S594" s="19" t="s">
        <v>2084</v>
      </c>
      <c r="T594" s="19" t="s">
        <v>53</v>
      </c>
      <c r="U594" s="19" t="s">
        <v>54</v>
      </c>
      <c r="V594" s="19" t="s">
        <v>97</v>
      </c>
      <c r="W594" s="19" t="s">
        <v>81</v>
      </c>
      <c r="X594" s="19"/>
      <c r="Y594" s="19"/>
      <c r="Z594" s="19"/>
      <c r="AA594" s="19">
        <v>0</v>
      </c>
      <c r="AB594" s="19"/>
      <c r="AC594" s="19" t="s">
        <v>308</v>
      </c>
      <c r="AD594" s="19"/>
      <c r="AE594" s="19"/>
      <c r="AF594" s="19"/>
    </row>
    <row r="595" spans="1:34">
      <c r="A595" s="19">
        <v>589</v>
      </c>
      <c r="B595" s="19" t="s">
        <v>2482</v>
      </c>
      <c r="C595" s="19" t="s">
        <v>408</v>
      </c>
      <c r="D595" s="19" t="str">
        <f>HYPERLINK("http://www.henontech.com/fieldsafety/harzard/harzard_show.php?rid=20155&amp;url=harzardrecs.php","1号脱硫塔上部分布器腐蚀严重，在施工过程中脱落将外协人员头部砸伤。")</f>
        <v>1号脱硫塔上部分布器腐蚀严重，在施工过程中脱落将外协人员头部砸伤。</v>
      </c>
      <c r="E595" s="19" t="s">
        <v>2598</v>
      </c>
      <c r="F595" s="20" t="s">
        <v>42</v>
      </c>
      <c r="G595" s="22" t="s">
        <v>63</v>
      </c>
      <c r="H595" s="19" t="s">
        <v>44</v>
      </c>
      <c r="I595" s="19" t="s">
        <v>45</v>
      </c>
      <c r="J595" s="19" t="s">
        <v>46</v>
      </c>
      <c r="K595" s="19"/>
      <c r="L595" s="19"/>
      <c r="M595" s="19" t="s">
        <v>48</v>
      </c>
      <c r="N595" s="19" t="s">
        <v>1016</v>
      </c>
      <c r="O595" s="19" t="s">
        <v>48</v>
      </c>
      <c r="P595" s="19" t="s">
        <v>50</v>
      </c>
      <c r="Q595" s="19" t="s">
        <v>2331</v>
      </c>
      <c r="R595" s="19" t="s">
        <v>2599</v>
      </c>
      <c r="S595" s="19"/>
      <c r="T595" s="19" t="s">
        <v>53</v>
      </c>
      <c r="U595" s="19" t="s">
        <v>80</v>
      </c>
      <c r="V595" s="19" t="s">
        <v>97</v>
      </c>
      <c r="W595" s="19" t="s">
        <v>70</v>
      </c>
      <c r="X595" s="19"/>
      <c r="Y595" s="19"/>
      <c r="Z595" s="19" t="s">
        <v>2600</v>
      </c>
      <c r="AA595" s="19">
        <v>1</v>
      </c>
      <c r="AB595" s="19">
        <v>1</v>
      </c>
      <c r="AC595" s="19" t="s">
        <v>58</v>
      </c>
      <c r="AD595" s="19" t="s">
        <v>50</v>
      </c>
      <c r="AE595" s="19" t="s">
        <v>2297</v>
      </c>
      <c r="AF595" s="19"/>
    </row>
    <row r="596" spans="1:34">
      <c r="A596" s="19">
        <v>590</v>
      </c>
      <c r="B596" s="19" t="s">
        <v>2482</v>
      </c>
      <c r="C596" s="19" t="s">
        <v>2033</v>
      </c>
      <c r="D596" s="19" t="str">
        <f>HYPERLINK("http://www.henontech.com/fieldsafety/harzard/harzard_show.php?rid=20182&amp;url=harzardrecs.php","因加碱泵出口漏液，一操作工在处理时未戴护目镜导致火碱药液溅入眼中，送医院救治，确诊为左眼轻度灼伤，治疗两天，修养三天后恢复工作。")</f>
        <v>因加碱泵出口漏液，一操作工在处理时未戴护目镜导致火碱药液溅入眼中，送医院救治，确诊为左眼轻度灼伤，治疗两天，修养三天后恢复工作。</v>
      </c>
      <c r="E596" s="19" t="s">
        <v>2601</v>
      </c>
      <c r="F596" s="20" t="s">
        <v>42</v>
      </c>
      <c r="G596" s="22" t="s">
        <v>63</v>
      </c>
      <c r="H596" s="19" t="s">
        <v>44</v>
      </c>
      <c r="I596" s="19" t="s">
        <v>45</v>
      </c>
      <c r="J596" s="19" t="s">
        <v>109</v>
      </c>
      <c r="K596" s="19" t="s">
        <v>64</v>
      </c>
      <c r="L596" s="19"/>
      <c r="M596" s="19" t="s">
        <v>121</v>
      </c>
      <c r="N596" s="19" t="s">
        <v>2602</v>
      </c>
      <c r="O596" s="19" t="s">
        <v>121</v>
      </c>
      <c r="P596" s="19" t="s">
        <v>254</v>
      </c>
      <c r="Q596" s="19" t="s">
        <v>2527</v>
      </c>
      <c r="R596" s="19" t="s">
        <v>2603</v>
      </c>
      <c r="S596" s="19" t="s">
        <v>2529</v>
      </c>
      <c r="T596" s="19" t="s">
        <v>53</v>
      </c>
      <c r="U596" s="19" t="s">
        <v>54</v>
      </c>
      <c r="V596" s="19" t="s">
        <v>97</v>
      </c>
      <c r="W596" s="19" t="s">
        <v>81</v>
      </c>
      <c r="X596" s="19" t="s">
        <v>154</v>
      </c>
      <c r="Y596" s="19"/>
      <c r="Z596" s="19" t="s">
        <v>2604</v>
      </c>
      <c r="AA596" s="19">
        <v>1</v>
      </c>
      <c r="AB596" s="19">
        <v>1</v>
      </c>
      <c r="AC596" s="19" t="s">
        <v>58</v>
      </c>
      <c r="AD596" s="19" t="s">
        <v>254</v>
      </c>
      <c r="AE596" s="19" t="s">
        <v>1503</v>
      </c>
      <c r="AF596" s="19" t="s">
        <v>2605</v>
      </c>
    </row>
    <row r="597" spans="1:34">
      <c r="A597" s="19">
        <v>591</v>
      </c>
      <c r="B597" s="19" t="s">
        <v>2482</v>
      </c>
      <c r="C597" s="19" t="s">
        <v>2106</v>
      </c>
      <c r="D597" s="19" t="str">
        <f>HYPERLINK("http://www.henontech.com/fieldsafety/harzard/harzard_show.php?rid=20189&amp;url=harzardrecs.php","二楼回流管阀门垫子损坏漏母液，如果一操作人员在更换垫子时溅到眼睛里，造成损坏眼球。用清水清洗及时就医。造成一人损工事故")</f>
        <v>二楼回流管阀门垫子损坏漏母液，如果一操作人员在更换垫子时溅到眼睛里，造成损坏眼球。用清水清洗及时就医。造成一人损工事故</v>
      </c>
      <c r="E597" s="19" t="s">
        <v>2606</v>
      </c>
      <c r="F597" s="20" t="s">
        <v>42</v>
      </c>
      <c r="G597" s="22" t="s">
        <v>63</v>
      </c>
      <c r="H597" s="19" t="s">
        <v>44</v>
      </c>
      <c r="I597" s="19" t="s">
        <v>45</v>
      </c>
      <c r="J597" s="19" t="s">
        <v>531</v>
      </c>
      <c r="K597" s="19" t="s">
        <v>64</v>
      </c>
      <c r="L597" s="19" t="s">
        <v>76</v>
      </c>
      <c r="M597" s="19" t="s">
        <v>48</v>
      </c>
      <c r="N597" s="19" t="s">
        <v>401</v>
      </c>
      <c r="O597" s="19" t="s">
        <v>48</v>
      </c>
      <c r="P597" s="19" t="s">
        <v>50</v>
      </c>
      <c r="Q597" s="19" t="s">
        <v>2331</v>
      </c>
      <c r="R597" s="19" t="s">
        <v>2607</v>
      </c>
      <c r="S597" s="19"/>
      <c r="T597" s="19" t="s">
        <v>53</v>
      </c>
      <c r="U597" s="19" t="s">
        <v>236</v>
      </c>
      <c r="V597" s="19" t="s">
        <v>97</v>
      </c>
      <c r="W597" s="19" t="s">
        <v>190</v>
      </c>
      <c r="X597" s="19"/>
      <c r="Y597" s="19"/>
      <c r="Z597" s="19" t="s">
        <v>2608</v>
      </c>
      <c r="AA597" s="19">
        <v>1</v>
      </c>
      <c r="AB597" s="19">
        <v>1</v>
      </c>
      <c r="AC597" s="19" t="s">
        <v>58</v>
      </c>
      <c r="AD597" s="19" t="s">
        <v>50</v>
      </c>
      <c r="AE597" s="19" t="s">
        <v>1503</v>
      </c>
      <c r="AF597" s="19"/>
    </row>
    <row r="598" spans="1:34">
      <c r="A598" s="19">
        <v>592</v>
      </c>
      <c r="B598" s="19" t="s">
        <v>2341</v>
      </c>
      <c r="C598" s="19" t="s">
        <v>2033</v>
      </c>
      <c r="D598" s="19" t="str">
        <f>HYPERLINK("http://www.henontech.com/fieldsafety/harzard/harzard_show.php?rid=20241&amp;url=harzardrecs.php","干熄炉四层油桶倾斜歪倒（三个叠加），遇大风天气，一名员工从地面经过时，油桶从23米平台被刮落，砸到员工头部")</f>
        <v>干熄炉四层油桶倾斜歪倒（三个叠加），遇大风天气，一名员工从地面经过时，油桶从23米平台被刮落，砸到员工头部</v>
      </c>
      <c r="E598" s="19" t="s">
        <v>861</v>
      </c>
      <c r="F598" s="26" t="s">
        <v>2035</v>
      </c>
      <c r="G598" s="19"/>
      <c r="H598" s="19" t="s">
        <v>44</v>
      </c>
      <c r="I598" s="19"/>
      <c r="J598" s="19" t="s">
        <v>46</v>
      </c>
      <c r="K598" s="19" t="s">
        <v>47</v>
      </c>
      <c r="L598" s="19"/>
      <c r="M598" s="19" t="s">
        <v>121</v>
      </c>
      <c r="N598" s="19" t="s">
        <v>288</v>
      </c>
      <c r="O598" s="19"/>
      <c r="P598" s="19"/>
      <c r="Q598" s="19"/>
      <c r="R598" s="19" t="s">
        <v>2609</v>
      </c>
      <c r="S598" s="19"/>
      <c r="T598" s="19" t="s">
        <v>53</v>
      </c>
      <c r="U598" s="19" t="s">
        <v>236</v>
      </c>
      <c r="V598" s="19" t="s">
        <v>55</v>
      </c>
      <c r="W598" s="19" t="s">
        <v>70</v>
      </c>
      <c r="X598" s="19"/>
      <c r="Y598" s="19"/>
      <c r="Z598" s="19"/>
      <c r="AA598" s="19"/>
      <c r="AB598" s="19"/>
      <c r="AC598" s="19" t="s">
        <v>308</v>
      </c>
      <c r="AD598" s="19"/>
      <c r="AE598" s="19"/>
      <c r="AF598" s="19"/>
    </row>
    <row r="599" spans="1:34">
      <c r="A599" s="19">
        <v>593</v>
      </c>
      <c r="B599" s="19" t="s">
        <v>2341</v>
      </c>
      <c r="C599" s="19" t="s">
        <v>2277</v>
      </c>
      <c r="D599" s="19" t="str">
        <f>HYPERLINK("http://www.henontech.com/fieldsafety/harzard/harzard_show.php?rid=20384&amp;url=harzardrecs.php","循环水地下补水管线一处破裂，一名维修人员在拆卸保温层时操作不当，导致手臂擦伤去医务室简单处理，正常工作")</f>
        <v>循环水地下补水管线一处破裂，一名维修人员在拆卸保温层时操作不当，导致手臂擦伤去医务室简单处理，正常工作</v>
      </c>
      <c r="E599" s="19" t="s">
        <v>2610</v>
      </c>
      <c r="F599" s="20" t="s">
        <v>42</v>
      </c>
      <c r="G599" s="22" t="s">
        <v>63</v>
      </c>
      <c r="H599" s="19" t="s">
        <v>44</v>
      </c>
      <c r="I599" s="19" t="s">
        <v>45</v>
      </c>
      <c r="J599" s="19" t="s">
        <v>46</v>
      </c>
      <c r="K599" s="19" t="s">
        <v>47</v>
      </c>
      <c r="L599" s="19"/>
      <c r="M599" s="19" t="s">
        <v>48</v>
      </c>
      <c r="N599" s="19" t="s">
        <v>2611</v>
      </c>
      <c r="O599" s="19" t="s">
        <v>48</v>
      </c>
      <c r="P599" s="19" t="s">
        <v>50</v>
      </c>
      <c r="Q599" s="19" t="s">
        <v>2331</v>
      </c>
      <c r="R599" s="19" t="s">
        <v>2612</v>
      </c>
      <c r="S599" s="19"/>
      <c r="T599" s="19" t="s">
        <v>53</v>
      </c>
      <c r="U599" s="19" t="s">
        <v>202</v>
      </c>
      <c r="V599" s="19" t="s">
        <v>203</v>
      </c>
      <c r="W599" s="19" t="s">
        <v>56</v>
      </c>
      <c r="X599" s="19"/>
      <c r="Y599" s="19"/>
      <c r="Z599" s="19" t="s">
        <v>2613</v>
      </c>
      <c r="AA599" s="19">
        <v>1</v>
      </c>
      <c r="AB599" s="19">
        <v>1</v>
      </c>
      <c r="AC599" s="19" t="s">
        <v>58</v>
      </c>
      <c r="AD599" s="19" t="s">
        <v>50</v>
      </c>
      <c r="AE599" s="19" t="s">
        <v>1676</v>
      </c>
      <c r="AF599" s="19"/>
    </row>
    <row r="600" spans="1:34">
      <c r="A600" s="19">
        <v>594</v>
      </c>
      <c r="B600" s="19" t="s">
        <v>2341</v>
      </c>
      <c r="C600" s="19" t="s">
        <v>1903</v>
      </c>
      <c r="D600" s="19" t="str">
        <f>HYPERLINK("http://www.henontech.com/fieldsafety/harzard/harzard_show.php?rid=20399&amp;url=harzardrecs.php","纤子未放在规定位置，一巡检人员经过此处时被绊倒，导致胳膊轻微受伤，送医务室包扎后无大碍继续工作。")</f>
        <v>纤子未放在规定位置，一巡检人员经过此处时被绊倒，导致胳膊轻微受伤，送医务室包扎后无大碍继续工作。</v>
      </c>
      <c r="E600" s="19" t="s">
        <v>2614</v>
      </c>
      <c r="F600" s="20" t="s">
        <v>42</v>
      </c>
      <c r="G600" s="22" t="s">
        <v>63</v>
      </c>
      <c r="H600" s="19" t="s">
        <v>44</v>
      </c>
      <c r="I600" s="19" t="s">
        <v>108</v>
      </c>
      <c r="J600" s="19" t="s">
        <v>349</v>
      </c>
      <c r="K600" s="19" t="s">
        <v>64</v>
      </c>
      <c r="L600" s="19" t="s">
        <v>76</v>
      </c>
      <c r="M600" s="19" t="s">
        <v>364</v>
      </c>
      <c r="N600" s="19" t="s">
        <v>2615</v>
      </c>
      <c r="O600" s="19" t="s">
        <v>364</v>
      </c>
      <c r="P600" s="19" t="s">
        <v>377</v>
      </c>
      <c r="Q600" s="19" t="s">
        <v>2616</v>
      </c>
      <c r="R600" s="19" t="s">
        <v>427</v>
      </c>
      <c r="S600" s="19"/>
      <c r="T600" s="19" t="s">
        <v>53</v>
      </c>
      <c r="U600" s="19" t="s">
        <v>54</v>
      </c>
      <c r="V600" s="19" t="s">
        <v>203</v>
      </c>
      <c r="W600" s="19" t="s">
        <v>56</v>
      </c>
      <c r="X600" s="19"/>
      <c r="Y600" s="19"/>
      <c r="Z600" s="19" t="s">
        <v>2507</v>
      </c>
      <c r="AA600" s="19">
        <v>1</v>
      </c>
      <c r="AB600" s="19">
        <v>1</v>
      </c>
      <c r="AC600" s="19" t="s">
        <v>58</v>
      </c>
      <c r="AD600" s="19" t="s">
        <v>377</v>
      </c>
      <c r="AE600" s="19" t="s">
        <v>2616</v>
      </c>
      <c r="AF600" s="19"/>
    </row>
    <row r="601" spans="1:34">
      <c r="A601" s="19">
        <v>595</v>
      </c>
      <c r="B601" s="19" t="s">
        <v>2341</v>
      </c>
      <c r="C601" s="19" t="s">
        <v>422</v>
      </c>
      <c r="D601" s="19" t="str">
        <f>HYPERLINK("http://www.henontech.com/fieldsafety/harzard/harzard_show.php?rid=20401&amp;url=harzardrecs.php","胶带运行过程中，东三卸料车改向滚筒处偏带，造成胶带划伤30公分，紧急停车，经济损失1000元。")</f>
        <v>胶带运行过程中，东三卸料车改向滚筒处偏带，造成胶带划伤30公分，紧急停车，经济损失1000元。</v>
      </c>
      <c r="E601" s="19" t="s">
        <v>2617</v>
      </c>
      <c r="F601" s="20" t="s">
        <v>42</v>
      </c>
      <c r="G601" s="21" t="s">
        <v>43</v>
      </c>
      <c r="H601" s="19" t="s">
        <v>44</v>
      </c>
      <c r="I601" s="19" t="s">
        <v>108</v>
      </c>
      <c r="J601" s="19" t="s">
        <v>349</v>
      </c>
      <c r="K601" s="19" t="s">
        <v>64</v>
      </c>
      <c r="L601" s="19" t="s">
        <v>76</v>
      </c>
      <c r="M601" s="19" t="s">
        <v>364</v>
      </c>
      <c r="N601" s="19" t="s">
        <v>2618</v>
      </c>
      <c r="O601" s="19" t="s">
        <v>364</v>
      </c>
      <c r="P601" s="19" t="s">
        <v>377</v>
      </c>
      <c r="Q601" s="19" t="s">
        <v>2616</v>
      </c>
      <c r="R601" s="19" t="s">
        <v>2619</v>
      </c>
      <c r="S601" s="19"/>
      <c r="T601" s="19" t="s">
        <v>189</v>
      </c>
      <c r="U601" s="19" t="s">
        <v>54</v>
      </c>
      <c r="V601" s="19" t="s">
        <v>97</v>
      </c>
      <c r="W601" s="19" t="s">
        <v>81</v>
      </c>
      <c r="X601" s="19"/>
      <c r="Y601" s="19"/>
      <c r="Z601" s="19" t="s">
        <v>2620</v>
      </c>
      <c r="AA601" s="19">
        <v>1</v>
      </c>
      <c r="AB601" s="19">
        <v>1</v>
      </c>
      <c r="AC601" s="19" t="s">
        <v>58</v>
      </c>
      <c r="AD601" s="19" t="s">
        <v>377</v>
      </c>
      <c r="AE601" s="19" t="s">
        <v>2616</v>
      </c>
      <c r="AF601" s="19"/>
    </row>
    <row r="602" spans="1:34">
      <c r="A602" s="19">
        <v>596</v>
      </c>
      <c r="B602" s="19" t="s">
        <v>2341</v>
      </c>
      <c r="C602" s="19" t="s">
        <v>1964</v>
      </c>
      <c r="D602" s="19" t="str">
        <f>HYPERLINK("http://www.henontech.com/fieldsafety/harzard/harzard_show.php?rid=20412&amp;url=harzardrecs.php","因防护栏套管缺失，起不到防护作用，操作工在清理皮带机时造成手指轻微擦伤，检查后不影响工作。")</f>
        <v>因防护栏套管缺失，起不到防护作用，操作工在清理皮带机时造成手指轻微擦伤，检查后不影响工作。</v>
      </c>
      <c r="E602" s="19" t="s">
        <v>2621</v>
      </c>
      <c r="F602" s="20" t="s">
        <v>42</v>
      </c>
      <c r="G602" s="22" t="s">
        <v>63</v>
      </c>
      <c r="H602" s="19" t="s">
        <v>44</v>
      </c>
      <c r="I602" s="19" t="s">
        <v>45</v>
      </c>
      <c r="J602" s="19" t="s">
        <v>349</v>
      </c>
      <c r="K602" s="19" t="s">
        <v>64</v>
      </c>
      <c r="L602" s="19" t="s">
        <v>76</v>
      </c>
      <c r="M602" s="19" t="s">
        <v>364</v>
      </c>
      <c r="N602" s="19" t="s">
        <v>1998</v>
      </c>
      <c r="O602" s="19" t="s">
        <v>364</v>
      </c>
      <c r="P602" s="19" t="s">
        <v>377</v>
      </c>
      <c r="Q602" s="19" t="s">
        <v>2616</v>
      </c>
      <c r="R602" s="19" t="s">
        <v>1056</v>
      </c>
      <c r="S602" s="19"/>
      <c r="T602" s="19" t="s">
        <v>53</v>
      </c>
      <c r="U602" s="19" t="s">
        <v>202</v>
      </c>
      <c r="V602" s="19" t="s">
        <v>97</v>
      </c>
      <c r="W602" s="19" t="s">
        <v>56</v>
      </c>
      <c r="X602" s="19"/>
      <c r="Y602" s="19"/>
      <c r="Z602" s="19" t="s">
        <v>2622</v>
      </c>
      <c r="AA602" s="19">
        <v>1</v>
      </c>
      <c r="AB602" s="19">
        <v>1</v>
      </c>
      <c r="AC602" s="19" t="s">
        <v>58</v>
      </c>
      <c r="AD602" s="19" t="s">
        <v>377</v>
      </c>
      <c r="AE602" s="19" t="s">
        <v>2616</v>
      </c>
      <c r="AF602" s="19"/>
    </row>
    <row r="603" spans="1:34">
      <c r="A603" s="19">
        <v>597</v>
      </c>
      <c r="B603" s="19" t="s">
        <v>2341</v>
      </c>
      <c r="C603" s="19" t="s">
        <v>1964</v>
      </c>
      <c r="D603" s="19" t="str">
        <f>HYPERLINK("http://www.henontech.com/fieldsafety/harzard/harzard_show.php?rid=20413&amp;url=harzardrecs.php","东五台阶处照明灯损坏，夜班操作工巡检不慎摔倒，扭伤脚踝，经简单处理不影响工作")</f>
        <v>东五台阶处照明灯损坏，夜班操作工巡检不慎摔倒，扭伤脚踝，经简单处理不影响工作</v>
      </c>
      <c r="E603" s="19" t="s">
        <v>2623</v>
      </c>
      <c r="F603" s="20" t="s">
        <v>42</v>
      </c>
      <c r="G603" s="22" t="s">
        <v>63</v>
      </c>
      <c r="H603" s="19" t="s">
        <v>44</v>
      </c>
      <c r="I603" s="19" t="s">
        <v>108</v>
      </c>
      <c r="J603" s="19" t="s">
        <v>349</v>
      </c>
      <c r="K603" s="19" t="s">
        <v>64</v>
      </c>
      <c r="L603" s="19" t="s">
        <v>76</v>
      </c>
      <c r="M603" s="19" t="s">
        <v>364</v>
      </c>
      <c r="N603" s="19" t="s">
        <v>2624</v>
      </c>
      <c r="O603" s="19" t="s">
        <v>364</v>
      </c>
      <c r="P603" s="19" t="s">
        <v>377</v>
      </c>
      <c r="Q603" s="19" t="s">
        <v>2616</v>
      </c>
      <c r="R603" s="19" t="s">
        <v>2158</v>
      </c>
      <c r="S603" s="19"/>
      <c r="T603" s="19" t="s">
        <v>53</v>
      </c>
      <c r="U603" s="19" t="s">
        <v>54</v>
      </c>
      <c r="V603" s="19" t="s">
        <v>55</v>
      </c>
      <c r="W603" s="19" t="s">
        <v>56</v>
      </c>
      <c r="X603" s="19"/>
      <c r="Y603" s="19"/>
      <c r="Z603" s="19" t="s">
        <v>2625</v>
      </c>
      <c r="AA603" s="19">
        <v>1</v>
      </c>
      <c r="AB603" s="19">
        <v>1</v>
      </c>
      <c r="AC603" s="19" t="s">
        <v>58</v>
      </c>
      <c r="AD603" s="19" t="s">
        <v>377</v>
      </c>
      <c r="AE603" s="19" t="s">
        <v>2616</v>
      </c>
      <c r="AF603" s="19"/>
    </row>
    <row r="604" spans="1:34">
      <c r="A604" s="19">
        <v>598</v>
      </c>
      <c r="B604" s="19" t="s">
        <v>2341</v>
      </c>
      <c r="C604" s="19" t="s">
        <v>2453</v>
      </c>
      <c r="D604" s="19" t="str">
        <f>HYPERLINK("http://www.henontech.com/fieldsafety/harzard/harzard_show.php?rid=20419&amp;url=harzardrecs.php","循环水11号冷却塔风机电缆裸露，一员工在巡检冷却塔风机时，手部不慎触碰电缆裸露部位，造成该员工被380V电源击倒，经送医抢救无效死亡。")</f>
        <v>循环水11号冷却塔风机电缆裸露，一员工在巡检冷却塔风机时，手部不慎触碰电缆裸露部位，造成该员工被380V电源击倒，经送医抢救无效死亡。</v>
      </c>
      <c r="E604" s="19" t="s">
        <v>2626</v>
      </c>
      <c r="F604" s="20" t="s">
        <v>42</v>
      </c>
      <c r="G604" s="24" t="s">
        <v>322</v>
      </c>
      <c r="H604" s="19" t="s">
        <v>44</v>
      </c>
      <c r="I604" s="19" t="s">
        <v>108</v>
      </c>
      <c r="J604" s="19" t="s">
        <v>311</v>
      </c>
      <c r="K604" s="19" t="s">
        <v>47</v>
      </c>
      <c r="L604" s="19" t="s">
        <v>76</v>
      </c>
      <c r="M604" s="19" t="s">
        <v>121</v>
      </c>
      <c r="N604" s="19" t="s">
        <v>1067</v>
      </c>
      <c r="O604" s="19" t="s">
        <v>121</v>
      </c>
      <c r="P604" s="19" t="s">
        <v>254</v>
      </c>
      <c r="Q604" s="19" t="s">
        <v>2331</v>
      </c>
      <c r="R604" s="19" t="s">
        <v>2627</v>
      </c>
      <c r="S604" s="19" t="s">
        <v>2628</v>
      </c>
      <c r="T604" s="19" t="s">
        <v>53</v>
      </c>
      <c r="U604" s="19" t="s">
        <v>236</v>
      </c>
      <c r="V604" s="19" t="s">
        <v>97</v>
      </c>
      <c r="W604" s="19" t="s">
        <v>190</v>
      </c>
      <c r="X604" s="19" t="s">
        <v>154</v>
      </c>
      <c r="Y604" s="19"/>
      <c r="Z604" s="19" t="s">
        <v>2629</v>
      </c>
      <c r="AA604" s="19">
        <v>1</v>
      </c>
      <c r="AB604" s="19">
        <v>1</v>
      </c>
      <c r="AC604" s="19" t="s">
        <v>58</v>
      </c>
      <c r="AD604" s="19" t="s">
        <v>254</v>
      </c>
      <c r="AE604" s="19" t="s">
        <v>1503</v>
      </c>
      <c r="AF604" s="19" t="s">
        <v>2630</v>
      </c>
    </row>
    <row r="605" spans="1:34">
      <c r="A605" s="19">
        <v>599</v>
      </c>
      <c r="B605" s="19" t="s">
        <v>2341</v>
      </c>
      <c r="C605" s="19" t="s">
        <v>2453</v>
      </c>
      <c r="D605" s="19" t="str">
        <f>HYPERLINK("http://www.henontech.com/fieldsafety/harzard/harzard_show.php?rid=20422&amp;url=harzardrecs.php","3号凝结水泵出口阀门手轮脱落，造成该出口阀门无法关闭，若逆止阀损坏，会造成凝结水打回流，凝汽器液位上升，汽轮机减负荷甚至停机。")</f>
        <v>3号凝结水泵出口阀门手轮脱落，造成该出口阀门无法关闭，若逆止阀损坏，会造成凝结水打回流，凝汽器液位上升，汽轮机减负荷甚至停机。</v>
      </c>
      <c r="E605" s="19" t="s">
        <v>2631</v>
      </c>
      <c r="F605" s="20" t="s">
        <v>42</v>
      </c>
      <c r="G605" s="22" t="s">
        <v>63</v>
      </c>
      <c r="H605" s="19" t="s">
        <v>44</v>
      </c>
      <c r="I605" s="19" t="s">
        <v>108</v>
      </c>
      <c r="J605" s="19" t="s">
        <v>46</v>
      </c>
      <c r="K605" s="19" t="s">
        <v>64</v>
      </c>
      <c r="L605" s="19" t="s">
        <v>76</v>
      </c>
      <c r="M605" s="19" t="s">
        <v>121</v>
      </c>
      <c r="N605" s="19" t="s">
        <v>1067</v>
      </c>
      <c r="O605" s="19" t="s">
        <v>121</v>
      </c>
      <c r="P605" s="19" t="s">
        <v>254</v>
      </c>
      <c r="Q605" s="19" t="s">
        <v>2331</v>
      </c>
      <c r="R605" s="19" t="s">
        <v>959</v>
      </c>
      <c r="S605" s="19" t="s">
        <v>2632</v>
      </c>
      <c r="T605" s="19" t="s">
        <v>189</v>
      </c>
      <c r="U605" s="19" t="s">
        <v>54</v>
      </c>
      <c r="V605" s="19" t="s">
        <v>97</v>
      </c>
      <c r="W605" s="19" t="s">
        <v>81</v>
      </c>
      <c r="X605" s="19" t="s">
        <v>154</v>
      </c>
      <c r="Y605" s="19"/>
      <c r="Z605" s="19" t="s">
        <v>2633</v>
      </c>
      <c r="AA605" s="19">
        <v>1</v>
      </c>
      <c r="AB605" s="19">
        <v>1</v>
      </c>
      <c r="AC605" s="19" t="s">
        <v>58</v>
      </c>
      <c r="AD605" s="19" t="s">
        <v>254</v>
      </c>
      <c r="AE605" s="19" t="s">
        <v>1503</v>
      </c>
      <c r="AF605" s="19" t="s">
        <v>2634</v>
      </c>
    </row>
    <row r="606" spans="1:34">
      <c r="A606" s="19">
        <v>600</v>
      </c>
      <c r="B606" s="19" t="s">
        <v>2341</v>
      </c>
      <c r="C606" s="19" t="s">
        <v>118</v>
      </c>
      <c r="D606" s="19" t="str">
        <f>HYPERLINK("http://www.henontech.com/fieldsafety/harzard/harzard_show.php?rid=20423&amp;url=harzardrecs.php","干熄焦一次除尘二层与干熄炉链接通道护栏护板开焊伸出，一巡检人员巡检经过时，未及时发现，将其拌倒，身体前俯爬在平台上，导致右手撑轻微擦伤，经简单处理后继续工作。")</f>
        <v>干熄焦一次除尘二层与干熄炉链接通道护栏护板开焊伸出，一巡检人员巡检经过时，未及时发现，将其拌倒，身体前俯爬在平台上，导致右手撑轻微擦伤，经简单处理后继续工作。</v>
      </c>
      <c r="E606" s="19" t="s">
        <v>1100</v>
      </c>
      <c r="F606" s="26" t="s">
        <v>2035</v>
      </c>
      <c r="G606" s="19"/>
      <c r="H606" s="19" t="s">
        <v>44</v>
      </c>
      <c r="I606" s="19"/>
      <c r="J606" s="19" t="s">
        <v>109</v>
      </c>
      <c r="K606" s="19"/>
      <c r="L606" s="19"/>
      <c r="M606" s="19" t="s">
        <v>121</v>
      </c>
      <c r="N606" s="19" t="s">
        <v>938</v>
      </c>
      <c r="O606" s="19"/>
      <c r="P606" s="19"/>
      <c r="Q606" s="19"/>
      <c r="R606" s="19" t="s">
        <v>2635</v>
      </c>
      <c r="S606" s="19"/>
      <c r="T606" s="19" t="s">
        <v>53</v>
      </c>
      <c r="U606" s="19" t="s">
        <v>54</v>
      </c>
      <c r="V606" s="19" t="s">
        <v>55</v>
      </c>
      <c r="W606" s="19" t="s">
        <v>56</v>
      </c>
      <c r="X606" s="19"/>
      <c r="Y606" s="19"/>
      <c r="Z606" s="19"/>
      <c r="AA606" s="19"/>
      <c r="AB606" s="19"/>
      <c r="AC606" s="19" t="s">
        <v>308</v>
      </c>
      <c r="AD606" s="19"/>
      <c r="AE606" s="19"/>
      <c r="AF606" s="19"/>
    </row>
    <row r="607" spans="1:34">
      <c r="A607" s="19">
        <v>601</v>
      </c>
      <c r="B607" s="19" t="s">
        <v>2616</v>
      </c>
      <c r="C607" s="19" t="s">
        <v>1643</v>
      </c>
      <c r="D607" s="19" t="str">
        <f>HYPERLINK("http://www.henontech.com/fieldsafety/harzard/harzard_show.php?rid=20510&amp;url=harzardrecs.php","打脱硫液电机无电机罩，当操作人员在关闭阀门时，如果右腿裤腿被风扇轮卷入，造成下右小腿骨折。送医治疗三个月、在家休养二个月")</f>
        <v>打脱硫液电机无电机罩，当操作人员在关闭阀门时，如果右腿裤腿被风扇轮卷入，造成下右小腿骨折。送医治疗三个月、在家休养二个月</v>
      </c>
      <c r="E607" s="19" t="s">
        <v>2636</v>
      </c>
      <c r="F607" s="20" t="s">
        <v>42</v>
      </c>
      <c r="G607" s="22" t="s">
        <v>63</v>
      </c>
      <c r="H607" s="19" t="s">
        <v>44</v>
      </c>
      <c r="I607" s="19" t="s">
        <v>108</v>
      </c>
      <c r="J607" s="19" t="s">
        <v>46</v>
      </c>
      <c r="K607" s="19" t="s">
        <v>47</v>
      </c>
      <c r="L607" s="19" t="s">
        <v>76</v>
      </c>
      <c r="M607" s="19" t="s">
        <v>48</v>
      </c>
      <c r="N607" s="19" t="s">
        <v>1918</v>
      </c>
      <c r="O607" s="19" t="s">
        <v>48</v>
      </c>
      <c r="P607" s="19" t="s">
        <v>50</v>
      </c>
      <c r="Q607" s="19" t="s">
        <v>2331</v>
      </c>
      <c r="R607" s="19" t="s">
        <v>2637</v>
      </c>
      <c r="S607" s="19"/>
      <c r="T607" s="19" t="s">
        <v>53</v>
      </c>
      <c r="U607" s="19" t="s">
        <v>80</v>
      </c>
      <c r="V607" s="19" t="s">
        <v>55</v>
      </c>
      <c r="W607" s="19" t="s">
        <v>81</v>
      </c>
      <c r="X607" s="19"/>
      <c r="Y607" s="19"/>
      <c r="Z607" s="19" t="s">
        <v>2638</v>
      </c>
      <c r="AA607" s="19">
        <v>1</v>
      </c>
      <c r="AB607" s="19">
        <v>1</v>
      </c>
      <c r="AC607" s="19" t="s">
        <v>58</v>
      </c>
      <c r="AD607" s="19" t="s">
        <v>50</v>
      </c>
      <c r="AE607" s="19" t="s">
        <v>1503</v>
      </c>
      <c r="AF607" s="19"/>
    </row>
    <row r="608" spans="1:34">
      <c r="A608" s="19">
        <v>602</v>
      </c>
      <c r="B608" s="19" t="s">
        <v>2616</v>
      </c>
      <c r="C608" s="19" t="s">
        <v>1964</v>
      </c>
      <c r="D608" s="19" t="str">
        <f>HYPERLINK("http://www.henontech.com/fieldsafety/harzard/harzard_show.php?rid=20546&amp;url=harzardrecs.php","西五平面一托辊损坏，容易造成皮带划伤")</f>
        <v>西五平面一托辊损坏，容易造成皮带划伤</v>
      </c>
      <c r="E608" s="19" t="s">
        <v>2305</v>
      </c>
      <c r="F608" s="20" t="s">
        <v>42</v>
      </c>
      <c r="G608" s="22" t="s">
        <v>63</v>
      </c>
      <c r="H608" s="19" t="s">
        <v>44</v>
      </c>
      <c r="I608" s="19" t="s">
        <v>45</v>
      </c>
      <c r="J608" s="19" t="s">
        <v>46</v>
      </c>
      <c r="K608" s="19"/>
      <c r="L608" s="19" t="s">
        <v>76</v>
      </c>
      <c r="M608" s="19" t="s">
        <v>364</v>
      </c>
      <c r="N608" s="19" t="s">
        <v>2639</v>
      </c>
      <c r="O608" s="19" t="s">
        <v>364</v>
      </c>
      <c r="P608" s="19" t="s">
        <v>1687</v>
      </c>
      <c r="Q608" s="19" t="s">
        <v>2438</v>
      </c>
      <c r="R608" s="19" t="s">
        <v>2128</v>
      </c>
      <c r="S608" s="19"/>
      <c r="T608" s="19" t="s">
        <v>189</v>
      </c>
      <c r="U608" s="19" t="s">
        <v>54</v>
      </c>
      <c r="V608" s="19" t="s">
        <v>55</v>
      </c>
      <c r="W608" s="19" t="s">
        <v>56</v>
      </c>
      <c r="X608" s="19"/>
      <c r="Y608" s="19"/>
      <c r="Z608" s="19" t="s">
        <v>2640</v>
      </c>
      <c r="AA608" s="19">
        <v>1</v>
      </c>
      <c r="AB608" s="19">
        <v>1</v>
      </c>
      <c r="AC608" s="19" t="s">
        <v>58</v>
      </c>
      <c r="AD608" s="19" t="s">
        <v>1687</v>
      </c>
      <c r="AE608" s="19" t="s">
        <v>1503</v>
      </c>
      <c r="AF608" s="19"/>
    </row>
    <row r="609" spans="1:34">
      <c r="A609" s="19">
        <v>603</v>
      </c>
      <c r="B609" s="19" t="s">
        <v>2616</v>
      </c>
      <c r="C609" s="19" t="s">
        <v>118</v>
      </c>
      <c r="D609" s="19" t="str">
        <f>HYPERLINK("http://www.henontech.com/fieldsafety/harzard/harzard_show.php?rid=20660&amp;url=harzardrecs.php","因旋密南侧导轨凸起，缺少警示牌，巡检人员夜间到旋密巡检时，由于视线不良被导轨绊倒，面部着地，造成面部擦伤，送医务室进行包扎，休养7天")</f>
        <v>因旋密南侧导轨凸起，缺少警示牌，巡检人员夜间到旋密巡检时，由于视线不良被导轨绊倒，面部着地，造成面部擦伤，送医务室进行包扎，休养7天</v>
      </c>
      <c r="E609" s="19" t="s">
        <v>2641</v>
      </c>
      <c r="F609" s="26" t="s">
        <v>2035</v>
      </c>
      <c r="G609" s="19"/>
      <c r="H609" s="19" t="s">
        <v>44</v>
      </c>
      <c r="I609" s="19" t="s">
        <v>108</v>
      </c>
      <c r="J609" s="19" t="s">
        <v>109</v>
      </c>
      <c r="K609" s="19" t="s">
        <v>47</v>
      </c>
      <c r="L609" s="19" t="s">
        <v>76</v>
      </c>
      <c r="M609" s="19" t="s">
        <v>121</v>
      </c>
      <c r="N609" s="19" t="s">
        <v>1900</v>
      </c>
      <c r="O609" s="19"/>
      <c r="P609" s="19"/>
      <c r="Q609" s="19"/>
      <c r="R609" s="19" t="s">
        <v>1864</v>
      </c>
      <c r="S609" s="19"/>
      <c r="T609" s="19" t="s">
        <v>53</v>
      </c>
      <c r="U609" s="19" t="s">
        <v>54</v>
      </c>
      <c r="V609" s="19" t="s">
        <v>55</v>
      </c>
      <c r="W609" s="19" t="s">
        <v>56</v>
      </c>
      <c r="X609" s="19"/>
      <c r="Y609" s="19"/>
      <c r="Z609" s="19"/>
      <c r="AA609" s="19"/>
      <c r="AB609" s="19"/>
      <c r="AC609" s="19" t="s">
        <v>308</v>
      </c>
      <c r="AD609" s="19"/>
      <c r="AE609" s="19"/>
      <c r="AF609" s="19"/>
    </row>
    <row r="610" spans="1:34">
      <c r="A610" s="19">
        <v>604</v>
      </c>
      <c r="B610" s="19" t="s">
        <v>2616</v>
      </c>
      <c r="C610" s="19" t="s">
        <v>182</v>
      </c>
      <c r="D610" s="19" t="str">
        <f>HYPERLINK("http://www.henontech.com/fieldsafety/harzard/harzard_show.php?rid=20666&amp;url=harzardrecs.php","因干熄焦六层至七层平台西侧护栏踢脚板开焊翘起，一巡检工从此处经过查看装入装置装焦平台时，被翘起的踢脚板绊倒，左侧膝盖着地，送医治疗确诊为左侧膝盖骨裂，治疗一周，休养三个半月后，恢复工作。")</f>
        <v>因干熄焦六层至七层平台西侧护栏踢脚板开焊翘起，一巡检工从此处经过查看装入装置装焦平台时，被翘起的踢脚板绊倒，左侧膝盖着地，送医治疗确诊为左侧膝盖骨裂，治疗一周，休养三个半月后，恢复工作。</v>
      </c>
      <c r="E610" s="19" t="s">
        <v>2642</v>
      </c>
      <c r="F610" s="26" t="s">
        <v>2035</v>
      </c>
      <c r="G610" s="19"/>
      <c r="H610" s="19" t="s">
        <v>44</v>
      </c>
      <c r="I610" s="19" t="s">
        <v>108</v>
      </c>
      <c r="J610" s="19" t="s">
        <v>46</v>
      </c>
      <c r="K610" s="19" t="s">
        <v>47</v>
      </c>
      <c r="L610" s="19" t="s">
        <v>76</v>
      </c>
      <c r="M610" s="19" t="s">
        <v>121</v>
      </c>
      <c r="N610" s="19" t="s">
        <v>2643</v>
      </c>
      <c r="O610" s="19"/>
      <c r="P610" s="19"/>
      <c r="Q610" s="19"/>
      <c r="R610" s="19" t="s">
        <v>182</v>
      </c>
      <c r="S610" s="19"/>
      <c r="T610" s="19" t="s">
        <v>53</v>
      </c>
      <c r="U610" s="19" t="s">
        <v>80</v>
      </c>
      <c r="V610" s="19" t="s">
        <v>97</v>
      </c>
      <c r="W610" s="19" t="s">
        <v>70</v>
      </c>
      <c r="X610" s="19"/>
      <c r="Y610" s="19"/>
      <c r="Z610" s="19"/>
      <c r="AA610" s="19"/>
      <c r="AB610" s="19"/>
      <c r="AC610" s="19" t="s">
        <v>308</v>
      </c>
      <c r="AD610" s="19"/>
      <c r="AE610" s="19"/>
      <c r="AF610" s="19"/>
    </row>
    <row r="611" spans="1:34">
      <c r="A611" s="19">
        <v>605</v>
      </c>
      <c r="B611" s="19" t="s">
        <v>2616</v>
      </c>
      <c r="C611" s="19" t="s">
        <v>955</v>
      </c>
      <c r="D611" s="19" t="str">
        <f>HYPERLINK("http://www.henontech.com/fieldsafety/harzard/harzard_show.php?rid=20688&amp;url=harzardrecs.php","维修管道时把管道支架横放在生产现场，假设一名操作工在夜间巡检时，未发现横放的管道支架被其绊倒，造成右腿膝盖擦伤，简单包扎后休息10分钟复工")</f>
        <v>维修管道时把管道支架横放在生产现场，假设一名操作工在夜间巡检时，未发现横放的管道支架被其绊倒，造成右腿膝盖擦伤，简单包扎后休息10分钟复工</v>
      </c>
      <c r="E611" s="19" t="s">
        <v>2644</v>
      </c>
      <c r="F611" s="25" t="s">
        <v>1455</v>
      </c>
      <c r="G611" s="22" t="s">
        <v>63</v>
      </c>
      <c r="H611" s="19" t="s">
        <v>44</v>
      </c>
      <c r="I611" s="19" t="s">
        <v>120</v>
      </c>
      <c r="J611" s="19" t="s">
        <v>46</v>
      </c>
      <c r="K611" s="19" t="s">
        <v>47</v>
      </c>
      <c r="L611" s="19" t="s">
        <v>76</v>
      </c>
      <c r="M611" s="19" t="s">
        <v>48</v>
      </c>
      <c r="N611" s="19" t="s">
        <v>444</v>
      </c>
      <c r="O611" s="19" t="s">
        <v>48</v>
      </c>
      <c r="P611" s="19" t="s">
        <v>50</v>
      </c>
      <c r="Q611" s="19" t="s">
        <v>2331</v>
      </c>
      <c r="R611" s="19" t="s">
        <v>556</v>
      </c>
      <c r="S611" s="19"/>
      <c r="T611" s="19" t="s">
        <v>53</v>
      </c>
      <c r="U611" s="19" t="s">
        <v>54</v>
      </c>
      <c r="V611" s="19" t="s">
        <v>55</v>
      </c>
      <c r="W611" s="19" t="s">
        <v>56</v>
      </c>
      <c r="X611" s="19"/>
      <c r="Y611" s="19"/>
      <c r="Z611" s="19" t="s">
        <v>2645</v>
      </c>
      <c r="AA611" s="19">
        <v>1</v>
      </c>
      <c r="AB611" s="19"/>
      <c r="AC611" s="19" t="s">
        <v>308</v>
      </c>
      <c r="AD611" s="19"/>
      <c r="AE611" s="19"/>
      <c r="AF611" s="19"/>
    </row>
    <row r="612" spans="1:34">
      <c r="A612" s="19">
        <v>606</v>
      </c>
      <c r="B612" s="19" t="s">
        <v>2616</v>
      </c>
      <c r="C612" s="19" t="s">
        <v>1887</v>
      </c>
      <c r="D612" s="19" t="str">
        <f>HYPERLINK("http://www.henontech.com/fieldsafety/harzard/harzard_show.php?rid=20699&amp;url=harzardrecs.php","南冷凝泵房2#高压氨水泵电机风扇断裂，高压氨水泵高压运行起不到散热作用，导致电机过热发生电机损坏，烧毁电机，财产损失价值20万。")</f>
        <v>南冷凝泵房2#高压氨水泵电机风扇断裂，高压氨水泵高压运行起不到散热作用，导致电机过热发生电机损坏，烧毁电机，财产损失价值20万。</v>
      </c>
      <c r="E612" s="19" t="s">
        <v>2646</v>
      </c>
      <c r="F612" s="25" t="s">
        <v>1455</v>
      </c>
      <c r="G612" s="22" t="s">
        <v>63</v>
      </c>
      <c r="H612" s="19" t="s">
        <v>44</v>
      </c>
      <c r="I612" s="19"/>
      <c r="J612" s="19" t="s">
        <v>46</v>
      </c>
      <c r="K612" s="19" t="s">
        <v>64</v>
      </c>
      <c r="L612" s="19" t="s">
        <v>76</v>
      </c>
      <c r="M612" s="19" t="s">
        <v>48</v>
      </c>
      <c r="N612" s="19" t="s">
        <v>1958</v>
      </c>
      <c r="O612" s="19" t="s">
        <v>48</v>
      </c>
      <c r="P612" s="19" t="s">
        <v>50</v>
      </c>
      <c r="Q612" s="19" t="s">
        <v>2331</v>
      </c>
      <c r="R612" s="19" t="s">
        <v>2510</v>
      </c>
      <c r="S612" s="19"/>
      <c r="T612" s="19" t="s">
        <v>189</v>
      </c>
      <c r="U612" s="19" t="s">
        <v>80</v>
      </c>
      <c r="V612" s="19" t="s">
        <v>97</v>
      </c>
      <c r="W612" s="19" t="s">
        <v>70</v>
      </c>
      <c r="X612" s="19"/>
      <c r="Y612" s="19"/>
      <c r="Z612" s="19" t="s">
        <v>2647</v>
      </c>
      <c r="AA612" s="19">
        <v>1</v>
      </c>
      <c r="AB612" s="19"/>
      <c r="AC612" s="19" t="s">
        <v>308</v>
      </c>
      <c r="AD612" s="19"/>
      <c r="AE612" s="19"/>
      <c r="AF612" s="19"/>
    </row>
    <row r="613" spans="1:34">
      <c r="A613" s="19">
        <v>607</v>
      </c>
      <c r="B613" s="19" t="s">
        <v>2616</v>
      </c>
      <c r="C613" s="19" t="s">
        <v>2648</v>
      </c>
      <c r="D613" s="19" t="str">
        <f>HYPERLINK("http://www.henontech.com/fieldsafety/harzard/harzard_show.php?rid=20716&amp;url=harzardrecs.php","南循环水北路口处地沟盖板被过往的车辆碾压，导致盖板遮盖不严，在夜间巡检时，由于光线暗，巡检人员经过不慎右脚落入地沟，造成右小腿处划伤，经医院包扎，在家休养5天后康复。造成一人损工事故。")</f>
        <v>南循环水北路口处地沟盖板被过往的车辆碾压，导致盖板遮盖不严，在夜间巡检时，由于光线暗，巡检人员经过不慎右脚落入地沟，造成右小腿处划伤，经医院包扎，在家休养5天后康复。造成一人损工事故。</v>
      </c>
      <c r="E613" s="19" t="s">
        <v>2649</v>
      </c>
      <c r="F613" s="20" t="s">
        <v>42</v>
      </c>
      <c r="G613" s="22" t="s">
        <v>63</v>
      </c>
      <c r="H613" s="19" t="s">
        <v>44</v>
      </c>
      <c r="I613" s="19" t="s">
        <v>45</v>
      </c>
      <c r="J613" s="19" t="s">
        <v>46</v>
      </c>
      <c r="K613" s="19" t="s">
        <v>47</v>
      </c>
      <c r="L613" s="19" t="s">
        <v>76</v>
      </c>
      <c r="M613" s="19" t="s">
        <v>48</v>
      </c>
      <c r="N613" s="19" t="s">
        <v>2650</v>
      </c>
      <c r="O613" s="19" t="s">
        <v>48</v>
      </c>
      <c r="P613" s="19" t="s">
        <v>50</v>
      </c>
      <c r="Q613" s="19" t="s">
        <v>2331</v>
      </c>
      <c r="R613" s="19" t="s">
        <v>2651</v>
      </c>
      <c r="S613" s="19"/>
      <c r="T613" s="19" t="s">
        <v>53</v>
      </c>
      <c r="U613" s="19" t="s">
        <v>80</v>
      </c>
      <c r="V613" s="19" t="s">
        <v>55</v>
      </c>
      <c r="W613" s="19" t="s">
        <v>81</v>
      </c>
      <c r="X613" s="19"/>
      <c r="Y613" s="19"/>
      <c r="Z613" s="19" t="s">
        <v>2652</v>
      </c>
      <c r="AA613" s="19">
        <v>1</v>
      </c>
      <c r="AB613" s="19">
        <v>1</v>
      </c>
      <c r="AC613" s="19" t="s">
        <v>58</v>
      </c>
      <c r="AD613" s="19" t="s">
        <v>50</v>
      </c>
      <c r="AE613" s="19" t="s">
        <v>1503</v>
      </c>
      <c r="AF613" s="19"/>
    </row>
    <row r="614" spans="1:34">
      <c r="A614" s="19">
        <v>608</v>
      </c>
      <c r="B614" s="19" t="s">
        <v>2616</v>
      </c>
      <c r="C614" s="19" t="s">
        <v>2653</v>
      </c>
      <c r="D614" s="19" t="str">
        <f>HYPERLINK("http://www.henontech.com/fieldsafety/harzard/harzard_show.php?rid=20721&amp;url=harzardrecs.php","北风机房拆除现场凌乱未拉警戒线，无关人员从此处经过时造成高空坠物砸伤腿部，送医院治疗一月，回家休养六个月后康复")</f>
        <v>北风机房拆除现场凌乱未拉警戒线，无关人员从此处经过时造成高空坠物砸伤腿部，送医院治疗一月，回家休养六个月后康复</v>
      </c>
      <c r="E614" s="19" t="s">
        <v>2654</v>
      </c>
      <c r="F614" s="20" t="s">
        <v>42</v>
      </c>
      <c r="G614" s="22" t="s">
        <v>63</v>
      </c>
      <c r="H614" s="19" t="s">
        <v>44</v>
      </c>
      <c r="I614" s="19" t="s">
        <v>184</v>
      </c>
      <c r="J614" s="19" t="s">
        <v>109</v>
      </c>
      <c r="K614" s="19" t="s">
        <v>102</v>
      </c>
      <c r="L614" s="19" t="s">
        <v>76</v>
      </c>
      <c r="M614" s="19" t="s">
        <v>48</v>
      </c>
      <c r="N614" s="19" t="s">
        <v>1954</v>
      </c>
      <c r="O614" s="19" t="s">
        <v>48</v>
      </c>
      <c r="P614" s="19" t="s">
        <v>50</v>
      </c>
      <c r="Q614" s="19" t="s">
        <v>2331</v>
      </c>
      <c r="R614" s="19" t="s">
        <v>2655</v>
      </c>
      <c r="S614" s="19"/>
      <c r="T614" s="19" t="s">
        <v>53</v>
      </c>
      <c r="U614" s="19" t="s">
        <v>80</v>
      </c>
      <c r="V614" s="19" t="s">
        <v>97</v>
      </c>
      <c r="W614" s="19" t="s">
        <v>70</v>
      </c>
      <c r="X614" s="19"/>
      <c r="Y614" s="19"/>
      <c r="Z614" s="19" t="s">
        <v>2656</v>
      </c>
      <c r="AA614" s="19">
        <v>1</v>
      </c>
      <c r="AB614" s="19">
        <v>1</v>
      </c>
      <c r="AC614" s="19" t="s">
        <v>58</v>
      </c>
      <c r="AD614" s="19" t="s">
        <v>50</v>
      </c>
      <c r="AE614" s="19" t="s">
        <v>1503</v>
      </c>
      <c r="AF614" s="19"/>
    </row>
    <row r="615" spans="1:34">
      <c r="A615" s="19">
        <v>609</v>
      </c>
      <c r="B615" s="19" t="s">
        <v>2616</v>
      </c>
      <c r="C615" s="19" t="s">
        <v>2453</v>
      </c>
      <c r="D615" s="19" t="str">
        <f>HYPERLINK("http://www.henontech.com/fieldsafety/harzard/harzard_show.php?rid=20725&amp;url=harzardrecs.php","汽轮机零米射水箱处地沟电缆杂乱，一员工巡检时从此经过，不慎被横在地面的电缆绊倒，右侧膝盖着地，送医治疗  确诊为右侧膝盖骨骨裂，住院治疗20天  休养3个月。")</f>
        <v>汽轮机零米射水箱处地沟电缆杂乱，一员工巡检时从此经过，不慎被横在地面的电缆绊倒，右侧膝盖着地，送医治疗  确诊为右侧膝盖骨骨裂，住院治疗20天  休养3个月。</v>
      </c>
      <c r="E615" s="19" t="s">
        <v>2657</v>
      </c>
      <c r="F615" s="20" t="s">
        <v>42</v>
      </c>
      <c r="G615" s="22" t="s">
        <v>63</v>
      </c>
      <c r="H615" s="19" t="s">
        <v>44</v>
      </c>
      <c r="I615" s="19" t="s">
        <v>108</v>
      </c>
      <c r="J615" s="19" t="s">
        <v>349</v>
      </c>
      <c r="K615" s="19" t="s">
        <v>1631</v>
      </c>
      <c r="L615" s="19" t="s">
        <v>76</v>
      </c>
      <c r="M615" s="19" t="s">
        <v>121</v>
      </c>
      <c r="N615" s="19" t="s">
        <v>999</v>
      </c>
      <c r="O615" s="19" t="s">
        <v>121</v>
      </c>
      <c r="P615" s="19" t="s">
        <v>254</v>
      </c>
      <c r="Q615" s="19" t="s">
        <v>2331</v>
      </c>
      <c r="R615" s="19" t="s">
        <v>959</v>
      </c>
      <c r="S615" s="19" t="s">
        <v>2658</v>
      </c>
      <c r="T615" s="19" t="s">
        <v>53</v>
      </c>
      <c r="U615" s="19" t="s">
        <v>80</v>
      </c>
      <c r="V615" s="19" t="s">
        <v>97</v>
      </c>
      <c r="W615" s="19" t="s">
        <v>70</v>
      </c>
      <c r="X615" s="19" t="s">
        <v>154</v>
      </c>
      <c r="Y615" s="19"/>
      <c r="Z615" s="19" t="s">
        <v>2659</v>
      </c>
      <c r="AA615" s="19">
        <v>1</v>
      </c>
      <c r="AB615" s="19">
        <v>1</v>
      </c>
      <c r="AC615" s="19" t="s">
        <v>58</v>
      </c>
      <c r="AD615" s="19" t="s">
        <v>254</v>
      </c>
      <c r="AE615" s="19" t="s">
        <v>1503</v>
      </c>
      <c r="AF615" s="19" t="s">
        <v>2660</v>
      </c>
    </row>
    <row r="616" spans="1:34">
      <c r="A616" s="19">
        <v>610</v>
      </c>
      <c r="B616" s="19" t="s">
        <v>2616</v>
      </c>
      <c r="C616" s="19" t="s">
        <v>2453</v>
      </c>
      <c r="D616" s="19" t="str">
        <f>HYPERLINK("http://www.henontech.com/fieldsafety/harzard/harzard_show.php?rid=20726&amp;url=harzardrecs.php","消防水池西北角处地沟盖板破损严重，一员工巡检时，不慎踩到破损的盖板，掉入地沟内，造成左小腿  脚踝等多处擦伤，送医务室治疗。")</f>
        <v>消防水池西北角处地沟盖板破损严重，一员工巡检时，不慎踩到破损的盖板，掉入地沟内，造成左小腿  脚踝等多处擦伤，送医务室治疗。</v>
      </c>
      <c r="E616" s="19" t="s">
        <v>2661</v>
      </c>
      <c r="F616" s="20" t="s">
        <v>42</v>
      </c>
      <c r="G616" s="22" t="s">
        <v>63</v>
      </c>
      <c r="H616" s="19" t="s">
        <v>44</v>
      </c>
      <c r="I616" s="19" t="s">
        <v>108</v>
      </c>
      <c r="J616" s="19" t="s">
        <v>349</v>
      </c>
      <c r="K616" s="19" t="s">
        <v>110</v>
      </c>
      <c r="L616" s="19"/>
      <c r="M616" s="19" t="s">
        <v>121</v>
      </c>
      <c r="N616" s="19" t="s">
        <v>999</v>
      </c>
      <c r="O616" s="19" t="s">
        <v>121</v>
      </c>
      <c r="P616" s="19" t="s">
        <v>254</v>
      </c>
      <c r="Q616" s="19" t="s">
        <v>2331</v>
      </c>
      <c r="R616" s="19" t="s">
        <v>2662</v>
      </c>
      <c r="S616" s="19" t="s">
        <v>2663</v>
      </c>
      <c r="T616" s="19" t="s">
        <v>53</v>
      </c>
      <c r="U616" s="19" t="s">
        <v>80</v>
      </c>
      <c r="V616" s="19" t="s">
        <v>97</v>
      </c>
      <c r="W616" s="19" t="s">
        <v>70</v>
      </c>
      <c r="X616" s="19" t="s">
        <v>154</v>
      </c>
      <c r="Y616" s="19"/>
      <c r="Z616" s="19" t="s">
        <v>2664</v>
      </c>
      <c r="AA616" s="19">
        <v>1</v>
      </c>
      <c r="AB616" s="19">
        <v>1</v>
      </c>
      <c r="AC616" s="19" t="s">
        <v>58</v>
      </c>
      <c r="AD616" s="19" t="s">
        <v>254</v>
      </c>
      <c r="AE616" s="19" t="s">
        <v>1503</v>
      </c>
      <c r="AF616" s="19" t="s">
        <v>2665</v>
      </c>
    </row>
    <row r="617" spans="1:34">
      <c r="A617" s="19">
        <v>611</v>
      </c>
      <c r="B617" s="19" t="s">
        <v>2616</v>
      </c>
      <c r="C617" s="19" t="s">
        <v>2453</v>
      </c>
      <c r="D617" s="19" t="str">
        <f>HYPERLINK("http://www.henontech.com/fieldsafety/harzard/harzard_show.php?rid=20727&amp;url=harzardrecs.php","汽机房零米地沟处潜水泵水龙带横放，一名操作工在夜间巡检时，未发现横放的水龙带被其拌倒，造成左腿膝盖擦伤，简单包扎后复工。")</f>
        <v>汽机房零米地沟处潜水泵水龙带横放，一名操作工在夜间巡检时，未发现横放的水龙带被其拌倒，造成左腿膝盖擦伤，简单包扎后复工。</v>
      </c>
      <c r="E617" s="19" t="s">
        <v>2666</v>
      </c>
      <c r="F617" s="20" t="s">
        <v>42</v>
      </c>
      <c r="G617" s="22" t="s">
        <v>63</v>
      </c>
      <c r="H617" s="19" t="s">
        <v>44</v>
      </c>
      <c r="I617" s="19" t="s">
        <v>108</v>
      </c>
      <c r="J617" s="19" t="s">
        <v>46</v>
      </c>
      <c r="K617" s="19" t="s">
        <v>64</v>
      </c>
      <c r="L617" s="19" t="s">
        <v>76</v>
      </c>
      <c r="M617" s="19" t="s">
        <v>121</v>
      </c>
      <c r="N617" s="19" t="s">
        <v>2667</v>
      </c>
      <c r="O617" s="19" t="s">
        <v>121</v>
      </c>
      <c r="P617" s="19" t="s">
        <v>254</v>
      </c>
      <c r="Q617" s="19" t="s">
        <v>2331</v>
      </c>
      <c r="R617" s="19" t="s">
        <v>2668</v>
      </c>
      <c r="S617" s="19" t="s">
        <v>2669</v>
      </c>
      <c r="T617" s="19" t="s">
        <v>53</v>
      </c>
      <c r="U617" s="19" t="s">
        <v>54</v>
      </c>
      <c r="V617" s="19" t="s">
        <v>55</v>
      </c>
      <c r="W617" s="19" t="s">
        <v>56</v>
      </c>
      <c r="X617" s="19" t="s">
        <v>154</v>
      </c>
      <c r="Y617" s="19"/>
      <c r="Z617" s="19" t="s">
        <v>2670</v>
      </c>
      <c r="AA617" s="19">
        <v>1</v>
      </c>
      <c r="AB617" s="19">
        <v>1</v>
      </c>
      <c r="AC617" s="19" t="s">
        <v>58</v>
      </c>
      <c r="AD617" s="19" t="s">
        <v>254</v>
      </c>
      <c r="AE617" s="19" t="s">
        <v>1503</v>
      </c>
      <c r="AF617" s="19" t="s">
        <v>2671</v>
      </c>
    </row>
    <row r="618" spans="1:34">
      <c r="A618" s="19">
        <v>612</v>
      </c>
      <c r="B618" s="19" t="s">
        <v>2616</v>
      </c>
      <c r="C618" s="19" t="s">
        <v>1060</v>
      </c>
      <c r="D618" s="19" t="str">
        <f>HYPERLINK("http://www.henontech.com/fieldsafety/harzard/harzard_show.php?rid=20738&amp;url=harzardrecs.php","分料器电机风叶护罩固定螺栓缺失，一旦起动分料器，错位的护罩使风叶损坏。造成设备损失100元。")</f>
        <v>分料器电机风叶护罩固定螺栓缺失，一旦起动分料器，错位的护罩使风叶损坏。造成设备损失100元。</v>
      </c>
      <c r="E618" s="19" t="s">
        <v>2672</v>
      </c>
      <c r="F618" s="20" t="s">
        <v>42</v>
      </c>
      <c r="G618" s="22" t="s">
        <v>63</v>
      </c>
      <c r="H618" s="19" t="s">
        <v>44</v>
      </c>
      <c r="I618" s="19" t="s">
        <v>108</v>
      </c>
      <c r="J618" s="19" t="s">
        <v>46</v>
      </c>
      <c r="K618" s="19" t="s">
        <v>110</v>
      </c>
      <c r="L618" s="19" t="s">
        <v>76</v>
      </c>
      <c r="M618" s="19" t="s">
        <v>364</v>
      </c>
      <c r="N618" s="19" t="s">
        <v>897</v>
      </c>
      <c r="O618" s="19" t="s">
        <v>364</v>
      </c>
      <c r="P618" s="19" t="s">
        <v>377</v>
      </c>
      <c r="Q618" s="19" t="s">
        <v>1503</v>
      </c>
      <c r="R618" s="19" t="s">
        <v>2673</v>
      </c>
      <c r="S618" s="19"/>
      <c r="T618" s="19" t="s">
        <v>189</v>
      </c>
      <c r="U618" s="19" t="s">
        <v>202</v>
      </c>
      <c r="V618" s="19" t="s">
        <v>55</v>
      </c>
      <c r="W618" s="19" t="s">
        <v>56</v>
      </c>
      <c r="X618" s="19"/>
      <c r="Y618" s="19"/>
      <c r="Z618" s="19" t="s">
        <v>2674</v>
      </c>
      <c r="AA618" s="19">
        <v>1</v>
      </c>
      <c r="AB618" s="19">
        <v>1</v>
      </c>
      <c r="AC618" s="19" t="s">
        <v>58</v>
      </c>
      <c r="AD618" s="19" t="s">
        <v>377</v>
      </c>
      <c r="AE618" s="19" t="s">
        <v>1503</v>
      </c>
      <c r="AF618" s="19"/>
    </row>
    <row r="619" spans="1:34" customHeight="1" ht="42">
      <c r="A619" s="19">
        <v>613</v>
      </c>
      <c r="B619" s="19" t="s">
        <v>1863</v>
      </c>
      <c r="C619" s="19" t="s">
        <v>1060</v>
      </c>
      <c r="D619" s="19" t="str">
        <f>HYPERLINK("http://www.henontech.com/fieldsafety/harzard/harzard_show.php?rid=20773&amp;url=harzardrecs.php","煤七后尾下料斗腐蚀破损 造成漏煤夜班操作工经过时 不慎踩到脚底打滑摔倒造成右脚脚踝扭伤休息一会不影响工作")</f>
        <v>煤七后尾下料斗腐蚀破损 造成漏煤夜班操作工经过时 不慎踩到脚底打滑摔倒造成右脚脚踝扭伤休息一会不影响工作</v>
      </c>
      <c r="E619" s="19" t="s">
        <v>2483</v>
      </c>
      <c r="F619" s="20" t="s">
        <v>42</v>
      </c>
      <c r="G619" s="22" t="s">
        <v>63</v>
      </c>
      <c r="H619" s="19" t="s">
        <v>44</v>
      </c>
      <c r="I619" s="19" t="s">
        <v>45</v>
      </c>
      <c r="J619" s="19"/>
      <c r="K619" s="19" t="s">
        <v>64</v>
      </c>
      <c r="L619" s="19" t="s">
        <v>76</v>
      </c>
      <c r="M619" s="19" t="s">
        <v>364</v>
      </c>
      <c r="N619" s="19" t="s">
        <v>2675</v>
      </c>
      <c r="O619" s="19" t="s">
        <v>364</v>
      </c>
      <c r="P619" s="19" t="s">
        <v>2479</v>
      </c>
      <c r="Q619" s="19" t="s">
        <v>2438</v>
      </c>
      <c r="R619" s="19" t="s">
        <v>2676</v>
      </c>
      <c r="S619" s="19"/>
      <c r="T619" s="19" t="s">
        <v>53</v>
      </c>
      <c r="U619" s="19" t="s">
        <v>54</v>
      </c>
      <c r="V619" s="19" t="s">
        <v>55</v>
      </c>
      <c r="W619" s="19" t="s">
        <v>56</v>
      </c>
      <c r="X619" s="19"/>
      <c r="Y619" s="19"/>
      <c r="Z619" s="19" t="s">
        <v>2481</v>
      </c>
      <c r="AA619" s="19">
        <v>2</v>
      </c>
      <c r="AB619" s="19">
        <v>2</v>
      </c>
      <c r="AC619" s="19" t="s">
        <v>58</v>
      </c>
      <c r="AD619" s="19" t="s">
        <v>2479</v>
      </c>
      <c r="AE619" s="19" t="s">
        <v>1503</v>
      </c>
      <c r="AF619" s="19"/>
    </row>
    <row r="620" spans="1:34" customHeight="1" ht="42">
      <c r="A620" s="19">
        <v>614</v>
      </c>
      <c r="B620" s="19" t="s">
        <v>1863</v>
      </c>
      <c r="C620" s="19" t="s">
        <v>422</v>
      </c>
      <c r="D620" s="19" t="str">
        <f>HYPERLINK("http://www.henontech.com/fieldsafety/harzard/harzard_show.php?rid=20774&amp;url=harzardrecs.php","东一地沟一照明灯损坏 操作工巡查时看不清脚下不慎摔倒造成右脚脚踝扭伤休息一会不影响工作")</f>
        <v>东一地沟一照明灯损坏 操作工巡查时看不清脚下不慎摔倒造成右脚脚踝扭伤休息一会不影响工作</v>
      </c>
      <c r="E620" s="19" t="s">
        <v>2483</v>
      </c>
      <c r="F620" s="20" t="s">
        <v>42</v>
      </c>
      <c r="G620" s="22" t="s">
        <v>63</v>
      </c>
      <c r="H620" s="19" t="s">
        <v>44</v>
      </c>
      <c r="I620" s="19" t="s">
        <v>45</v>
      </c>
      <c r="J620" s="19"/>
      <c r="K620" s="19" t="s">
        <v>64</v>
      </c>
      <c r="L620" s="19" t="s">
        <v>76</v>
      </c>
      <c r="M620" s="19" t="s">
        <v>364</v>
      </c>
      <c r="N620" s="19" t="s">
        <v>2677</v>
      </c>
      <c r="O620" s="19" t="s">
        <v>364</v>
      </c>
      <c r="P620" s="19" t="s">
        <v>2479</v>
      </c>
      <c r="Q620" s="19" t="s">
        <v>2438</v>
      </c>
      <c r="R620" s="19" t="s">
        <v>1056</v>
      </c>
      <c r="S620" s="19"/>
      <c r="T620" s="19" t="s">
        <v>53</v>
      </c>
      <c r="U620" s="19" t="s">
        <v>54</v>
      </c>
      <c r="V620" s="19" t="s">
        <v>55</v>
      </c>
      <c r="W620" s="19" t="s">
        <v>56</v>
      </c>
      <c r="X620" s="19"/>
      <c r="Y620" s="19"/>
      <c r="Z620" s="19" t="s">
        <v>2489</v>
      </c>
      <c r="AA620" s="19">
        <v>2</v>
      </c>
      <c r="AB620" s="19">
        <v>2</v>
      </c>
      <c r="AC620" s="19" t="s">
        <v>58</v>
      </c>
      <c r="AD620" s="19" t="s">
        <v>2479</v>
      </c>
      <c r="AE620" s="19" t="s">
        <v>1503</v>
      </c>
      <c r="AF620" s="19"/>
    </row>
    <row r="621" spans="1:34" customHeight="1" ht="42">
      <c r="A621" s="19">
        <v>615</v>
      </c>
      <c r="B621" s="19" t="s">
        <v>1863</v>
      </c>
      <c r="C621" s="19" t="s">
        <v>374</v>
      </c>
      <c r="D621" s="19" t="str">
        <f>HYPERLINK("http://www.henontech.com/fieldsafety/harzard/harzard_show.php?rid=20775&amp;url=harzardrecs.php","西煤厂钢筋外露翘起 夜班操作工巡查经过 不慎被绊倒造成右手手腕扭伤休息一会不影响工作")</f>
        <v>西煤厂钢筋外露翘起 夜班操作工巡查经过 不慎被绊倒造成右手手腕扭伤休息一会不影响工作</v>
      </c>
      <c r="E621" s="19" t="s">
        <v>2494</v>
      </c>
      <c r="F621" s="20" t="s">
        <v>42</v>
      </c>
      <c r="G621" s="22" t="s">
        <v>63</v>
      </c>
      <c r="H621" s="19" t="s">
        <v>44</v>
      </c>
      <c r="I621" s="19" t="s">
        <v>45</v>
      </c>
      <c r="J621" s="19"/>
      <c r="K621" s="19"/>
      <c r="L621" s="19" t="s">
        <v>76</v>
      </c>
      <c r="M621" s="19" t="s">
        <v>364</v>
      </c>
      <c r="N621" s="19" t="s">
        <v>2678</v>
      </c>
      <c r="O621" s="19" t="s">
        <v>364</v>
      </c>
      <c r="P621" s="19" t="s">
        <v>2479</v>
      </c>
      <c r="Q621" s="19" t="s">
        <v>2438</v>
      </c>
      <c r="R621" s="19" t="s">
        <v>2679</v>
      </c>
      <c r="S621" s="19"/>
      <c r="T621" s="19" t="s">
        <v>53</v>
      </c>
      <c r="U621" s="19" t="s">
        <v>54</v>
      </c>
      <c r="V621" s="19" t="s">
        <v>55</v>
      </c>
      <c r="W621" s="19" t="s">
        <v>56</v>
      </c>
      <c r="X621" s="19"/>
      <c r="Y621" s="19"/>
      <c r="Z621" s="19" t="s">
        <v>2680</v>
      </c>
      <c r="AA621" s="19">
        <v>2</v>
      </c>
      <c r="AB621" s="19">
        <v>2</v>
      </c>
      <c r="AC621" s="19" t="s">
        <v>58</v>
      </c>
      <c r="AD621" s="19" t="s">
        <v>2479</v>
      </c>
      <c r="AE621" s="19" t="s">
        <v>1503</v>
      </c>
      <c r="AF621" s="19"/>
    </row>
    <row r="622" spans="1:34" customHeight="1" ht="42">
      <c r="A622" s="19">
        <v>616</v>
      </c>
      <c r="B622" s="19" t="s">
        <v>1863</v>
      </c>
      <c r="C622" s="19" t="s">
        <v>1060</v>
      </c>
      <c r="D622" s="19" t="str">
        <f>HYPERLINK("http://www.henontech.com/fieldsafety/harzard/harzard_show.php?rid=20776&amp;url=harzardrecs.php","煤六机头下料口处腐蚀破损 造成漏煤操作工巡查时不慎踩到煤块摔倒造成右前臂骨折送医院治疗住院一个月在家修养91天")</f>
        <v>煤六机头下料口处腐蚀破损 造成漏煤操作工巡查时不慎踩到煤块摔倒造成右前臂骨折送医院治疗住院一个月在家修养91天</v>
      </c>
      <c r="E622" s="19" t="s">
        <v>2477</v>
      </c>
      <c r="F622" s="20" t="s">
        <v>42</v>
      </c>
      <c r="G622" s="22" t="s">
        <v>63</v>
      </c>
      <c r="H622" s="19" t="s">
        <v>44</v>
      </c>
      <c r="I622" s="19" t="s">
        <v>45</v>
      </c>
      <c r="J622" s="19"/>
      <c r="K622" s="19" t="s">
        <v>64</v>
      </c>
      <c r="L622" s="19" t="s">
        <v>76</v>
      </c>
      <c r="M622" s="19" t="s">
        <v>364</v>
      </c>
      <c r="N622" s="19" t="s">
        <v>2681</v>
      </c>
      <c r="O622" s="19" t="s">
        <v>364</v>
      </c>
      <c r="P622" s="19" t="s">
        <v>2479</v>
      </c>
      <c r="Q622" s="19" t="s">
        <v>2438</v>
      </c>
      <c r="R622" s="19" t="s">
        <v>2682</v>
      </c>
      <c r="S622" s="19"/>
      <c r="T622" s="19" t="s">
        <v>53</v>
      </c>
      <c r="U622" s="19" t="s">
        <v>80</v>
      </c>
      <c r="V622" s="19" t="s">
        <v>55</v>
      </c>
      <c r="W622" s="19" t="s">
        <v>81</v>
      </c>
      <c r="X622" s="19"/>
      <c r="Y622" s="19"/>
      <c r="Z622" s="19" t="s">
        <v>2481</v>
      </c>
      <c r="AA622" s="19">
        <v>2</v>
      </c>
      <c r="AB622" s="19">
        <v>2</v>
      </c>
      <c r="AC622" s="19" t="s">
        <v>58</v>
      </c>
      <c r="AD622" s="19" t="s">
        <v>2479</v>
      </c>
      <c r="AE622" s="19" t="s">
        <v>1503</v>
      </c>
      <c r="AF622" s="19"/>
    </row>
    <row r="623" spans="1:34">
      <c r="A623" s="19">
        <v>617</v>
      </c>
      <c r="B623" s="19" t="s">
        <v>1503</v>
      </c>
      <c r="C623" s="19" t="s">
        <v>955</v>
      </c>
      <c r="D623" s="19" t="str">
        <f>HYPERLINK("http://www.henontech.com/fieldsafety/harzard/harzard_show.php?rid=20781&amp;url=harzardrecs.php","粗苯泵房贫油泵已停泵，压力表不回零，假如仪表工去维修会导致余压波动贫油烫伤仪表工手部")</f>
        <v>粗苯泵房贫油泵已停泵，压力表不回零，假如仪表工去维修会导致余压波动贫油烫伤仪表工手部</v>
      </c>
      <c r="E623" s="19" t="s">
        <v>2683</v>
      </c>
      <c r="F623" s="20" t="s">
        <v>42</v>
      </c>
      <c r="G623" s="22" t="s">
        <v>63</v>
      </c>
      <c r="H623" s="19" t="s">
        <v>44</v>
      </c>
      <c r="I623" s="19" t="s">
        <v>45</v>
      </c>
      <c r="J623" s="19" t="s">
        <v>46</v>
      </c>
      <c r="K623" s="19" t="s">
        <v>110</v>
      </c>
      <c r="L623" s="19" t="s">
        <v>76</v>
      </c>
      <c r="M623" s="19" t="s">
        <v>48</v>
      </c>
      <c r="N623" s="19" t="s">
        <v>762</v>
      </c>
      <c r="O623" s="19" t="s">
        <v>48</v>
      </c>
      <c r="P623" s="19" t="s">
        <v>50</v>
      </c>
      <c r="Q623" s="19" t="s">
        <v>2438</v>
      </c>
      <c r="R623" s="19" t="s">
        <v>2684</v>
      </c>
      <c r="S623" s="19"/>
      <c r="T623" s="19" t="s">
        <v>53</v>
      </c>
      <c r="U623" s="19" t="s">
        <v>202</v>
      </c>
      <c r="V623" s="19" t="s">
        <v>203</v>
      </c>
      <c r="W623" s="19" t="s">
        <v>56</v>
      </c>
      <c r="X623" s="19"/>
      <c r="Y623" s="19"/>
      <c r="Z623" s="19" t="s">
        <v>2685</v>
      </c>
      <c r="AA623" s="19">
        <v>1</v>
      </c>
      <c r="AB623" s="19">
        <v>1</v>
      </c>
      <c r="AC623" s="19" t="s">
        <v>58</v>
      </c>
      <c r="AD623" s="19" t="s">
        <v>50</v>
      </c>
      <c r="AE623" s="19" t="s">
        <v>1503</v>
      </c>
      <c r="AF623" s="19"/>
    </row>
    <row r="624" spans="1:34">
      <c r="A624" s="19">
        <v>618</v>
      </c>
      <c r="B624" s="19" t="s">
        <v>1863</v>
      </c>
      <c r="C624" s="19" t="s">
        <v>2106</v>
      </c>
      <c r="D624" s="19" t="str">
        <f>HYPERLINK("http://www.henontech.com/fieldsafety/harzard/harzard_show.php?rid=20839&amp;url=harzardrecs.php","西硫铵终冷塔南侧，制冷水管道上放置废弃80Ф铁管弯头一根长约两米，制冷水管道会产生振动造成弯头一侧下垂，砸伤正在此处巡检人员的右上臂，造成巡检人员右上臂骨折，住院治疗两个月后复工。")</f>
        <v>西硫铵终冷塔南侧，制冷水管道上放置废弃80Ф铁管弯头一根长约两米，制冷水管道会产生振动造成弯头一侧下垂，砸伤正在此处巡检人员的右上臂，造成巡检人员右上臂骨折，住院治疗两个月后复工。</v>
      </c>
      <c r="E624" s="19" t="s">
        <v>2686</v>
      </c>
      <c r="F624" s="20" t="s">
        <v>42</v>
      </c>
      <c r="G624" s="22" t="s">
        <v>63</v>
      </c>
      <c r="H624" s="19" t="s">
        <v>44</v>
      </c>
      <c r="I624" s="19" t="s">
        <v>108</v>
      </c>
      <c r="J624" s="19" t="s">
        <v>2687</v>
      </c>
      <c r="K624" s="19" t="s">
        <v>110</v>
      </c>
      <c r="L624" s="19" t="s">
        <v>76</v>
      </c>
      <c r="M624" s="19" t="s">
        <v>48</v>
      </c>
      <c r="N624" s="19" t="s">
        <v>464</v>
      </c>
      <c r="O624" s="19" t="s">
        <v>48</v>
      </c>
      <c r="P624" s="19" t="s">
        <v>50</v>
      </c>
      <c r="Q624" s="19" t="s">
        <v>2331</v>
      </c>
      <c r="R624" s="19" t="s">
        <v>437</v>
      </c>
      <c r="S624" s="19"/>
      <c r="T624" s="19" t="s">
        <v>53</v>
      </c>
      <c r="U624" s="19" t="s">
        <v>80</v>
      </c>
      <c r="V624" s="19" t="s">
        <v>55</v>
      </c>
      <c r="W624" s="19" t="s">
        <v>81</v>
      </c>
      <c r="X624" s="19"/>
      <c r="Y624" s="19"/>
      <c r="Z624" s="19" t="s">
        <v>2688</v>
      </c>
      <c r="AA624" s="19">
        <v>1</v>
      </c>
      <c r="AB624" s="19">
        <v>1</v>
      </c>
      <c r="AC624" s="19" t="s">
        <v>58</v>
      </c>
      <c r="AD624" s="19" t="s">
        <v>50</v>
      </c>
      <c r="AE624" s="19" t="s">
        <v>1676</v>
      </c>
      <c r="AF624" s="19"/>
    </row>
    <row r="625" spans="1:34" customHeight="1" ht="42">
      <c r="A625" s="19">
        <v>619</v>
      </c>
      <c r="B625" s="19" t="s">
        <v>1863</v>
      </c>
      <c r="C625" s="19" t="s">
        <v>422</v>
      </c>
      <c r="D625" s="19" t="str">
        <f>HYPERLINK("http://www.henontech.com/fieldsafety/harzard/harzard_show.php?rid=20843&amp;url=harzardrecs.php","东一机头铁丝未定置摆放  挂在铁壳开关上如果铁壳开关损坏漏电 将导致铁丝带电拿铁丝时触电倒地 造成右手电伤送医院治疗住院20天在家修养一个月")</f>
        <v>东一机头铁丝未定置摆放  挂在铁壳开关上如果铁壳开关损坏漏电 将导致铁丝带电拿铁丝时触电倒地 造成右手电伤送医院治疗住院20天在家修养一个月</v>
      </c>
      <c r="E625" s="19" t="s">
        <v>2689</v>
      </c>
      <c r="F625" s="20" t="s">
        <v>42</v>
      </c>
      <c r="G625" s="22" t="s">
        <v>63</v>
      </c>
      <c r="H625" s="19" t="s">
        <v>44</v>
      </c>
      <c r="I625" s="19" t="s">
        <v>45</v>
      </c>
      <c r="J625" s="19" t="s">
        <v>311</v>
      </c>
      <c r="K625" s="19"/>
      <c r="L625" s="19" t="s">
        <v>76</v>
      </c>
      <c r="M625" s="19" t="s">
        <v>364</v>
      </c>
      <c r="N625" s="19" t="s">
        <v>2479</v>
      </c>
      <c r="O625" s="19" t="s">
        <v>364</v>
      </c>
      <c r="P625" s="19" t="s">
        <v>2479</v>
      </c>
      <c r="Q625" s="19" t="s">
        <v>2438</v>
      </c>
      <c r="R625" s="19" t="s">
        <v>1056</v>
      </c>
      <c r="S625" s="19"/>
      <c r="T625" s="19" t="s">
        <v>53</v>
      </c>
      <c r="U625" s="19" t="s">
        <v>80</v>
      </c>
      <c r="V625" s="19" t="s">
        <v>55</v>
      </c>
      <c r="W625" s="19" t="s">
        <v>81</v>
      </c>
      <c r="X625" s="19"/>
      <c r="Y625" s="19"/>
      <c r="Z625" s="19" t="s">
        <v>2690</v>
      </c>
      <c r="AA625" s="19">
        <v>2</v>
      </c>
      <c r="AB625" s="19">
        <v>2</v>
      </c>
      <c r="AC625" s="19" t="s">
        <v>58</v>
      </c>
      <c r="AD625" s="19" t="s">
        <v>2479</v>
      </c>
      <c r="AE625" s="19" t="s">
        <v>1503</v>
      </c>
      <c r="AF625" s="19"/>
    </row>
    <row r="626" spans="1:34">
      <c r="A626" s="19">
        <v>620</v>
      </c>
      <c r="B626" s="19" t="s">
        <v>1863</v>
      </c>
      <c r="C626" s="19" t="s">
        <v>302</v>
      </c>
      <c r="D626" s="19" t="str">
        <f>HYPERLINK("http://www.henontech.com/fieldsafety/harzard/harzard_show.php?rid=20863&amp;url=harzardrecs.php","电缆桥架盖板脱落，如果有大风天气，巡检人员从下方经过盖板掉落砸到背部")</f>
        <v>电缆桥架盖板脱落，如果有大风天气，巡检人员从下方经过盖板掉落砸到背部</v>
      </c>
      <c r="E626" s="19" t="s">
        <v>2691</v>
      </c>
      <c r="F626" s="20" t="s">
        <v>42</v>
      </c>
      <c r="G626" s="22" t="s">
        <v>63</v>
      </c>
      <c r="H626" s="19" t="s">
        <v>44</v>
      </c>
      <c r="I626" s="19" t="s">
        <v>108</v>
      </c>
      <c r="J626" s="19" t="s">
        <v>46</v>
      </c>
      <c r="K626" s="19" t="s">
        <v>110</v>
      </c>
      <c r="L626" s="19" t="s">
        <v>76</v>
      </c>
      <c r="M626" s="19" t="s">
        <v>121</v>
      </c>
      <c r="N626" s="19" t="s">
        <v>991</v>
      </c>
      <c r="O626" s="19" t="s">
        <v>121</v>
      </c>
      <c r="P626" s="19" t="s">
        <v>254</v>
      </c>
      <c r="Q626" s="19" t="s">
        <v>2331</v>
      </c>
      <c r="R626" s="19" t="s">
        <v>2692</v>
      </c>
      <c r="S626" s="19" t="s">
        <v>2693</v>
      </c>
      <c r="T626" s="19" t="s">
        <v>53</v>
      </c>
      <c r="U626" s="19" t="s">
        <v>54</v>
      </c>
      <c r="V626" s="19" t="s">
        <v>97</v>
      </c>
      <c r="W626" s="19" t="s">
        <v>81</v>
      </c>
      <c r="X626" s="19" t="s">
        <v>154</v>
      </c>
      <c r="Y626" s="19"/>
      <c r="Z626" s="19" t="s">
        <v>2694</v>
      </c>
      <c r="AA626" s="19">
        <v>1</v>
      </c>
      <c r="AB626" s="19">
        <v>1</v>
      </c>
      <c r="AC626" s="19" t="s">
        <v>58</v>
      </c>
      <c r="AD626" s="19" t="s">
        <v>254</v>
      </c>
      <c r="AE626" s="19" t="s">
        <v>1503</v>
      </c>
      <c r="AF626" s="19" t="s">
        <v>2695</v>
      </c>
    </row>
    <row r="627" spans="1:34">
      <c r="A627" s="19">
        <v>621</v>
      </c>
      <c r="B627" s="19" t="s">
        <v>1863</v>
      </c>
      <c r="C627" s="19" t="s">
        <v>422</v>
      </c>
      <c r="D627" s="19" t="str">
        <f>HYPERLINK("http://www.henontech.com/fieldsafety/harzard/harzard_show.php?rid=20882&amp;url=harzardrecs.php","东四皮带机岗位2#配料称减速机漏油异响，一旦缺油运行造成减速机损坏，停车检修更换减速机。")</f>
        <v>东四皮带机岗位2#配料称减速机漏油异响，一旦缺油运行造成减速机损坏，停车检修更换减速机。</v>
      </c>
      <c r="E627" s="19" t="s">
        <v>2696</v>
      </c>
      <c r="F627" s="20" t="s">
        <v>42</v>
      </c>
      <c r="G627" s="21" t="s">
        <v>43</v>
      </c>
      <c r="H627" s="19" t="s">
        <v>44</v>
      </c>
      <c r="I627" s="19" t="s">
        <v>2000</v>
      </c>
      <c r="J627" s="19" t="s">
        <v>46</v>
      </c>
      <c r="K627" s="19"/>
      <c r="L627" s="19"/>
      <c r="M627" s="19" t="s">
        <v>364</v>
      </c>
      <c r="N627" s="19" t="s">
        <v>2697</v>
      </c>
      <c r="O627" s="19" t="s">
        <v>364</v>
      </c>
      <c r="P627" s="19" t="s">
        <v>377</v>
      </c>
      <c r="Q627" s="19" t="s">
        <v>1503</v>
      </c>
      <c r="R627" s="19" t="s">
        <v>2290</v>
      </c>
      <c r="S627" s="19"/>
      <c r="T627" s="19" t="s">
        <v>189</v>
      </c>
      <c r="U627" s="19" t="s">
        <v>202</v>
      </c>
      <c r="V627" s="19" t="s">
        <v>97</v>
      </c>
      <c r="W627" s="19" t="s">
        <v>56</v>
      </c>
      <c r="X627" s="19"/>
      <c r="Y627" s="19"/>
      <c r="Z627" s="19" t="s">
        <v>2698</v>
      </c>
      <c r="AA627" s="19">
        <v>1</v>
      </c>
      <c r="AB627" s="19">
        <v>1</v>
      </c>
      <c r="AC627" s="19" t="s">
        <v>58</v>
      </c>
      <c r="AD627" s="19" t="s">
        <v>377</v>
      </c>
      <c r="AE627" s="19" t="s">
        <v>1503</v>
      </c>
      <c r="AF627" s="19"/>
    </row>
    <row r="628" spans="1:34">
      <c r="A628" s="19">
        <v>622</v>
      </c>
      <c r="B628" s="19" t="s">
        <v>1863</v>
      </c>
      <c r="C628" s="19" t="s">
        <v>1964</v>
      </c>
      <c r="D628" s="19" t="str">
        <f>HYPERLINK("http://www.henontech.com/fieldsafety/harzard/harzard_show.php?rid=20931&amp;url=harzardrecs.php","洒水车驱动轮左侧轮胎开裂，一旦继续使用，将会造成轮胎爆胎，车辆无法继续使用，经济损失800元。")</f>
        <v>洒水车驱动轮左侧轮胎开裂，一旦继续使用，将会造成轮胎爆胎，车辆无法继续使用，经济损失800元。</v>
      </c>
      <c r="E628" s="19" t="s">
        <v>2699</v>
      </c>
      <c r="F628" s="20" t="s">
        <v>42</v>
      </c>
      <c r="G628" s="22" t="s">
        <v>63</v>
      </c>
      <c r="H628" s="19" t="s">
        <v>44</v>
      </c>
      <c r="I628" s="19" t="s">
        <v>108</v>
      </c>
      <c r="J628" s="19" t="s">
        <v>46</v>
      </c>
      <c r="K628" s="19" t="s">
        <v>110</v>
      </c>
      <c r="L628" s="19" t="s">
        <v>76</v>
      </c>
      <c r="M628" s="19" t="s">
        <v>364</v>
      </c>
      <c r="N628" s="19" t="s">
        <v>2700</v>
      </c>
      <c r="O628" s="19" t="s">
        <v>364</v>
      </c>
      <c r="P628" s="19" t="s">
        <v>377</v>
      </c>
      <c r="Q628" s="19" t="s">
        <v>1886</v>
      </c>
      <c r="R628" s="19" t="s">
        <v>2701</v>
      </c>
      <c r="S628" s="19"/>
      <c r="T628" s="19" t="s">
        <v>189</v>
      </c>
      <c r="U628" s="19" t="s">
        <v>54</v>
      </c>
      <c r="V628" s="19" t="s">
        <v>55</v>
      </c>
      <c r="W628" s="19" t="s">
        <v>56</v>
      </c>
      <c r="X628" s="19"/>
      <c r="Y628" s="19"/>
      <c r="Z628" s="19" t="s">
        <v>2702</v>
      </c>
      <c r="AA628" s="19">
        <v>1</v>
      </c>
      <c r="AB628" s="19">
        <v>1</v>
      </c>
      <c r="AC628" s="19" t="s">
        <v>58</v>
      </c>
      <c r="AD628" s="19" t="s">
        <v>377</v>
      </c>
      <c r="AE628" s="19" t="s">
        <v>1886</v>
      </c>
      <c r="AF628" s="19"/>
    </row>
    <row r="629" spans="1:34">
      <c r="A629" s="19">
        <v>623</v>
      </c>
      <c r="B629" s="19" t="s">
        <v>1863</v>
      </c>
      <c r="C629" s="19" t="s">
        <v>1964</v>
      </c>
      <c r="D629" s="19" t="str">
        <f>HYPERLINK("http://www.henontech.com/fieldsafety/harzard/harzard_show.php?rid=20940&amp;url=harzardrecs.php","西三胶带机机头防护栏固定点损坏，防护栏一旦掉入胶带输送机，将会造成胶带划伤，非计划停车检修30分钟。")</f>
        <v>西三胶带机机头防护栏固定点损坏，防护栏一旦掉入胶带输送机，将会造成胶带划伤，非计划停车检修30分钟。</v>
      </c>
      <c r="E629" s="19" t="s">
        <v>2703</v>
      </c>
      <c r="F629" s="20" t="s">
        <v>42</v>
      </c>
      <c r="G629" s="22" t="s">
        <v>63</v>
      </c>
      <c r="H629" s="19" t="s">
        <v>44</v>
      </c>
      <c r="I629" s="19" t="s">
        <v>45</v>
      </c>
      <c r="J629" s="19" t="s">
        <v>46</v>
      </c>
      <c r="K629" s="19" t="s">
        <v>110</v>
      </c>
      <c r="L629" s="19" t="s">
        <v>76</v>
      </c>
      <c r="M629" s="19" t="s">
        <v>364</v>
      </c>
      <c r="N629" s="19" t="s">
        <v>2704</v>
      </c>
      <c r="O629" s="19" t="s">
        <v>364</v>
      </c>
      <c r="P629" s="19" t="s">
        <v>377</v>
      </c>
      <c r="Q629" s="19" t="s">
        <v>1886</v>
      </c>
      <c r="R629" s="19" t="s">
        <v>2705</v>
      </c>
      <c r="S629" s="19" t="s">
        <v>2706</v>
      </c>
      <c r="T629" s="19" t="s">
        <v>189</v>
      </c>
      <c r="U629" s="19" t="s">
        <v>80</v>
      </c>
      <c r="V629" s="19" t="s">
        <v>55</v>
      </c>
      <c r="W629" s="19" t="s">
        <v>81</v>
      </c>
      <c r="X629" s="19"/>
      <c r="Y629" s="19"/>
      <c r="Z629" s="19" t="s">
        <v>2707</v>
      </c>
      <c r="AA629" s="19">
        <v>1</v>
      </c>
      <c r="AB629" s="19">
        <v>1</v>
      </c>
      <c r="AC629" s="19" t="s">
        <v>58</v>
      </c>
      <c r="AD629" s="19" t="s">
        <v>377</v>
      </c>
      <c r="AE629" s="19" t="s">
        <v>1886</v>
      </c>
      <c r="AF629" s="19"/>
    </row>
    <row r="630" spans="1:34">
      <c r="A630" s="19">
        <v>624</v>
      </c>
      <c r="B630" s="19" t="s">
        <v>1863</v>
      </c>
      <c r="C630" s="19" t="s">
        <v>374</v>
      </c>
      <c r="D630" s="19" t="str">
        <f>HYPERLINK("http://www.henontech.com/fieldsafety/harzard/harzard_show.php?rid=20943&amp;url=harzardrecs.php","交班室西侧水沟盖板缺失，一职工经过时，一旦左脚掉入水沟，会造成左小腿皮肤轻微擦伤，休息十分钟继续上岗作业。，")</f>
        <v>交班室西侧水沟盖板缺失，一职工经过时，一旦左脚掉入水沟，会造成左小腿皮肤轻微擦伤，休息十分钟继续上岗作业。，</v>
      </c>
      <c r="E630" s="19" t="s">
        <v>2708</v>
      </c>
      <c r="F630" s="20" t="s">
        <v>42</v>
      </c>
      <c r="G630" s="22" t="s">
        <v>63</v>
      </c>
      <c r="H630" s="19" t="s">
        <v>44</v>
      </c>
      <c r="I630" s="19" t="s">
        <v>45</v>
      </c>
      <c r="J630" s="19" t="s">
        <v>109</v>
      </c>
      <c r="K630" s="19" t="s">
        <v>110</v>
      </c>
      <c r="L630" s="19"/>
      <c r="M630" s="19" t="s">
        <v>364</v>
      </c>
      <c r="N630" s="19" t="s">
        <v>1291</v>
      </c>
      <c r="O630" s="19" t="s">
        <v>364</v>
      </c>
      <c r="P630" s="19" t="s">
        <v>377</v>
      </c>
      <c r="Q630" s="19" t="s">
        <v>1886</v>
      </c>
      <c r="R630" s="19" t="s">
        <v>2709</v>
      </c>
      <c r="S630" s="19"/>
      <c r="T630" s="19" t="s">
        <v>53</v>
      </c>
      <c r="U630" s="19" t="s">
        <v>54</v>
      </c>
      <c r="V630" s="19" t="s">
        <v>97</v>
      </c>
      <c r="W630" s="19" t="s">
        <v>81</v>
      </c>
      <c r="X630" s="19"/>
      <c r="Y630" s="19"/>
      <c r="Z630" s="19" t="s">
        <v>2710</v>
      </c>
      <c r="AA630" s="19">
        <v>1</v>
      </c>
      <c r="AB630" s="19">
        <v>1</v>
      </c>
      <c r="AC630" s="19" t="s">
        <v>58</v>
      </c>
      <c r="AD630" s="19" t="s">
        <v>377</v>
      </c>
      <c r="AE630" s="19" t="s">
        <v>1886</v>
      </c>
      <c r="AF630" s="19"/>
    </row>
    <row r="631" spans="1:34">
      <c r="A631" s="19">
        <v>625</v>
      </c>
      <c r="B631" s="19" t="s">
        <v>1863</v>
      </c>
      <c r="C631" s="19" t="s">
        <v>1964</v>
      </c>
      <c r="D631" s="19" t="str">
        <f>HYPERLINK("http://www.henontech.com/fieldsafety/harzard/harzard_show.php?rid=20945&amp;url=harzardrecs.php","西三胶带机卸料车行走轮防护罩开焊，一职工在操作时，一旦防护罩脱落，砸伤该职工脚步，送医务室检查，右脚掌轻微浮肿，敷药包扎后回到岗位继续工作。")</f>
        <v>西三胶带机卸料车行走轮防护罩开焊，一职工在操作时，一旦防护罩脱落，砸伤该职工脚步，送医务室检查，右脚掌轻微浮肿，敷药包扎后回到岗位继续工作。</v>
      </c>
      <c r="E631" s="19" t="s">
        <v>2711</v>
      </c>
      <c r="F631" s="20" t="s">
        <v>42</v>
      </c>
      <c r="G631" s="22" t="s">
        <v>63</v>
      </c>
      <c r="H631" s="19" t="s">
        <v>44</v>
      </c>
      <c r="I631" s="19" t="s">
        <v>45</v>
      </c>
      <c r="J631" s="19" t="s">
        <v>349</v>
      </c>
      <c r="K631" s="19" t="s">
        <v>110</v>
      </c>
      <c r="L631" s="19" t="s">
        <v>76</v>
      </c>
      <c r="M631" s="19" t="s">
        <v>364</v>
      </c>
      <c r="N631" s="19" t="s">
        <v>901</v>
      </c>
      <c r="O631" s="19" t="s">
        <v>364</v>
      </c>
      <c r="P631" s="19" t="s">
        <v>377</v>
      </c>
      <c r="Q631" s="19" t="s">
        <v>1886</v>
      </c>
      <c r="R631" s="19" t="s">
        <v>2705</v>
      </c>
      <c r="S631" s="19"/>
      <c r="T631" s="19" t="s">
        <v>53</v>
      </c>
      <c r="U631" s="19" t="s">
        <v>54</v>
      </c>
      <c r="V631" s="19" t="s">
        <v>55</v>
      </c>
      <c r="W631" s="19" t="s">
        <v>56</v>
      </c>
      <c r="X631" s="19"/>
      <c r="Y631" s="19"/>
      <c r="Z631" s="19" t="s">
        <v>2712</v>
      </c>
      <c r="AA631" s="19">
        <v>1</v>
      </c>
      <c r="AB631" s="19">
        <v>1</v>
      </c>
      <c r="AC631" s="19" t="s">
        <v>58</v>
      </c>
      <c r="AD631" s="19" t="s">
        <v>377</v>
      </c>
      <c r="AE631" s="19" t="s">
        <v>1886</v>
      </c>
      <c r="AF631" s="19"/>
    </row>
    <row r="632" spans="1:34">
      <c r="A632" s="19">
        <v>626</v>
      </c>
      <c r="B632" s="19" t="s">
        <v>1863</v>
      </c>
      <c r="C632" s="19" t="s">
        <v>149</v>
      </c>
      <c r="D632" s="19" t="str">
        <f>HYPERLINK("http://www.henontech.com/fieldsafety/harzard/harzard_show.php?rid=20946&amp;url=harzardrecs.php","1号站压滤机房污泥螺杆泵盘根漏液，造成地面环境污染，车间检查时发现并通报批评")</f>
        <v>1号站压滤机房污泥螺杆泵盘根漏液，造成地面环境污染，车间检查时发现并通报批评</v>
      </c>
      <c r="E632" s="19" t="s">
        <v>2713</v>
      </c>
      <c r="F632" s="20" t="s">
        <v>42</v>
      </c>
      <c r="G632" s="22" t="s">
        <v>63</v>
      </c>
      <c r="H632" s="19" t="s">
        <v>44</v>
      </c>
      <c r="I632" s="19"/>
      <c r="J632" s="19" t="s">
        <v>46</v>
      </c>
      <c r="K632" s="19"/>
      <c r="L632" s="19"/>
      <c r="M632" s="19" t="s">
        <v>149</v>
      </c>
      <c r="N632" s="19" t="s">
        <v>2714</v>
      </c>
      <c r="O632" s="19" t="s">
        <v>149</v>
      </c>
      <c r="P632" s="19" t="s">
        <v>2407</v>
      </c>
      <c r="Q632" s="19" t="s">
        <v>2088</v>
      </c>
      <c r="R632" s="19" t="s">
        <v>2715</v>
      </c>
      <c r="S632" s="19"/>
      <c r="T632" s="19" t="s">
        <v>393</v>
      </c>
      <c r="U632" s="19" t="s">
        <v>202</v>
      </c>
      <c r="V632" s="19" t="s">
        <v>69</v>
      </c>
      <c r="W632" s="19" t="s">
        <v>56</v>
      </c>
      <c r="X632" s="19" t="s">
        <v>154</v>
      </c>
      <c r="Y632" s="19" t="s">
        <v>154</v>
      </c>
      <c r="Z632" s="19" t="s">
        <v>2716</v>
      </c>
      <c r="AA632" s="19">
        <v>1</v>
      </c>
      <c r="AB632" s="19">
        <v>1</v>
      </c>
      <c r="AC632" s="19" t="s">
        <v>58</v>
      </c>
      <c r="AD632" s="19" t="s">
        <v>2407</v>
      </c>
      <c r="AE632" s="19" t="s">
        <v>1798</v>
      </c>
      <c r="AF632" s="19"/>
    </row>
    <row r="633" spans="1:34">
      <c r="A633" s="19">
        <v>627</v>
      </c>
      <c r="B633" s="19" t="s">
        <v>1863</v>
      </c>
      <c r="C633" s="19" t="s">
        <v>2033</v>
      </c>
      <c r="D633" s="19" t="str">
        <f>HYPERLINK("http://www.henontech.com/fieldsafety/harzard/harzard_show.php?rid=20947&amp;url=harzardrecs.php","干熄焦PLC室地板缺少支撑杠，地板不平衡，一名电气人员巡检至此拨表，不慎踩空造成脚踝扭伤。损工三十天。")</f>
        <v>干熄焦PLC室地板缺少支撑杠，地板不平衡，一名电气人员巡检至此拨表，不慎踩空造成脚踝扭伤。损工三十天。</v>
      </c>
      <c r="E633" s="19" t="s">
        <v>2717</v>
      </c>
      <c r="F633" s="25" t="s">
        <v>1455</v>
      </c>
      <c r="G633" s="22" t="s">
        <v>63</v>
      </c>
      <c r="H633" s="19" t="s">
        <v>44</v>
      </c>
      <c r="I633" s="19" t="s">
        <v>45</v>
      </c>
      <c r="J633" s="19" t="s">
        <v>46</v>
      </c>
      <c r="K633" s="19" t="s">
        <v>132</v>
      </c>
      <c r="L633" s="19" t="s">
        <v>76</v>
      </c>
      <c r="M633" s="19" t="s">
        <v>121</v>
      </c>
      <c r="N633" s="19" t="s">
        <v>2718</v>
      </c>
      <c r="O633" s="19" t="s">
        <v>121</v>
      </c>
      <c r="P633" s="19" t="s">
        <v>315</v>
      </c>
      <c r="Q633" s="19" t="s">
        <v>2438</v>
      </c>
      <c r="R633" s="19" t="s">
        <v>2719</v>
      </c>
      <c r="S633" s="19" t="s">
        <v>2720</v>
      </c>
      <c r="T633" s="19" t="s">
        <v>53</v>
      </c>
      <c r="U633" s="19" t="s">
        <v>80</v>
      </c>
      <c r="V633" s="19" t="s">
        <v>55</v>
      </c>
      <c r="W633" s="19" t="s">
        <v>81</v>
      </c>
      <c r="X633" s="19" t="s">
        <v>154</v>
      </c>
      <c r="Y633" s="19"/>
      <c r="Z633" s="19" t="s">
        <v>2721</v>
      </c>
      <c r="AA633" s="19">
        <v>1</v>
      </c>
      <c r="AB633" s="19"/>
      <c r="AC633" s="19" t="s">
        <v>308</v>
      </c>
      <c r="AD633" s="19"/>
      <c r="AE633" s="19"/>
      <c r="AF633" s="19"/>
    </row>
    <row r="634" spans="1:34">
      <c r="A634" s="19">
        <v>628</v>
      </c>
      <c r="B634" s="19" t="s">
        <v>1503</v>
      </c>
      <c r="C634" s="19" t="s">
        <v>2033</v>
      </c>
      <c r="D634" s="19" t="str">
        <f>HYPERLINK("http://www.henontech.com/fieldsafety/harzard/harzard_show.php?rid=20980&amp;url=harzardrecs.php","因干熄焦锅炉喷水减温阀北侧手阀漏汽，一巡检人员在开关手阀时，540℃的蒸汽突然喷出，将该人员左臂烫伤，送医治疗确诊为深Ⅱ度烫伤，治疗一周，休养两周后恢复工作。")</f>
        <v>因干熄焦锅炉喷水减温阀北侧手阀漏汽，一巡检人员在开关手阀时，540℃的蒸汽突然喷出，将该人员左臂烫伤，送医治疗确诊为深Ⅱ度烫伤，治疗一周，休养两周后恢复工作。</v>
      </c>
      <c r="E634" s="19" t="s">
        <v>2722</v>
      </c>
      <c r="F634" s="26" t="s">
        <v>2035</v>
      </c>
      <c r="G634" s="19"/>
      <c r="H634" s="19" t="s">
        <v>44</v>
      </c>
      <c r="I634" s="19" t="s">
        <v>108</v>
      </c>
      <c r="J634" s="19" t="s">
        <v>826</v>
      </c>
      <c r="K634" s="19" t="s">
        <v>47</v>
      </c>
      <c r="L634" s="19" t="s">
        <v>76</v>
      </c>
      <c r="M634" s="19" t="s">
        <v>121</v>
      </c>
      <c r="N634" s="19" t="s">
        <v>717</v>
      </c>
      <c r="O634" s="19"/>
      <c r="P634" s="19"/>
      <c r="Q634" s="19"/>
      <c r="R634" s="19" t="s">
        <v>2723</v>
      </c>
      <c r="S634" s="19"/>
      <c r="T634" s="19" t="s">
        <v>53</v>
      </c>
      <c r="U634" s="19" t="s">
        <v>80</v>
      </c>
      <c r="V634" s="19" t="s">
        <v>97</v>
      </c>
      <c r="W634" s="19" t="s">
        <v>70</v>
      </c>
      <c r="X634" s="19"/>
      <c r="Y634" s="19"/>
      <c r="Z634" s="19"/>
      <c r="AA634" s="19"/>
      <c r="AB634" s="19"/>
      <c r="AC634" s="19" t="s">
        <v>308</v>
      </c>
      <c r="AD634" s="19"/>
      <c r="AE634" s="19"/>
      <c r="AF634" s="19"/>
    </row>
    <row r="635" spans="1:34">
      <c r="A635" s="19">
        <v>629</v>
      </c>
      <c r="B635" s="19" t="s">
        <v>1503</v>
      </c>
      <c r="C635" s="19" t="s">
        <v>422</v>
      </c>
      <c r="D635" s="19" t="str">
        <f>HYPERLINK("http://www.henontech.com/fieldsafety/harzard/harzard_show.php?rid=20991&amp;url=harzardrecs.php","东五皮带机一上立辊缺失，开车过程中，一旦皮带跑偏不能有效调整，会造成皮带边缘磨损撕裂10米，经济损失1000元。")</f>
        <v>东五皮带机一上立辊缺失，开车过程中，一旦皮带跑偏不能有效调整，会造成皮带边缘磨损撕裂10米，经济损失1000元。</v>
      </c>
      <c r="E635" s="19" t="s">
        <v>2724</v>
      </c>
      <c r="F635" s="20" t="s">
        <v>42</v>
      </c>
      <c r="G635" s="22" t="s">
        <v>63</v>
      </c>
      <c r="H635" s="19" t="s">
        <v>44</v>
      </c>
      <c r="I635" s="19" t="s">
        <v>108</v>
      </c>
      <c r="J635" s="19" t="s">
        <v>46</v>
      </c>
      <c r="K635" s="19" t="s">
        <v>110</v>
      </c>
      <c r="L635" s="19" t="s">
        <v>599</v>
      </c>
      <c r="M635" s="19" t="s">
        <v>364</v>
      </c>
      <c r="N635" s="19" t="s">
        <v>2725</v>
      </c>
      <c r="O635" s="19" t="s">
        <v>364</v>
      </c>
      <c r="P635" s="19" t="s">
        <v>377</v>
      </c>
      <c r="Q635" s="19" t="s">
        <v>1886</v>
      </c>
      <c r="R635" s="19" t="s">
        <v>2158</v>
      </c>
      <c r="S635" s="19"/>
      <c r="T635" s="19" t="s">
        <v>189</v>
      </c>
      <c r="U635" s="19" t="s">
        <v>202</v>
      </c>
      <c r="V635" s="19" t="s">
        <v>69</v>
      </c>
      <c r="W635" s="19" t="s">
        <v>56</v>
      </c>
      <c r="X635" s="19"/>
      <c r="Y635" s="19"/>
      <c r="Z635" s="19" t="s">
        <v>2726</v>
      </c>
      <c r="AA635" s="19">
        <v>1</v>
      </c>
      <c r="AB635" s="19">
        <v>1</v>
      </c>
      <c r="AC635" s="19" t="s">
        <v>58</v>
      </c>
      <c r="AD635" s="19" t="s">
        <v>377</v>
      </c>
      <c r="AE635" s="19" t="s">
        <v>1886</v>
      </c>
      <c r="AF635" s="19"/>
    </row>
    <row r="636" spans="1:34">
      <c r="A636" s="19">
        <v>630</v>
      </c>
      <c r="B636" s="19" t="s">
        <v>1503</v>
      </c>
      <c r="C636" s="19" t="s">
        <v>296</v>
      </c>
      <c r="D636" s="19" t="str">
        <f>HYPERLINK("http://www.henontech.com/fieldsafety/harzard/harzard_show.php?rid=21023&amp;url=harzardrecs.php","排污池内生长水藻，水藻易脱落，假如排污泵正在排污，水藻随水流进入排污泵内，造成排污泵上量不好，池内水溢流到工作现场，造成环境污染，被环保局查到，影响企业形象。")</f>
        <v>排污池内生长水藻，水藻易脱落，假如排污泵正在排污，水藻随水流进入排污泵内，造成排污泵上量不好，池内水溢流到工作现场，造成环境污染，被环保局查到，影响企业形象。</v>
      </c>
      <c r="E636" s="19" t="s">
        <v>2727</v>
      </c>
      <c r="F636" s="20" t="s">
        <v>42</v>
      </c>
      <c r="G636" s="22" t="s">
        <v>63</v>
      </c>
      <c r="H636" s="19" t="s">
        <v>44</v>
      </c>
      <c r="I636" s="19" t="s">
        <v>108</v>
      </c>
      <c r="J636" s="19" t="s">
        <v>349</v>
      </c>
      <c r="K636" s="19" t="s">
        <v>1631</v>
      </c>
      <c r="L636" s="19" t="s">
        <v>76</v>
      </c>
      <c r="M636" s="19" t="s">
        <v>48</v>
      </c>
      <c r="N636" s="19" t="s">
        <v>298</v>
      </c>
      <c r="O636" s="19" t="s">
        <v>48</v>
      </c>
      <c r="P636" s="19" t="s">
        <v>50</v>
      </c>
      <c r="Q636" s="19" t="s">
        <v>2438</v>
      </c>
      <c r="R636" s="19" t="s">
        <v>2728</v>
      </c>
      <c r="S636" s="19"/>
      <c r="T636" s="19" t="s">
        <v>393</v>
      </c>
      <c r="U636" s="19" t="s">
        <v>202</v>
      </c>
      <c r="V636" s="19" t="s">
        <v>69</v>
      </c>
      <c r="W636" s="19" t="s">
        <v>56</v>
      </c>
      <c r="X636" s="19"/>
      <c r="Y636" s="19"/>
      <c r="Z636" s="19" t="s">
        <v>2729</v>
      </c>
      <c r="AA636" s="19">
        <v>1</v>
      </c>
      <c r="AB636" s="19">
        <v>1</v>
      </c>
      <c r="AC636" s="19" t="s">
        <v>58</v>
      </c>
      <c r="AD636" s="19" t="s">
        <v>50</v>
      </c>
      <c r="AE636" s="19" t="s">
        <v>1503</v>
      </c>
      <c r="AF636" s="19"/>
    </row>
    <row r="637" spans="1:34">
      <c r="A637" s="19">
        <v>631</v>
      </c>
      <c r="B637" s="19" t="s">
        <v>1503</v>
      </c>
      <c r="C637" s="19" t="s">
        <v>2648</v>
      </c>
      <c r="D637" s="19" t="str">
        <f>HYPERLINK("http://www.henontech.com/fieldsafety/harzard/harzard_show.php?rid=21026&amp;url=harzardrecs.php","南风机初冷器底部，外协人员在高处进行切割作业时，现场没有警戒隔离措施，如果有人从此处经过，可能会被上空掉落的管道砸伤，造成肩部骨折，送医住院15天，在家休养三个月。")</f>
        <v>南风机初冷器底部，外协人员在高处进行切割作业时，现场没有警戒隔离措施，如果有人从此处经过，可能会被上空掉落的管道砸伤，造成肩部骨折，送医住院15天，在家休养三个月。</v>
      </c>
      <c r="E637" s="19" t="s">
        <v>2730</v>
      </c>
      <c r="F637" s="20" t="s">
        <v>42</v>
      </c>
      <c r="G637" s="22" t="s">
        <v>63</v>
      </c>
      <c r="H637" s="19" t="s">
        <v>44</v>
      </c>
      <c r="I637" s="19" t="s">
        <v>45</v>
      </c>
      <c r="J637" s="19" t="s">
        <v>109</v>
      </c>
      <c r="K637" s="19"/>
      <c r="L637" s="19"/>
      <c r="M637" s="19" t="s">
        <v>48</v>
      </c>
      <c r="N637" s="19" t="s">
        <v>817</v>
      </c>
      <c r="O637" s="19" t="s">
        <v>48</v>
      </c>
      <c r="P637" s="19" t="s">
        <v>50</v>
      </c>
      <c r="Q637" s="19" t="s">
        <v>2088</v>
      </c>
      <c r="R637" s="19" t="s">
        <v>1295</v>
      </c>
      <c r="S637" s="19"/>
      <c r="T637" s="19" t="s">
        <v>53</v>
      </c>
      <c r="U637" s="19" t="s">
        <v>80</v>
      </c>
      <c r="V637" s="19" t="s">
        <v>97</v>
      </c>
      <c r="W637" s="19" t="s">
        <v>70</v>
      </c>
      <c r="X637" s="19"/>
      <c r="Y637" s="19"/>
      <c r="Z637" s="19" t="s">
        <v>2731</v>
      </c>
      <c r="AA637" s="19">
        <v>1</v>
      </c>
      <c r="AB637" s="19">
        <v>1</v>
      </c>
      <c r="AC637" s="19" t="s">
        <v>58</v>
      </c>
      <c r="AD637" s="19" t="s">
        <v>50</v>
      </c>
      <c r="AE637" s="19" t="s">
        <v>1676</v>
      </c>
      <c r="AF637" s="19"/>
    </row>
    <row r="638" spans="1:34" customHeight="1" ht="42">
      <c r="A638" s="19">
        <v>632</v>
      </c>
      <c r="B638" s="19" t="s">
        <v>1503</v>
      </c>
      <c r="C638" s="19" t="s">
        <v>1913</v>
      </c>
      <c r="D638" s="19" t="str">
        <f>HYPERLINK("http://www.henontech.com/fieldsafety/harzard/harzard_show.php?rid=21034&amp;url=harzardrecs.php","75吨锅炉底除渣沟南侧未安装护栏，当操作人员在此处操作时，如果不小心会从平台地面掉落至除渣沟内，造成一名操作人员腿部扭伤，送医后住院一周，在家休息一月后正常上班。")</f>
        <v>75吨锅炉底除渣沟南侧未安装护栏，当操作人员在此处操作时，如果不小心会从平台地面掉落至除渣沟内，造成一名操作人员腿部扭伤，送医后住院一周，在家休息一月后正常上班。</v>
      </c>
      <c r="E638" s="19" t="s">
        <v>2732</v>
      </c>
      <c r="F638" s="25" t="s">
        <v>1455</v>
      </c>
      <c r="G638" s="22" t="s">
        <v>63</v>
      </c>
      <c r="H638" s="19" t="s">
        <v>44</v>
      </c>
      <c r="I638" s="19" t="s">
        <v>45</v>
      </c>
      <c r="J638" s="19" t="s">
        <v>109</v>
      </c>
      <c r="K638" s="19" t="s">
        <v>64</v>
      </c>
      <c r="L638" s="19"/>
      <c r="M638" s="19" t="s">
        <v>1033</v>
      </c>
      <c r="N638" s="19" t="s">
        <v>345</v>
      </c>
      <c r="O638" s="19" t="s">
        <v>1033</v>
      </c>
      <c r="P638" s="19" t="s">
        <v>1464</v>
      </c>
      <c r="Q638" s="19" t="s">
        <v>2088</v>
      </c>
      <c r="R638" s="19" t="s">
        <v>2733</v>
      </c>
      <c r="S638" s="19"/>
      <c r="T638" s="19" t="s">
        <v>53</v>
      </c>
      <c r="U638" s="19" t="s">
        <v>80</v>
      </c>
      <c r="V638" s="19" t="s">
        <v>55</v>
      </c>
      <c r="W638" s="19" t="s">
        <v>81</v>
      </c>
      <c r="X638" s="19" t="s">
        <v>154</v>
      </c>
      <c r="Y638" s="19"/>
      <c r="Z638" s="19" t="s">
        <v>2734</v>
      </c>
      <c r="AA638" s="19">
        <v>2</v>
      </c>
      <c r="AB638" s="19"/>
      <c r="AC638" s="19" t="s">
        <v>308</v>
      </c>
      <c r="AD638" s="19"/>
      <c r="AE638" s="19"/>
      <c r="AF638" s="19"/>
    </row>
    <row r="639" spans="1:34">
      <c r="A639" s="19">
        <v>633</v>
      </c>
      <c r="B639" s="19" t="s">
        <v>1503</v>
      </c>
      <c r="C639" s="19" t="s">
        <v>252</v>
      </c>
      <c r="D639" s="19" t="str">
        <f>HYPERLINK("http://www.henontech.com/fieldsafety/harzard/harzard_show.php?rid=21035&amp;url=harzardrecs.php","夜晚，一名巡检人员在巡检环境除尘刮板机时，不慎被杂乱的钢筋戳伤右腿，后送医务室进行包扎")</f>
        <v>夜晚，一名巡检人员在巡检环境除尘刮板机时，不慎被杂乱的钢筋戳伤右腿，后送医务室进行包扎</v>
      </c>
      <c r="E639" s="19" t="s">
        <v>2735</v>
      </c>
      <c r="F639" s="26" t="s">
        <v>2035</v>
      </c>
      <c r="G639" s="19"/>
      <c r="H639" s="19" t="s">
        <v>44</v>
      </c>
      <c r="I639" s="19" t="s">
        <v>45</v>
      </c>
      <c r="J639" s="19" t="s">
        <v>46</v>
      </c>
      <c r="K639" s="19" t="s">
        <v>47</v>
      </c>
      <c r="L639" s="19"/>
      <c r="M639" s="19" t="s">
        <v>121</v>
      </c>
      <c r="N639" s="19" t="s">
        <v>685</v>
      </c>
      <c r="O639" s="19"/>
      <c r="P639" s="19"/>
      <c r="Q639" s="19"/>
      <c r="R639" s="19" t="s">
        <v>2736</v>
      </c>
      <c r="S639" s="19"/>
      <c r="T639" s="19" t="s">
        <v>53</v>
      </c>
      <c r="U639" s="19" t="s">
        <v>54</v>
      </c>
      <c r="V639" s="19" t="s">
        <v>55</v>
      </c>
      <c r="W639" s="19" t="s">
        <v>56</v>
      </c>
      <c r="X639" s="19"/>
      <c r="Y639" s="19"/>
      <c r="Z639" s="19"/>
      <c r="AA639" s="19"/>
      <c r="AB639" s="19"/>
      <c r="AC639" s="19" t="s">
        <v>308</v>
      </c>
      <c r="AD639" s="19"/>
      <c r="AE639" s="19"/>
      <c r="AF639" s="19"/>
    </row>
    <row r="640" spans="1:34">
      <c r="A640" s="19">
        <v>634</v>
      </c>
      <c r="B640" s="19" t="s">
        <v>1503</v>
      </c>
      <c r="C640" s="19" t="s">
        <v>118</v>
      </c>
      <c r="D640" s="19" t="str">
        <f>HYPERLINK("http://www.henontech.com/fieldsafety/harzard/harzard_show.php?rid=21036&amp;url=harzardrecs.php","环境除尘四层护栏边一铁皮未清理，若遇大风天气晃动，该铁皮从10米高空坠落，击中下方通行的巡检人员头部。")</f>
        <v>环境除尘四层护栏边一铁皮未清理，若遇大风天气晃动，该铁皮从10米高空坠落，击中下方通行的巡检人员头部。</v>
      </c>
      <c r="E640" s="19" t="s">
        <v>2737</v>
      </c>
      <c r="F640" s="26" t="s">
        <v>2035</v>
      </c>
      <c r="G640" s="19"/>
      <c r="H640" s="19" t="s">
        <v>44</v>
      </c>
      <c r="I640" s="19" t="s">
        <v>108</v>
      </c>
      <c r="J640" s="19" t="s">
        <v>109</v>
      </c>
      <c r="K640" s="19" t="s">
        <v>47</v>
      </c>
      <c r="L640" s="19"/>
      <c r="M640" s="19" t="s">
        <v>121</v>
      </c>
      <c r="N640" s="19" t="s">
        <v>315</v>
      </c>
      <c r="O640" s="19"/>
      <c r="P640" s="19"/>
      <c r="Q640" s="19"/>
      <c r="R640" s="19" t="s">
        <v>2738</v>
      </c>
      <c r="S640" s="19"/>
      <c r="T640" s="19" t="s">
        <v>53</v>
      </c>
      <c r="U640" s="19" t="s">
        <v>80</v>
      </c>
      <c r="V640" s="19" t="s">
        <v>55</v>
      </c>
      <c r="W640" s="19" t="s">
        <v>81</v>
      </c>
      <c r="X640" s="19"/>
      <c r="Y640" s="19"/>
      <c r="Z640" s="19"/>
      <c r="AA640" s="19"/>
      <c r="AB640" s="19"/>
      <c r="AC640" s="19" t="s">
        <v>308</v>
      </c>
      <c r="AD640" s="19"/>
      <c r="AE640" s="19"/>
      <c r="AF640" s="19"/>
    </row>
    <row r="641" spans="1:34">
      <c r="A641" s="19">
        <v>635</v>
      </c>
      <c r="B641" s="19" t="s">
        <v>1503</v>
      </c>
      <c r="C641" s="19" t="s">
        <v>118</v>
      </c>
      <c r="D641" s="19" t="str">
        <f>HYPERLINK("http://www.henontech.com/fieldsafety/harzard/harzard_show.php?rid=21042&amp;url=harzardrecs.php","2号提升机变压器室轴流风扇开关防护盖板缺失，一员工在给轴流风扇送电时右手碰触到裸导线，造成右手电灼伤事故，送医治疗在家休养15天")</f>
        <v>2号提升机变压器室轴流风扇开关防护盖板缺失，一员工在给轴流风扇送电时右手碰触到裸导线，造成右手电灼伤事故，送医治疗在家休养15天</v>
      </c>
      <c r="E641" s="19" t="s">
        <v>2739</v>
      </c>
      <c r="F641" s="26" t="s">
        <v>2035</v>
      </c>
      <c r="G641" s="19"/>
      <c r="H641" s="19" t="s">
        <v>44</v>
      </c>
      <c r="I641" s="19" t="s">
        <v>45</v>
      </c>
      <c r="J641" s="19" t="s">
        <v>46</v>
      </c>
      <c r="K641" s="19" t="s">
        <v>64</v>
      </c>
      <c r="L641" s="19"/>
      <c r="M641" s="19" t="s">
        <v>121</v>
      </c>
      <c r="N641" s="19" t="s">
        <v>312</v>
      </c>
      <c r="O641" s="19"/>
      <c r="P641" s="19"/>
      <c r="Q641" s="19"/>
      <c r="R641" s="19" t="s">
        <v>2740</v>
      </c>
      <c r="S641" s="19"/>
      <c r="T641" s="19" t="s">
        <v>53</v>
      </c>
      <c r="U641" s="19" t="s">
        <v>80</v>
      </c>
      <c r="V641" s="19" t="s">
        <v>55</v>
      </c>
      <c r="W641" s="19" t="s">
        <v>81</v>
      </c>
      <c r="X641" s="19"/>
      <c r="Y641" s="19"/>
      <c r="Z641" s="19"/>
      <c r="AA641" s="19"/>
      <c r="AB641" s="19"/>
      <c r="AC641" s="19" t="s">
        <v>308</v>
      </c>
      <c r="AD641" s="19"/>
      <c r="AE641" s="19"/>
      <c r="AF641" s="19"/>
    </row>
    <row r="642" spans="1:34">
      <c r="A642" s="19">
        <v>636</v>
      </c>
      <c r="B642" s="19" t="s">
        <v>1503</v>
      </c>
      <c r="C642" s="19" t="s">
        <v>2453</v>
      </c>
      <c r="D642" s="19" t="str">
        <f>HYPERLINK("http://www.henontech.com/fieldsafety/harzard/harzard_show.php?rid=21046&amp;url=harzardrecs.php","下水管道太长，雨水或者除氧器溢水大时，水冲进电缆沟，存在安全隐患")</f>
        <v>下水管道太长，雨水或者除氧器溢水大时，水冲进电缆沟，存在安全隐患</v>
      </c>
      <c r="E642" s="19" t="s">
        <v>2741</v>
      </c>
      <c r="F642" s="26" t="s">
        <v>2035</v>
      </c>
      <c r="G642" s="19"/>
      <c r="H642" s="19" t="s">
        <v>44</v>
      </c>
      <c r="I642" s="19" t="s">
        <v>108</v>
      </c>
      <c r="J642" s="19" t="s">
        <v>46</v>
      </c>
      <c r="K642" s="19" t="s">
        <v>102</v>
      </c>
      <c r="L642" s="19" t="s">
        <v>76</v>
      </c>
      <c r="M642" s="19" t="s">
        <v>1033</v>
      </c>
      <c r="N642" s="19" t="s">
        <v>1580</v>
      </c>
      <c r="O642" s="19"/>
      <c r="P642" s="19"/>
      <c r="Q642" s="19"/>
      <c r="R642" s="19" t="s">
        <v>2742</v>
      </c>
      <c r="S642" s="19"/>
      <c r="T642" s="19" t="s">
        <v>189</v>
      </c>
      <c r="U642" s="19" t="s">
        <v>202</v>
      </c>
      <c r="V642" s="19" t="s">
        <v>55</v>
      </c>
      <c r="W642" s="19" t="s">
        <v>56</v>
      </c>
      <c r="X642" s="19"/>
      <c r="Y642" s="19"/>
      <c r="Z642" s="19"/>
      <c r="AA642" s="19"/>
      <c r="AB642" s="19"/>
      <c r="AC642" s="19" t="s">
        <v>308</v>
      </c>
      <c r="AD642" s="19"/>
      <c r="AE642" s="19"/>
      <c r="AF642" s="19"/>
    </row>
    <row r="643" spans="1:34">
      <c r="A643" s="19">
        <v>637</v>
      </c>
      <c r="B643" s="19" t="s">
        <v>1503</v>
      </c>
      <c r="C643" s="19" t="s">
        <v>118</v>
      </c>
      <c r="D643" s="19" t="str">
        <f>HYPERLINK("http://www.henontech.com/fieldsafety/harzard/harzard_show.php?rid=21047&amp;url=harzardrecs.php","提升机七层过道防护栏开焊，一巡检人员经过比处时被开焊处拌到，擦伤手部去医务室简单包扎，继续工作。")</f>
        <v>提升机七层过道防护栏开焊，一巡检人员经过比处时被开焊处拌到，擦伤手部去医务室简单包扎，继续工作。</v>
      </c>
      <c r="E643" s="19" t="s">
        <v>2743</v>
      </c>
      <c r="F643" s="20" t="s">
        <v>42</v>
      </c>
      <c r="G643" s="22" t="s">
        <v>63</v>
      </c>
      <c r="H643" s="19" t="s">
        <v>44</v>
      </c>
      <c r="I643" s="19" t="s">
        <v>45</v>
      </c>
      <c r="J643" s="19" t="s">
        <v>46</v>
      </c>
      <c r="K643" s="19" t="s">
        <v>47</v>
      </c>
      <c r="L643" s="19"/>
      <c r="M643" s="19" t="s">
        <v>121</v>
      </c>
      <c r="N643" s="19" t="s">
        <v>217</v>
      </c>
      <c r="O643" s="19" t="s">
        <v>121</v>
      </c>
      <c r="P643" s="19" t="s">
        <v>964</v>
      </c>
      <c r="Q643" s="19" t="s">
        <v>2744</v>
      </c>
      <c r="R643" s="19" t="s">
        <v>2745</v>
      </c>
      <c r="S643" s="19" t="s">
        <v>2746</v>
      </c>
      <c r="T643" s="19" t="s">
        <v>53</v>
      </c>
      <c r="U643" s="19" t="s">
        <v>54</v>
      </c>
      <c r="V643" s="19" t="s">
        <v>203</v>
      </c>
      <c r="W643" s="19" t="s">
        <v>56</v>
      </c>
      <c r="X643" s="19" t="s">
        <v>191</v>
      </c>
      <c r="Y643" s="19" t="s">
        <v>191</v>
      </c>
      <c r="Z643" s="19" t="s">
        <v>2747</v>
      </c>
      <c r="AA643" s="19">
        <v>1</v>
      </c>
      <c r="AB643" s="19">
        <v>1</v>
      </c>
      <c r="AC643" s="19" t="s">
        <v>58</v>
      </c>
      <c r="AD643" s="19" t="s">
        <v>964</v>
      </c>
      <c r="AE643" s="19" t="s">
        <v>1347</v>
      </c>
      <c r="AF643" s="19" t="s">
        <v>2748</v>
      </c>
    </row>
    <row r="644" spans="1:34">
      <c r="A644" s="19">
        <v>638</v>
      </c>
      <c r="B644" s="19" t="s">
        <v>1503</v>
      </c>
      <c r="C644" s="19" t="s">
        <v>2300</v>
      </c>
      <c r="D644" s="19" t="str">
        <f>HYPERLINK("http://www.henontech.com/fieldsafety/harzard/harzard_show.php?rid=21053&amp;url=harzardrecs.php","清理卫生后的拖把未按要求定置摆放，随手放在皮带机护栏上，拖把一旦卷入皮带会造成皮带划伤")</f>
        <v>清理卫生后的拖把未按要求定置摆放，随手放在皮带机护栏上，拖把一旦卷入皮带会造成皮带划伤</v>
      </c>
      <c r="E644" s="19" t="s">
        <v>2305</v>
      </c>
      <c r="F644" s="20" t="s">
        <v>42</v>
      </c>
      <c r="G644" s="22" t="s">
        <v>63</v>
      </c>
      <c r="H644" s="19" t="s">
        <v>44</v>
      </c>
      <c r="I644" s="19" t="s">
        <v>45</v>
      </c>
      <c r="J644" s="19"/>
      <c r="K644" s="19"/>
      <c r="L644" s="19" t="s">
        <v>76</v>
      </c>
      <c r="M644" s="19" t="s">
        <v>364</v>
      </c>
      <c r="N644" s="19" t="s">
        <v>2749</v>
      </c>
      <c r="O644" s="19" t="s">
        <v>364</v>
      </c>
      <c r="P644" s="19" t="s">
        <v>1687</v>
      </c>
      <c r="Q644" s="19" t="s">
        <v>1573</v>
      </c>
      <c r="R644" s="19" t="s">
        <v>2750</v>
      </c>
      <c r="S644" s="19"/>
      <c r="T644" s="19" t="s">
        <v>189</v>
      </c>
      <c r="U644" s="19" t="s">
        <v>54</v>
      </c>
      <c r="V644" s="19" t="s">
        <v>55</v>
      </c>
      <c r="W644" s="19" t="s">
        <v>56</v>
      </c>
      <c r="X644" s="19"/>
      <c r="Y644" s="19"/>
      <c r="Z644" s="19" t="s">
        <v>2751</v>
      </c>
      <c r="AA644" s="19">
        <v>1</v>
      </c>
      <c r="AB644" s="19">
        <v>1</v>
      </c>
      <c r="AC644" s="19" t="s">
        <v>58</v>
      </c>
      <c r="AD644" s="19" t="s">
        <v>1687</v>
      </c>
      <c r="AE644" s="19" t="s">
        <v>1676</v>
      </c>
      <c r="AF644" s="19"/>
    </row>
    <row r="645" spans="1:34">
      <c r="A645" s="19">
        <v>639</v>
      </c>
      <c r="B645" s="19" t="s">
        <v>1503</v>
      </c>
      <c r="C645" s="19" t="s">
        <v>118</v>
      </c>
      <c r="D645" s="19" t="str">
        <f>HYPERLINK("http://www.henontech.com/fieldsafety/harzard/harzard_show.php?rid=21056&amp;url=harzardrecs.php","3号减温减压平台铁件摆放不规范，一巡检人员经过此处时不慎被铁件拌到，造成左脚脚踝扭伤。送医治疗，在家休养10天")</f>
        <v>3号减温减压平台铁件摆放不规范，一巡检人员经过此处时不慎被铁件拌到，造成左脚脚踝扭伤。送医治疗，在家休养10天</v>
      </c>
      <c r="E645" s="19" t="s">
        <v>2752</v>
      </c>
      <c r="F645" s="26" t="s">
        <v>2035</v>
      </c>
      <c r="G645" s="19"/>
      <c r="H645" s="19" t="s">
        <v>44</v>
      </c>
      <c r="I645" s="19" t="s">
        <v>45</v>
      </c>
      <c r="J645" s="19" t="s">
        <v>46</v>
      </c>
      <c r="K645" s="19" t="s">
        <v>47</v>
      </c>
      <c r="L645" s="19"/>
      <c r="M645" s="19" t="s">
        <v>121</v>
      </c>
      <c r="N645" s="19" t="s">
        <v>2753</v>
      </c>
      <c r="O645" s="19"/>
      <c r="P645" s="19"/>
      <c r="Q645" s="19"/>
      <c r="R645" s="19" t="s">
        <v>2754</v>
      </c>
      <c r="S645" s="19"/>
      <c r="T645" s="19" t="s">
        <v>53</v>
      </c>
      <c r="U645" s="19" t="s">
        <v>54</v>
      </c>
      <c r="V645" s="19" t="s">
        <v>55</v>
      </c>
      <c r="W645" s="19" t="s">
        <v>56</v>
      </c>
      <c r="X645" s="19"/>
      <c r="Y645" s="19"/>
      <c r="Z645" s="19"/>
      <c r="AA645" s="19"/>
      <c r="AB645" s="19"/>
      <c r="AC645" s="19" t="s">
        <v>308</v>
      </c>
      <c r="AD645" s="19"/>
      <c r="AE645" s="19"/>
      <c r="AF645" s="19"/>
    </row>
    <row r="646" spans="1:34">
      <c r="A646" s="19">
        <v>640</v>
      </c>
      <c r="B646" s="19" t="s">
        <v>1503</v>
      </c>
      <c r="C646" s="19" t="s">
        <v>915</v>
      </c>
      <c r="D646" s="19" t="str">
        <f>HYPERLINK("http://www.henontech.com/fieldsafety/harzard/harzard_show.php?rid=21059&amp;url=harzardrecs.php","除盐水站室外污水地沟铁管盖板缝隙过大，一名员工巡检至此时，脚部不慎踩进缝隙里，扭伤，送医务室治疗后，回到岗位，未发生损工事件，但不能从事重体力劳动。")</f>
        <v>除盐水站室外污水地沟铁管盖板缝隙过大，一名员工巡检至此时，脚部不慎踩进缝隙里，扭伤，送医务室治疗后，回到岗位，未发生损工事件，但不能从事重体力劳动。</v>
      </c>
      <c r="E646" s="19" t="s">
        <v>2755</v>
      </c>
      <c r="F646" s="26" t="s">
        <v>2035</v>
      </c>
      <c r="G646" s="19"/>
      <c r="H646" s="19" t="s">
        <v>44</v>
      </c>
      <c r="I646" s="19" t="s">
        <v>45</v>
      </c>
      <c r="J646" s="19" t="s">
        <v>109</v>
      </c>
      <c r="K646" s="19" t="s">
        <v>47</v>
      </c>
      <c r="L646" s="19" t="s">
        <v>1579</v>
      </c>
      <c r="M646" s="19" t="s">
        <v>121</v>
      </c>
      <c r="N646" s="19" t="s">
        <v>1112</v>
      </c>
      <c r="O646" s="19"/>
      <c r="P646" s="19"/>
      <c r="Q646" s="19"/>
      <c r="R646" s="19" t="s">
        <v>2756</v>
      </c>
      <c r="S646" s="19"/>
      <c r="T646" s="19" t="s">
        <v>53</v>
      </c>
      <c r="U646" s="19" t="s">
        <v>54</v>
      </c>
      <c r="V646" s="19" t="s">
        <v>55</v>
      </c>
      <c r="W646" s="19" t="s">
        <v>56</v>
      </c>
      <c r="X646" s="19"/>
      <c r="Y646" s="19"/>
      <c r="Z646" s="19"/>
      <c r="AA646" s="19"/>
      <c r="AB646" s="19"/>
      <c r="AC646" s="19" t="s">
        <v>308</v>
      </c>
      <c r="AD646" s="19"/>
      <c r="AE646" s="19"/>
      <c r="AF646" s="19"/>
    </row>
    <row r="647" spans="1:34">
      <c r="A647" s="19">
        <v>641</v>
      </c>
      <c r="B647" s="19" t="s">
        <v>1886</v>
      </c>
      <c r="C647" s="19" t="s">
        <v>1982</v>
      </c>
      <c r="D647" s="19" t="str">
        <f>HYPERLINK("http://www.henontech.com/fieldsafety/harzard/harzard_show.php?rid=21081&amp;url=harzardrecs.php","两盐北大门地沟盖板腐蚀严重，一名操作工在经过此处时，踩塌坠落，造成腿部擦伤，休息片刻后继续工作。")</f>
        <v>两盐北大门地沟盖板腐蚀严重，一名操作工在经过此处时，踩塌坠落，造成腿部擦伤，休息片刻后继续工作。</v>
      </c>
      <c r="E647" s="19" t="s">
        <v>2757</v>
      </c>
      <c r="F647" s="20" t="s">
        <v>42</v>
      </c>
      <c r="G647" s="22" t="s">
        <v>63</v>
      </c>
      <c r="H647" s="19" t="s">
        <v>44</v>
      </c>
      <c r="I647" s="19" t="s">
        <v>45</v>
      </c>
      <c r="J647" s="19" t="s">
        <v>580</v>
      </c>
      <c r="K647" s="19" t="s">
        <v>110</v>
      </c>
      <c r="L647" s="19" t="s">
        <v>76</v>
      </c>
      <c r="M647" s="19" t="s">
        <v>48</v>
      </c>
      <c r="N647" s="19" t="s">
        <v>1105</v>
      </c>
      <c r="O647" s="19" t="s">
        <v>48</v>
      </c>
      <c r="P647" s="19" t="s">
        <v>50</v>
      </c>
      <c r="Q647" s="19" t="s">
        <v>2088</v>
      </c>
      <c r="R647" s="19" t="s">
        <v>2758</v>
      </c>
      <c r="S647" s="19"/>
      <c r="T647" s="19" t="s">
        <v>53</v>
      </c>
      <c r="U647" s="19" t="s">
        <v>54</v>
      </c>
      <c r="V647" s="19" t="s">
        <v>97</v>
      </c>
      <c r="W647" s="19" t="s">
        <v>81</v>
      </c>
      <c r="X647" s="19"/>
      <c r="Y647" s="19"/>
      <c r="Z647" s="19" t="s">
        <v>2759</v>
      </c>
      <c r="AA647" s="19">
        <v>1</v>
      </c>
      <c r="AB647" s="19">
        <v>1</v>
      </c>
      <c r="AC647" s="19" t="s">
        <v>58</v>
      </c>
      <c r="AD647" s="19" t="s">
        <v>50</v>
      </c>
      <c r="AE647" s="19" t="s">
        <v>1886</v>
      </c>
      <c r="AF647" s="19"/>
    </row>
    <row r="648" spans="1:34">
      <c r="A648" s="19">
        <v>642</v>
      </c>
      <c r="B648" s="19" t="s">
        <v>1886</v>
      </c>
      <c r="C648" s="19" t="s">
        <v>1856</v>
      </c>
      <c r="D648" s="19" t="str">
        <f>HYPERLINK("http://www.henontech.com/fieldsafety/harzard/harzard_show.php?rid=21083&amp;url=harzardrecs.php","贫富油换热器南部地沟盖板翘起， 操作工在巡检时被翘起的地沟盖板绊倒，造成膝盖擦伤，休息片刻，未影响正常工作。")</f>
        <v>贫富油换热器南部地沟盖板翘起， 操作工在巡检时被翘起的地沟盖板绊倒，造成膝盖擦伤，休息片刻，未影响正常工作。</v>
      </c>
      <c r="E648" s="19" t="s">
        <v>2760</v>
      </c>
      <c r="F648" s="20" t="s">
        <v>42</v>
      </c>
      <c r="G648" s="22" t="s">
        <v>63</v>
      </c>
      <c r="H648" s="19" t="s">
        <v>44</v>
      </c>
      <c r="I648" s="19" t="s">
        <v>45</v>
      </c>
      <c r="J648" s="19" t="s">
        <v>46</v>
      </c>
      <c r="K648" s="19" t="s">
        <v>110</v>
      </c>
      <c r="L648" s="19" t="s">
        <v>76</v>
      </c>
      <c r="M648" s="19" t="s">
        <v>48</v>
      </c>
      <c r="N648" s="19" t="s">
        <v>2761</v>
      </c>
      <c r="O648" s="19" t="s">
        <v>48</v>
      </c>
      <c r="P648" s="19" t="s">
        <v>50</v>
      </c>
      <c r="Q648" s="19" t="s">
        <v>2088</v>
      </c>
      <c r="R648" s="19" t="s">
        <v>2762</v>
      </c>
      <c r="S648" s="19"/>
      <c r="T648" s="19" t="s">
        <v>53</v>
      </c>
      <c r="U648" s="19" t="s">
        <v>54</v>
      </c>
      <c r="V648" s="19" t="s">
        <v>97</v>
      </c>
      <c r="W648" s="19" t="s">
        <v>81</v>
      </c>
      <c r="X648" s="19"/>
      <c r="Y648" s="19"/>
      <c r="Z648" s="19" t="s">
        <v>2763</v>
      </c>
      <c r="AA648" s="19">
        <v>1</v>
      </c>
      <c r="AB648" s="19">
        <v>1</v>
      </c>
      <c r="AC648" s="19" t="s">
        <v>58</v>
      </c>
      <c r="AD648" s="19" t="s">
        <v>50</v>
      </c>
      <c r="AE648" s="19" t="s">
        <v>2297</v>
      </c>
      <c r="AF648" s="19"/>
    </row>
    <row r="649" spans="1:34">
      <c r="A649" s="19">
        <v>643</v>
      </c>
      <c r="B649" s="19" t="s">
        <v>1886</v>
      </c>
      <c r="C649" s="19" t="s">
        <v>422</v>
      </c>
      <c r="D649" s="19" t="str">
        <f>HYPERLINK("http://www.henontech.com/fieldsafety/harzard/harzard_show.php?rid=21084&amp;url=harzardrecs.php","东七外协人员清除通廊地面，一名外协人员安全带挂环缺损，有可能失去作用摔伤。")</f>
        <v>东七外协人员清除通廊地面，一名外协人员安全带挂环缺损，有可能失去作用摔伤。</v>
      </c>
      <c r="E649" s="19" t="s">
        <v>2764</v>
      </c>
      <c r="F649" s="20" t="s">
        <v>42</v>
      </c>
      <c r="G649" s="21" t="s">
        <v>43</v>
      </c>
      <c r="H649" s="19" t="s">
        <v>44</v>
      </c>
      <c r="I649" s="19" t="s">
        <v>45</v>
      </c>
      <c r="J649" s="19" t="s">
        <v>46</v>
      </c>
      <c r="K649" s="19" t="s">
        <v>64</v>
      </c>
      <c r="L649" s="19"/>
      <c r="M649" s="19" t="s">
        <v>364</v>
      </c>
      <c r="N649" s="19" t="s">
        <v>629</v>
      </c>
      <c r="O649" s="19" t="s">
        <v>364</v>
      </c>
      <c r="P649" s="19" t="s">
        <v>1687</v>
      </c>
      <c r="Q649" s="19" t="s">
        <v>1573</v>
      </c>
      <c r="R649" s="19" t="s">
        <v>2765</v>
      </c>
      <c r="S649" s="19"/>
      <c r="T649" s="19" t="s">
        <v>53</v>
      </c>
      <c r="U649" s="19" t="s">
        <v>54</v>
      </c>
      <c r="V649" s="19" t="s">
        <v>55</v>
      </c>
      <c r="W649" s="19" t="s">
        <v>56</v>
      </c>
      <c r="X649" s="19"/>
      <c r="Y649" s="19"/>
      <c r="Z649" s="19" t="s">
        <v>2766</v>
      </c>
      <c r="AA649" s="19">
        <v>1</v>
      </c>
      <c r="AB649" s="19">
        <v>1</v>
      </c>
      <c r="AC649" s="19" t="s">
        <v>58</v>
      </c>
      <c r="AD649" s="19" t="s">
        <v>1687</v>
      </c>
      <c r="AE649" s="19" t="s">
        <v>1798</v>
      </c>
      <c r="AF649" s="19"/>
    </row>
    <row r="650" spans="1:34">
      <c r="A650" s="19">
        <v>644</v>
      </c>
      <c r="B650" s="19" t="s">
        <v>1886</v>
      </c>
      <c r="C650" s="19" t="s">
        <v>1925</v>
      </c>
      <c r="D650" s="19" t="str">
        <f>HYPERLINK("http://www.henontech.com/fieldsafety/harzard/harzard_show.php?rid=21108&amp;url=harzardrecs.php","南脱硫二楼南墙co气体报警探头套管破损，长期处于硫磺气体环境中造成气体报警探头内部元件老化，造成探头损坏。")</f>
        <v>南脱硫二楼南墙co气体报警探头套管破损，长期处于硫磺气体环境中造成气体报警探头内部元件老化，造成探头损坏。</v>
      </c>
      <c r="E650" s="19" t="s">
        <v>2767</v>
      </c>
      <c r="F650" s="20" t="s">
        <v>42</v>
      </c>
      <c r="G650" s="22" t="s">
        <v>63</v>
      </c>
      <c r="H650" s="19" t="s">
        <v>44</v>
      </c>
      <c r="I650" s="19" t="s">
        <v>45</v>
      </c>
      <c r="J650" s="19" t="s">
        <v>46</v>
      </c>
      <c r="K650" s="19" t="s">
        <v>64</v>
      </c>
      <c r="L650" s="19" t="s">
        <v>76</v>
      </c>
      <c r="M650" s="19" t="s">
        <v>48</v>
      </c>
      <c r="N650" s="19" t="s">
        <v>177</v>
      </c>
      <c r="O650" s="19" t="s">
        <v>48</v>
      </c>
      <c r="P650" s="19" t="s">
        <v>50</v>
      </c>
      <c r="Q650" s="19" t="s">
        <v>2088</v>
      </c>
      <c r="R650" s="19" t="s">
        <v>2768</v>
      </c>
      <c r="S650" s="19"/>
      <c r="T650" s="19" t="s">
        <v>189</v>
      </c>
      <c r="U650" s="19" t="s">
        <v>202</v>
      </c>
      <c r="V650" s="19" t="s">
        <v>203</v>
      </c>
      <c r="W650" s="19" t="s">
        <v>56</v>
      </c>
      <c r="X650" s="19"/>
      <c r="Y650" s="19"/>
      <c r="Z650" s="19" t="s">
        <v>2769</v>
      </c>
      <c r="AA650" s="19">
        <v>1</v>
      </c>
      <c r="AB650" s="19">
        <v>1</v>
      </c>
      <c r="AC650" s="19" t="s">
        <v>58</v>
      </c>
      <c r="AD650" s="19" t="s">
        <v>50</v>
      </c>
      <c r="AE650" s="19" t="s">
        <v>1676</v>
      </c>
      <c r="AF650" s="19"/>
    </row>
    <row r="651" spans="1:34">
      <c r="A651" s="19">
        <v>645</v>
      </c>
      <c r="B651" s="19" t="s">
        <v>1886</v>
      </c>
      <c r="C651" s="19" t="s">
        <v>384</v>
      </c>
      <c r="D651" s="19" t="str">
        <f>HYPERLINK("http://www.henontech.com/fieldsafety/harzard/harzard_show.php?rid=21138&amp;url=harzardrecs.php","两名外协人员，在南风机初冷器底部，预制管道，气瓶斜放在护栏上无捆绑，气瓶有可能滑倒，碰掉气嘴，瓶内压力瞬间喷出，把气嘴吹向一人名人员的左腿，造成腿部击伤，送医治疗10天，休息一月上班。")</f>
        <v>两名外协人员，在南风机初冷器底部，预制管道，气瓶斜放在护栏上无捆绑，气瓶有可能滑倒，碰掉气嘴，瓶内压力瞬间喷出，把气嘴吹向一人名人员的左腿，造成腿部击伤，送医治疗10天，休息一月上班。</v>
      </c>
      <c r="E651" s="19" t="s">
        <v>2770</v>
      </c>
      <c r="F651" s="20" t="s">
        <v>42</v>
      </c>
      <c r="G651" s="22" t="s">
        <v>63</v>
      </c>
      <c r="H651" s="19" t="s">
        <v>44</v>
      </c>
      <c r="I651" s="19" t="s">
        <v>45</v>
      </c>
      <c r="J651" s="19" t="s">
        <v>109</v>
      </c>
      <c r="K651" s="19" t="s">
        <v>47</v>
      </c>
      <c r="L651" s="19" t="s">
        <v>76</v>
      </c>
      <c r="M651" s="19" t="s">
        <v>48</v>
      </c>
      <c r="N651" s="19" t="s">
        <v>65</v>
      </c>
      <c r="O651" s="19" t="s">
        <v>48</v>
      </c>
      <c r="P651" s="19" t="s">
        <v>50</v>
      </c>
      <c r="Q651" s="19" t="s">
        <v>2088</v>
      </c>
      <c r="R651" s="19" t="s">
        <v>2771</v>
      </c>
      <c r="S651" s="19"/>
      <c r="T651" s="19" t="s">
        <v>53</v>
      </c>
      <c r="U651" s="19" t="s">
        <v>80</v>
      </c>
      <c r="V651" s="19" t="s">
        <v>97</v>
      </c>
      <c r="W651" s="19" t="s">
        <v>70</v>
      </c>
      <c r="X651" s="19"/>
      <c r="Y651" s="19"/>
      <c r="Z651" s="19" t="s">
        <v>2772</v>
      </c>
      <c r="AA651" s="19">
        <v>1</v>
      </c>
      <c r="AB651" s="19">
        <v>1</v>
      </c>
      <c r="AC651" s="19" t="s">
        <v>58</v>
      </c>
      <c r="AD651" s="19" t="s">
        <v>50</v>
      </c>
      <c r="AE651" s="19" t="s">
        <v>2297</v>
      </c>
      <c r="AF651" s="19"/>
    </row>
    <row r="652" spans="1:34">
      <c r="A652" s="19">
        <v>646</v>
      </c>
      <c r="B652" s="19" t="s">
        <v>1886</v>
      </c>
      <c r="C652" s="19" t="s">
        <v>1964</v>
      </c>
      <c r="D652" s="19" t="str">
        <f>HYPERLINK("http://www.henontech.com/fieldsafety/harzard/harzard_show.php?rid=21139&amp;url=harzardrecs.php","西一带在运行中托管损坏，操作工及时发现汇报，停机更换托管，没有造成皮带划伤。")</f>
        <v>西一带在运行中托管损坏，操作工及时发现汇报，停机更换托管，没有造成皮带划伤。</v>
      </c>
      <c r="E652" s="19" t="s">
        <v>2773</v>
      </c>
      <c r="F652" s="20" t="s">
        <v>42</v>
      </c>
      <c r="G652" s="22" t="s">
        <v>63</v>
      </c>
      <c r="H652" s="19" t="s">
        <v>44</v>
      </c>
      <c r="I652" s="19" t="s">
        <v>108</v>
      </c>
      <c r="J652" s="19" t="s">
        <v>349</v>
      </c>
      <c r="K652" s="19" t="s">
        <v>64</v>
      </c>
      <c r="L652" s="19" t="s">
        <v>76</v>
      </c>
      <c r="M652" s="19" t="s">
        <v>364</v>
      </c>
      <c r="N652" s="19" t="s">
        <v>2774</v>
      </c>
      <c r="O652" s="19" t="s">
        <v>364</v>
      </c>
      <c r="P652" s="19" t="s">
        <v>377</v>
      </c>
      <c r="Q652" s="19" t="s">
        <v>1798</v>
      </c>
      <c r="R652" s="19" t="s">
        <v>2775</v>
      </c>
      <c r="S652" s="19" t="s">
        <v>2776</v>
      </c>
      <c r="T652" s="19" t="s">
        <v>189</v>
      </c>
      <c r="U652" s="19" t="s">
        <v>202</v>
      </c>
      <c r="V652" s="19" t="s">
        <v>69</v>
      </c>
      <c r="W652" s="19" t="s">
        <v>56</v>
      </c>
      <c r="X652" s="19"/>
      <c r="Y652" s="19"/>
      <c r="Z652" s="19" t="s">
        <v>2777</v>
      </c>
      <c r="AA652" s="19">
        <v>1</v>
      </c>
      <c r="AB652" s="19">
        <v>1</v>
      </c>
      <c r="AC652" s="19" t="s">
        <v>58</v>
      </c>
      <c r="AD652" s="19" t="s">
        <v>377</v>
      </c>
      <c r="AE652" s="19" t="s">
        <v>1576</v>
      </c>
      <c r="AF652" s="19"/>
    </row>
    <row r="653" spans="1:34" customHeight="1" ht="42">
      <c r="A653" s="19">
        <v>647</v>
      </c>
      <c r="B653" s="19" t="s">
        <v>1886</v>
      </c>
      <c r="C653" s="19" t="s">
        <v>374</v>
      </c>
      <c r="D653" s="19" t="str">
        <f>HYPERLINK("http://www.henontech.com/fieldsafety/harzard/harzard_show.php?rid=21154&amp;url=harzardrecs.php","西五皮带机下一托辊缺失，皮带运行过程中很容易造成皮带划伤和撕裂")</f>
        <v>西五皮带机下一托辊缺失，皮带运行过程中很容易造成皮带划伤和撕裂</v>
      </c>
      <c r="E653" s="19" t="s">
        <v>2778</v>
      </c>
      <c r="F653" s="20" t="s">
        <v>42</v>
      </c>
      <c r="G653" s="22" t="s">
        <v>63</v>
      </c>
      <c r="H653" s="19" t="s">
        <v>44</v>
      </c>
      <c r="I653" s="19" t="s">
        <v>45</v>
      </c>
      <c r="J653" s="19" t="s">
        <v>46</v>
      </c>
      <c r="K653" s="19"/>
      <c r="L653" s="19" t="s">
        <v>76</v>
      </c>
      <c r="M653" s="19" t="s">
        <v>364</v>
      </c>
      <c r="N653" s="19" t="s">
        <v>2779</v>
      </c>
      <c r="O653" s="19" t="s">
        <v>364</v>
      </c>
      <c r="P653" s="19" t="s">
        <v>425</v>
      </c>
      <c r="Q653" s="19" t="s">
        <v>1347</v>
      </c>
      <c r="R653" s="19" t="s">
        <v>2128</v>
      </c>
      <c r="S653" s="19"/>
      <c r="T653" s="19" t="s">
        <v>189</v>
      </c>
      <c r="U653" s="19" t="s">
        <v>54</v>
      </c>
      <c r="V653" s="19" t="s">
        <v>97</v>
      </c>
      <c r="W653" s="19" t="s">
        <v>81</v>
      </c>
      <c r="X653" s="19" t="s">
        <v>126</v>
      </c>
      <c r="Y653" s="19" t="s">
        <v>126</v>
      </c>
      <c r="Z653" s="19" t="s">
        <v>2780</v>
      </c>
      <c r="AA653" s="19">
        <v>2</v>
      </c>
      <c r="AB653" s="19">
        <v>2</v>
      </c>
      <c r="AC653" s="19" t="s">
        <v>58</v>
      </c>
      <c r="AD653" s="19" t="s">
        <v>425</v>
      </c>
      <c r="AE653" s="19" t="s">
        <v>1798</v>
      </c>
      <c r="AF653" s="19"/>
    </row>
    <row r="654" spans="1:34">
      <c r="A654" s="19">
        <v>648</v>
      </c>
      <c r="B654" s="19" t="s">
        <v>1886</v>
      </c>
      <c r="C654" s="19" t="s">
        <v>1460</v>
      </c>
      <c r="D654" s="19" t="str">
        <f>HYPERLINK("http://www.henontech.com/fieldsafety/harzard/harzard_show.php?rid=21167&amp;url=harzardrecs.php","絮凝剂管线漏液，巡检时打滑不慎摔倒")</f>
        <v>絮凝剂管线漏液，巡检时打滑不慎摔倒</v>
      </c>
      <c r="E654" s="19" t="s">
        <v>2781</v>
      </c>
      <c r="F654" s="26" t="s">
        <v>2035</v>
      </c>
      <c r="G654" s="19"/>
      <c r="H654" s="19" t="s">
        <v>44</v>
      </c>
      <c r="I654" s="19" t="s">
        <v>45</v>
      </c>
      <c r="J654" s="19" t="s">
        <v>46</v>
      </c>
      <c r="K654" s="19" t="s">
        <v>64</v>
      </c>
      <c r="L654" s="19"/>
      <c r="M654" s="19" t="s">
        <v>1033</v>
      </c>
      <c r="N654" s="19" t="s">
        <v>1462</v>
      </c>
      <c r="O654" s="19"/>
      <c r="P654" s="19"/>
      <c r="Q654" s="19"/>
      <c r="R654" s="19" t="s">
        <v>700</v>
      </c>
      <c r="S654" s="19"/>
      <c r="T654" s="19" t="s">
        <v>53</v>
      </c>
      <c r="U654" s="19" t="s">
        <v>80</v>
      </c>
      <c r="V654" s="19" t="s">
        <v>55</v>
      </c>
      <c r="W654" s="19" t="s">
        <v>81</v>
      </c>
      <c r="X654" s="19"/>
      <c r="Y654" s="19"/>
      <c r="Z654" s="19"/>
      <c r="AA654" s="19"/>
      <c r="AB654" s="19"/>
      <c r="AC654" s="19" t="s">
        <v>308</v>
      </c>
      <c r="AD654" s="19"/>
      <c r="AE654" s="19"/>
      <c r="AF654" s="19"/>
    </row>
    <row r="655" spans="1:34">
      <c r="A655" s="19">
        <v>649</v>
      </c>
      <c r="B655" s="19" t="s">
        <v>1886</v>
      </c>
      <c r="C655" s="19" t="s">
        <v>2782</v>
      </c>
      <c r="D655" s="19" t="str">
        <f>HYPERLINK("http://www.henontech.com/fieldsafety/harzard/harzard_show.php?rid=21168&amp;url=harzardrecs.php","一操作工巡检时，被35吨锅炉一楼筛网一角翘起拌倒，造成手部擦伤")</f>
        <v>一操作工巡检时，被35吨锅炉一楼筛网一角翘起拌倒，造成手部擦伤</v>
      </c>
      <c r="E655" s="19" t="s">
        <v>2783</v>
      </c>
      <c r="F655" s="26" t="s">
        <v>2035</v>
      </c>
      <c r="G655" s="19"/>
      <c r="H655" s="19" t="s">
        <v>44</v>
      </c>
      <c r="I655" s="19"/>
      <c r="J655" s="19"/>
      <c r="K655" s="19" t="s">
        <v>110</v>
      </c>
      <c r="L655" s="19" t="s">
        <v>76</v>
      </c>
      <c r="M655" s="19" t="s">
        <v>1033</v>
      </c>
      <c r="N655" s="19" t="s">
        <v>1772</v>
      </c>
      <c r="O655" s="19"/>
      <c r="P655" s="19"/>
      <c r="Q655" s="19"/>
      <c r="R655" s="19" t="s">
        <v>2782</v>
      </c>
      <c r="S655" s="19"/>
      <c r="T655" s="19" t="s">
        <v>53</v>
      </c>
      <c r="U655" s="19" t="s">
        <v>80</v>
      </c>
      <c r="V655" s="19" t="s">
        <v>69</v>
      </c>
      <c r="W655" s="19" t="s">
        <v>190</v>
      </c>
      <c r="X655" s="19"/>
      <c r="Y655" s="19"/>
      <c r="Z655" s="19"/>
      <c r="AA655" s="19"/>
      <c r="AB655" s="19"/>
      <c r="AC655" s="19" t="s">
        <v>308</v>
      </c>
      <c r="AD655" s="19"/>
      <c r="AE655" s="19"/>
      <c r="AF655" s="19"/>
    </row>
    <row r="656" spans="1:34">
      <c r="A656" s="19">
        <v>650</v>
      </c>
      <c r="B656" s="19" t="s">
        <v>1886</v>
      </c>
      <c r="C656" s="19" t="s">
        <v>1460</v>
      </c>
      <c r="D656" s="19" t="str">
        <f>HYPERLINK("http://www.henontech.com/fieldsafety/harzard/harzard_show.php?rid=21169&amp;url=harzardrecs.php","一维修工在厂房二楼焊接管道时火花溅入衣领，烫伤脖子")</f>
        <v>一维修工在厂房二楼焊接管道时火花溅入衣领，烫伤脖子</v>
      </c>
      <c r="E656" s="19" t="s">
        <v>2784</v>
      </c>
      <c r="F656" s="26" t="s">
        <v>2035</v>
      </c>
      <c r="G656" s="19"/>
      <c r="H656" s="19" t="s">
        <v>44</v>
      </c>
      <c r="I656" s="19" t="s">
        <v>120</v>
      </c>
      <c r="J656" s="19" t="s">
        <v>826</v>
      </c>
      <c r="K656" s="19"/>
      <c r="L656" s="19"/>
      <c r="M656" s="19" t="s">
        <v>1033</v>
      </c>
      <c r="N656" s="19" t="s">
        <v>1549</v>
      </c>
      <c r="O656" s="19"/>
      <c r="P656" s="19"/>
      <c r="Q656" s="19"/>
      <c r="R656" s="19" t="s">
        <v>2785</v>
      </c>
      <c r="S656" s="19"/>
      <c r="T656" s="19" t="s">
        <v>53</v>
      </c>
      <c r="U656" s="19" t="s">
        <v>54</v>
      </c>
      <c r="V656" s="19" t="s">
        <v>55</v>
      </c>
      <c r="W656" s="19" t="s">
        <v>56</v>
      </c>
      <c r="X656" s="19"/>
      <c r="Y656" s="19"/>
      <c r="Z656" s="19"/>
      <c r="AA656" s="19"/>
      <c r="AB656" s="19"/>
      <c r="AC656" s="19" t="s">
        <v>308</v>
      </c>
      <c r="AD656" s="19"/>
      <c r="AE656" s="19"/>
      <c r="AF656" s="19"/>
    </row>
    <row r="657" spans="1:34">
      <c r="A657" s="19">
        <v>651</v>
      </c>
      <c r="B657" s="19" t="s">
        <v>1798</v>
      </c>
      <c r="C657" s="19" t="s">
        <v>374</v>
      </c>
      <c r="D657" s="19" t="str">
        <f>HYPERLINK("http://www.henontech.com/fieldsafety/harzard/harzard_show.php?rid=21181&amp;url=harzardrecs.php","西一3#给料机处一上托辊腐蚀破损！一旦开车造成皮带划伤撕裂！")</f>
        <v>西一3#给料机处一上托辊腐蚀破损！一旦开车造成皮带划伤撕裂！</v>
      </c>
      <c r="E657" s="19" t="s">
        <v>2786</v>
      </c>
      <c r="F657" s="20" t="s">
        <v>42</v>
      </c>
      <c r="G657" s="22" t="s">
        <v>63</v>
      </c>
      <c r="H657" s="19" t="s">
        <v>44</v>
      </c>
      <c r="I657" s="19" t="s">
        <v>108</v>
      </c>
      <c r="J657" s="19" t="s">
        <v>46</v>
      </c>
      <c r="K657" s="19" t="s">
        <v>110</v>
      </c>
      <c r="L657" s="19" t="s">
        <v>76</v>
      </c>
      <c r="M657" s="19" t="s">
        <v>364</v>
      </c>
      <c r="N657" s="19" t="s">
        <v>1687</v>
      </c>
      <c r="O657" s="19" t="s">
        <v>364</v>
      </c>
      <c r="P657" s="19" t="s">
        <v>1687</v>
      </c>
      <c r="Q657" s="19" t="s">
        <v>1573</v>
      </c>
      <c r="R657" s="19" t="s">
        <v>1695</v>
      </c>
      <c r="S657" s="19"/>
      <c r="T657" s="19" t="s">
        <v>189</v>
      </c>
      <c r="U657" s="19" t="s">
        <v>54</v>
      </c>
      <c r="V657" s="19" t="s">
        <v>55</v>
      </c>
      <c r="W657" s="19" t="s">
        <v>56</v>
      </c>
      <c r="X657" s="19"/>
      <c r="Y657" s="19"/>
      <c r="Z657" s="19" t="s">
        <v>2787</v>
      </c>
      <c r="AA657" s="19">
        <v>1</v>
      </c>
      <c r="AB657" s="19">
        <v>1</v>
      </c>
      <c r="AC657" s="19" t="s">
        <v>58</v>
      </c>
      <c r="AD657" s="19" t="s">
        <v>1687</v>
      </c>
      <c r="AE657" s="19" t="s">
        <v>1798</v>
      </c>
      <c r="AF657" s="19"/>
    </row>
    <row r="658" spans="1:34">
      <c r="A658" s="19">
        <v>652</v>
      </c>
      <c r="B658" s="19" t="s">
        <v>1798</v>
      </c>
      <c r="C658" s="19" t="s">
        <v>1060</v>
      </c>
      <c r="D658" s="19" t="str">
        <f>HYPERLINK("http://www.henontech.com/fieldsafety/harzard/harzard_show.php?rid=21182&amp;url=harzardrecs.php","煤五后尾消防箱腐蚀损坏，不能使用！一旦发生火灾消防箱不能使用造成物资烧毁！")</f>
        <v>煤五后尾消防箱腐蚀损坏，不能使用！一旦发生火灾消防箱不能使用造成物资烧毁！</v>
      </c>
      <c r="E658" s="19" t="s">
        <v>2788</v>
      </c>
      <c r="F658" s="20" t="s">
        <v>42</v>
      </c>
      <c r="G658" s="21" t="s">
        <v>43</v>
      </c>
      <c r="H658" s="19" t="s">
        <v>44</v>
      </c>
      <c r="I658" s="19" t="s">
        <v>108</v>
      </c>
      <c r="J658" s="19" t="s">
        <v>109</v>
      </c>
      <c r="K658" s="19" t="s">
        <v>110</v>
      </c>
      <c r="L658" s="19"/>
      <c r="M658" s="19" t="s">
        <v>364</v>
      </c>
      <c r="N658" s="19" t="s">
        <v>432</v>
      </c>
      <c r="O658" s="19" t="s">
        <v>364</v>
      </c>
      <c r="P658" s="19" t="s">
        <v>1687</v>
      </c>
      <c r="Q658" s="19" t="s">
        <v>1573</v>
      </c>
      <c r="R658" s="19" t="s">
        <v>2789</v>
      </c>
      <c r="S658" s="19"/>
      <c r="T658" s="19" t="s">
        <v>189</v>
      </c>
      <c r="U658" s="19" t="s">
        <v>54</v>
      </c>
      <c r="V658" s="19" t="s">
        <v>55</v>
      </c>
      <c r="W658" s="19" t="s">
        <v>56</v>
      </c>
      <c r="X658" s="19"/>
      <c r="Y658" s="19"/>
      <c r="Z658" s="19" t="s">
        <v>2790</v>
      </c>
      <c r="AA658" s="19">
        <v>1</v>
      </c>
      <c r="AB658" s="19">
        <v>1</v>
      </c>
      <c r="AC658" s="19" t="s">
        <v>58</v>
      </c>
      <c r="AD658" s="19" t="s">
        <v>1687</v>
      </c>
      <c r="AE658" s="19" t="s">
        <v>1798</v>
      </c>
      <c r="AF658" s="19"/>
    </row>
    <row r="659" spans="1:34">
      <c r="A659" s="19">
        <v>653</v>
      </c>
      <c r="B659" s="19" t="s">
        <v>1798</v>
      </c>
      <c r="C659" s="19" t="s">
        <v>1444</v>
      </c>
      <c r="D659" s="19" t="str">
        <f>HYPERLINK("http://www.henontech.com/fieldsafety/harzard/harzard_show.php?rid=21186&amp;url=harzardrecs.php","分汽缸蒸汽阀门处漏气未处理好，保温未恢复，操作人员在开关阀门时不小心，可能被蒸汽烫伤右手，去医务室处理后，回家休养一周复工")</f>
        <v>分汽缸蒸汽阀门处漏气未处理好，保温未恢复，操作人员在开关阀门时不小心，可能被蒸汽烫伤右手，去医务室处理后，回家休养一周复工</v>
      </c>
      <c r="E659" s="19" t="s">
        <v>2791</v>
      </c>
      <c r="F659" s="26" t="s">
        <v>2035</v>
      </c>
      <c r="G659" s="19"/>
      <c r="H659" s="19" t="s">
        <v>44</v>
      </c>
      <c r="I659" s="19" t="s">
        <v>45</v>
      </c>
      <c r="J659" s="19" t="s">
        <v>46</v>
      </c>
      <c r="K659" s="19" t="s">
        <v>110</v>
      </c>
      <c r="L659" s="19" t="s">
        <v>76</v>
      </c>
      <c r="M659" s="19" t="s">
        <v>1033</v>
      </c>
      <c r="N659" s="19" t="s">
        <v>731</v>
      </c>
      <c r="O659" s="19"/>
      <c r="P659" s="19"/>
      <c r="Q659" s="19"/>
      <c r="R659" s="19" t="s">
        <v>2792</v>
      </c>
      <c r="S659" s="19"/>
      <c r="T659" s="19" t="s">
        <v>53</v>
      </c>
      <c r="U659" s="19" t="s">
        <v>80</v>
      </c>
      <c r="V659" s="19" t="s">
        <v>55</v>
      </c>
      <c r="W659" s="19" t="s">
        <v>81</v>
      </c>
      <c r="X659" s="19"/>
      <c r="Y659" s="19"/>
      <c r="Z659" s="19"/>
      <c r="AA659" s="19"/>
      <c r="AB659" s="19"/>
      <c r="AC659" s="19" t="s">
        <v>308</v>
      </c>
      <c r="AD659" s="19"/>
      <c r="AE659" s="19"/>
      <c r="AF659" s="19"/>
    </row>
    <row r="660" spans="1:34">
      <c r="A660" s="19">
        <v>654</v>
      </c>
      <c r="B660" s="19" t="s">
        <v>1798</v>
      </c>
      <c r="C660" s="19" t="s">
        <v>2257</v>
      </c>
      <c r="D660" s="19" t="str">
        <f>HYPERLINK("http://www.henontech.com/fieldsafety/harzard/harzard_show.php?rid=21205&amp;url=harzardrecs.php","压滤机旁有一扁铲不定置摆放，操作工在操作时不慎被绊倒造成轻微摔伤，休息片刻继续工。")</f>
        <v>压滤机旁有一扁铲不定置摆放，操作工在操作时不慎被绊倒造成轻微摔伤，休息片刻继续工。</v>
      </c>
      <c r="E660" s="19" t="s">
        <v>2793</v>
      </c>
      <c r="F660" s="20" t="s">
        <v>42</v>
      </c>
      <c r="G660" s="22" t="s">
        <v>63</v>
      </c>
      <c r="H660" s="19" t="s">
        <v>44</v>
      </c>
      <c r="I660" s="19" t="s">
        <v>108</v>
      </c>
      <c r="J660" s="19" t="s">
        <v>349</v>
      </c>
      <c r="K660" s="19" t="s">
        <v>64</v>
      </c>
      <c r="L660" s="19" t="s">
        <v>76</v>
      </c>
      <c r="M660" s="19" t="s">
        <v>48</v>
      </c>
      <c r="N660" s="19" t="s">
        <v>2794</v>
      </c>
      <c r="O660" s="19" t="s">
        <v>48</v>
      </c>
      <c r="P660" s="19" t="s">
        <v>50</v>
      </c>
      <c r="Q660" s="19" t="s">
        <v>2795</v>
      </c>
      <c r="R660" s="19" t="s">
        <v>2796</v>
      </c>
      <c r="S660" s="19"/>
      <c r="T660" s="19" t="s">
        <v>53</v>
      </c>
      <c r="U660" s="19" t="s">
        <v>54</v>
      </c>
      <c r="V660" s="19" t="s">
        <v>55</v>
      </c>
      <c r="W660" s="19" t="s">
        <v>56</v>
      </c>
      <c r="X660" s="19"/>
      <c r="Y660" s="19"/>
      <c r="Z660" s="19" t="s">
        <v>2797</v>
      </c>
      <c r="AA660" s="19">
        <v>1</v>
      </c>
      <c r="AB660" s="19">
        <v>1</v>
      </c>
      <c r="AC660" s="19" t="s">
        <v>58</v>
      </c>
      <c r="AD660" s="19" t="s">
        <v>50</v>
      </c>
      <c r="AE660" s="19" t="s">
        <v>1576</v>
      </c>
      <c r="AF660" s="19"/>
    </row>
    <row r="661" spans="1:34">
      <c r="A661" s="19">
        <v>655</v>
      </c>
      <c r="B661" s="19" t="s">
        <v>1798</v>
      </c>
      <c r="C661" s="19" t="s">
        <v>2798</v>
      </c>
      <c r="D661" s="19" t="str">
        <f>HYPERLINK("http://www.henontech.com/fieldsafety/harzard/harzard_show.php?rid=21206&amp;url=harzardrecs.php","化产两盐岗位大门滑轨腐蚀严重滑轮脱落，刮大风时容易把大门刮倒，人在此经过时被刮倒的大门咋伤头部，打120送医院抢救，抢救无效后导致人员死亡。")</f>
        <v>化产两盐岗位大门滑轨腐蚀严重滑轮脱落，刮大风时容易把大门刮倒，人在此经过时被刮倒的大门咋伤头部，打120送医院抢救，抢救无效后导致人员死亡。</v>
      </c>
      <c r="E661" s="19" t="s">
        <v>2799</v>
      </c>
      <c r="F661" s="20" t="s">
        <v>42</v>
      </c>
      <c r="G661" s="24" t="s">
        <v>322</v>
      </c>
      <c r="H661" s="19" t="s">
        <v>44</v>
      </c>
      <c r="I661" s="19" t="s">
        <v>108</v>
      </c>
      <c r="J661" s="19" t="s">
        <v>46</v>
      </c>
      <c r="K661" s="19" t="s">
        <v>110</v>
      </c>
      <c r="L661" s="19" t="s">
        <v>76</v>
      </c>
      <c r="M661" s="19" t="s">
        <v>48</v>
      </c>
      <c r="N661" s="19" t="s">
        <v>2800</v>
      </c>
      <c r="O661" s="19" t="s">
        <v>48</v>
      </c>
      <c r="P661" s="19" t="s">
        <v>50</v>
      </c>
      <c r="Q661" s="19" t="s">
        <v>2795</v>
      </c>
      <c r="R661" s="19" t="s">
        <v>2801</v>
      </c>
      <c r="S661" s="19"/>
      <c r="T661" s="19" t="s">
        <v>53</v>
      </c>
      <c r="U661" s="19" t="s">
        <v>236</v>
      </c>
      <c r="V661" s="19" t="s">
        <v>97</v>
      </c>
      <c r="W661" s="19" t="s">
        <v>190</v>
      </c>
      <c r="X661" s="19"/>
      <c r="Y661" s="19"/>
      <c r="Z661" s="19" t="s">
        <v>2802</v>
      </c>
      <c r="AA661" s="19">
        <v>1</v>
      </c>
      <c r="AB661" s="19">
        <v>1</v>
      </c>
      <c r="AC661" s="19" t="s">
        <v>58</v>
      </c>
      <c r="AD661" s="19" t="s">
        <v>50</v>
      </c>
      <c r="AE661" s="19" t="s">
        <v>1576</v>
      </c>
      <c r="AF661" s="19"/>
    </row>
    <row r="662" spans="1:34">
      <c r="A662" s="19">
        <v>656</v>
      </c>
      <c r="B662" s="19" t="s">
        <v>1798</v>
      </c>
      <c r="C662" s="19" t="s">
        <v>1964</v>
      </c>
      <c r="D662" s="19" t="str">
        <f>HYPERLINK("http://www.henontech.com/fieldsafety/harzard/harzard_show.php?rid=21252&amp;url=harzardrecs.php","七号磅北侧排水沟盖板破损，一旦车辆前轮掉入，将造成轮胎爆胎，无法使用造成经济损失500元。")</f>
        <v>七号磅北侧排水沟盖板破损，一旦车辆前轮掉入，将造成轮胎爆胎，无法使用造成经济损失500元。</v>
      </c>
      <c r="E662" s="19" t="s">
        <v>2803</v>
      </c>
      <c r="F662" s="20" t="s">
        <v>42</v>
      </c>
      <c r="G662" s="21" t="s">
        <v>43</v>
      </c>
      <c r="H662" s="19" t="s">
        <v>44</v>
      </c>
      <c r="I662" s="19" t="s">
        <v>108</v>
      </c>
      <c r="J662" s="19" t="s">
        <v>46</v>
      </c>
      <c r="K662" s="19" t="s">
        <v>47</v>
      </c>
      <c r="L662" s="19" t="s">
        <v>76</v>
      </c>
      <c r="M662" s="19" t="s">
        <v>364</v>
      </c>
      <c r="N662" s="19" t="s">
        <v>2804</v>
      </c>
      <c r="O662" s="19" t="s">
        <v>364</v>
      </c>
      <c r="P662" s="19" t="s">
        <v>377</v>
      </c>
      <c r="Q662" s="19" t="s">
        <v>1676</v>
      </c>
      <c r="R662" s="19" t="s">
        <v>2805</v>
      </c>
      <c r="S662" s="19"/>
      <c r="T662" s="19" t="s">
        <v>189</v>
      </c>
      <c r="U662" s="19" t="s">
        <v>202</v>
      </c>
      <c r="V662" s="19" t="s">
        <v>97</v>
      </c>
      <c r="W662" s="19" t="s">
        <v>56</v>
      </c>
      <c r="X662" s="19"/>
      <c r="Y662" s="19"/>
      <c r="Z662" s="19" t="s">
        <v>2806</v>
      </c>
      <c r="AA662" s="19">
        <v>1</v>
      </c>
      <c r="AB662" s="19">
        <v>1</v>
      </c>
      <c r="AC662" s="19" t="s">
        <v>58</v>
      </c>
      <c r="AD662" s="19" t="s">
        <v>377</v>
      </c>
      <c r="AE662" s="19" t="s">
        <v>1676</v>
      </c>
      <c r="AF662" s="19"/>
    </row>
    <row r="663" spans="1:34">
      <c r="A663" s="19">
        <v>657</v>
      </c>
      <c r="B663" s="19" t="s">
        <v>1798</v>
      </c>
      <c r="C663" s="19" t="s">
        <v>1060</v>
      </c>
      <c r="D663" s="19" t="str">
        <f>HYPERLINK("http://www.henontech.com/fieldsafety/harzard/harzard_show.php?rid=21270&amp;url=harzardrecs.php","刮煤板积煤未及时清除，开车过程中，原料煤下泻时落点会改变，导致煤下料口益料，造成皮带跑偏，会导致皮带磨损撕裂10米，被迫停车检修，经济损失1000元。")</f>
        <v>刮煤板积煤未及时清除，开车过程中，原料煤下泻时落点会改变，导致煤下料口益料，造成皮带跑偏，会导致皮带磨损撕裂10米，被迫停车检修，经济损失1000元。</v>
      </c>
      <c r="E663" s="19" t="s">
        <v>2807</v>
      </c>
      <c r="F663" s="20" t="s">
        <v>42</v>
      </c>
      <c r="G663" s="22" t="s">
        <v>63</v>
      </c>
      <c r="H663" s="19" t="s">
        <v>44</v>
      </c>
      <c r="I663" s="19" t="s">
        <v>120</v>
      </c>
      <c r="J663" s="19" t="s">
        <v>580</v>
      </c>
      <c r="K663" s="19" t="s">
        <v>64</v>
      </c>
      <c r="L663" s="19" t="s">
        <v>599</v>
      </c>
      <c r="M663" s="19" t="s">
        <v>364</v>
      </c>
      <c r="N663" s="19" t="s">
        <v>2808</v>
      </c>
      <c r="O663" s="19" t="s">
        <v>364</v>
      </c>
      <c r="P663" s="19" t="s">
        <v>377</v>
      </c>
      <c r="Q663" s="19" t="s">
        <v>1676</v>
      </c>
      <c r="R663" s="19" t="s">
        <v>2750</v>
      </c>
      <c r="S663" s="19"/>
      <c r="T663" s="19" t="s">
        <v>189</v>
      </c>
      <c r="U663" s="19" t="s">
        <v>202</v>
      </c>
      <c r="V663" s="19" t="s">
        <v>203</v>
      </c>
      <c r="W663" s="19" t="s">
        <v>56</v>
      </c>
      <c r="X663" s="19"/>
      <c r="Y663" s="19"/>
      <c r="Z663" s="19" t="s">
        <v>2809</v>
      </c>
      <c r="AA663" s="19">
        <v>1</v>
      </c>
      <c r="AB663" s="19">
        <v>0</v>
      </c>
      <c r="AC663" s="19" t="s">
        <v>58</v>
      </c>
      <c r="AD663" s="19" t="s">
        <v>377</v>
      </c>
      <c r="AE663" s="19" t="s">
        <v>1676</v>
      </c>
      <c r="AF663" s="19"/>
    </row>
    <row r="664" spans="1:34">
      <c r="A664" s="19">
        <v>658</v>
      </c>
      <c r="B664" s="19" t="s">
        <v>1798</v>
      </c>
      <c r="C664" s="19" t="s">
        <v>2810</v>
      </c>
      <c r="D664" s="19" t="str">
        <f>HYPERLINK("http://www.henontech.com/fieldsafety/harzard/harzard_show.php?rid=21292&amp;url=harzardrecs.php","制冷机门口地面用于搬运油桶铺设的铁板边角翘起，夜间巡检人员经过时碰伤脚部，送医务室")</f>
        <v>制冷机门口地面用于搬运油桶铺设的铁板边角翘起，夜间巡检人员经过时碰伤脚部，送医务室</v>
      </c>
      <c r="E664" s="19" t="s">
        <v>2811</v>
      </c>
      <c r="F664" s="25" t="s">
        <v>1455</v>
      </c>
      <c r="G664" s="22" t="s">
        <v>63</v>
      </c>
      <c r="H664" s="19" t="s">
        <v>44</v>
      </c>
      <c r="I664" s="19"/>
      <c r="J664" s="19" t="s">
        <v>46</v>
      </c>
      <c r="K664" s="19" t="s">
        <v>47</v>
      </c>
      <c r="L664" s="19"/>
      <c r="M664" s="19" t="s">
        <v>48</v>
      </c>
      <c r="N664" s="19" t="s">
        <v>103</v>
      </c>
      <c r="O664" s="19" t="s">
        <v>48</v>
      </c>
      <c r="P664" s="19" t="s">
        <v>50</v>
      </c>
      <c r="Q664" s="19" t="s">
        <v>2795</v>
      </c>
      <c r="R664" s="19" t="s">
        <v>2648</v>
      </c>
      <c r="S664" s="19"/>
      <c r="T664" s="19" t="s">
        <v>53</v>
      </c>
      <c r="U664" s="19" t="s">
        <v>54</v>
      </c>
      <c r="V664" s="19" t="s">
        <v>55</v>
      </c>
      <c r="W664" s="19" t="s">
        <v>56</v>
      </c>
      <c r="X664" s="19"/>
      <c r="Y664" s="19"/>
      <c r="Z664" s="19" t="s">
        <v>2812</v>
      </c>
      <c r="AA664" s="19">
        <v>1</v>
      </c>
      <c r="AB664" s="19"/>
      <c r="AC664" s="19" t="s">
        <v>308</v>
      </c>
      <c r="AD664" s="19"/>
      <c r="AE664" s="19"/>
      <c r="AF664" s="19"/>
    </row>
    <row r="665" spans="1:34">
      <c r="A665" s="19">
        <v>659</v>
      </c>
      <c r="B665" s="19" t="s">
        <v>1798</v>
      </c>
      <c r="C665" s="19" t="s">
        <v>1964</v>
      </c>
      <c r="D665" s="19" t="str">
        <f>HYPERLINK("http://www.henontech.com/fieldsafety/harzard/harzard_show.php?rid=21297&amp;url=harzardrecs.php","拉煤司机未戴安全帽爬车叠蓬布，脚被绳子拌倒，轻微擦伤。")</f>
        <v>拉煤司机未戴安全帽爬车叠蓬布，脚被绳子拌倒，轻微擦伤。</v>
      </c>
      <c r="E665" s="19" t="s">
        <v>2813</v>
      </c>
      <c r="F665" s="20" t="s">
        <v>42</v>
      </c>
      <c r="G665" s="22" t="s">
        <v>63</v>
      </c>
      <c r="H665" s="19" t="s">
        <v>44</v>
      </c>
      <c r="I665" s="19" t="s">
        <v>120</v>
      </c>
      <c r="J665" s="19" t="s">
        <v>349</v>
      </c>
      <c r="K665" s="19" t="s">
        <v>47</v>
      </c>
      <c r="L665" s="19" t="s">
        <v>76</v>
      </c>
      <c r="M665" s="19" t="s">
        <v>364</v>
      </c>
      <c r="N665" s="19" t="s">
        <v>1971</v>
      </c>
      <c r="O665" s="19" t="s">
        <v>364</v>
      </c>
      <c r="P665" s="19" t="s">
        <v>377</v>
      </c>
      <c r="Q665" s="19" t="s">
        <v>1676</v>
      </c>
      <c r="R665" s="19" t="s">
        <v>2814</v>
      </c>
      <c r="S665" s="19" t="s">
        <v>2815</v>
      </c>
      <c r="T665" s="19" t="s">
        <v>53</v>
      </c>
      <c r="U665" s="19" t="s">
        <v>54</v>
      </c>
      <c r="V665" s="19" t="s">
        <v>55</v>
      </c>
      <c r="W665" s="19" t="s">
        <v>56</v>
      </c>
      <c r="X665" s="19"/>
      <c r="Y665" s="19"/>
      <c r="Z665" s="19" t="s">
        <v>2816</v>
      </c>
      <c r="AA665" s="19">
        <v>1</v>
      </c>
      <c r="AB665" s="19">
        <v>1</v>
      </c>
      <c r="AC665" s="19" t="s">
        <v>58</v>
      </c>
      <c r="AD665" s="19" t="s">
        <v>377</v>
      </c>
      <c r="AE665" s="19" t="s">
        <v>1676</v>
      </c>
      <c r="AF665" s="19"/>
    </row>
    <row r="666" spans="1:34">
      <c r="A666" s="19">
        <v>660</v>
      </c>
      <c r="B666" s="19" t="s">
        <v>1798</v>
      </c>
      <c r="C666" s="19" t="s">
        <v>1903</v>
      </c>
      <c r="D666" s="19" t="str">
        <f>HYPERLINK("http://www.henontech.com/fieldsafety/harzard/harzard_show.php?rid=21391&amp;url=harzardrecs.php","东四4号皮带秤落料处的挡煤板破损漏煤，一旦漏煤掉落东四皮带上就会偏带，皮带会剐蹭机架造成皮带撕裂。")</f>
        <v>东四4号皮带秤落料处的挡煤板破损漏煤，一旦漏煤掉落东四皮带上就会偏带，皮带会剐蹭机架造成皮带撕裂。</v>
      </c>
      <c r="E666" s="19" t="s">
        <v>2817</v>
      </c>
      <c r="F666" s="20" t="s">
        <v>42</v>
      </c>
      <c r="G666" s="22" t="s">
        <v>63</v>
      </c>
      <c r="H666" s="19" t="s">
        <v>44</v>
      </c>
      <c r="I666" s="19" t="s">
        <v>45</v>
      </c>
      <c r="J666" s="19"/>
      <c r="K666" s="19"/>
      <c r="L666" s="19" t="s">
        <v>76</v>
      </c>
      <c r="M666" s="19" t="s">
        <v>364</v>
      </c>
      <c r="N666" s="19" t="s">
        <v>2818</v>
      </c>
      <c r="O666" s="19" t="s">
        <v>364</v>
      </c>
      <c r="P666" s="19" t="s">
        <v>1687</v>
      </c>
      <c r="Q666" s="19" t="s">
        <v>2819</v>
      </c>
      <c r="R666" s="19" t="s">
        <v>2290</v>
      </c>
      <c r="S666" s="19"/>
      <c r="T666" s="19" t="s">
        <v>189</v>
      </c>
      <c r="U666" s="19" t="s">
        <v>202</v>
      </c>
      <c r="V666" s="19" t="s">
        <v>69</v>
      </c>
      <c r="W666" s="19" t="s">
        <v>56</v>
      </c>
      <c r="X666" s="19"/>
      <c r="Y666" s="19"/>
      <c r="Z666" s="19" t="s">
        <v>2820</v>
      </c>
      <c r="AA666" s="19">
        <v>1</v>
      </c>
      <c r="AB666" s="19">
        <v>1</v>
      </c>
      <c r="AC666" s="19" t="s">
        <v>58</v>
      </c>
      <c r="AD666" s="19" t="s">
        <v>1687</v>
      </c>
      <c r="AE666" s="19" t="s">
        <v>1676</v>
      </c>
      <c r="AF666" s="19"/>
    </row>
    <row r="667" spans="1:34">
      <c r="A667" s="19">
        <v>661</v>
      </c>
      <c r="B667" s="19" t="s">
        <v>1576</v>
      </c>
      <c r="C667" s="19" t="s">
        <v>1856</v>
      </c>
      <c r="D667" s="19" t="str">
        <f>HYPERLINK("http://www.henontech.com/fieldsafety/harzard/harzard_show.php?rid=21502&amp;url=harzardrecs.php","一钢管悬挂在半空中，大风天气钢管坠落，砸伤经过此处巡检的操作工，造成头部轻微伤害，休息片刻未影响正常工作。")</f>
        <v>一钢管悬挂在半空中，大风天气钢管坠落，砸伤经过此处巡检的操作工，造成头部轻微伤害，休息片刻未影响正常工作。</v>
      </c>
      <c r="E667" s="19" t="s">
        <v>2821</v>
      </c>
      <c r="F667" s="20" t="s">
        <v>42</v>
      </c>
      <c r="G667" s="22" t="s">
        <v>63</v>
      </c>
      <c r="H667" s="19" t="s">
        <v>44</v>
      </c>
      <c r="I667" s="19" t="s">
        <v>45</v>
      </c>
      <c r="J667" s="19" t="s">
        <v>46</v>
      </c>
      <c r="K667" s="19" t="s">
        <v>110</v>
      </c>
      <c r="L667" s="19" t="s">
        <v>76</v>
      </c>
      <c r="M667" s="19" t="s">
        <v>48</v>
      </c>
      <c r="N667" s="19" t="s">
        <v>396</v>
      </c>
      <c r="O667" s="19" t="s">
        <v>48</v>
      </c>
      <c r="P667" s="19" t="s">
        <v>50</v>
      </c>
      <c r="Q667" s="19" t="s">
        <v>2795</v>
      </c>
      <c r="R667" s="19" t="s">
        <v>2822</v>
      </c>
      <c r="S667" s="19"/>
      <c r="T667" s="19" t="s">
        <v>53</v>
      </c>
      <c r="U667" s="19" t="s">
        <v>54</v>
      </c>
      <c r="V667" s="19" t="s">
        <v>97</v>
      </c>
      <c r="W667" s="19" t="s">
        <v>81</v>
      </c>
      <c r="X667" s="19"/>
      <c r="Y667" s="19"/>
      <c r="Z667" s="19" t="s">
        <v>2823</v>
      </c>
      <c r="AA667" s="19">
        <v>1</v>
      </c>
      <c r="AB667" s="19">
        <v>1</v>
      </c>
      <c r="AC667" s="19" t="s">
        <v>58</v>
      </c>
      <c r="AD667" s="19" t="s">
        <v>50</v>
      </c>
      <c r="AE667" s="19" t="s">
        <v>2297</v>
      </c>
      <c r="AF667" s="19"/>
    </row>
    <row r="668" spans="1:34">
      <c r="A668" s="19">
        <v>662</v>
      </c>
      <c r="B668" s="19" t="s">
        <v>1576</v>
      </c>
      <c r="C668" s="19" t="s">
        <v>2261</v>
      </c>
      <c r="D668" s="19" t="str">
        <f>HYPERLINK("http://www.henontech.com/fieldsafety/harzard/harzard_show.php?rid=21509&amp;url=harzardrecs.php","一级反渗透清洗管线漏水，水喷到反渗透配电盘，设备断电停运")</f>
        <v>一级反渗透清洗管线漏水，水喷到反渗透配电盘，设备断电停运</v>
      </c>
      <c r="E668" s="19" t="s">
        <v>2824</v>
      </c>
      <c r="F668" s="26" t="s">
        <v>2035</v>
      </c>
      <c r="G668" s="19"/>
      <c r="H668" s="19" t="s">
        <v>44</v>
      </c>
      <c r="I668" s="19" t="s">
        <v>45</v>
      </c>
      <c r="J668" s="19" t="s">
        <v>580</v>
      </c>
      <c r="K668" s="19" t="s">
        <v>64</v>
      </c>
      <c r="L668" s="19"/>
      <c r="M668" s="19" t="s">
        <v>1033</v>
      </c>
      <c r="N668" s="19" t="s">
        <v>1585</v>
      </c>
      <c r="O668" s="19"/>
      <c r="P668" s="19"/>
      <c r="Q668" s="19"/>
      <c r="R668" s="19" t="s">
        <v>2825</v>
      </c>
      <c r="S668" s="19"/>
      <c r="T668" s="19" t="s">
        <v>53</v>
      </c>
      <c r="U668" s="19" t="s">
        <v>80</v>
      </c>
      <c r="V668" s="19" t="s">
        <v>55</v>
      </c>
      <c r="W668" s="19" t="s">
        <v>81</v>
      </c>
      <c r="X668" s="19"/>
      <c r="Y668" s="19"/>
      <c r="Z668" s="19"/>
      <c r="AA668" s="19"/>
      <c r="AB668" s="19"/>
      <c r="AC668" s="19" t="s">
        <v>308</v>
      </c>
      <c r="AD668" s="19"/>
      <c r="AE668" s="19"/>
      <c r="AF668" s="19"/>
    </row>
    <row r="669" spans="1:34">
      <c r="A669" s="19">
        <v>663</v>
      </c>
      <c r="B669" s="19" t="s">
        <v>1576</v>
      </c>
      <c r="C669" s="19" t="s">
        <v>2826</v>
      </c>
      <c r="D669" s="19" t="str">
        <f>HYPERLINK("http://www.henontech.com/fieldsafety/harzard/harzard_show.php?rid=21582&amp;url=harzardrecs.php","空压机旁一铁管未定置存放，操作工巡检时不慎被绊倒，造成左手手腕轻微扭伤，休息一会后继续工作。")</f>
        <v>空压机旁一铁管未定置存放，操作工巡检时不慎被绊倒，造成左手手腕轻微扭伤，休息一会后继续工作。</v>
      </c>
      <c r="E669" s="19" t="s">
        <v>2827</v>
      </c>
      <c r="F669" s="25" t="s">
        <v>1455</v>
      </c>
      <c r="G669" s="22" t="s">
        <v>63</v>
      </c>
      <c r="H669" s="19" t="s">
        <v>44</v>
      </c>
      <c r="I669" s="19" t="s">
        <v>45</v>
      </c>
      <c r="J669" s="19" t="s">
        <v>46</v>
      </c>
      <c r="K669" s="19" t="s">
        <v>64</v>
      </c>
      <c r="L669" s="19" t="s">
        <v>76</v>
      </c>
      <c r="M669" s="19" t="s">
        <v>48</v>
      </c>
      <c r="N669" s="19" t="s">
        <v>1272</v>
      </c>
      <c r="O669" s="19" t="s">
        <v>48</v>
      </c>
      <c r="P669" s="19" t="s">
        <v>50</v>
      </c>
      <c r="Q669" s="19" t="s">
        <v>2819</v>
      </c>
      <c r="R669" s="19" t="s">
        <v>2826</v>
      </c>
      <c r="S669" s="19"/>
      <c r="T669" s="19" t="s">
        <v>53</v>
      </c>
      <c r="U669" s="19" t="s">
        <v>54</v>
      </c>
      <c r="V669" s="19" t="s">
        <v>55</v>
      </c>
      <c r="W669" s="19" t="s">
        <v>56</v>
      </c>
      <c r="X669" s="19"/>
      <c r="Y669" s="19"/>
      <c r="Z669" s="19" t="s">
        <v>2828</v>
      </c>
      <c r="AA669" s="19">
        <v>1</v>
      </c>
      <c r="AB669" s="19"/>
      <c r="AC669" s="19" t="s">
        <v>308</v>
      </c>
      <c r="AD669" s="19"/>
      <c r="AE669" s="19"/>
      <c r="AF669" s="19"/>
    </row>
    <row r="670" spans="1:34" customHeight="1" ht="42">
      <c r="A670" s="19">
        <v>664</v>
      </c>
      <c r="B670" s="19" t="s">
        <v>1576</v>
      </c>
      <c r="C670" s="19" t="s">
        <v>494</v>
      </c>
      <c r="D670" s="19" t="str">
        <f>HYPERLINK("http://www.henontech.com/fieldsafety/harzard/harzard_show.php?rid=21636&amp;url=harzardrecs.php","西侧滑触线绝缘棒脱离，起不到固定作用")</f>
        <v>西侧滑触线绝缘棒脱离，起不到固定作用</v>
      </c>
      <c r="E670" s="19" t="s">
        <v>2829</v>
      </c>
      <c r="F670" s="25" t="s">
        <v>1455</v>
      </c>
      <c r="G670" s="22" t="s">
        <v>63</v>
      </c>
      <c r="H670" s="19" t="s">
        <v>44</v>
      </c>
      <c r="I670" s="19" t="s">
        <v>108</v>
      </c>
      <c r="J670" s="19" t="s">
        <v>46</v>
      </c>
      <c r="K670" s="19" t="s">
        <v>110</v>
      </c>
      <c r="L670" s="19" t="s">
        <v>76</v>
      </c>
      <c r="M670" s="19" t="s">
        <v>121</v>
      </c>
      <c r="N670" s="19" t="s">
        <v>2830</v>
      </c>
      <c r="O670" s="19" t="s">
        <v>121</v>
      </c>
      <c r="P670" s="19" t="s">
        <v>316</v>
      </c>
      <c r="Q670" s="19" t="s">
        <v>2795</v>
      </c>
      <c r="R670" s="19" t="s">
        <v>2831</v>
      </c>
      <c r="S670" s="19"/>
      <c r="T670" s="19" t="s">
        <v>393</v>
      </c>
      <c r="U670" s="19" t="s">
        <v>202</v>
      </c>
      <c r="V670" s="19" t="s">
        <v>69</v>
      </c>
      <c r="W670" s="19" t="s">
        <v>56</v>
      </c>
      <c r="X670" s="19" t="s">
        <v>191</v>
      </c>
      <c r="Y670" s="19"/>
      <c r="Z670" s="19" t="s">
        <v>2832</v>
      </c>
      <c r="AA670" s="19">
        <v>2</v>
      </c>
      <c r="AB670" s="19"/>
      <c r="AC670" s="19" t="s">
        <v>308</v>
      </c>
      <c r="AD670" s="19"/>
      <c r="AE670" s="19"/>
      <c r="AF670" s="19"/>
    </row>
    <row r="671" spans="1:34">
      <c r="A671" s="19">
        <v>665</v>
      </c>
      <c r="B671" s="19" t="s">
        <v>1576</v>
      </c>
      <c r="C671" s="19" t="s">
        <v>2833</v>
      </c>
      <c r="D671" s="19" t="str">
        <f>HYPERLINK("http://www.henontech.com/fieldsafety/harzard/harzard_show.php?rid=21642&amp;url=harzardrecs.php","操作工使用完拖把随手放到电机上开车时卷入皮带造成紧急停车")</f>
        <v>操作工使用完拖把随手放到电机上开车时卷入皮带造成紧急停车</v>
      </c>
      <c r="E671" s="19" t="s">
        <v>2834</v>
      </c>
      <c r="F671" s="20" t="s">
        <v>42</v>
      </c>
      <c r="G671" s="21" t="s">
        <v>43</v>
      </c>
      <c r="H671" s="19" t="s">
        <v>44</v>
      </c>
      <c r="I671" s="19" t="s">
        <v>120</v>
      </c>
      <c r="J671" s="19" t="s">
        <v>349</v>
      </c>
      <c r="K671" s="19" t="s">
        <v>64</v>
      </c>
      <c r="L671" s="19" t="s">
        <v>76</v>
      </c>
      <c r="M671" s="19" t="s">
        <v>364</v>
      </c>
      <c r="N671" s="19" t="s">
        <v>2835</v>
      </c>
      <c r="O671" s="19" t="s">
        <v>364</v>
      </c>
      <c r="P671" s="19" t="s">
        <v>377</v>
      </c>
      <c r="Q671" s="19" t="s">
        <v>1676</v>
      </c>
      <c r="R671" s="19" t="s">
        <v>2290</v>
      </c>
      <c r="S671" s="19"/>
      <c r="T671" s="19" t="s">
        <v>189</v>
      </c>
      <c r="U671" s="19" t="s">
        <v>202</v>
      </c>
      <c r="V671" s="19" t="s">
        <v>97</v>
      </c>
      <c r="W671" s="19" t="s">
        <v>56</v>
      </c>
      <c r="X671" s="19"/>
      <c r="Y671" s="19"/>
      <c r="Z671" s="19" t="s">
        <v>2836</v>
      </c>
      <c r="AA671" s="19">
        <v>1</v>
      </c>
      <c r="AB671" s="19">
        <v>1</v>
      </c>
      <c r="AC671" s="19" t="s">
        <v>58</v>
      </c>
      <c r="AD671" s="19" t="s">
        <v>377</v>
      </c>
      <c r="AE671" s="19" t="s">
        <v>1676</v>
      </c>
      <c r="AF671" s="19"/>
    </row>
    <row r="672" spans="1:34">
      <c r="A672" s="19">
        <v>666</v>
      </c>
      <c r="B672" s="19" t="s">
        <v>1576</v>
      </c>
      <c r="C672" s="19" t="s">
        <v>374</v>
      </c>
      <c r="D672" s="19" t="str">
        <f>HYPERLINK("http://www.henontech.com/fieldsafety/harzard/harzard_show.php?rid=21652&amp;url=harzardrecs.php","机头刮皮磨损严重，一旦刮皮磨透，铁板将直接磨损胶带，造成胶带划伤非计划停车")</f>
        <v>机头刮皮磨损严重，一旦刮皮磨透，铁板将直接磨损胶带，造成胶带划伤非计划停车</v>
      </c>
      <c r="E672" s="19" t="s">
        <v>2837</v>
      </c>
      <c r="F672" s="20" t="s">
        <v>42</v>
      </c>
      <c r="G672" s="22" t="s">
        <v>63</v>
      </c>
      <c r="H672" s="19" t="s">
        <v>44</v>
      </c>
      <c r="I672" s="19" t="s">
        <v>45</v>
      </c>
      <c r="J672" s="19"/>
      <c r="K672" s="19"/>
      <c r="L672" s="19"/>
      <c r="M672" s="19" t="s">
        <v>364</v>
      </c>
      <c r="N672" s="19" t="s">
        <v>2838</v>
      </c>
      <c r="O672" s="19" t="s">
        <v>364</v>
      </c>
      <c r="P672" s="19" t="s">
        <v>1687</v>
      </c>
      <c r="Q672" s="19" t="s">
        <v>2795</v>
      </c>
      <c r="R672" s="19" t="s">
        <v>2326</v>
      </c>
      <c r="S672" s="19"/>
      <c r="T672" s="19" t="s">
        <v>189</v>
      </c>
      <c r="U672" s="19" t="s">
        <v>202</v>
      </c>
      <c r="V672" s="19" t="s">
        <v>97</v>
      </c>
      <c r="W672" s="19" t="s">
        <v>56</v>
      </c>
      <c r="X672" s="19"/>
      <c r="Y672" s="19"/>
      <c r="Z672" s="19" t="s">
        <v>2839</v>
      </c>
      <c r="AA672" s="19">
        <v>1</v>
      </c>
      <c r="AB672" s="19">
        <v>1</v>
      </c>
      <c r="AC672" s="19" t="s">
        <v>58</v>
      </c>
      <c r="AD672" s="19" t="s">
        <v>1687</v>
      </c>
      <c r="AE672" s="19" t="s">
        <v>1576</v>
      </c>
      <c r="AF672" s="19"/>
    </row>
    <row r="673" spans="1:34">
      <c r="A673" s="19">
        <v>667</v>
      </c>
      <c r="B673" s="19" t="s">
        <v>1576</v>
      </c>
      <c r="C673" s="19" t="s">
        <v>1925</v>
      </c>
      <c r="D673" s="19" t="str">
        <f>HYPERLINK("http://www.henontech.com/fieldsafety/harzard/harzard_show.php?rid=21669&amp;url=harzardrecs.php","一名职工在擦拭压滤机油泵时由于压滤机电机防护罩破损致使职工手套卷入电机罩内，造成手部轻微擦伤后经医务室处理后继续上班")</f>
        <v>一名职工在擦拭压滤机油泵时由于压滤机电机防护罩破损致使职工手套卷入电机罩内，造成手部轻微擦伤后经医务室处理后继续上班</v>
      </c>
      <c r="E673" s="19" t="s">
        <v>2840</v>
      </c>
      <c r="F673" s="20" t="s">
        <v>42</v>
      </c>
      <c r="G673" s="22" t="s">
        <v>63</v>
      </c>
      <c r="H673" s="19" t="s">
        <v>44</v>
      </c>
      <c r="I673" s="19" t="s">
        <v>45</v>
      </c>
      <c r="J673" s="19" t="s">
        <v>46</v>
      </c>
      <c r="K673" s="19" t="s">
        <v>64</v>
      </c>
      <c r="L673" s="19" t="s">
        <v>76</v>
      </c>
      <c r="M673" s="19" t="s">
        <v>48</v>
      </c>
      <c r="N673" s="19" t="s">
        <v>138</v>
      </c>
      <c r="O673" s="19" t="s">
        <v>48</v>
      </c>
      <c r="P673" s="19" t="s">
        <v>50</v>
      </c>
      <c r="Q673" s="19" t="s">
        <v>2819</v>
      </c>
      <c r="R673" s="19" t="s">
        <v>2841</v>
      </c>
      <c r="S673" s="19"/>
      <c r="T673" s="19" t="s">
        <v>53</v>
      </c>
      <c r="U673" s="19" t="s">
        <v>54</v>
      </c>
      <c r="V673" s="19" t="s">
        <v>55</v>
      </c>
      <c r="W673" s="19" t="s">
        <v>56</v>
      </c>
      <c r="X673" s="19"/>
      <c r="Y673" s="19"/>
      <c r="Z673" s="19" t="s">
        <v>1985</v>
      </c>
      <c r="AA673" s="19">
        <v>1</v>
      </c>
      <c r="AB673" s="19">
        <v>1</v>
      </c>
      <c r="AC673" s="19" t="s">
        <v>58</v>
      </c>
      <c r="AD673" s="19" t="s">
        <v>50</v>
      </c>
      <c r="AE673" s="19" t="s">
        <v>1676</v>
      </c>
      <c r="AF673" s="19"/>
    </row>
    <row r="674" spans="1:34">
      <c r="A674" s="19">
        <v>668</v>
      </c>
      <c r="B674" s="19" t="s">
        <v>1676</v>
      </c>
      <c r="C674" s="19" t="s">
        <v>2106</v>
      </c>
      <c r="D674" s="19" t="str">
        <f>HYPERLINK("http://www.henontech.com/fieldsafety/harzard/harzard_show.php?rid=21733&amp;url=harzardrecs.php","风机初冷器下液管法兰缺失螺栓。容易导致泄漏煤气，维修工在周边进行检修作业后，可能造成轻微中毒。")</f>
        <v>风机初冷器下液管法兰缺失螺栓。容易导致泄漏煤气，维修工在周边进行检修作业后，可能造成轻微中毒。</v>
      </c>
      <c r="E674" s="19" t="s">
        <v>2842</v>
      </c>
      <c r="F674" s="20" t="s">
        <v>42</v>
      </c>
      <c r="G674" s="22" t="s">
        <v>63</v>
      </c>
      <c r="H674" s="19" t="s">
        <v>44</v>
      </c>
      <c r="I674" s="19" t="s">
        <v>45</v>
      </c>
      <c r="J674" s="19" t="s">
        <v>46</v>
      </c>
      <c r="K674" s="19" t="s">
        <v>47</v>
      </c>
      <c r="L674" s="19" t="s">
        <v>76</v>
      </c>
      <c r="M674" s="19" t="s">
        <v>48</v>
      </c>
      <c r="N674" s="19" t="s">
        <v>526</v>
      </c>
      <c r="O674" s="19" t="s">
        <v>48</v>
      </c>
      <c r="P674" s="19" t="s">
        <v>50</v>
      </c>
      <c r="Q674" s="19" t="s">
        <v>2819</v>
      </c>
      <c r="R674" s="19" t="s">
        <v>2843</v>
      </c>
      <c r="S674" s="19"/>
      <c r="T674" s="19" t="s">
        <v>53</v>
      </c>
      <c r="U674" s="19" t="s">
        <v>54</v>
      </c>
      <c r="V674" s="19" t="s">
        <v>55</v>
      </c>
      <c r="W674" s="19" t="s">
        <v>56</v>
      </c>
      <c r="X674" s="19"/>
      <c r="Y674" s="19"/>
      <c r="Z674" s="19" t="s">
        <v>2844</v>
      </c>
      <c r="AA674" s="19">
        <v>1</v>
      </c>
      <c r="AB674" s="19">
        <v>1</v>
      </c>
      <c r="AC674" s="19" t="s">
        <v>58</v>
      </c>
      <c r="AD674" s="19" t="s">
        <v>50</v>
      </c>
      <c r="AE674" s="19" t="s">
        <v>2467</v>
      </c>
      <c r="AF674" s="19"/>
    </row>
    <row r="675" spans="1:34">
      <c r="A675" s="19">
        <v>669</v>
      </c>
      <c r="B675" s="19" t="s">
        <v>1576</v>
      </c>
      <c r="C675" s="19" t="s">
        <v>2138</v>
      </c>
      <c r="D675" s="19" t="str">
        <f>HYPERLINK("http://www.henontech.com/fieldsafety/harzard/harzard_show.php?rid=21766&amp;url=harzardrecs.php","一操作工巡检时，被35吨锅炉鼓风机旁铁板翘起处拌倒，手腕受伤，送医治疗。")</f>
        <v>一操作工巡检时，被35吨锅炉鼓风机旁铁板翘起处拌倒，手腕受伤，送医治疗。</v>
      </c>
      <c r="E675" s="19" t="s">
        <v>2845</v>
      </c>
      <c r="F675" s="26" t="s">
        <v>2035</v>
      </c>
      <c r="G675" s="19"/>
      <c r="H675" s="19" t="s">
        <v>44</v>
      </c>
      <c r="I675" s="19" t="s">
        <v>108</v>
      </c>
      <c r="J675" s="19" t="s">
        <v>349</v>
      </c>
      <c r="K675" s="19" t="s">
        <v>110</v>
      </c>
      <c r="L675" s="19" t="s">
        <v>76</v>
      </c>
      <c r="M675" s="19" t="s">
        <v>1033</v>
      </c>
      <c r="N675" s="19" t="s">
        <v>1554</v>
      </c>
      <c r="O675" s="19"/>
      <c r="P675" s="19"/>
      <c r="Q675" s="19"/>
      <c r="R675" s="19" t="s">
        <v>2846</v>
      </c>
      <c r="S675" s="19"/>
      <c r="T675" s="19" t="s">
        <v>53</v>
      </c>
      <c r="U675" s="19" t="s">
        <v>80</v>
      </c>
      <c r="V675" s="19" t="s">
        <v>69</v>
      </c>
      <c r="W675" s="19" t="s">
        <v>190</v>
      </c>
      <c r="X675" s="19"/>
      <c r="Y675" s="19"/>
      <c r="Z675" s="19"/>
      <c r="AA675" s="19"/>
      <c r="AB675" s="19"/>
      <c r="AC675" s="19" t="s">
        <v>308</v>
      </c>
      <c r="AD675" s="19"/>
      <c r="AE675" s="19"/>
      <c r="AF675" s="19"/>
    </row>
    <row r="676" spans="1:34">
      <c r="A676" s="19">
        <v>670</v>
      </c>
      <c r="B676" s="19" t="s">
        <v>1576</v>
      </c>
      <c r="C676" s="19" t="s">
        <v>374</v>
      </c>
      <c r="D676" s="19" t="str">
        <f>HYPERLINK("http://www.henontech.com/fieldsafety/harzard/harzard_show.php?rid=21780&amp;url=harzardrecs.php","除铁器电机电源线防护套管移位，不能起到防护作用，一旦电源线绝缘层破损连电，就会导致电机损坏，造成经济损失300元。")</f>
        <v>除铁器电机电源线防护套管移位，不能起到防护作用，一旦电源线绝缘层破损连电，就会导致电机损坏，造成经济损失300元。</v>
      </c>
      <c r="E676" s="19" t="s">
        <v>2847</v>
      </c>
      <c r="F676" s="20" t="s">
        <v>42</v>
      </c>
      <c r="G676" s="21" t="s">
        <v>43</v>
      </c>
      <c r="H676" s="19" t="s">
        <v>2387</v>
      </c>
      <c r="I676" s="19" t="s">
        <v>184</v>
      </c>
      <c r="J676" s="19" t="s">
        <v>109</v>
      </c>
      <c r="K676" s="19" t="s">
        <v>110</v>
      </c>
      <c r="L676" s="19" t="s">
        <v>599</v>
      </c>
      <c r="M676" s="19" t="s">
        <v>364</v>
      </c>
      <c r="N676" s="19" t="s">
        <v>2848</v>
      </c>
      <c r="O676" s="19" t="s">
        <v>364</v>
      </c>
      <c r="P676" s="19" t="s">
        <v>377</v>
      </c>
      <c r="Q676" s="19" t="s">
        <v>1676</v>
      </c>
      <c r="R676" s="19" t="s">
        <v>2056</v>
      </c>
      <c r="S676" s="19"/>
      <c r="T676" s="19" t="s">
        <v>189</v>
      </c>
      <c r="U676" s="19" t="s">
        <v>202</v>
      </c>
      <c r="V676" s="19" t="s">
        <v>97</v>
      </c>
      <c r="W676" s="19" t="s">
        <v>56</v>
      </c>
      <c r="X676" s="19"/>
      <c r="Y676" s="19"/>
      <c r="Z676" s="19" t="s">
        <v>2849</v>
      </c>
      <c r="AA676" s="19">
        <v>1</v>
      </c>
      <c r="AB676" s="19">
        <v>1</v>
      </c>
      <c r="AC676" s="19" t="s">
        <v>58</v>
      </c>
      <c r="AD676" s="19" t="s">
        <v>377</v>
      </c>
      <c r="AE676" s="19" t="s">
        <v>1676</v>
      </c>
      <c r="AF676" s="19"/>
    </row>
    <row r="677" spans="1:34">
      <c r="A677" s="19">
        <v>671</v>
      </c>
      <c r="B677" s="19" t="s">
        <v>1576</v>
      </c>
      <c r="C677" s="19" t="s">
        <v>374</v>
      </c>
      <c r="D677" s="19" t="str">
        <f>HYPERLINK("http://www.henontech.com/fieldsafety/harzard/harzard_show.php?rid=21781&amp;url=harzardrecs.php","除铁器电机电源线防护套管移位，不能起到防护作用，一旦电源线绝缘层破损连电，就会导致电机损坏，造成经济损失300元。")</f>
        <v>除铁器电机电源线防护套管移位，不能起到防护作用，一旦电源线绝缘层破损连电，就会导致电机损坏，造成经济损失300元。</v>
      </c>
      <c r="E677" s="19" t="s">
        <v>2847</v>
      </c>
      <c r="F677" s="23" t="s">
        <v>304</v>
      </c>
      <c r="G677" s="22" t="s">
        <v>63</v>
      </c>
      <c r="H677" s="19" t="s">
        <v>2387</v>
      </c>
      <c r="I677" s="19" t="s">
        <v>184</v>
      </c>
      <c r="J677" s="19" t="s">
        <v>109</v>
      </c>
      <c r="K677" s="19" t="s">
        <v>110</v>
      </c>
      <c r="L677" s="19" t="s">
        <v>599</v>
      </c>
      <c r="M677" s="19" t="s">
        <v>364</v>
      </c>
      <c r="N677" s="19" t="s">
        <v>2848</v>
      </c>
      <c r="O677" s="19"/>
      <c r="P677" s="19"/>
      <c r="Q677" s="19"/>
      <c r="R677" s="19" t="s">
        <v>2056</v>
      </c>
      <c r="S677" s="19" t="s">
        <v>2850</v>
      </c>
      <c r="T677" s="19" t="s">
        <v>189</v>
      </c>
      <c r="U677" s="19" t="s">
        <v>202</v>
      </c>
      <c r="V677" s="19" t="s">
        <v>97</v>
      </c>
      <c r="W677" s="19" t="s">
        <v>56</v>
      </c>
      <c r="X677" s="19"/>
      <c r="Y677" s="19"/>
      <c r="Z677" s="19"/>
      <c r="AA677" s="19">
        <v>0</v>
      </c>
      <c r="AB677" s="19"/>
      <c r="AC677" s="19" t="s">
        <v>308</v>
      </c>
      <c r="AD677" s="19"/>
      <c r="AE677" s="19"/>
      <c r="AF677" s="19"/>
    </row>
    <row r="678" spans="1:34">
      <c r="A678" s="19">
        <v>672</v>
      </c>
      <c r="B678" s="19" t="s">
        <v>1576</v>
      </c>
      <c r="C678" s="19" t="s">
        <v>1903</v>
      </c>
      <c r="D678" s="19" t="str">
        <f>HYPERLINK("http://www.henontech.com/fieldsafety/harzard/harzard_show.php?rid=21783&amp;url=harzardrecs.php","煤八后尾一施工中的电源线套管保护移位")</f>
        <v>煤八后尾一施工中的电源线套管保护移位</v>
      </c>
      <c r="E678" s="19" t="s">
        <v>2851</v>
      </c>
      <c r="F678" s="20" t="s">
        <v>42</v>
      </c>
      <c r="G678" s="22" t="s">
        <v>63</v>
      </c>
      <c r="H678" s="19" t="s">
        <v>44</v>
      </c>
      <c r="I678" s="19" t="s">
        <v>45</v>
      </c>
      <c r="J678" s="19" t="s">
        <v>109</v>
      </c>
      <c r="K678" s="19" t="s">
        <v>64</v>
      </c>
      <c r="L678" s="19" t="s">
        <v>76</v>
      </c>
      <c r="M678" s="19" t="s">
        <v>364</v>
      </c>
      <c r="N678" s="19" t="s">
        <v>2852</v>
      </c>
      <c r="O678" s="19" t="s">
        <v>364</v>
      </c>
      <c r="P678" s="19" t="s">
        <v>1687</v>
      </c>
      <c r="Q678" s="19" t="s">
        <v>2819</v>
      </c>
      <c r="R678" s="19" t="s">
        <v>2073</v>
      </c>
      <c r="S678" s="19"/>
      <c r="T678" s="19" t="s">
        <v>53</v>
      </c>
      <c r="U678" s="19" t="s">
        <v>202</v>
      </c>
      <c r="V678" s="19" t="s">
        <v>55</v>
      </c>
      <c r="W678" s="19" t="s">
        <v>56</v>
      </c>
      <c r="X678" s="19"/>
      <c r="Y678" s="19"/>
      <c r="Z678" s="19" t="s">
        <v>2853</v>
      </c>
      <c r="AA678" s="19">
        <v>1</v>
      </c>
      <c r="AB678" s="19">
        <v>1</v>
      </c>
      <c r="AC678" s="19" t="s">
        <v>58</v>
      </c>
      <c r="AD678" s="19" t="s">
        <v>1687</v>
      </c>
      <c r="AE678" s="19" t="s">
        <v>1676</v>
      </c>
      <c r="AF678" s="19"/>
    </row>
    <row r="679" spans="1:34">
      <c r="A679" s="19">
        <v>673</v>
      </c>
      <c r="B679" s="19" t="s">
        <v>1676</v>
      </c>
      <c r="C679" s="19" t="s">
        <v>374</v>
      </c>
      <c r="D679" s="19" t="str">
        <f>HYPERLINK("http://www.henontech.com/fieldsafety/harzard/harzard_show.php?rid=21788&amp;url=harzardrecs.php","西四岗位工作人员清理完卫生工具随意摆放，一旦皮带运行工具卷入皮带，造成皮带划伤。")</f>
        <v>西四岗位工作人员清理完卫生工具随意摆放，一旦皮带运行工具卷入皮带，造成皮带划伤。</v>
      </c>
      <c r="E679" s="19" t="s">
        <v>2305</v>
      </c>
      <c r="F679" s="20" t="s">
        <v>42</v>
      </c>
      <c r="G679" s="22" t="s">
        <v>63</v>
      </c>
      <c r="H679" s="19" t="s">
        <v>44</v>
      </c>
      <c r="I679" s="19" t="s">
        <v>108</v>
      </c>
      <c r="J679" s="19" t="s">
        <v>349</v>
      </c>
      <c r="K679" s="19" t="s">
        <v>110</v>
      </c>
      <c r="L679" s="19" t="s">
        <v>76</v>
      </c>
      <c r="M679" s="19" t="s">
        <v>364</v>
      </c>
      <c r="N679" s="19" t="s">
        <v>2854</v>
      </c>
      <c r="O679" s="19" t="s">
        <v>364</v>
      </c>
      <c r="P679" s="19" t="s">
        <v>1687</v>
      </c>
      <c r="Q679" s="19" t="s">
        <v>2819</v>
      </c>
      <c r="R679" s="19" t="s">
        <v>2056</v>
      </c>
      <c r="S679" s="19"/>
      <c r="T679" s="19" t="s">
        <v>189</v>
      </c>
      <c r="U679" s="19" t="s">
        <v>54</v>
      </c>
      <c r="V679" s="19" t="s">
        <v>55</v>
      </c>
      <c r="W679" s="19" t="s">
        <v>56</v>
      </c>
      <c r="X679" s="19"/>
      <c r="Y679" s="19"/>
      <c r="Z679" s="19" t="s">
        <v>2855</v>
      </c>
      <c r="AA679" s="19">
        <v>1</v>
      </c>
      <c r="AB679" s="19">
        <v>1</v>
      </c>
      <c r="AC679" s="19" t="s">
        <v>58</v>
      </c>
      <c r="AD679" s="19" t="s">
        <v>1687</v>
      </c>
      <c r="AE679" s="19" t="s">
        <v>1676</v>
      </c>
      <c r="AF679" s="19"/>
    </row>
    <row r="680" spans="1:34">
      <c r="A680" s="19">
        <v>674</v>
      </c>
      <c r="B680" s="19" t="s">
        <v>1676</v>
      </c>
      <c r="C680" s="19" t="s">
        <v>2782</v>
      </c>
      <c r="D680" s="19" t="str">
        <f>HYPERLINK("http://www.henontech.com/fieldsafety/harzard/harzard_show.php?rid=21789&amp;url=harzardrecs.php","35吨锅炉一层楼梯东侧地沟盖板破损，一名巡检工巡检时，不慎将盖板踩破掉入地沟，脚腕扭伤")</f>
        <v>35吨锅炉一层楼梯东侧地沟盖板破损，一名巡检工巡检时，不慎将盖板踩破掉入地沟，脚腕扭伤</v>
      </c>
      <c r="E680" s="19" t="s">
        <v>2856</v>
      </c>
      <c r="F680" s="26" t="s">
        <v>2035</v>
      </c>
      <c r="G680" s="19"/>
      <c r="H680" s="19" t="s">
        <v>44</v>
      </c>
      <c r="I680" s="19" t="s">
        <v>45</v>
      </c>
      <c r="J680" s="19" t="s">
        <v>109</v>
      </c>
      <c r="K680" s="19" t="s">
        <v>64</v>
      </c>
      <c r="L680" s="19"/>
      <c r="M680" s="19" t="s">
        <v>1033</v>
      </c>
      <c r="N680" s="19" t="s">
        <v>1568</v>
      </c>
      <c r="O680" s="19"/>
      <c r="P680" s="19"/>
      <c r="Q680" s="19"/>
      <c r="R680" s="19" t="s">
        <v>2857</v>
      </c>
      <c r="S680" s="19"/>
      <c r="T680" s="19" t="s">
        <v>53</v>
      </c>
      <c r="U680" s="19" t="s">
        <v>54</v>
      </c>
      <c r="V680" s="19" t="s">
        <v>55</v>
      </c>
      <c r="W680" s="19" t="s">
        <v>56</v>
      </c>
      <c r="X680" s="19"/>
      <c r="Y680" s="19"/>
      <c r="Z680" s="19"/>
      <c r="AA680" s="19"/>
      <c r="AB680" s="19"/>
      <c r="AC680" s="19" t="s">
        <v>308</v>
      </c>
      <c r="AD680" s="19"/>
      <c r="AE680" s="19"/>
      <c r="AF680" s="19"/>
    </row>
    <row r="681" spans="1:34">
      <c r="A681" s="19">
        <v>675</v>
      </c>
      <c r="B681" s="19" t="s">
        <v>1676</v>
      </c>
      <c r="C681" s="19" t="s">
        <v>2843</v>
      </c>
      <c r="D681" s="19" t="str">
        <f>HYPERLINK("http://www.henontech.com/fieldsafety/harzard/harzard_show.php?rid=21881&amp;url=harzardrecs.php","初冷器二层平台护栏缺失，如果一名操作工在操作时，不慎踩到平台外边，造成右腿轻微划伤，没有造成误工")</f>
        <v>初冷器二层平台护栏缺失，如果一名操作工在操作时，不慎踩到平台外边，造成右腿轻微划伤，没有造成误工</v>
      </c>
      <c r="E681" s="19" t="s">
        <v>2858</v>
      </c>
      <c r="F681" s="20" t="s">
        <v>42</v>
      </c>
      <c r="G681" s="22" t="s">
        <v>63</v>
      </c>
      <c r="H681" s="19" t="s">
        <v>44</v>
      </c>
      <c r="I681" s="19" t="s">
        <v>108</v>
      </c>
      <c r="J681" s="19" t="s">
        <v>46</v>
      </c>
      <c r="K681" s="19" t="s">
        <v>110</v>
      </c>
      <c r="L681" s="19" t="s">
        <v>76</v>
      </c>
      <c r="M681" s="19" t="s">
        <v>48</v>
      </c>
      <c r="N681" s="19" t="s">
        <v>1209</v>
      </c>
      <c r="O681" s="19" t="s">
        <v>48</v>
      </c>
      <c r="P681" s="19" t="s">
        <v>50</v>
      </c>
      <c r="Q681" s="19" t="s">
        <v>2819</v>
      </c>
      <c r="R681" s="19" t="s">
        <v>2859</v>
      </c>
      <c r="S681" s="19"/>
      <c r="T681" s="19" t="s">
        <v>53</v>
      </c>
      <c r="U681" s="19" t="s">
        <v>54</v>
      </c>
      <c r="V681" s="19" t="s">
        <v>55</v>
      </c>
      <c r="W681" s="19" t="s">
        <v>56</v>
      </c>
      <c r="X681" s="19"/>
      <c r="Y681" s="19"/>
      <c r="Z681" s="19" t="s">
        <v>2860</v>
      </c>
      <c r="AA681" s="19">
        <v>1</v>
      </c>
      <c r="AB681" s="19">
        <v>1</v>
      </c>
      <c r="AC681" s="19" t="s">
        <v>58</v>
      </c>
      <c r="AD681" s="19" t="s">
        <v>50</v>
      </c>
      <c r="AE681" s="19" t="s">
        <v>2297</v>
      </c>
      <c r="AF681" s="19"/>
    </row>
    <row r="682" spans="1:34">
      <c r="A682" s="19">
        <v>676</v>
      </c>
      <c r="B682" s="19" t="s">
        <v>1676</v>
      </c>
      <c r="C682" s="19" t="s">
        <v>374</v>
      </c>
      <c r="D682" s="19" t="str">
        <f>HYPERLINK("http://www.henontech.com/fieldsafety/harzard/harzard_show.php?rid=21900&amp;url=harzardrecs.php","西三行吊吊钩损坏，吊装过程中，一旦吊绳脱出吊钩，会导致货物自高空坠落，造成货物损坏，经济损失500元。")</f>
        <v>西三行吊吊钩损坏，吊装过程中，一旦吊绳脱出吊钩，会导致货物自高空坠落，造成货物损坏，经济损失500元。</v>
      </c>
      <c r="E682" s="19" t="s">
        <v>2861</v>
      </c>
      <c r="F682" s="20" t="s">
        <v>42</v>
      </c>
      <c r="G682" s="22" t="s">
        <v>63</v>
      </c>
      <c r="H682" s="19" t="s">
        <v>44</v>
      </c>
      <c r="I682" s="19" t="s">
        <v>108</v>
      </c>
      <c r="J682" s="19" t="s">
        <v>46</v>
      </c>
      <c r="K682" s="19" t="s">
        <v>110</v>
      </c>
      <c r="L682" s="19" t="s">
        <v>599</v>
      </c>
      <c r="M682" s="19" t="s">
        <v>364</v>
      </c>
      <c r="N682" s="19" t="s">
        <v>2862</v>
      </c>
      <c r="O682" s="19" t="s">
        <v>364</v>
      </c>
      <c r="P682" s="19" t="s">
        <v>377</v>
      </c>
      <c r="Q682" s="19" t="s">
        <v>2819</v>
      </c>
      <c r="R682" s="19" t="s">
        <v>1689</v>
      </c>
      <c r="S682" s="19"/>
      <c r="T682" s="19" t="s">
        <v>189</v>
      </c>
      <c r="U682" s="19" t="s">
        <v>202</v>
      </c>
      <c r="V682" s="19" t="s">
        <v>69</v>
      </c>
      <c r="W682" s="19" t="s">
        <v>56</v>
      </c>
      <c r="X682" s="19"/>
      <c r="Y682" s="19"/>
      <c r="Z682" s="19" t="s">
        <v>2863</v>
      </c>
      <c r="AA682" s="19">
        <v>1</v>
      </c>
      <c r="AB682" s="19">
        <v>1</v>
      </c>
      <c r="AC682" s="19" t="s">
        <v>58</v>
      </c>
      <c r="AD682" s="19" t="s">
        <v>377</v>
      </c>
      <c r="AE682" s="19" t="s">
        <v>1676</v>
      </c>
      <c r="AF682" s="19"/>
    </row>
    <row r="683" spans="1:34">
      <c r="A683" s="19">
        <v>677</v>
      </c>
      <c r="B683" s="19" t="s">
        <v>1676</v>
      </c>
      <c r="C683" s="19" t="s">
        <v>2106</v>
      </c>
      <c r="D683" s="19" t="str">
        <f>HYPERLINK("http://www.henontech.com/fieldsafety/harzard/harzard_show.php?rid=21906&amp;url=harzardrecs.php","硫铵四楼西结晶槽回液管阀兰焊接处漏液，假如一名操作工用塞子进行堵漏时，可能不慎被母液溅入左眼内，送医院治疗康复，损工2个月。")</f>
        <v>硫铵四楼西结晶槽回液管阀兰焊接处漏液，假如一名操作工用塞子进行堵漏时，可能不慎被母液溅入左眼内，送医院治疗康复，损工2个月。</v>
      </c>
      <c r="E683" s="19" t="s">
        <v>2864</v>
      </c>
      <c r="F683" s="20" t="s">
        <v>42</v>
      </c>
      <c r="G683" s="22" t="s">
        <v>63</v>
      </c>
      <c r="H683" s="19" t="s">
        <v>44</v>
      </c>
      <c r="I683" s="19" t="s">
        <v>108</v>
      </c>
      <c r="J683" s="19" t="s">
        <v>46</v>
      </c>
      <c r="K683" s="19" t="s">
        <v>64</v>
      </c>
      <c r="L683" s="19" t="s">
        <v>76</v>
      </c>
      <c r="M683" s="19" t="s">
        <v>48</v>
      </c>
      <c r="N683" s="19" t="s">
        <v>1222</v>
      </c>
      <c r="O683" s="19" t="s">
        <v>48</v>
      </c>
      <c r="P683" s="19" t="s">
        <v>50</v>
      </c>
      <c r="Q683" s="19" t="s">
        <v>2819</v>
      </c>
      <c r="R683" s="19" t="s">
        <v>2865</v>
      </c>
      <c r="S683" s="19"/>
      <c r="T683" s="19" t="s">
        <v>53</v>
      </c>
      <c r="U683" s="19" t="s">
        <v>54</v>
      </c>
      <c r="V683" s="19" t="s">
        <v>55</v>
      </c>
      <c r="W683" s="19" t="s">
        <v>56</v>
      </c>
      <c r="X683" s="19"/>
      <c r="Y683" s="19"/>
      <c r="Z683" s="19" t="s">
        <v>2866</v>
      </c>
      <c r="AA683" s="19">
        <v>1</v>
      </c>
      <c r="AB683" s="19">
        <v>1</v>
      </c>
      <c r="AC683" s="19" t="s">
        <v>58</v>
      </c>
      <c r="AD683" s="19" t="s">
        <v>50</v>
      </c>
      <c r="AE683" s="19" t="s">
        <v>1676</v>
      </c>
      <c r="AF683" s="19"/>
    </row>
    <row r="684" spans="1:34">
      <c r="A684" s="19">
        <v>678</v>
      </c>
      <c r="B684" s="19" t="s">
        <v>1676</v>
      </c>
      <c r="C684" s="19" t="s">
        <v>2033</v>
      </c>
      <c r="D684" s="19" t="str">
        <f>HYPERLINK("http://www.henontech.com/fieldsafety/harzard/harzard_show.php?rid=21966&amp;url=harzardrecs.php","5.5米焦炉干熄车南侧夹紧油缸销子锁帽松动，销子部分脱出，一旦油缸固定销轴全部脱落，会造成夹紧装置无法回位，被干熄车撞击扭曲变形，造成焦炉停运2.5小时，财产损失7万元。")</f>
        <v>5.5米焦炉干熄车南侧夹紧油缸销子锁帽松动，销子部分脱出，一旦油缸固定销轴全部脱落，会造成夹紧装置无法回位，被干熄车撞击扭曲变形，造成焦炉停运2.5小时，财产损失7万元。</v>
      </c>
      <c r="E684" s="19" t="s">
        <v>2867</v>
      </c>
      <c r="F684" s="25" t="s">
        <v>1455</v>
      </c>
      <c r="G684" s="22" t="s">
        <v>63</v>
      </c>
      <c r="H684" s="19" t="s">
        <v>44</v>
      </c>
      <c r="I684" s="19"/>
      <c r="J684" s="19" t="s">
        <v>46</v>
      </c>
      <c r="K684" s="19"/>
      <c r="L684" s="19"/>
      <c r="M684" s="19" t="s">
        <v>121</v>
      </c>
      <c r="N684" s="19" t="s">
        <v>2868</v>
      </c>
      <c r="O684" s="19" t="s">
        <v>121</v>
      </c>
      <c r="P684" s="19" t="s">
        <v>316</v>
      </c>
      <c r="Q684" s="19" t="s">
        <v>2744</v>
      </c>
      <c r="R684" s="19" t="s">
        <v>2869</v>
      </c>
      <c r="S684" s="19" t="s">
        <v>2746</v>
      </c>
      <c r="T684" s="19" t="s">
        <v>189</v>
      </c>
      <c r="U684" s="19" t="s">
        <v>80</v>
      </c>
      <c r="V684" s="19" t="s">
        <v>97</v>
      </c>
      <c r="W684" s="19" t="s">
        <v>70</v>
      </c>
      <c r="X684" s="19" t="s">
        <v>191</v>
      </c>
      <c r="Y684" s="19" t="s">
        <v>191</v>
      </c>
      <c r="Z684" s="19" t="s">
        <v>2870</v>
      </c>
      <c r="AA684" s="19">
        <v>1</v>
      </c>
      <c r="AB684" s="19"/>
      <c r="AC684" s="19" t="s">
        <v>308</v>
      </c>
      <c r="AD684" s="19"/>
      <c r="AE684" s="19"/>
      <c r="AF684" s="19"/>
    </row>
    <row r="685" spans="1:34" customHeight="1" ht="42">
      <c r="A685" s="19">
        <v>679</v>
      </c>
      <c r="B685" s="19" t="s">
        <v>1676</v>
      </c>
      <c r="C685" s="19" t="s">
        <v>2231</v>
      </c>
      <c r="D685" s="19" t="str">
        <f>HYPERLINK("http://www.henontech.com/fieldsafety/harzard/harzard_show.php?rid=21980&amp;url=harzardrecs.php","5.5米焦炉熄焦池熄焦泵接地线翘起，一旦操作工巡检途中被绊倒，造成人员磕伤肘部，损工2个月")</f>
        <v>5.5米焦炉熄焦池熄焦泵接地线翘起，一旦操作工巡检途中被绊倒，造成人员磕伤肘部，损工2个月</v>
      </c>
      <c r="E685" s="19" t="s">
        <v>2871</v>
      </c>
      <c r="F685" s="20" t="s">
        <v>42</v>
      </c>
      <c r="G685" s="22" t="s">
        <v>63</v>
      </c>
      <c r="H685" s="19" t="s">
        <v>44</v>
      </c>
      <c r="I685" s="19"/>
      <c r="J685" s="19" t="s">
        <v>46</v>
      </c>
      <c r="K685" s="19"/>
      <c r="L685" s="19"/>
      <c r="M685" s="19" t="s">
        <v>121</v>
      </c>
      <c r="N685" s="19" t="s">
        <v>2872</v>
      </c>
      <c r="O685" s="19" t="s">
        <v>121</v>
      </c>
      <c r="P685" s="19" t="s">
        <v>316</v>
      </c>
      <c r="Q685" s="19" t="s">
        <v>2819</v>
      </c>
      <c r="R685" s="19" t="s">
        <v>2873</v>
      </c>
      <c r="S685" s="19"/>
      <c r="T685" s="19" t="s">
        <v>53</v>
      </c>
      <c r="U685" s="19" t="s">
        <v>80</v>
      </c>
      <c r="V685" s="19" t="s">
        <v>97</v>
      </c>
      <c r="W685" s="19" t="s">
        <v>70</v>
      </c>
      <c r="X685" s="19" t="s">
        <v>191</v>
      </c>
      <c r="Y685" s="19"/>
      <c r="Z685" s="19" t="s">
        <v>2874</v>
      </c>
      <c r="AA685" s="19">
        <v>2</v>
      </c>
      <c r="AB685" s="19">
        <v>2</v>
      </c>
      <c r="AC685" s="19" t="s">
        <v>58</v>
      </c>
      <c r="AD685" s="19" t="s">
        <v>316</v>
      </c>
      <c r="AE685" s="19" t="s">
        <v>2297</v>
      </c>
      <c r="AF685" s="19"/>
    </row>
    <row r="686" spans="1:34" customHeight="1" ht="42">
      <c r="A686" s="19">
        <v>680</v>
      </c>
      <c r="B686" s="19" t="s">
        <v>1676</v>
      </c>
      <c r="C686" s="19" t="s">
        <v>1903</v>
      </c>
      <c r="D686" s="19" t="str">
        <f>HYPERLINK("http://www.henontech.com/fieldsafety/harzard/harzard_show.php?rid=21992&amp;url=harzardrecs.php","西一地沟护栏有一套管丢失，操作工在工作时划伤，人员受伤")</f>
        <v>西一地沟护栏有一套管丢失，操作工在工作时划伤，人员受伤</v>
      </c>
      <c r="E686" s="19" t="s">
        <v>53</v>
      </c>
      <c r="F686" s="20" t="s">
        <v>42</v>
      </c>
      <c r="G686" s="22" t="s">
        <v>63</v>
      </c>
      <c r="H686" s="19" t="s">
        <v>44</v>
      </c>
      <c r="I686" s="19" t="s">
        <v>108</v>
      </c>
      <c r="J686" s="19" t="s">
        <v>46</v>
      </c>
      <c r="K686" s="19" t="s">
        <v>110</v>
      </c>
      <c r="L686" s="19" t="s">
        <v>76</v>
      </c>
      <c r="M686" s="19" t="s">
        <v>364</v>
      </c>
      <c r="N686" s="19" t="s">
        <v>1966</v>
      </c>
      <c r="O686" s="19" t="s">
        <v>364</v>
      </c>
      <c r="P686" s="19" t="s">
        <v>425</v>
      </c>
      <c r="Q686" s="19" t="s">
        <v>1347</v>
      </c>
      <c r="R686" s="19" t="s">
        <v>2875</v>
      </c>
      <c r="S686" s="19"/>
      <c r="T686" s="19" t="s">
        <v>53</v>
      </c>
      <c r="U686" s="19" t="s">
        <v>54</v>
      </c>
      <c r="V686" s="19" t="s">
        <v>55</v>
      </c>
      <c r="W686" s="19" t="s">
        <v>56</v>
      </c>
      <c r="X686" s="19" t="s">
        <v>126</v>
      </c>
      <c r="Y686" s="19" t="s">
        <v>126</v>
      </c>
      <c r="Z686" s="19" t="s">
        <v>2876</v>
      </c>
      <c r="AA686" s="19">
        <v>2</v>
      </c>
      <c r="AB686" s="19">
        <v>2</v>
      </c>
      <c r="AC686" s="19" t="s">
        <v>58</v>
      </c>
      <c r="AD686" s="19" t="s">
        <v>425</v>
      </c>
      <c r="AE686" s="19" t="s">
        <v>1676</v>
      </c>
      <c r="AF686" s="19"/>
    </row>
    <row r="687" spans="1:34">
      <c r="A687" s="19">
        <v>681</v>
      </c>
      <c r="B687" s="19" t="s">
        <v>1676</v>
      </c>
      <c r="C687" s="19" t="s">
        <v>1903</v>
      </c>
      <c r="D687" s="19" t="str">
        <f>HYPERLINK("http://www.henontech.com/fieldsafety/harzard/harzard_show.php?rid=21993&amp;url=harzardrecs.php","东一岗位机头刮煤板刮皮磨损严重，一旦刮皮磨损至铁板处，将会造成胶带磨损加快，缩短使用周期。")</f>
        <v>东一岗位机头刮煤板刮皮磨损严重，一旦刮皮磨损至铁板处，将会造成胶带磨损加快，缩短使用周期。</v>
      </c>
      <c r="E687" s="19" t="s">
        <v>2877</v>
      </c>
      <c r="F687" s="20" t="s">
        <v>42</v>
      </c>
      <c r="G687" s="22" t="s">
        <v>63</v>
      </c>
      <c r="H687" s="19" t="s">
        <v>44</v>
      </c>
      <c r="I687" s="19" t="s">
        <v>45</v>
      </c>
      <c r="J687" s="19" t="s">
        <v>46</v>
      </c>
      <c r="K687" s="19" t="s">
        <v>110</v>
      </c>
      <c r="L687" s="19" t="s">
        <v>76</v>
      </c>
      <c r="M687" s="19" t="s">
        <v>364</v>
      </c>
      <c r="N687" s="19" t="s">
        <v>1975</v>
      </c>
      <c r="O687" s="19" t="s">
        <v>364</v>
      </c>
      <c r="P687" s="19" t="s">
        <v>1687</v>
      </c>
      <c r="Q687" s="19" t="s">
        <v>2519</v>
      </c>
      <c r="R687" s="19" t="s">
        <v>2588</v>
      </c>
      <c r="S687" s="19"/>
      <c r="T687" s="19" t="s">
        <v>189</v>
      </c>
      <c r="U687" s="19" t="s">
        <v>54</v>
      </c>
      <c r="V687" s="19" t="s">
        <v>55</v>
      </c>
      <c r="W687" s="19" t="s">
        <v>56</v>
      </c>
      <c r="X687" s="19"/>
      <c r="Y687" s="19"/>
      <c r="Z687" s="19" t="s">
        <v>2878</v>
      </c>
      <c r="AA687" s="19">
        <v>1</v>
      </c>
      <c r="AB687" s="19">
        <v>1</v>
      </c>
      <c r="AC687" s="19" t="s">
        <v>58</v>
      </c>
      <c r="AD687" s="19" t="s">
        <v>1687</v>
      </c>
      <c r="AE687" s="19" t="s">
        <v>2297</v>
      </c>
      <c r="AF687" s="19"/>
    </row>
    <row r="688" spans="1:34">
      <c r="A688" s="19">
        <v>682</v>
      </c>
      <c r="B688" s="19" t="s">
        <v>1676</v>
      </c>
      <c r="C688" s="19" t="s">
        <v>2879</v>
      </c>
      <c r="D688" s="19" t="str">
        <f>HYPERLINK("http://www.henontech.com/fieldsafety/harzard/harzard_show.php?rid=22000&amp;url=harzardrecs.php","2#中间水池铁篦子腐烂严重，一名操作工夜班巡检时由于视线不良。不慎右腿掉入水池，被浓硫酸灼伤，送医就诊康复后复工，灼伤右腿，损工一周")</f>
        <v>2#中间水池铁篦子腐烂严重，一名操作工夜班巡检时由于视线不良。不慎右腿掉入水池，被浓硫酸灼伤，送医就诊康复后复工，灼伤右腿，损工一周</v>
      </c>
      <c r="E688" s="19" t="s">
        <v>2880</v>
      </c>
      <c r="F688" s="26" t="s">
        <v>2035</v>
      </c>
      <c r="G688" s="19"/>
      <c r="H688" s="19" t="s">
        <v>44</v>
      </c>
      <c r="I688" s="19" t="s">
        <v>45</v>
      </c>
      <c r="J688" s="19" t="s">
        <v>109</v>
      </c>
      <c r="K688" s="19" t="s">
        <v>47</v>
      </c>
      <c r="L688" s="19"/>
      <c r="M688" s="19" t="s">
        <v>149</v>
      </c>
      <c r="N688" s="19" t="s">
        <v>2881</v>
      </c>
      <c r="O688" s="19"/>
      <c r="P688" s="19"/>
      <c r="Q688" s="19"/>
      <c r="R688" s="19" t="s">
        <v>2882</v>
      </c>
      <c r="S688" s="19"/>
      <c r="T688" s="19" t="s">
        <v>53</v>
      </c>
      <c r="U688" s="19" t="s">
        <v>54</v>
      </c>
      <c r="V688" s="19" t="s">
        <v>55</v>
      </c>
      <c r="W688" s="19" t="s">
        <v>56</v>
      </c>
      <c r="X688" s="19"/>
      <c r="Y688" s="19"/>
      <c r="Z688" s="19"/>
      <c r="AA688" s="19"/>
      <c r="AB688" s="19"/>
      <c r="AC688" s="19" t="s">
        <v>308</v>
      </c>
      <c r="AD688" s="19"/>
      <c r="AE688" s="19"/>
      <c r="AF688" s="19"/>
    </row>
    <row r="689" spans="1:34">
      <c r="A689" s="19">
        <v>683</v>
      </c>
      <c r="B689" s="19" t="s">
        <v>1676</v>
      </c>
      <c r="C689" s="19" t="s">
        <v>149</v>
      </c>
      <c r="D689" s="19" t="str">
        <f>HYPERLINK("http://www.henontech.com/fieldsafety/harzard/harzard_show.php?rid=22007&amp;url=harzardrecs.php","浓水阀门内漏造成浓水渗入地沟，被环保部门查获，造成公司财产损失三万元。")</f>
        <v>浓水阀门内漏造成浓水渗入地沟，被环保部门查获，造成公司财产损失三万元。</v>
      </c>
      <c r="E689" s="19" t="s">
        <v>2883</v>
      </c>
      <c r="F689" s="26" t="s">
        <v>2035</v>
      </c>
      <c r="G689" s="19"/>
      <c r="H689" s="19" t="s">
        <v>44</v>
      </c>
      <c r="I689" s="19" t="s">
        <v>108</v>
      </c>
      <c r="J689" s="19" t="s">
        <v>46</v>
      </c>
      <c r="K689" s="19" t="s">
        <v>102</v>
      </c>
      <c r="L689" s="19" t="s">
        <v>76</v>
      </c>
      <c r="M689" s="19" t="s">
        <v>149</v>
      </c>
      <c r="N689" s="19" t="s">
        <v>2884</v>
      </c>
      <c r="O689" s="19"/>
      <c r="P689" s="19"/>
      <c r="Q689" s="19"/>
      <c r="R689" s="19" t="s">
        <v>2885</v>
      </c>
      <c r="S689" s="19"/>
      <c r="T689" s="19" t="s">
        <v>393</v>
      </c>
      <c r="U689" s="19" t="s">
        <v>202</v>
      </c>
      <c r="V689" s="19" t="s">
        <v>55</v>
      </c>
      <c r="W689" s="19" t="s">
        <v>56</v>
      </c>
      <c r="X689" s="19"/>
      <c r="Y689" s="19"/>
      <c r="Z689" s="19"/>
      <c r="AA689" s="19"/>
      <c r="AB689" s="19"/>
      <c r="AC689" s="19" t="s">
        <v>308</v>
      </c>
      <c r="AD689" s="19"/>
      <c r="AE689" s="19"/>
      <c r="AF689" s="19"/>
    </row>
    <row r="690" spans="1:34">
      <c r="A690" s="19">
        <v>684</v>
      </c>
      <c r="B690" s="19" t="s">
        <v>2297</v>
      </c>
      <c r="C690" s="19" t="s">
        <v>1903</v>
      </c>
      <c r="D690" s="19" t="str">
        <f>HYPERLINK("http://www.henontech.com/fieldsafety/harzard/harzard_show.php?rid=22016&amp;url=harzardrecs.php","使用后的钎子未定置摆放，随手放在护栏上，一旦钎子掉落下面东五皮带上会造成皮带撕裂。")</f>
        <v>使用后的钎子未定置摆放，随手放在护栏上，一旦钎子掉落下面东五皮带上会造成皮带撕裂。</v>
      </c>
      <c r="E690" s="19" t="s">
        <v>2817</v>
      </c>
      <c r="F690" s="20" t="s">
        <v>42</v>
      </c>
      <c r="G690" s="22" t="s">
        <v>63</v>
      </c>
      <c r="H690" s="19" t="s">
        <v>44</v>
      </c>
      <c r="I690" s="19" t="s">
        <v>45</v>
      </c>
      <c r="J690" s="19"/>
      <c r="K690" s="19"/>
      <c r="L690" s="19" t="s">
        <v>76</v>
      </c>
      <c r="M690" s="19" t="s">
        <v>364</v>
      </c>
      <c r="N690" s="19" t="s">
        <v>2886</v>
      </c>
      <c r="O690" s="19" t="s">
        <v>364</v>
      </c>
      <c r="P690" s="19" t="s">
        <v>1687</v>
      </c>
      <c r="Q690" s="19" t="s">
        <v>2519</v>
      </c>
      <c r="R690" s="19" t="s">
        <v>2290</v>
      </c>
      <c r="S690" s="19"/>
      <c r="T690" s="19" t="s">
        <v>189</v>
      </c>
      <c r="U690" s="19" t="s">
        <v>202</v>
      </c>
      <c r="V690" s="19" t="s">
        <v>97</v>
      </c>
      <c r="W690" s="19" t="s">
        <v>56</v>
      </c>
      <c r="X690" s="19"/>
      <c r="Y690" s="19"/>
      <c r="Z690" s="19" t="s">
        <v>2887</v>
      </c>
      <c r="AA690" s="19">
        <v>1</v>
      </c>
      <c r="AB690" s="19">
        <v>1</v>
      </c>
      <c r="AC690" s="19" t="s">
        <v>58</v>
      </c>
      <c r="AD690" s="19" t="s">
        <v>1687</v>
      </c>
      <c r="AE690" s="19" t="s">
        <v>2297</v>
      </c>
      <c r="AF690" s="19"/>
    </row>
    <row r="691" spans="1:34">
      <c r="A691" s="19">
        <v>685</v>
      </c>
      <c r="B691" s="19" t="s">
        <v>2297</v>
      </c>
      <c r="C691" s="19" t="s">
        <v>1856</v>
      </c>
      <c r="D691" s="19" t="str">
        <f>HYPERLINK("http://www.henontech.com/fieldsafety/harzard/harzard_show.php?rid=22017&amp;url=harzardrecs.php","粗苯MVR一楼冷凝液泵漏水，一旦漏水严重，机封液罐抽空，将导致冷凝液泵，晶浆泵，原料泵，循环水泵机械密封损坏，直接造成MVR停工一天，财产损失2万元。")</f>
        <v>粗苯MVR一楼冷凝液泵漏水，一旦漏水严重，机封液罐抽空，将导致冷凝液泵，晶浆泵，原料泵，循环水泵机械密封损坏，直接造成MVR停工一天，财产损失2万元。</v>
      </c>
      <c r="E691" s="19" t="s">
        <v>2888</v>
      </c>
      <c r="F691" s="20" t="s">
        <v>42</v>
      </c>
      <c r="G691" s="22" t="s">
        <v>63</v>
      </c>
      <c r="H691" s="19" t="s">
        <v>44</v>
      </c>
      <c r="I691" s="19"/>
      <c r="J691" s="19" t="s">
        <v>46</v>
      </c>
      <c r="K691" s="19"/>
      <c r="L691" s="19"/>
      <c r="M691" s="19" t="s">
        <v>48</v>
      </c>
      <c r="N691" s="19" t="s">
        <v>2889</v>
      </c>
      <c r="O691" s="19" t="s">
        <v>48</v>
      </c>
      <c r="P691" s="19" t="s">
        <v>50</v>
      </c>
      <c r="Q691" s="19" t="s">
        <v>2519</v>
      </c>
      <c r="R691" s="19" t="s">
        <v>2890</v>
      </c>
      <c r="S691" s="19"/>
      <c r="T691" s="19" t="s">
        <v>189</v>
      </c>
      <c r="U691" s="19" t="s">
        <v>54</v>
      </c>
      <c r="V691" s="19" t="s">
        <v>69</v>
      </c>
      <c r="W691" s="19" t="s">
        <v>70</v>
      </c>
      <c r="X691" s="19"/>
      <c r="Y691" s="19"/>
      <c r="Z691" s="19" t="s">
        <v>2891</v>
      </c>
      <c r="AA691" s="19">
        <v>1</v>
      </c>
      <c r="AB691" s="19">
        <v>1</v>
      </c>
      <c r="AC691" s="19" t="s">
        <v>58</v>
      </c>
      <c r="AD691" s="19" t="s">
        <v>50</v>
      </c>
      <c r="AE691" s="19" t="s">
        <v>2297</v>
      </c>
      <c r="AF691" s="19"/>
    </row>
    <row r="692" spans="1:34">
      <c r="A692" s="19">
        <v>686</v>
      </c>
      <c r="B692" s="19" t="s">
        <v>2297</v>
      </c>
      <c r="C692" s="19" t="s">
        <v>2892</v>
      </c>
      <c r="D692" s="19" t="str">
        <f>HYPERLINK("http://www.henontech.com/fieldsafety/harzard/harzard_show.php?rid=22018&amp;url=harzardrecs.php","一名操作工在进行接电操作时，由于不小心触碰到其他电源，造成漏电伤害，从两米高处掉了下来，造成左手骨折，休息75天")</f>
        <v>一名操作工在进行接电操作时，由于不小心触碰到其他电源，造成漏电伤害，从两米高处掉了下来，造成左手骨折，休息75天</v>
      </c>
      <c r="E692" s="19" t="s">
        <v>2893</v>
      </c>
      <c r="F692" s="26" t="s">
        <v>2035</v>
      </c>
      <c r="G692" s="19"/>
      <c r="H692" s="19" t="s">
        <v>44</v>
      </c>
      <c r="I692" s="19" t="s">
        <v>358</v>
      </c>
      <c r="J692" s="19" t="s">
        <v>311</v>
      </c>
      <c r="K692" s="19" t="s">
        <v>64</v>
      </c>
      <c r="L692" s="19" t="s">
        <v>76</v>
      </c>
      <c r="M692" s="19" t="s">
        <v>149</v>
      </c>
      <c r="N692" s="19" t="s">
        <v>2894</v>
      </c>
      <c r="O692" s="19"/>
      <c r="P692" s="19"/>
      <c r="Q692" s="19"/>
      <c r="R692" s="19" t="s">
        <v>2895</v>
      </c>
      <c r="S692" s="19"/>
      <c r="T692" s="19" t="s">
        <v>53</v>
      </c>
      <c r="U692" s="19" t="s">
        <v>54</v>
      </c>
      <c r="V692" s="19" t="s">
        <v>97</v>
      </c>
      <c r="W692" s="19" t="s">
        <v>81</v>
      </c>
      <c r="X692" s="19"/>
      <c r="Y692" s="19"/>
      <c r="Z692" s="19"/>
      <c r="AA692" s="19"/>
      <c r="AB692" s="19"/>
      <c r="AC692" s="19" t="s">
        <v>308</v>
      </c>
      <c r="AD692" s="19"/>
      <c r="AE692" s="19"/>
      <c r="AF692" s="19"/>
    </row>
    <row r="693" spans="1:34">
      <c r="A693" s="19">
        <v>687</v>
      </c>
      <c r="B693" s="19" t="s">
        <v>2297</v>
      </c>
      <c r="C693" s="19" t="s">
        <v>149</v>
      </c>
      <c r="D693" s="19" t="str">
        <f>HYPERLINK("http://www.henontech.com/fieldsafety/harzard/harzard_show.php?rid=22019&amp;url=harzardrecs.php","污水池观察孔盖板缺失，异味散出，造成周边区域异味大，对环境产生污染。")</f>
        <v>污水池观察孔盖板缺失，异味散出，造成周边区域异味大，对环境产生污染。</v>
      </c>
      <c r="E693" s="19" t="s">
        <v>2896</v>
      </c>
      <c r="F693" s="26" t="s">
        <v>2035</v>
      </c>
      <c r="G693" s="19"/>
      <c r="H693" s="19" t="s">
        <v>44</v>
      </c>
      <c r="I693" s="19"/>
      <c r="J693" s="19" t="s">
        <v>46</v>
      </c>
      <c r="K693" s="19" t="s">
        <v>47</v>
      </c>
      <c r="L693" s="19"/>
      <c r="M693" s="19" t="s">
        <v>149</v>
      </c>
      <c r="N693" s="19" t="s">
        <v>2897</v>
      </c>
      <c r="O693" s="19"/>
      <c r="P693" s="19"/>
      <c r="Q693" s="19"/>
      <c r="R693" s="19" t="s">
        <v>2898</v>
      </c>
      <c r="S693" s="19"/>
      <c r="T693" s="19" t="s">
        <v>393</v>
      </c>
      <c r="U693" s="19" t="s">
        <v>54</v>
      </c>
      <c r="V693" s="19" t="s">
        <v>97</v>
      </c>
      <c r="W693" s="19" t="s">
        <v>81</v>
      </c>
      <c r="X693" s="19"/>
      <c r="Y693" s="19"/>
      <c r="Z693" s="19"/>
      <c r="AA693" s="19"/>
      <c r="AB693" s="19"/>
      <c r="AC693" s="19" t="s">
        <v>308</v>
      </c>
      <c r="AD693" s="19"/>
      <c r="AE693" s="19"/>
      <c r="AF693" s="19"/>
    </row>
    <row r="694" spans="1:34">
      <c r="A694" s="19">
        <v>688</v>
      </c>
      <c r="B694" s="19" t="s">
        <v>2297</v>
      </c>
      <c r="C694" s="19" t="s">
        <v>422</v>
      </c>
      <c r="D694" s="19" t="str">
        <f>HYPERLINK("http://www.henontech.com/fieldsafety/harzard/harzard_show.php?rid=22103&amp;url=harzardrecs.php","201配电室东侧下水道涝坑盖板缺失一块，一职工路径此处，一旦脚部不慎掉入，造成脚踝处表皮擦伤，去医务室敷药后回岗位继续工作")</f>
        <v>201配电室东侧下水道涝坑盖板缺失一块，一职工路径此处，一旦脚部不慎掉入，造成脚踝处表皮擦伤，去医务室敷药后回岗位继续工作</v>
      </c>
      <c r="E694" s="19" t="s">
        <v>53</v>
      </c>
      <c r="F694" s="20" t="s">
        <v>42</v>
      </c>
      <c r="G694" s="22" t="s">
        <v>63</v>
      </c>
      <c r="H694" s="19" t="s">
        <v>44</v>
      </c>
      <c r="I694" s="19" t="s">
        <v>108</v>
      </c>
      <c r="J694" s="19" t="s">
        <v>46</v>
      </c>
      <c r="K694" s="19" t="s">
        <v>47</v>
      </c>
      <c r="L694" s="19"/>
      <c r="M694" s="19" t="s">
        <v>364</v>
      </c>
      <c r="N694" s="19" t="s">
        <v>2899</v>
      </c>
      <c r="O694" s="19" t="s">
        <v>364</v>
      </c>
      <c r="P694" s="19" t="s">
        <v>377</v>
      </c>
      <c r="Q694" s="19" t="s">
        <v>1347</v>
      </c>
      <c r="R694" s="19" t="s">
        <v>2900</v>
      </c>
      <c r="S694" s="19"/>
      <c r="T694" s="19" t="s">
        <v>53</v>
      </c>
      <c r="U694" s="19" t="s">
        <v>80</v>
      </c>
      <c r="V694" s="19" t="s">
        <v>97</v>
      </c>
      <c r="W694" s="19" t="s">
        <v>70</v>
      </c>
      <c r="X694" s="19"/>
      <c r="Y694" s="19"/>
      <c r="Z694" s="19" t="s">
        <v>2901</v>
      </c>
      <c r="AA694" s="19">
        <v>1</v>
      </c>
      <c r="AB694" s="19">
        <v>1</v>
      </c>
      <c r="AC694" s="19" t="s">
        <v>58</v>
      </c>
      <c r="AD694" s="19" t="s">
        <v>377</v>
      </c>
      <c r="AE694" s="19" t="s">
        <v>1347</v>
      </c>
      <c r="AF694" s="19"/>
    </row>
    <row r="695" spans="1:34">
      <c r="A695" s="19">
        <v>689</v>
      </c>
      <c r="B695" s="19" t="s">
        <v>2297</v>
      </c>
      <c r="C695" s="19" t="s">
        <v>1856</v>
      </c>
      <c r="D695" s="19" t="str">
        <f>HYPERLINK("http://www.henontech.com/fieldsafety/harzard/harzard_show.php?rid=22152&amp;url=harzardrecs.php","粗苯计量槽顶部呼吸阀处，用棉毡缠绕覆盖，棉毡属于易燃可燃物，如发生燃烧引燃粗苯计量槽造成严重的火灾爆炸人员伤亡事故")</f>
        <v>粗苯计量槽顶部呼吸阀处，用棉毡缠绕覆盖，棉毡属于易燃可燃物，如发生燃烧引燃粗苯计量槽造成严重的火灾爆炸人员伤亡事故</v>
      </c>
      <c r="E695" s="19" t="s">
        <v>2902</v>
      </c>
      <c r="F695" s="25" t="s">
        <v>1455</v>
      </c>
      <c r="G695" s="22" t="s">
        <v>63</v>
      </c>
      <c r="H695" s="19" t="s">
        <v>44</v>
      </c>
      <c r="I695" s="19" t="s">
        <v>45</v>
      </c>
      <c r="J695" s="19" t="s">
        <v>580</v>
      </c>
      <c r="K695" s="19" t="s">
        <v>47</v>
      </c>
      <c r="L695" s="19" t="s">
        <v>76</v>
      </c>
      <c r="M695" s="19" t="s">
        <v>48</v>
      </c>
      <c r="N695" s="19" t="s">
        <v>1499</v>
      </c>
      <c r="O695" s="19" t="s">
        <v>48</v>
      </c>
      <c r="P695" s="19" t="s">
        <v>50</v>
      </c>
      <c r="Q695" s="19" t="s">
        <v>2519</v>
      </c>
      <c r="R695" s="19" t="s">
        <v>2903</v>
      </c>
      <c r="S695" s="19"/>
      <c r="T695" s="19" t="s">
        <v>53</v>
      </c>
      <c r="U695" s="19" t="s">
        <v>236</v>
      </c>
      <c r="V695" s="19" t="s">
        <v>55</v>
      </c>
      <c r="W695" s="19" t="s">
        <v>70</v>
      </c>
      <c r="X695" s="19"/>
      <c r="Y695" s="19"/>
      <c r="Z695" s="19" t="s">
        <v>2904</v>
      </c>
      <c r="AA695" s="19">
        <v>1</v>
      </c>
      <c r="AB695" s="19"/>
      <c r="AC695" s="19" t="s">
        <v>308</v>
      </c>
      <c r="AD695" s="19"/>
      <c r="AE695" s="19"/>
      <c r="AF695" s="19"/>
    </row>
    <row r="696" spans="1:34">
      <c r="A696" s="19">
        <v>690</v>
      </c>
      <c r="B696" s="19" t="s">
        <v>2297</v>
      </c>
      <c r="C696" s="19" t="s">
        <v>2905</v>
      </c>
      <c r="D696" s="19" t="str">
        <f>HYPERLINK("http://www.henontech.com/fieldsafety/harzard/harzard_show.php?rid=22165&amp;url=harzardrecs.php","一名脱硫操作工在夜间巡检时，由于光线暗，不慎掉入地沟内造成左腿小腿骨折。")</f>
        <v>一名脱硫操作工在夜间巡检时，由于光线暗，不慎掉入地沟内造成左腿小腿骨折。</v>
      </c>
      <c r="E696" s="19" t="s">
        <v>1748</v>
      </c>
      <c r="F696" s="26" t="s">
        <v>2035</v>
      </c>
      <c r="G696" s="19"/>
      <c r="H696" s="19" t="s">
        <v>44</v>
      </c>
      <c r="I696" s="19" t="s">
        <v>45</v>
      </c>
      <c r="J696" s="19" t="s">
        <v>46</v>
      </c>
      <c r="K696" s="19"/>
      <c r="L696" s="19"/>
      <c r="M696" s="19" t="s">
        <v>1033</v>
      </c>
      <c r="N696" s="19" t="s">
        <v>1557</v>
      </c>
      <c r="O696" s="19"/>
      <c r="P696" s="19"/>
      <c r="Q696" s="19"/>
      <c r="R696" s="19" t="s">
        <v>2906</v>
      </c>
      <c r="S696" s="19"/>
      <c r="T696" s="19" t="s">
        <v>53</v>
      </c>
      <c r="U696" s="19" t="s">
        <v>80</v>
      </c>
      <c r="V696" s="19" t="s">
        <v>97</v>
      </c>
      <c r="W696" s="19" t="s">
        <v>70</v>
      </c>
      <c r="X696" s="19"/>
      <c r="Y696" s="19"/>
      <c r="Z696" s="19"/>
      <c r="AA696" s="19"/>
      <c r="AB696" s="19"/>
      <c r="AC696" s="19" t="s">
        <v>308</v>
      </c>
      <c r="AD696" s="19"/>
      <c r="AE696" s="19"/>
      <c r="AF696" s="19"/>
    </row>
    <row r="697" spans="1:34">
      <c r="A697" s="19">
        <v>691</v>
      </c>
      <c r="B697" s="19" t="s">
        <v>2297</v>
      </c>
      <c r="C697" s="19" t="s">
        <v>2257</v>
      </c>
      <c r="D697" s="19" t="str">
        <f>HYPERLINK("http://www.henontech.com/fieldsafety/harzard/harzard_show.php?rid=22230&amp;url=harzardrecs.php","点名室门口玻璃滑落，如果一名操作人员从里面拉开门，有可能玻璃坠落划伤右手，迸医务室包扎后复工。")</f>
        <v>点名室门口玻璃滑落，如果一名操作人员从里面拉开门，有可能玻璃坠落划伤右手，迸医务室包扎后复工。</v>
      </c>
      <c r="E697" s="19" t="s">
        <v>2907</v>
      </c>
      <c r="F697" s="25" t="s">
        <v>1455</v>
      </c>
      <c r="G697" s="22" t="s">
        <v>63</v>
      </c>
      <c r="H697" s="19" t="s">
        <v>44</v>
      </c>
      <c r="I697" s="19" t="s">
        <v>45</v>
      </c>
      <c r="J697" s="19" t="s">
        <v>46</v>
      </c>
      <c r="K697" s="19" t="s">
        <v>64</v>
      </c>
      <c r="L697" s="19" t="s">
        <v>76</v>
      </c>
      <c r="M697" s="19" t="s">
        <v>48</v>
      </c>
      <c r="N697" s="19" t="s">
        <v>2908</v>
      </c>
      <c r="O697" s="19" t="s">
        <v>48</v>
      </c>
      <c r="P697" s="19" t="s">
        <v>50</v>
      </c>
      <c r="Q697" s="19" t="s">
        <v>2744</v>
      </c>
      <c r="R697" s="19" t="s">
        <v>2909</v>
      </c>
      <c r="S697" s="19"/>
      <c r="T697" s="19" t="s">
        <v>53</v>
      </c>
      <c r="U697" s="19" t="s">
        <v>54</v>
      </c>
      <c r="V697" s="19" t="s">
        <v>55</v>
      </c>
      <c r="W697" s="19" t="s">
        <v>56</v>
      </c>
      <c r="X697" s="19"/>
      <c r="Y697" s="19"/>
      <c r="Z697" s="19" t="s">
        <v>2910</v>
      </c>
      <c r="AA697" s="19">
        <v>1</v>
      </c>
      <c r="AB697" s="19"/>
      <c r="AC697" s="19" t="s">
        <v>308</v>
      </c>
      <c r="AD697" s="19"/>
      <c r="AE697" s="19"/>
      <c r="AF697" s="19"/>
    </row>
    <row r="698" spans="1:34">
      <c r="A698" s="19">
        <v>692</v>
      </c>
      <c r="B698" s="19" t="s">
        <v>2297</v>
      </c>
      <c r="C698" s="19" t="s">
        <v>384</v>
      </c>
      <c r="D698" s="19" t="str">
        <f>HYPERLINK("http://www.henontech.com/fieldsafety/harzard/harzard_show.php?rid=22381&amp;url=harzardrecs.php","南化产电捕后煤气下液管道阀门法兰处出现漏点，煤气泄露，当操作工到此处巡检作业时，处在下风口，造成1名操作工轻微煤气中毒，送医务室吸氧，去医院检查治疗，后在家休养2天后复工。")</f>
        <v>南化产电捕后煤气下液管道阀门法兰处出现漏点，煤气泄露，当操作工到此处巡检作业时，处在下风口，造成1名操作工轻微煤气中毒，送医务室吸氧，去医院检查治疗，后在家休养2天后复工。</v>
      </c>
      <c r="E698" s="19" t="s">
        <v>2911</v>
      </c>
      <c r="F698" s="25" t="s">
        <v>1455</v>
      </c>
      <c r="G698" s="22" t="s">
        <v>63</v>
      </c>
      <c r="H698" s="19" t="s">
        <v>44</v>
      </c>
      <c r="I698" s="19" t="s">
        <v>45</v>
      </c>
      <c r="J698" s="19" t="s">
        <v>46</v>
      </c>
      <c r="K698" s="19" t="s">
        <v>47</v>
      </c>
      <c r="L698" s="19" t="s">
        <v>76</v>
      </c>
      <c r="M698" s="19" t="s">
        <v>48</v>
      </c>
      <c r="N698" s="19" t="s">
        <v>2912</v>
      </c>
      <c r="O698" s="19" t="s">
        <v>48</v>
      </c>
      <c r="P698" s="19" t="s">
        <v>50</v>
      </c>
      <c r="Q698" s="19" t="s">
        <v>2913</v>
      </c>
      <c r="R698" s="19" t="s">
        <v>2914</v>
      </c>
      <c r="S698" s="19"/>
      <c r="T698" s="19" t="s">
        <v>53</v>
      </c>
      <c r="U698" s="19" t="s">
        <v>80</v>
      </c>
      <c r="V698" s="19" t="s">
        <v>97</v>
      </c>
      <c r="W698" s="19" t="s">
        <v>70</v>
      </c>
      <c r="X698" s="19"/>
      <c r="Y698" s="19"/>
      <c r="Z698" s="19" t="s">
        <v>2915</v>
      </c>
      <c r="AA698" s="19">
        <v>1</v>
      </c>
      <c r="AB698" s="19"/>
      <c r="AC698" s="19" t="s">
        <v>308</v>
      </c>
      <c r="AD698" s="19"/>
      <c r="AE698" s="19"/>
      <c r="AF698" s="19"/>
    </row>
    <row r="699" spans="1:34">
      <c r="A699" s="19">
        <v>693</v>
      </c>
      <c r="B699" s="19" t="s">
        <v>2297</v>
      </c>
      <c r="C699" s="19" t="s">
        <v>374</v>
      </c>
      <c r="D699" s="19" t="str">
        <f>HYPERLINK("http://www.henontech.com/fieldsafety/harzard/harzard_show.php?rid=22427&amp;url=harzardrecs.php","西一后尾一上托辊损坏！一旦开车运行不及时更换易造成皮带跑偏造成皮带划伤！")</f>
        <v>西一后尾一上托辊损坏！一旦开车运行不及时更换易造成皮带跑偏造成皮带划伤！</v>
      </c>
      <c r="E699" s="19" t="s">
        <v>2305</v>
      </c>
      <c r="F699" s="20" t="s">
        <v>42</v>
      </c>
      <c r="G699" s="22" t="s">
        <v>63</v>
      </c>
      <c r="H699" s="19" t="s">
        <v>44</v>
      </c>
      <c r="I699" s="19" t="s">
        <v>108</v>
      </c>
      <c r="J699" s="19" t="s">
        <v>46</v>
      </c>
      <c r="K699" s="19" t="s">
        <v>110</v>
      </c>
      <c r="L699" s="19" t="s">
        <v>76</v>
      </c>
      <c r="M699" s="19" t="s">
        <v>364</v>
      </c>
      <c r="N699" s="19" t="s">
        <v>2916</v>
      </c>
      <c r="O699" s="19" t="s">
        <v>364</v>
      </c>
      <c r="P699" s="19" t="s">
        <v>1687</v>
      </c>
      <c r="Q699" s="19" t="s">
        <v>2519</v>
      </c>
      <c r="R699" s="19" t="s">
        <v>1695</v>
      </c>
      <c r="S699" s="19"/>
      <c r="T699" s="19" t="s">
        <v>189</v>
      </c>
      <c r="U699" s="19" t="s">
        <v>54</v>
      </c>
      <c r="V699" s="19" t="s">
        <v>55</v>
      </c>
      <c r="W699" s="19" t="s">
        <v>56</v>
      </c>
      <c r="X699" s="19"/>
      <c r="Y699" s="19"/>
      <c r="Z699" s="19" t="s">
        <v>2917</v>
      </c>
      <c r="AA699" s="19">
        <v>1</v>
      </c>
      <c r="AB699" s="19">
        <v>1</v>
      </c>
      <c r="AC699" s="19" t="s">
        <v>58</v>
      </c>
      <c r="AD699" s="19" t="s">
        <v>1687</v>
      </c>
      <c r="AE699" s="19" t="s">
        <v>2297</v>
      </c>
      <c r="AF699" s="19"/>
    </row>
    <row r="700" spans="1:34">
      <c r="A700" s="19">
        <v>694</v>
      </c>
      <c r="B700" s="19" t="s">
        <v>2297</v>
      </c>
      <c r="C700" s="19" t="s">
        <v>422</v>
      </c>
      <c r="D700" s="19" t="str">
        <f>HYPERLINK("http://www.henontech.com/fieldsafety/harzard/harzard_show.php?rid=22439&amp;url=harzardrecs.php","东一2#给料机处一下调心托辊损坏！一旦不及时更换开车运行时易造成皮带跑偏划伤皮带！")</f>
        <v>东一2#给料机处一下调心托辊损坏！一旦不及时更换开车运行时易造成皮带跑偏划伤皮带！</v>
      </c>
      <c r="E700" s="19" t="s">
        <v>2305</v>
      </c>
      <c r="F700" s="20" t="s">
        <v>42</v>
      </c>
      <c r="G700" s="22" t="s">
        <v>63</v>
      </c>
      <c r="H700" s="19" t="s">
        <v>44</v>
      </c>
      <c r="I700" s="19" t="s">
        <v>108</v>
      </c>
      <c r="J700" s="19" t="s">
        <v>46</v>
      </c>
      <c r="K700" s="19" t="s">
        <v>110</v>
      </c>
      <c r="L700" s="19" t="s">
        <v>76</v>
      </c>
      <c r="M700" s="19" t="s">
        <v>364</v>
      </c>
      <c r="N700" s="19" t="s">
        <v>2918</v>
      </c>
      <c r="O700" s="19" t="s">
        <v>364</v>
      </c>
      <c r="P700" s="19" t="s">
        <v>1687</v>
      </c>
      <c r="Q700" s="19" t="s">
        <v>2519</v>
      </c>
      <c r="R700" s="19" t="s">
        <v>1056</v>
      </c>
      <c r="S700" s="19"/>
      <c r="T700" s="19" t="s">
        <v>189</v>
      </c>
      <c r="U700" s="19" t="s">
        <v>54</v>
      </c>
      <c r="V700" s="19" t="s">
        <v>55</v>
      </c>
      <c r="W700" s="19" t="s">
        <v>56</v>
      </c>
      <c r="X700" s="19"/>
      <c r="Y700" s="19"/>
      <c r="Z700" s="19" t="s">
        <v>2919</v>
      </c>
      <c r="AA700" s="19">
        <v>1</v>
      </c>
      <c r="AB700" s="19">
        <v>1</v>
      </c>
      <c r="AC700" s="19" t="s">
        <v>58</v>
      </c>
      <c r="AD700" s="19" t="s">
        <v>1687</v>
      </c>
      <c r="AE700" s="19" t="s">
        <v>2297</v>
      </c>
      <c r="AF700" s="19"/>
    </row>
    <row r="701" spans="1:34">
      <c r="A701" s="19">
        <v>695</v>
      </c>
      <c r="B701" s="19" t="s">
        <v>1347</v>
      </c>
      <c r="C701" s="19" t="s">
        <v>1964</v>
      </c>
      <c r="D701" s="19" t="str">
        <f>HYPERLINK("http://www.henontech.com/fieldsafety/harzard/harzard_show.php?rid=22505&amp;url=harzardrecs.php","西五机尾防护栏按装不到位，降低了防护栏防护作用，一旦岗位人员清理卫生容易造成肢体伤害。")</f>
        <v>西五机尾防护栏按装不到位，降低了防护栏防护作用，一旦岗位人员清理卫生容易造成肢体伤害。</v>
      </c>
      <c r="E701" s="19" t="s">
        <v>2920</v>
      </c>
      <c r="F701" s="20" t="s">
        <v>42</v>
      </c>
      <c r="G701" s="22" t="s">
        <v>63</v>
      </c>
      <c r="H701" s="19" t="s">
        <v>44</v>
      </c>
      <c r="I701" s="19" t="s">
        <v>108</v>
      </c>
      <c r="J701" s="19" t="s">
        <v>349</v>
      </c>
      <c r="K701" s="19" t="s">
        <v>110</v>
      </c>
      <c r="L701" s="19" t="s">
        <v>76</v>
      </c>
      <c r="M701" s="19" t="s">
        <v>364</v>
      </c>
      <c r="N701" s="19" t="s">
        <v>2921</v>
      </c>
      <c r="O701" s="19" t="s">
        <v>364</v>
      </c>
      <c r="P701" s="19" t="s">
        <v>1687</v>
      </c>
      <c r="Q701" s="19" t="s">
        <v>2744</v>
      </c>
      <c r="R701" s="19" t="s">
        <v>2128</v>
      </c>
      <c r="S701" s="19"/>
      <c r="T701" s="19" t="s">
        <v>53</v>
      </c>
      <c r="U701" s="19" t="s">
        <v>202</v>
      </c>
      <c r="V701" s="19" t="s">
        <v>97</v>
      </c>
      <c r="W701" s="19" t="s">
        <v>56</v>
      </c>
      <c r="X701" s="19"/>
      <c r="Y701" s="19"/>
      <c r="Z701" s="19" t="s">
        <v>2922</v>
      </c>
      <c r="AA701" s="19">
        <v>1</v>
      </c>
      <c r="AB701" s="19">
        <v>1</v>
      </c>
      <c r="AC701" s="19" t="s">
        <v>58</v>
      </c>
      <c r="AD701" s="19" t="s">
        <v>1687</v>
      </c>
      <c r="AE701" s="19" t="s">
        <v>1347</v>
      </c>
      <c r="AF701" s="19"/>
    </row>
    <row r="702" spans="1:34">
      <c r="A702" s="19">
        <v>696</v>
      </c>
      <c r="B702" s="19" t="s">
        <v>1347</v>
      </c>
      <c r="C702" s="19" t="s">
        <v>1925</v>
      </c>
      <c r="D702" s="19" t="str">
        <f>HYPERLINK("http://www.henontech.com/fieldsafety/harzard/harzard_show.php?rid=22538&amp;url=harzardrecs.php","南脱硫1#脱硫塔煤气出口压力变送器接线口未封堵，接线松动产生火花，邻近排污阀煤气泄露达到一定浓度发生着火事故！")</f>
        <v>南脱硫1#脱硫塔煤气出口压力变送器接线口未封堵，接线松动产生火花，邻近排污阀煤气泄露达到一定浓度发生着火事故！</v>
      </c>
      <c r="E702" s="19" t="s">
        <v>2923</v>
      </c>
      <c r="F702" s="20" t="s">
        <v>42</v>
      </c>
      <c r="G702" s="22" t="s">
        <v>63</v>
      </c>
      <c r="H702" s="19" t="s">
        <v>44</v>
      </c>
      <c r="I702" s="19" t="s">
        <v>45</v>
      </c>
      <c r="J702" s="19" t="s">
        <v>46</v>
      </c>
      <c r="K702" s="19" t="s">
        <v>47</v>
      </c>
      <c r="L702" s="19" t="s">
        <v>76</v>
      </c>
      <c r="M702" s="19" t="s">
        <v>48</v>
      </c>
      <c r="N702" s="19" t="s">
        <v>94</v>
      </c>
      <c r="O702" s="19" t="s">
        <v>48</v>
      </c>
      <c r="P702" s="19" t="s">
        <v>50</v>
      </c>
      <c r="Q702" s="19" t="s">
        <v>2913</v>
      </c>
      <c r="R702" s="19" t="s">
        <v>2924</v>
      </c>
      <c r="S702" s="19"/>
      <c r="T702" s="19" t="s">
        <v>53</v>
      </c>
      <c r="U702" s="19" t="s">
        <v>202</v>
      </c>
      <c r="V702" s="19" t="s">
        <v>55</v>
      </c>
      <c r="W702" s="19" t="s">
        <v>56</v>
      </c>
      <c r="X702" s="19"/>
      <c r="Y702" s="19"/>
      <c r="Z702" s="19" t="s">
        <v>2925</v>
      </c>
      <c r="AA702" s="19">
        <v>1</v>
      </c>
      <c r="AB702" s="19">
        <v>1</v>
      </c>
      <c r="AC702" s="19" t="s">
        <v>58</v>
      </c>
      <c r="AD702" s="19" t="s">
        <v>50</v>
      </c>
      <c r="AE702" s="19" t="s">
        <v>2467</v>
      </c>
      <c r="AF702" s="19"/>
    </row>
    <row r="703" spans="1:34">
      <c r="A703" s="19">
        <v>697</v>
      </c>
      <c r="B703" s="19" t="s">
        <v>1347</v>
      </c>
      <c r="C703" s="19" t="s">
        <v>2782</v>
      </c>
      <c r="D703" s="19" t="str">
        <f>HYPERLINK("http://www.henontech.com/fieldsafety/harzard/harzard_show.php?rid=22540&amp;url=harzardrecs.php","电伴热线裸露，造成触电事故")</f>
        <v>电伴热线裸露，造成触电事故</v>
      </c>
      <c r="E703" s="19" t="s">
        <v>2926</v>
      </c>
      <c r="F703" s="26" t="s">
        <v>2035</v>
      </c>
      <c r="G703" s="19"/>
      <c r="H703" s="19" t="s">
        <v>44</v>
      </c>
      <c r="I703" s="19" t="s">
        <v>108</v>
      </c>
      <c r="J703" s="19" t="s">
        <v>311</v>
      </c>
      <c r="K703" s="19" t="s">
        <v>47</v>
      </c>
      <c r="L703" s="19"/>
      <c r="M703" s="19" t="s">
        <v>1033</v>
      </c>
      <c r="N703" s="19" t="s">
        <v>1464</v>
      </c>
      <c r="O703" s="19"/>
      <c r="P703" s="19"/>
      <c r="Q703" s="19"/>
      <c r="R703" s="19" t="s">
        <v>2927</v>
      </c>
      <c r="S703" s="19"/>
      <c r="T703" s="19" t="s">
        <v>53</v>
      </c>
      <c r="U703" s="19" t="s">
        <v>80</v>
      </c>
      <c r="V703" s="19" t="s">
        <v>55</v>
      </c>
      <c r="W703" s="19" t="s">
        <v>81</v>
      </c>
      <c r="X703" s="19"/>
      <c r="Y703" s="19"/>
      <c r="Z703" s="19"/>
      <c r="AA703" s="19"/>
      <c r="AB703" s="19"/>
      <c r="AC703" s="19" t="s">
        <v>308</v>
      </c>
      <c r="AD703" s="19"/>
      <c r="AE703" s="19"/>
      <c r="AF703" s="19"/>
    </row>
    <row r="704" spans="1:34">
      <c r="A704" s="19">
        <v>698</v>
      </c>
      <c r="B704" s="19" t="s">
        <v>1347</v>
      </c>
      <c r="C704" s="19" t="s">
        <v>2551</v>
      </c>
      <c r="D704" s="19" t="str">
        <f>HYPERLINK("http://www.henontech.com/fieldsafety/harzard/harzard_show.php?rid=22567&amp;url=harzardrecs.php","发苯电动阀气源管道为塑料材质，风吹日晒老化泄露，导致发苯阀关闭，造成粗苯计量槽溢流，发生粗苯泄露事故，操作人员巡检至此吸入高浓度苯气造成苯中毒。")</f>
        <v>发苯电动阀气源管道为塑料材质，风吹日晒老化泄露，导致发苯阀关闭，造成粗苯计量槽溢流，发生粗苯泄露事故，操作人员巡检至此吸入高浓度苯气造成苯中毒。</v>
      </c>
      <c r="E704" s="19" t="s">
        <v>2928</v>
      </c>
      <c r="F704" s="25" t="s">
        <v>1455</v>
      </c>
      <c r="G704" s="22" t="s">
        <v>63</v>
      </c>
      <c r="H704" s="19" t="s">
        <v>44</v>
      </c>
      <c r="I704" s="19" t="s">
        <v>108</v>
      </c>
      <c r="J704" s="19" t="s">
        <v>46</v>
      </c>
      <c r="K704" s="19" t="s">
        <v>47</v>
      </c>
      <c r="L704" s="19" t="s">
        <v>76</v>
      </c>
      <c r="M704" s="19" t="s">
        <v>48</v>
      </c>
      <c r="N704" s="19" t="s">
        <v>200</v>
      </c>
      <c r="O704" s="19" t="s">
        <v>48</v>
      </c>
      <c r="P704" s="19" t="s">
        <v>50</v>
      </c>
      <c r="Q704" s="19" t="s">
        <v>2913</v>
      </c>
      <c r="R704" s="19" t="s">
        <v>2903</v>
      </c>
      <c r="S704" s="19"/>
      <c r="T704" s="19" t="s">
        <v>53</v>
      </c>
      <c r="U704" s="19" t="s">
        <v>80</v>
      </c>
      <c r="V704" s="19" t="s">
        <v>55</v>
      </c>
      <c r="W704" s="19" t="s">
        <v>81</v>
      </c>
      <c r="X704" s="19"/>
      <c r="Y704" s="19"/>
      <c r="Z704" s="19" t="s">
        <v>2929</v>
      </c>
      <c r="AA704" s="19">
        <v>1</v>
      </c>
      <c r="AB704" s="19"/>
      <c r="AC704" s="19" t="s">
        <v>308</v>
      </c>
      <c r="AD704" s="19"/>
      <c r="AE704" s="19"/>
      <c r="AF704" s="19"/>
    </row>
    <row r="705" spans="1:34" customHeight="1" ht="42">
      <c r="A705" s="19">
        <v>699</v>
      </c>
      <c r="B705" s="19" t="s">
        <v>1347</v>
      </c>
      <c r="C705" s="19" t="s">
        <v>2375</v>
      </c>
      <c r="D705" s="19" t="str">
        <f>HYPERLINK("http://www.henontech.com/fieldsafety/harzard/harzard_show.php?rid=22585&amp;url=harzardrecs.php","机侧道轨接头开焊，推焦车在行走过程中卡住，导致不能正常出焦，停工检修历时1小时，少出3孔焦，造成经济损失约5万元。")</f>
        <v>机侧道轨接头开焊，推焦车在行走过程中卡住，导致不能正常出焦，停工检修历时1小时，少出3孔焦，造成经济损失约5万元。</v>
      </c>
      <c r="E705" s="19" t="s">
        <v>2930</v>
      </c>
      <c r="F705" s="25" t="s">
        <v>1455</v>
      </c>
      <c r="G705" s="22" t="s">
        <v>63</v>
      </c>
      <c r="H705" s="19" t="s">
        <v>44</v>
      </c>
      <c r="I705" s="19" t="s">
        <v>2000</v>
      </c>
      <c r="J705" s="19" t="s">
        <v>46</v>
      </c>
      <c r="K705" s="19" t="s">
        <v>110</v>
      </c>
      <c r="L705" s="19"/>
      <c r="M705" s="19" t="s">
        <v>121</v>
      </c>
      <c r="N705" s="19" t="s">
        <v>2931</v>
      </c>
      <c r="O705" s="19" t="s">
        <v>121</v>
      </c>
      <c r="P705" s="19" t="s">
        <v>316</v>
      </c>
      <c r="Q705" s="19" t="s">
        <v>2363</v>
      </c>
      <c r="R705" s="19" t="s">
        <v>1357</v>
      </c>
      <c r="S705" s="19"/>
      <c r="T705" s="19" t="s">
        <v>189</v>
      </c>
      <c r="U705" s="19" t="s">
        <v>54</v>
      </c>
      <c r="V705" s="19" t="s">
        <v>97</v>
      </c>
      <c r="W705" s="19" t="s">
        <v>81</v>
      </c>
      <c r="X705" s="19" t="s">
        <v>154</v>
      </c>
      <c r="Y705" s="19"/>
      <c r="Z705" s="19" t="s">
        <v>2932</v>
      </c>
      <c r="AA705" s="19">
        <v>2</v>
      </c>
      <c r="AB705" s="19"/>
      <c r="AC705" s="19" t="s">
        <v>308</v>
      </c>
      <c r="AD705" s="19"/>
      <c r="AE705" s="19"/>
      <c r="AF705" s="19"/>
    </row>
    <row r="706" spans="1:34" customHeight="1" ht="42">
      <c r="A706" s="19">
        <v>700</v>
      </c>
      <c r="B706" s="19" t="s">
        <v>1347</v>
      </c>
      <c r="C706" s="19" t="s">
        <v>1357</v>
      </c>
      <c r="D706" s="19" t="str">
        <f>HYPERLINK("http://www.henontech.com/fieldsafety/harzard/harzard_show.php?rid=22606&amp;url=harzardrecs.php","罗瓷鼓风机吹灰管道若不加装法兰一旦管道堵塞鼓风机吹灰吹不动，导致鼓风机压力过大，导致电机烧坏")</f>
        <v>罗瓷鼓风机吹灰管道若不加装法兰一旦管道堵塞鼓风机吹灰吹不动，导致鼓风机压力过大，导致电机烧坏</v>
      </c>
      <c r="E706" s="19" t="s">
        <v>2933</v>
      </c>
      <c r="F706" s="25" t="s">
        <v>1455</v>
      </c>
      <c r="G706" s="22" t="s">
        <v>63</v>
      </c>
      <c r="H706" s="19" t="s">
        <v>44</v>
      </c>
      <c r="I706" s="19" t="s">
        <v>108</v>
      </c>
      <c r="J706" s="19" t="s">
        <v>46</v>
      </c>
      <c r="K706" s="19" t="s">
        <v>102</v>
      </c>
      <c r="L706" s="19" t="s">
        <v>76</v>
      </c>
      <c r="M706" s="19" t="s">
        <v>121</v>
      </c>
      <c r="N706" s="19" t="s">
        <v>1994</v>
      </c>
      <c r="O706" s="19" t="s">
        <v>121</v>
      </c>
      <c r="P706" s="19" t="s">
        <v>316</v>
      </c>
      <c r="Q706" s="19" t="s">
        <v>2363</v>
      </c>
      <c r="R706" s="19" t="s">
        <v>2934</v>
      </c>
      <c r="S706" s="19"/>
      <c r="T706" s="19" t="s">
        <v>189</v>
      </c>
      <c r="U706" s="19" t="s">
        <v>54</v>
      </c>
      <c r="V706" s="19" t="s">
        <v>97</v>
      </c>
      <c r="W706" s="19" t="s">
        <v>81</v>
      </c>
      <c r="X706" s="19" t="s">
        <v>258</v>
      </c>
      <c r="Y706" s="19"/>
      <c r="Z706" s="19" t="s">
        <v>2935</v>
      </c>
      <c r="AA706" s="19">
        <v>2</v>
      </c>
      <c r="AB706" s="19"/>
      <c r="AC706" s="19" t="s">
        <v>308</v>
      </c>
      <c r="AD706" s="19"/>
      <c r="AE706" s="19"/>
      <c r="AF706" s="19"/>
    </row>
    <row r="707" spans="1:34">
      <c r="A707" s="19">
        <v>701</v>
      </c>
      <c r="B707" s="19" t="s">
        <v>1347</v>
      </c>
      <c r="C707" s="19" t="s">
        <v>2257</v>
      </c>
      <c r="D707" s="19" t="str">
        <f>HYPERLINK("http://www.henontech.com/fieldsafety/harzard/harzard_show.php?rid=22640&amp;url=harzardrecs.php","南化产风机施工现场气割线路施工完毕后未按规定收起，造成夜班一名职工巡检到此时，被线路拌倒，造成脸部擦伤，去医务室处理后正常上班")</f>
        <v>南化产风机施工现场气割线路施工完毕后未按规定收起，造成夜班一名职工巡检到此时，被线路拌倒，造成脸部擦伤，去医务室处理后正常上班</v>
      </c>
      <c r="E707" s="19" t="s">
        <v>2936</v>
      </c>
      <c r="F707" s="25" t="s">
        <v>1455</v>
      </c>
      <c r="G707" s="22" t="s">
        <v>63</v>
      </c>
      <c r="H707" s="19" t="s">
        <v>44</v>
      </c>
      <c r="I707" s="19" t="s">
        <v>45</v>
      </c>
      <c r="J707" s="19"/>
      <c r="K707" s="19"/>
      <c r="L707" s="19"/>
      <c r="M707" s="19" t="s">
        <v>48</v>
      </c>
      <c r="N707" s="19" t="s">
        <v>2023</v>
      </c>
      <c r="O707" s="19" t="s">
        <v>48</v>
      </c>
      <c r="P707" s="19" t="s">
        <v>50</v>
      </c>
      <c r="Q707" s="19" t="s">
        <v>2744</v>
      </c>
      <c r="R707" s="19" t="s">
        <v>2937</v>
      </c>
      <c r="S707" s="19"/>
      <c r="T707" s="19" t="s">
        <v>53</v>
      </c>
      <c r="U707" s="19" t="s">
        <v>54</v>
      </c>
      <c r="V707" s="19" t="s">
        <v>97</v>
      </c>
      <c r="W707" s="19" t="s">
        <v>81</v>
      </c>
      <c r="X707" s="19"/>
      <c r="Y707" s="19"/>
      <c r="Z707" s="19" t="s">
        <v>2938</v>
      </c>
      <c r="AA707" s="19">
        <v>1</v>
      </c>
      <c r="AB707" s="19"/>
      <c r="AC707" s="19" t="s">
        <v>308</v>
      </c>
      <c r="AD707" s="19"/>
      <c r="AE707" s="19"/>
      <c r="AF707" s="19"/>
    </row>
    <row r="708" spans="1:34">
      <c r="A708" s="19">
        <v>702</v>
      </c>
      <c r="B708" s="19" t="s">
        <v>1347</v>
      </c>
      <c r="C708" s="19" t="s">
        <v>2939</v>
      </c>
      <c r="D708" s="19" t="str">
        <f>HYPERLINK("http://www.henontech.com/fieldsafety/harzard/harzard_show.php?rid=22684&amp;url=harzardrecs.php","粗苯东废水罐顶部管道腐蚀泄漏，如果操作工向罐内抽水时发现不及时，有可能会造成废水顺着罐体泄漏至地面造成环境污染。")</f>
        <v>粗苯东废水罐顶部管道腐蚀泄漏，如果操作工向罐内抽水时发现不及时，有可能会造成废水顺着罐体泄漏至地面造成环境污染。</v>
      </c>
      <c r="E708" s="19" t="s">
        <v>2940</v>
      </c>
      <c r="F708" s="20" t="s">
        <v>42</v>
      </c>
      <c r="G708" s="22" t="s">
        <v>63</v>
      </c>
      <c r="H708" s="19" t="s">
        <v>44</v>
      </c>
      <c r="I708" s="19" t="s">
        <v>358</v>
      </c>
      <c r="J708" s="19" t="s">
        <v>46</v>
      </c>
      <c r="K708" s="19" t="s">
        <v>110</v>
      </c>
      <c r="L708" s="19" t="s">
        <v>76</v>
      </c>
      <c r="M708" s="19" t="s">
        <v>48</v>
      </c>
      <c r="N708" s="19" t="s">
        <v>241</v>
      </c>
      <c r="O708" s="19" t="s">
        <v>48</v>
      </c>
      <c r="P708" s="19" t="s">
        <v>50</v>
      </c>
      <c r="Q708" s="19" t="s">
        <v>2744</v>
      </c>
      <c r="R708" s="19" t="s">
        <v>2941</v>
      </c>
      <c r="S708" s="19"/>
      <c r="T708" s="19" t="s">
        <v>393</v>
      </c>
      <c r="U708" s="19" t="s">
        <v>202</v>
      </c>
      <c r="V708" s="19" t="s">
        <v>69</v>
      </c>
      <c r="W708" s="19" t="s">
        <v>56</v>
      </c>
      <c r="X708" s="19"/>
      <c r="Y708" s="19"/>
      <c r="Z708" s="19" t="s">
        <v>1648</v>
      </c>
      <c r="AA708" s="19">
        <v>1</v>
      </c>
      <c r="AB708" s="19">
        <v>1</v>
      </c>
      <c r="AC708" s="19" t="s">
        <v>58</v>
      </c>
      <c r="AD708" s="19" t="s">
        <v>50</v>
      </c>
      <c r="AE708" s="19" t="s">
        <v>2467</v>
      </c>
      <c r="AF708" s="19"/>
    </row>
    <row r="709" spans="1:34">
      <c r="A709" s="19">
        <v>703</v>
      </c>
      <c r="B709" s="19" t="s">
        <v>1347</v>
      </c>
      <c r="C709" s="19" t="s">
        <v>1647</v>
      </c>
      <c r="D709" s="19" t="str">
        <f>HYPERLINK("http://www.henontech.com/fieldsafety/harzard/harzard_show.php?rid=22685&amp;url=harzardrecs.php","深度脱硫加碱槽盖板放置不规范没有及时归位，如果夜间视线不良一名操作工从楼梯上下来巡检，没有发现此盖板，有可能会被绊倒，造成膝盖轻微擦伤，简单处理后复工，不影响生产。")</f>
        <v>深度脱硫加碱槽盖板放置不规范没有及时归位，如果夜间视线不良一名操作工从楼梯上下来巡检，没有发现此盖板，有可能会被绊倒，造成膝盖轻微擦伤，简单处理后复工，不影响生产。</v>
      </c>
      <c r="E709" s="19" t="s">
        <v>2942</v>
      </c>
      <c r="F709" s="20" t="s">
        <v>42</v>
      </c>
      <c r="G709" s="22" t="s">
        <v>63</v>
      </c>
      <c r="H709" s="19" t="s">
        <v>44</v>
      </c>
      <c r="I709" s="19" t="s">
        <v>45</v>
      </c>
      <c r="J709" s="19" t="s">
        <v>109</v>
      </c>
      <c r="K709" s="19" t="s">
        <v>110</v>
      </c>
      <c r="L709" s="19" t="s">
        <v>76</v>
      </c>
      <c r="M709" s="19" t="s">
        <v>48</v>
      </c>
      <c r="N709" s="19" t="s">
        <v>2943</v>
      </c>
      <c r="O709" s="19" t="s">
        <v>48</v>
      </c>
      <c r="P709" s="19" t="s">
        <v>50</v>
      </c>
      <c r="Q709" s="19" t="s">
        <v>2744</v>
      </c>
      <c r="R709" s="19" t="s">
        <v>2944</v>
      </c>
      <c r="S709" s="19"/>
      <c r="T709" s="19" t="s">
        <v>53</v>
      </c>
      <c r="U709" s="19" t="s">
        <v>54</v>
      </c>
      <c r="V709" s="19" t="s">
        <v>55</v>
      </c>
      <c r="W709" s="19" t="s">
        <v>56</v>
      </c>
      <c r="X709" s="19"/>
      <c r="Y709" s="19"/>
      <c r="Z709" s="19" t="s">
        <v>2945</v>
      </c>
      <c r="AA709" s="19">
        <v>1</v>
      </c>
      <c r="AB709" s="19">
        <v>1</v>
      </c>
      <c r="AC709" s="19" t="s">
        <v>58</v>
      </c>
      <c r="AD709" s="19" t="s">
        <v>50</v>
      </c>
      <c r="AE709" s="19" t="s">
        <v>2467</v>
      </c>
      <c r="AF709" s="19"/>
    </row>
    <row r="710" spans="1:34">
      <c r="A710" s="19">
        <v>704</v>
      </c>
      <c r="B710" s="19" t="s">
        <v>1347</v>
      </c>
      <c r="C710" s="19" t="s">
        <v>2946</v>
      </c>
      <c r="D710" s="19" t="str">
        <f>HYPERLINK("http://www.henontech.com/fieldsafety/harzard/harzard_show.php?rid=22686&amp;url=harzardrecs.php","汽轮机排气阀漏蒸气，一巡检工在打扫卫生时，可能导致右手烫伤，立即用清水冲洗后恢复正常，无损工。")</f>
        <v>汽轮机排气阀漏蒸气，一巡检工在打扫卫生时，可能导致右手烫伤，立即用清水冲洗后恢复正常，无损工。</v>
      </c>
      <c r="E710" s="19" t="s">
        <v>2947</v>
      </c>
      <c r="F710" s="26" t="s">
        <v>2035</v>
      </c>
      <c r="G710" s="19"/>
      <c r="H710" s="19" t="s">
        <v>44</v>
      </c>
      <c r="I710" s="19" t="s">
        <v>120</v>
      </c>
      <c r="J710" s="19" t="s">
        <v>826</v>
      </c>
      <c r="K710" s="19" t="s">
        <v>64</v>
      </c>
      <c r="L710" s="19" t="s">
        <v>76</v>
      </c>
      <c r="M710" s="19" t="s">
        <v>1033</v>
      </c>
      <c r="N710" s="19" t="s">
        <v>1539</v>
      </c>
      <c r="O710" s="19"/>
      <c r="P710" s="19"/>
      <c r="Q710" s="19"/>
      <c r="R710" s="19" t="s">
        <v>2948</v>
      </c>
      <c r="S710" s="19"/>
      <c r="T710" s="19" t="s">
        <v>53</v>
      </c>
      <c r="U710" s="19" t="s">
        <v>54</v>
      </c>
      <c r="V710" s="19" t="s">
        <v>55</v>
      </c>
      <c r="W710" s="19" t="s">
        <v>56</v>
      </c>
      <c r="X710" s="19"/>
      <c r="Y710" s="19"/>
      <c r="Z710" s="19"/>
      <c r="AA710" s="19"/>
      <c r="AB710" s="19"/>
      <c r="AC710" s="19" t="s">
        <v>308</v>
      </c>
      <c r="AD710" s="19"/>
      <c r="AE710" s="19"/>
      <c r="AF710" s="19"/>
    </row>
    <row r="711" spans="1:34">
      <c r="A711" s="19">
        <v>705</v>
      </c>
      <c r="B711" s="19" t="s">
        <v>1347</v>
      </c>
      <c r="C711" s="19" t="s">
        <v>1932</v>
      </c>
      <c r="D711" s="19" t="str">
        <f>HYPERLINK("http://www.henontech.com/fieldsafety/harzard/harzard_show.php?rid=22693&amp;url=harzardrecs.php","外协保温人员登高未系安全带，假如在管道上人员工作时重心不稳，从管道上掉跳落，距离地面三米，落地时造成右脚扭伤，去医院简单治疗后继续上班，无损工。")</f>
        <v>外协保温人员登高未系安全带，假如在管道上人员工作时重心不稳，从管道上掉跳落，距离地面三米，落地时造成右脚扭伤，去医院简单治疗后继续上班，无损工。</v>
      </c>
      <c r="E711" s="19" t="s">
        <v>2949</v>
      </c>
      <c r="F711" s="20" t="s">
        <v>42</v>
      </c>
      <c r="G711" s="22" t="s">
        <v>63</v>
      </c>
      <c r="H711" s="19" t="s">
        <v>44</v>
      </c>
      <c r="I711" s="19" t="s">
        <v>120</v>
      </c>
      <c r="J711" s="19" t="s">
        <v>46</v>
      </c>
      <c r="K711" s="19" t="s">
        <v>47</v>
      </c>
      <c r="L711" s="19"/>
      <c r="M711" s="19" t="s">
        <v>48</v>
      </c>
      <c r="N711" s="19" t="s">
        <v>693</v>
      </c>
      <c r="O711" s="19" t="s">
        <v>48</v>
      </c>
      <c r="P711" s="19" t="s">
        <v>50</v>
      </c>
      <c r="Q711" s="19" t="s">
        <v>2744</v>
      </c>
      <c r="R711" s="19" t="s">
        <v>2950</v>
      </c>
      <c r="S711" s="19"/>
      <c r="T711" s="19" t="s">
        <v>53</v>
      </c>
      <c r="U711" s="19" t="s">
        <v>54</v>
      </c>
      <c r="V711" s="19" t="s">
        <v>55</v>
      </c>
      <c r="W711" s="19" t="s">
        <v>56</v>
      </c>
      <c r="X711" s="19"/>
      <c r="Y711" s="19"/>
      <c r="Z711" s="19" t="s">
        <v>2951</v>
      </c>
      <c r="AA711" s="19">
        <v>1</v>
      </c>
      <c r="AB711" s="19">
        <v>1</v>
      </c>
      <c r="AC711" s="19" t="s">
        <v>58</v>
      </c>
      <c r="AD711" s="19" t="s">
        <v>50</v>
      </c>
      <c r="AE711" s="19" t="s">
        <v>2467</v>
      </c>
      <c r="AF711" s="19"/>
    </row>
    <row r="712" spans="1:34">
      <c r="A712" s="19">
        <v>706</v>
      </c>
      <c r="B712" s="19" t="s">
        <v>1347</v>
      </c>
      <c r="C712" s="19" t="s">
        <v>2017</v>
      </c>
      <c r="D712" s="19" t="str">
        <f>HYPERLINK("http://www.henontech.com/fieldsafety/harzard/harzard_show.php?rid=22701&amp;url=harzardrecs.php","一名冷凝操作工在巡检时发现2#高压氨水泵电机风扇破裂，假如巡检人员发现不及时，电机温度会逐渐升高，造成2＃高压氨水泵电机烧坏，影响生产，造成財产损失约5-10万元")</f>
        <v>一名冷凝操作工在巡检时发现2#高压氨水泵电机风扇破裂，假如巡检人员发现不及时，电机温度会逐渐升高，造成2＃高压氨水泵电机烧坏，影响生产，造成財产损失约5-10万元</v>
      </c>
      <c r="E712" s="19" t="s">
        <v>2952</v>
      </c>
      <c r="F712" s="20" t="s">
        <v>42</v>
      </c>
      <c r="G712" s="22" t="s">
        <v>63</v>
      </c>
      <c r="H712" s="19" t="s">
        <v>44</v>
      </c>
      <c r="I712" s="19" t="s">
        <v>45</v>
      </c>
      <c r="J712" s="19" t="s">
        <v>46</v>
      </c>
      <c r="K712" s="19" t="s">
        <v>64</v>
      </c>
      <c r="L712" s="19" t="s">
        <v>76</v>
      </c>
      <c r="M712" s="19" t="s">
        <v>48</v>
      </c>
      <c r="N712" s="19" t="s">
        <v>2020</v>
      </c>
      <c r="O712" s="19" t="s">
        <v>48</v>
      </c>
      <c r="P712" s="19" t="s">
        <v>50</v>
      </c>
      <c r="Q712" s="19" t="s">
        <v>2744</v>
      </c>
      <c r="R712" s="19" t="s">
        <v>2953</v>
      </c>
      <c r="S712" s="19"/>
      <c r="T712" s="19" t="s">
        <v>189</v>
      </c>
      <c r="U712" s="19" t="s">
        <v>80</v>
      </c>
      <c r="V712" s="19" t="s">
        <v>97</v>
      </c>
      <c r="W712" s="19" t="s">
        <v>70</v>
      </c>
      <c r="X712" s="19"/>
      <c r="Y712" s="19"/>
      <c r="Z712" s="19" t="s">
        <v>2954</v>
      </c>
      <c r="AA712" s="19">
        <v>1</v>
      </c>
      <c r="AB712" s="19">
        <v>1</v>
      </c>
      <c r="AC712" s="19" t="s">
        <v>58</v>
      </c>
      <c r="AD712" s="19" t="s">
        <v>50</v>
      </c>
      <c r="AE712" s="19" t="s">
        <v>2467</v>
      </c>
      <c r="AF712" s="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1:M1"/>
    <mergeCell ref="E2:M2"/>
    <mergeCell ref="E3:M3"/>
    <mergeCell ref="A4:F4"/>
    <mergeCell ref="G4:S4"/>
    <mergeCell ref="T4:W4"/>
    <mergeCell ref="X4:Y4"/>
    <mergeCell ref="Z4:AF4"/>
    <mergeCell ref="A6:A6"/>
    <mergeCell ref="B6:B6"/>
    <mergeCell ref="C6:C6"/>
    <mergeCell ref="F6:F6"/>
    <mergeCell ref="G6:G6"/>
    <mergeCell ref="H6:H6"/>
    <mergeCell ref="M6:M6"/>
    <mergeCell ref="N6:N6"/>
    <mergeCell ref="O6:O6"/>
    <mergeCell ref="P6:P6"/>
    <mergeCell ref="Q6:Q6"/>
    <mergeCell ref="R6:R6"/>
    <mergeCell ref="S6:S6"/>
    <mergeCell ref="X6:X6"/>
    <mergeCell ref="Y6:Y6"/>
    <mergeCell ref="Z6:Z6"/>
    <mergeCell ref="AA6:AA6"/>
    <mergeCell ref="AB6:AB6"/>
    <mergeCell ref="AC6:AC6"/>
    <mergeCell ref="AD6:AD6"/>
    <mergeCell ref="AE6:AE6"/>
    <mergeCell ref="AF6:AF6"/>
    <mergeCell ref="A7:A7"/>
    <mergeCell ref="B7:B7"/>
    <mergeCell ref="C7:C7"/>
    <mergeCell ref="F7:F7"/>
    <mergeCell ref="G7:G7"/>
    <mergeCell ref="H7:H7"/>
    <mergeCell ref="M7:M7"/>
    <mergeCell ref="N7:N7"/>
    <mergeCell ref="O7:O7"/>
    <mergeCell ref="P7:P7"/>
    <mergeCell ref="Q7:Q7"/>
    <mergeCell ref="R7:R7"/>
    <mergeCell ref="S7:S7"/>
    <mergeCell ref="X7:X7"/>
    <mergeCell ref="Y7:Y7"/>
    <mergeCell ref="Z7:Z7"/>
    <mergeCell ref="AA7:AA7"/>
    <mergeCell ref="AB7:AB7"/>
    <mergeCell ref="AC7:AC7"/>
    <mergeCell ref="AD7:AD7"/>
    <mergeCell ref="AE7:AE7"/>
    <mergeCell ref="AF7:AF7"/>
    <mergeCell ref="A8:A8"/>
    <mergeCell ref="B8:B8"/>
    <mergeCell ref="C8:C8"/>
    <mergeCell ref="F8:F8"/>
    <mergeCell ref="G8:G8"/>
    <mergeCell ref="H8:H8"/>
    <mergeCell ref="M8:M8"/>
    <mergeCell ref="N8:N8"/>
    <mergeCell ref="O8:O8"/>
    <mergeCell ref="P8:P8"/>
    <mergeCell ref="Q8:Q8"/>
    <mergeCell ref="R8:R8"/>
    <mergeCell ref="S8:S8"/>
    <mergeCell ref="X8:X8"/>
    <mergeCell ref="Y8:Y8"/>
    <mergeCell ref="Z8:Z8"/>
    <mergeCell ref="AA8:AA8"/>
    <mergeCell ref="AB8:AB8"/>
    <mergeCell ref="AC8:AC8"/>
    <mergeCell ref="AD8:AD8"/>
    <mergeCell ref="AE8:AE8"/>
    <mergeCell ref="AF8:AF8"/>
    <mergeCell ref="A9:A9"/>
    <mergeCell ref="B9:B9"/>
    <mergeCell ref="C9:C9"/>
    <mergeCell ref="F9:F9"/>
    <mergeCell ref="G9:G9"/>
    <mergeCell ref="H9:H9"/>
    <mergeCell ref="M9:M9"/>
    <mergeCell ref="N9:N9"/>
    <mergeCell ref="O9:O9"/>
    <mergeCell ref="P9:P9"/>
    <mergeCell ref="Q9:Q9"/>
    <mergeCell ref="R9:R9"/>
    <mergeCell ref="S9:S9"/>
    <mergeCell ref="X9:X9"/>
    <mergeCell ref="Y9:Y9"/>
    <mergeCell ref="Z9:Z9"/>
    <mergeCell ref="AA9:AA9"/>
    <mergeCell ref="AB9:AB9"/>
    <mergeCell ref="AC9:AC9"/>
    <mergeCell ref="AD9:AD9"/>
    <mergeCell ref="AE9:AE9"/>
    <mergeCell ref="AF9:AF9"/>
    <mergeCell ref="A10:A10"/>
    <mergeCell ref="B10:B10"/>
    <mergeCell ref="C10:C10"/>
    <mergeCell ref="F10:F10"/>
    <mergeCell ref="G10:G10"/>
    <mergeCell ref="H10:H10"/>
    <mergeCell ref="M10:M10"/>
    <mergeCell ref="N10:N10"/>
    <mergeCell ref="O10:O10"/>
    <mergeCell ref="P10:P10"/>
    <mergeCell ref="Q10:Q10"/>
    <mergeCell ref="R10:R10"/>
    <mergeCell ref="S10:S10"/>
    <mergeCell ref="X10:X10"/>
    <mergeCell ref="Y10:Y10"/>
    <mergeCell ref="Z10:Z10"/>
    <mergeCell ref="AA10:AA10"/>
    <mergeCell ref="AB10:AB10"/>
    <mergeCell ref="AC10:AC10"/>
    <mergeCell ref="AD10:AD10"/>
    <mergeCell ref="AE10:AE10"/>
    <mergeCell ref="AF10:AF10"/>
    <mergeCell ref="A11:A11"/>
    <mergeCell ref="B11:B11"/>
    <mergeCell ref="C11:C11"/>
    <mergeCell ref="F11:F11"/>
    <mergeCell ref="G11:G11"/>
    <mergeCell ref="H11:H11"/>
    <mergeCell ref="M11:M11"/>
    <mergeCell ref="N11:N11"/>
    <mergeCell ref="O11:O11"/>
    <mergeCell ref="P11:P11"/>
    <mergeCell ref="Q11:Q11"/>
    <mergeCell ref="R11:R11"/>
    <mergeCell ref="S11:S11"/>
    <mergeCell ref="X11:X11"/>
    <mergeCell ref="Y11:Y11"/>
    <mergeCell ref="Z11:Z11"/>
    <mergeCell ref="AA11:AA11"/>
    <mergeCell ref="AB11:AB11"/>
    <mergeCell ref="AC11:AC11"/>
    <mergeCell ref="AD11:AD11"/>
    <mergeCell ref="AE11:AE11"/>
    <mergeCell ref="AF11:AF11"/>
    <mergeCell ref="A12:A12"/>
    <mergeCell ref="B12:B12"/>
    <mergeCell ref="C12:C12"/>
    <mergeCell ref="F12:F12"/>
    <mergeCell ref="G12:G12"/>
    <mergeCell ref="H12:H12"/>
    <mergeCell ref="M12:M12"/>
    <mergeCell ref="N12:N12"/>
    <mergeCell ref="O12:O12"/>
    <mergeCell ref="P12:P12"/>
    <mergeCell ref="Q12:Q12"/>
    <mergeCell ref="R12:R12"/>
    <mergeCell ref="S12:S12"/>
    <mergeCell ref="X12:X12"/>
    <mergeCell ref="Y12:Y12"/>
    <mergeCell ref="Z12:Z12"/>
    <mergeCell ref="AA12:AA12"/>
    <mergeCell ref="AB12:AB12"/>
    <mergeCell ref="AC12:AC12"/>
    <mergeCell ref="AD12:AD12"/>
    <mergeCell ref="AE12:AE12"/>
    <mergeCell ref="AF12:AF12"/>
    <mergeCell ref="A13:A13"/>
    <mergeCell ref="B13:B13"/>
    <mergeCell ref="C13:C13"/>
    <mergeCell ref="F13:F13"/>
    <mergeCell ref="G13:G13"/>
    <mergeCell ref="H13:H13"/>
    <mergeCell ref="M13:M13"/>
    <mergeCell ref="N13:N13"/>
    <mergeCell ref="O13:O13"/>
    <mergeCell ref="P13:P13"/>
    <mergeCell ref="Q13:Q13"/>
    <mergeCell ref="R13:R13"/>
    <mergeCell ref="S13:S13"/>
    <mergeCell ref="X13:X13"/>
    <mergeCell ref="Y13:Y13"/>
    <mergeCell ref="Z13:Z13"/>
    <mergeCell ref="AA13:AA13"/>
    <mergeCell ref="AB13:AB13"/>
    <mergeCell ref="AC13:AC13"/>
    <mergeCell ref="AD13:AD13"/>
    <mergeCell ref="AE13:AE13"/>
    <mergeCell ref="AF13:AF13"/>
    <mergeCell ref="A14:A14"/>
    <mergeCell ref="B14:B14"/>
    <mergeCell ref="C14:C14"/>
    <mergeCell ref="F14:F14"/>
    <mergeCell ref="G14:G14"/>
    <mergeCell ref="H14:H14"/>
    <mergeCell ref="M14:M14"/>
    <mergeCell ref="N14:N14"/>
    <mergeCell ref="O14:O14"/>
    <mergeCell ref="P14:P14"/>
    <mergeCell ref="Q14:Q14"/>
    <mergeCell ref="R14:R14"/>
    <mergeCell ref="S14:S14"/>
    <mergeCell ref="X14:X14"/>
    <mergeCell ref="Y14:Y14"/>
    <mergeCell ref="Z14:Z14"/>
    <mergeCell ref="AA14:AA14"/>
    <mergeCell ref="AB14:AB14"/>
    <mergeCell ref="AC14:AC14"/>
    <mergeCell ref="AD14:AD14"/>
    <mergeCell ref="AE14:AE14"/>
    <mergeCell ref="AF14:AF14"/>
    <mergeCell ref="A15:A15"/>
    <mergeCell ref="B15:B15"/>
    <mergeCell ref="C15:C15"/>
    <mergeCell ref="F15:F15"/>
    <mergeCell ref="G15:G15"/>
    <mergeCell ref="H15:H15"/>
    <mergeCell ref="M15:M15"/>
    <mergeCell ref="N15:N15"/>
    <mergeCell ref="O15:O15"/>
    <mergeCell ref="P15:P15"/>
    <mergeCell ref="Q15:Q15"/>
    <mergeCell ref="R15:R15"/>
    <mergeCell ref="S15:S15"/>
    <mergeCell ref="X15:X15"/>
    <mergeCell ref="Y15:Y15"/>
    <mergeCell ref="Z15:Z15"/>
    <mergeCell ref="AA15:AA15"/>
    <mergeCell ref="AB15:AB15"/>
    <mergeCell ref="AC15:AC15"/>
    <mergeCell ref="AD15:AD15"/>
    <mergeCell ref="AE15:AE15"/>
    <mergeCell ref="AF15:AF15"/>
    <mergeCell ref="A16:A16"/>
    <mergeCell ref="B16:B16"/>
    <mergeCell ref="C16:C16"/>
    <mergeCell ref="F16:F16"/>
    <mergeCell ref="G16:G16"/>
    <mergeCell ref="H16:H16"/>
    <mergeCell ref="M16:M16"/>
    <mergeCell ref="N16:N16"/>
    <mergeCell ref="O16:O16"/>
    <mergeCell ref="P16:P16"/>
    <mergeCell ref="Q16:Q16"/>
    <mergeCell ref="R16:R16"/>
    <mergeCell ref="S16:S16"/>
    <mergeCell ref="X16:X16"/>
    <mergeCell ref="Y16:Y16"/>
    <mergeCell ref="Z16:Z16"/>
    <mergeCell ref="AA16:AA16"/>
    <mergeCell ref="AB16:AB16"/>
    <mergeCell ref="AC16:AC16"/>
    <mergeCell ref="AD16:AD16"/>
    <mergeCell ref="AE16:AE16"/>
    <mergeCell ref="AF16:AF16"/>
    <mergeCell ref="A17:A17"/>
    <mergeCell ref="B17:B17"/>
    <mergeCell ref="C17:C17"/>
    <mergeCell ref="F17:F17"/>
    <mergeCell ref="G17:G17"/>
    <mergeCell ref="H17:H17"/>
    <mergeCell ref="M17:M17"/>
    <mergeCell ref="N17:N17"/>
    <mergeCell ref="O17:O17"/>
    <mergeCell ref="P17:P17"/>
    <mergeCell ref="Q17:Q17"/>
    <mergeCell ref="R17:R17"/>
    <mergeCell ref="S17:S17"/>
    <mergeCell ref="X17:X17"/>
    <mergeCell ref="Y17:Y17"/>
    <mergeCell ref="Z17:Z17"/>
    <mergeCell ref="AA17:AA17"/>
    <mergeCell ref="AB17:AB17"/>
    <mergeCell ref="AC17:AC17"/>
    <mergeCell ref="AD17:AD17"/>
    <mergeCell ref="AE17:AE17"/>
    <mergeCell ref="AF17:AF17"/>
    <mergeCell ref="A18:A18"/>
    <mergeCell ref="B18:B18"/>
    <mergeCell ref="C18:C18"/>
    <mergeCell ref="F18:F18"/>
    <mergeCell ref="G18:G18"/>
    <mergeCell ref="H18:H18"/>
    <mergeCell ref="M18:M18"/>
    <mergeCell ref="N18:N18"/>
    <mergeCell ref="O18:O18"/>
    <mergeCell ref="P18:P18"/>
    <mergeCell ref="Q18:Q18"/>
    <mergeCell ref="R18:R18"/>
    <mergeCell ref="S18:S18"/>
    <mergeCell ref="X18:X18"/>
    <mergeCell ref="Y18:Y18"/>
    <mergeCell ref="Z18:Z18"/>
    <mergeCell ref="AA18:AA18"/>
    <mergeCell ref="AB18:AB18"/>
    <mergeCell ref="AC18:AC18"/>
    <mergeCell ref="AD18:AD18"/>
    <mergeCell ref="AE18:AE18"/>
    <mergeCell ref="AF18:AF18"/>
    <mergeCell ref="A19:A19"/>
    <mergeCell ref="B19:B19"/>
    <mergeCell ref="C19:C19"/>
    <mergeCell ref="F19:F19"/>
    <mergeCell ref="G19:G19"/>
    <mergeCell ref="H19:H19"/>
    <mergeCell ref="M19:M19"/>
    <mergeCell ref="N19:N19"/>
    <mergeCell ref="O19:O19"/>
    <mergeCell ref="P19:P19"/>
    <mergeCell ref="Q19:Q19"/>
    <mergeCell ref="R19:R19"/>
    <mergeCell ref="S19:S19"/>
    <mergeCell ref="X19:X19"/>
    <mergeCell ref="Y19:Y19"/>
    <mergeCell ref="Z19:Z19"/>
    <mergeCell ref="AA19:AA19"/>
    <mergeCell ref="AB19:AB19"/>
    <mergeCell ref="AC19:AC19"/>
    <mergeCell ref="AD19:AD19"/>
    <mergeCell ref="AE19:AE19"/>
    <mergeCell ref="AF19:AF19"/>
    <mergeCell ref="A20:A20"/>
    <mergeCell ref="B20:B20"/>
    <mergeCell ref="C20:C20"/>
    <mergeCell ref="F20:F20"/>
    <mergeCell ref="G20:G20"/>
    <mergeCell ref="H20:H20"/>
    <mergeCell ref="M20:M20"/>
    <mergeCell ref="N20:N20"/>
    <mergeCell ref="O20:O20"/>
    <mergeCell ref="P20:P20"/>
    <mergeCell ref="Q20:Q20"/>
    <mergeCell ref="R20:R20"/>
    <mergeCell ref="S20:S20"/>
    <mergeCell ref="X20:X20"/>
    <mergeCell ref="Y20:Y20"/>
    <mergeCell ref="Z20:Z20"/>
    <mergeCell ref="AA20:AA20"/>
    <mergeCell ref="AB20:AB20"/>
    <mergeCell ref="AC20:AC20"/>
    <mergeCell ref="AD20:AD20"/>
    <mergeCell ref="AE20:AE20"/>
    <mergeCell ref="AF20:AF20"/>
    <mergeCell ref="A21:A21"/>
    <mergeCell ref="B21:B21"/>
    <mergeCell ref="C21:C21"/>
    <mergeCell ref="F21:F21"/>
    <mergeCell ref="G21:G21"/>
    <mergeCell ref="H21:H21"/>
    <mergeCell ref="M21:M21"/>
    <mergeCell ref="N21:N21"/>
    <mergeCell ref="O21:O21"/>
    <mergeCell ref="P21:P21"/>
    <mergeCell ref="Q21:Q21"/>
    <mergeCell ref="R21:R21"/>
    <mergeCell ref="S21:S21"/>
    <mergeCell ref="X21:X21"/>
    <mergeCell ref="Y21:Y21"/>
    <mergeCell ref="Z21:Z21"/>
    <mergeCell ref="AA21:AA21"/>
    <mergeCell ref="AB21:AB21"/>
    <mergeCell ref="AC21:AC21"/>
    <mergeCell ref="AD21:AD21"/>
    <mergeCell ref="AE21:AE21"/>
    <mergeCell ref="AF21:AF21"/>
    <mergeCell ref="A22:A22"/>
    <mergeCell ref="B22:B22"/>
    <mergeCell ref="C22:C22"/>
    <mergeCell ref="F22:F22"/>
    <mergeCell ref="G22:G22"/>
    <mergeCell ref="H22:H22"/>
    <mergeCell ref="M22:M22"/>
    <mergeCell ref="N22:N22"/>
    <mergeCell ref="O22:O22"/>
    <mergeCell ref="P22:P22"/>
    <mergeCell ref="Q22:Q22"/>
    <mergeCell ref="R22:R22"/>
    <mergeCell ref="S22:S22"/>
    <mergeCell ref="X22:X22"/>
    <mergeCell ref="Y22:Y22"/>
    <mergeCell ref="Z22:Z22"/>
    <mergeCell ref="AA22:AA22"/>
    <mergeCell ref="AB22:AB22"/>
    <mergeCell ref="AC22:AC22"/>
    <mergeCell ref="AD22:AD22"/>
    <mergeCell ref="AE22:AE22"/>
    <mergeCell ref="AF22:AF22"/>
    <mergeCell ref="A23:A23"/>
    <mergeCell ref="B23:B23"/>
    <mergeCell ref="C23:C23"/>
    <mergeCell ref="F23:F23"/>
    <mergeCell ref="G23:G23"/>
    <mergeCell ref="H23:H23"/>
    <mergeCell ref="M23:M23"/>
    <mergeCell ref="N23:N23"/>
    <mergeCell ref="O23:O23"/>
    <mergeCell ref="P23:P23"/>
    <mergeCell ref="Q23:Q23"/>
    <mergeCell ref="R23:R23"/>
    <mergeCell ref="S23:S23"/>
    <mergeCell ref="X23:X23"/>
    <mergeCell ref="Y23:Y23"/>
    <mergeCell ref="Z23:Z23"/>
    <mergeCell ref="AA23:AA23"/>
    <mergeCell ref="AB23:AB23"/>
    <mergeCell ref="AC23:AC23"/>
    <mergeCell ref="AD23:AD23"/>
    <mergeCell ref="AE23:AE23"/>
    <mergeCell ref="AF23:AF23"/>
    <mergeCell ref="A24:A24"/>
    <mergeCell ref="B24:B24"/>
    <mergeCell ref="C24:C24"/>
    <mergeCell ref="F24:F24"/>
    <mergeCell ref="G24:G24"/>
    <mergeCell ref="H24:H24"/>
    <mergeCell ref="M24:M24"/>
    <mergeCell ref="N24:N24"/>
    <mergeCell ref="O24:O24"/>
    <mergeCell ref="P24:P24"/>
    <mergeCell ref="Q24:Q24"/>
    <mergeCell ref="R24:R24"/>
    <mergeCell ref="S24:S24"/>
    <mergeCell ref="X24:X24"/>
    <mergeCell ref="Y24:Y24"/>
    <mergeCell ref="Z24:Z24"/>
    <mergeCell ref="AA24:AA24"/>
    <mergeCell ref="AB24:AB24"/>
    <mergeCell ref="AC24:AC24"/>
    <mergeCell ref="AD24:AD24"/>
    <mergeCell ref="AE24:AE24"/>
    <mergeCell ref="AF24:AF24"/>
    <mergeCell ref="A25:A25"/>
    <mergeCell ref="B25:B25"/>
    <mergeCell ref="C25:C25"/>
    <mergeCell ref="F25:F25"/>
    <mergeCell ref="G25:G25"/>
    <mergeCell ref="H25:H25"/>
    <mergeCell ref="M25:M25"/>
    <mergeCell ref="N25:N25"/>
    <mergeCell ref="O25:O25"/>
    <mergeCell ref="P25:P25"/>
    <mergeCell ref="Q25:Q25"/>
    <mergeCell ref="R25:R25"/>
    <mergeCell ref="S25:S25"/>
    <mergeCell ref="X25:X25"/>
    <mergeCell ref="Y25:Y25"/>
    <mergeCell ref="Z25:Z25"/>
    <mergeCell ref="AA25:AA25"/>
    <mergeCell ref="AB25:AB25"/>
    <mergeCell ref="AC25:AC25"/>
    <mergeCell ref="AD25:AD25"/>
    <mergeCell ref="AE25:AE25"/>
    <mergeCell ref="AF25:AF25"/>
    <mergeCell ref="A26:A26"/>
    <mergeCell ref="B26:B26"/>
    <mergeCell ref="C26:C26"/>
    <mergeCell ref="F26:F26"/>
    <mergeCell ref="G26:G26"/>
    <mergeCell ref="H26:H26"/>
    <mergeCell ref="M26:M26"/>
    <mergeCell ref="N26:N26"/>
    <mergeCell ref="O26:O26"/>
    <mergeCell ref="P26:P26"/>
    <mergeCell ref="Q26:Q26"/>
    <mergeCell ref="R26:R26"/>
    <mergeCell ref="S26:S26"/>
    <mergeCell ref="X26:X26"/>
    <mergeCell ref="Y26:Y26"/>
    <mergeCell ref="Z26:Z26"/>
    <mergeCell ref="AA26:AA26"/>
    <mergeCell ref="AB26:AB26"/>
    <mergeCell ref="AC26:AC26"/>
    <mergeCell ref="AD26:AD26"/>
    <mergeCell ref="AE26:AE26"/>
    <mergeCell ref="AF26:AF26"/>
    <mergeCell ref="A27:A27"/>
    <mergeCell ref="B27:B27"/>
    <mergeCell ref="C27:C27"/>
    <mergeCell ref="F27:F27"/>
    <mergeCell ref="G27:G27"/>
    <mergeCell ref="H27:H27"/>
    <mergeCell ref="M27:M27"/>
    <mergeCell ref="N27:N27"/>
    <mergeCell ref="O27:O27"/>
    <mergeCell ref="P27:P27"/>
    <mergeCell ref="Q27:Q27"/>
    <mergeCell ref="R27:R27"/>
    <mergeCell ref="S27:S27"/>
    <mergeCell ref="X27:X27"/>
    <mergeCell ref="Y27:Y27"/>
    <mergeCell ref="Z27:Z27"/>
    <mergeCell ref="AA27:AA27"/>
    <mergeCell ref="AB27:AB27"/>
    <mergeCell ref="AC27:AC27"/>
    <mergeCell ref="AD27:AD27"/>
    <mergeCell ref="AE27:AE27"/>
    <mergeCell ref="AF27:AF27"/>
    <mergeCell ref="A28:A28"/>
    <mergeCell ref="B28:B28"/>
    <mergeCell ref="C28:C28"/>
    <mergeCell ref="F28:F28"/>
    <mergeCell ref="G28:G28"/>
    <mergeCell ref="H28:H28"/>
    <mergeCell ref="M28:M28"/>
    <mergeCell ref="N28:N28"/>
    <mergeCell ref="O28:O28"/>
    <mergeCell ref="P28:P28"/>
    <mergeCell ref="Q28:Q28"/>
    <mergeCell ref="R28:R28"/>
    <mergeCell ref="S28:S28"/>
    <mergeCell ref="X28:X28"/>
    <mergeCell ref="Y28:Y28"/>
    <mergeCell ref="Z28:Z28"/>
    <mergeCell ref="AA28:AA28"/>
    <mergeCell ref="AB28:AB28"/>
    <mergeCell ref="AC28:AC28"/>
    <mergeCell ref="AD28:AD28"/>
    <mergeCell ref="AE28:AE28"/>
    <mergeCell ref="AF28:AF28"/>
    <mergeCell ref="A29:A29"/>
    <mergeCell ref="B29:B29"/>
    <mergeCell ref="C29:C29"/>
    <mergeCell ref="F29:F29"/>
    <mergeCell ref="G29:G29"/>
    <mergeCell ref="H29:H29"/>
    <mergeCell ref="M29:M29"/>
    <mergeCell ref="N29:N29"/>
    <mergeCell ref="O29:O29"/>
    <mergeCell ref="P29:P29"/>
    <mergeCell ref="Q29:Q29"/>
    <mergeCell ref="R29:R29"/>
    <mergeCell ref="S29:S29"/>
    <mergeCell ref="X29:X29"/>
    <mergeCell ref="Y29:Y29"/>
    <mergeCell ref="Z29:Z29"/>
    <mergeCell ref="AA29:AA29"/>
    <mergeCell ref="AB29:AB29"/>
    <mergeCell ref="AC29:AC29"/>
    <mergeCell ref="AD29:AD29"/>
    <mergeCell ref="AE29:AE29"/>
    <mergeCell ref="AF29:AF29"/>
    <mergeCell ref="A30:A30"/>
    <mergeCell ref="B30:B30"/>
    <mergeCell ref="C30:C30"/>
    <mergeCell ref="F30:F30"/>
    <mergeCell ref="G30:G30"/>
    <mergeCell ref="H30:H30"/>
    <mergeCell ref="M30:M30"/>
    <mergeCell ref="N30:N30"/>
    <mergeCell ref="O30:O30"/>
    <mergeCell ref="P30:P30"/>
    <mergeCell ref="Q30:Q30"/>
    <mergeCell ref="R30:R30"/>
    <mergeCell ref="S30:S30"/>
    <mergeCell ref="X30:X30"/>
    <mergeCell ref="Y30:Y30"/>
    <mergeCell ref="Z30:Z30"/>
    <mergeCell ref="AA30:AA30"/>
    <mergeCell ref="AB30:AB30"/>
    <mergeCell ref="AC30:AC30"/>
    <mergeCell ref="AD30:AD30"/>
    <mergeCell ref="AE30:AE30"/>
    <mergeCell ref="AF30:AF30"/>
    <mergeCell ref="A31:A31"/>
    <mergeCell ref="B31:B31"/>
    <mergeCell ref="C31:C31"/>
    <mergeCell ref="F31:F31"/>
    <mergeCell ref="G31:G31"/>
    <mergeCell ref="H31:H31"/>
    <mergeCell ref="M31:M31"/>
    <mergeCell ref="N31:N31"/>
    <mergeCell ref="O31:O31"/>
    <mergeCell ref="P31:P31"/>
    <mergeCell ref="Q31:Q31"/>
    <mergeCell ref="R31:R31"/>
    <mergeCell ref="S31:S31"/>
    <mergeCell ref="X31:X31"/>
    <mergeCell ref="Y31:Y31"/>
    <mergeCell ref="Z31:Z31"/>
    <mergeCell ref="AA31:AA31"/>
    <mergeCell ref="AB31:AB31"/>
    <mergeCell ref="AC31:AC31"/>
    <mergeCell ref="AD31:AD31"/>
    <mergeCell ref="AE31:AE31"/>
    <mergeCell ref="AF31:AF31"/>
    <mergeCell ref="A32:A32"/>
    <mergeCell ref="B32:B32"/>
    <mergeCell ref="C32:C32"/>
    <mergeCell ref="F32:F32"/>
    <mergeCell ref="G32:G32"/>
    <mergeCell ref="H32:H32"/>
    <mergeCell ref="M32:M32"/>
    <mergeCell ref="N32:N32"/>
    <mergeCell ref="O32:O32"/>
    <mergeCell ref="P32:P32"/>
    <mergeCell ref="Q32:Q32"/>
    <mergeCell ref="R32:R32"/>
    <mergeCell ref="S32:S32"/>
    <mergeCell ref="X32:X32"/>
    <mergeCell ref="Y32:Y32"/>
    <mergeCell ref="Z32:Z32"/>
    <mergeCell ref="AA32:AA32"/>
    <mergeCell ref="AB32:AB32"/>
    <mergeCell ref="AC32:AC32"/>
    <mergeCell ref="AD32:AD32"/>
    <mergeCell ref="AE32:AE32"/>
    <mergeCell ref="AF32:AF32"/>
    <mergeCell ref="A33:A33"/>
    <mergeCell ref="B33:B33"/>
    <mergeCell ref="C33:C33"/>
    <mergeCell ref="F33:F33"/>
    <mergeCell ref="G33:G33"/>
    <mergeCell ref="H33:H33"/>
    <mergeCell ref="M33:M33"/>
    <mergeCell ref="N33:N33"/>
    <mergeCell ref="O33:O33"/>
    <mergeCell ref="P33:P33"/>
    <mergeCell ref="Q33:Q33"/>
    <mergeCell ref="R33:R33"/>
    <mergeCell ref="S33:S33"/>
    <mergeCell ref="X33:X33"/>
    <mergeCell ref="Y33:Y33"/>
    <mergeCell ref="Z33:Z33"/>
    <mergeCell ref="AA33:AA33"/>
    <mergeCell ref="AB33:AB33"/>
    <mergeCell ref="AC33:AC33"/>
    <mergeCell ref="AD33:AD33"/>
    <mergeCell ref="AE33:AE33"/>
    <mergeCell ref="AF33:AF33"/>
    <mergeCell ref="A34:A34"/>
    <mergeCell ref="B34:B34"/>
    <mergeCell ref="C34:C34"/>
    <mergeCell ref="F34:F34"/>
    <mergeCell ref="G34:G34"/>
    <mergeCell ref="H34:H34"/>
    <mergeCell ref="M34:M34"/>
    <mergeCell ref="N34:N34"/>
    <mergeCell ref="O34:O34"/>
    <mergeCell ref="P34:P34"/>
    <mergeCell ref="Q34:Q34"/>
    <mergeCell ref="R34:R34"/>
    <mergeCell ref="S34:S34"/>
    <mergeCell ref="X34:X34"/>
    <mergeCell ref="Y34:Y34"/>
    <mergeCell ref="Z34:Z34"/>
    <mergeCell ref="AA34:AA34"/>
    <mergeCell ref="AB34:AB34"/>
    <mergeCell ref="AC34:AC34"/>
    <mergeCell ref="AD34:AD34"/>
    <mergeCell ref="AE34:AE34"/>
    <mergeCell ref="AF34:AF34"/>
    <mergeCell ref="A35:A35"/>
    <mergeCell ref="B35:B35"/>
    <mergeCell ref="C35:C35"/>
    <mergeCell ref="F35:F35"/>
    <mergeCell ref="G35:G35"/>
    <mergeCell ref="H35:H35"/>
    <mergeCell ref="M35:M35"/>
    <mergeCell ref="N35:N35"/>
    <mergeCell ref="O35:O35"/>
    <mergeCell ref="P35:P35"/>
    <mergeCell ref="Q35:Q35"/>
    <mergeCell ref="R35:R35"/>
    <mergeCell ref="S35:S35"/>
    <mergeCell ref="X35:X35"/>
    <mergeCell ref="Y35:Y35"/>
    <mergeCell ref="Z35:Z35"/>
    <mergeCell ref="AA35:AA35"/>
    <mergeCell ref="AB35:AB35"/>
    <mergeCell ref="AC35:AC35"/>
    <mergeCell ref="AD35:AD35"/>
    <mergeCell ref="AE35:AE35"/>
    <mergeCell ref="AF35:AF35"/>
    <mergeCell ref="A36:A36"/>
    <mergeCell ref="B36:B36"/>
    <mergeCell ref="C36:C36"/>
    <mergeCell ref="F36:F36"/>
    <mergeCell ref="G36:G36"/>
    <mergeCell ref="H36:H36"/>
    <mergeCell ref="M36:M36"/>
    <mergeCell ref="N36:N36"/>
    <mergeCell ref="O36:O36"/>
    <mergeCell ref="P36:P36"/>
    <mergeCell ref="Q36:Q36"/>
    <mergeCell ref="R36:R36"/>
    <mergeCell ref="S36:S36"/>
    <mergeCell ref="X36:X36"/>
    <mergeCell ref="Y36:Y36"/>
    <mergeCell ref="Z36:Z36"/>
    <mergeCell ref="AA36:AA36"/>
    <mergeCell ref="AB36:AB36"/>
    <mergeCell ref="AC36:AC36"/>
    <mergeCell ref="AD36:AD36"/>
    <mergeCell ref="AE36:AE36"/>
    <mergeCell ref="AF36:AF36"/>
    <mergeCell ref="A37:A37"/>
    <mergeCell ref="B37:B37"/>
    <mergeCell ref="C37:C37"/>
    <mergeCell ref="F37:F37"/>
    <mergeCell ref="G37:G37"/>
    <mergeCell ref="H37:H37"/>
    <mergeCell ref="M37:M37"/>
    <mergeCell ref="N37:N37"/>
    <mergeCell ref="O37:O37"/>
    <mergeCell ref="P37:P37"/>
    <mergeCell ref="Q37:Q37"/>
    <mergeCell ref="R37:R37"/>
    <mergeCell ref="S37:S37"/>
    <mergeCell ref="X37:X37"/>
    <mergeCell ref="Y37:Y37"/>
    <mergeCell ref="Z37:Z37"/>
    <mergeCell ref="AA37:AA37"/>
    <mergeCell ref="AB37:AB37"/>
    <mergeCell ref="AC37:AC37"/>
    <mergeCell ref="AD37:AD37"/>
    <mergeCell ref="AE37:AE37"/>
    <mergeCell ref="AF37:AF37"/>
    <mergeCell ref="A38:A38"/>
    <mergeCell ref="B38:B38"/>
    <mergeCell ref="C38:C38"/>
    <mergeCell ref="F38:F38"/>
    <mergeCell ref="G38:G38"/>
    <mergeCell ref="H38:H38"/>
    <mergeCell ref="M38:M38"/>
    <mergeCell ref="N38:N38"/>
    <mergeCell ref="O38:O38"/>
    <mergeCell ref="P38:P38"/>
    <mergeCell ref="Q38:Q38"/>
    <mergeCell ref="R38:R38"/>
    <mergeCell ref="S38:S38"/>
    <mergeCell ref="X38:X38"/>
    <mergeCell ref="Y38:Y38"/>
    <mergeCell ref="Z38:Z38"/>
    <mergeCell ref="AA38:AA38"/>
    <mergeCell ref="AB38:AB38"/>
    <mergeCell ref="AC38:AC38"/>
    <mergeCell ref="AD38:AD38"/>
    <mergeCell ref="AE38:AE38"/>
    <mergeCell ref="AF38:AF38"/>
    <mergeCell ref="A39:A39"/>
    <mergeCell ref="B39:B39"/>
    <mergeCell ref="C39:C39"/>
    <mergeCell ref="F39:F39"/>
    <mergeCell ref="G39:G39"/>
    <mergeCell ref="H39:H39"/>
    <mergeCell ref="M39:M39"/>
    <mergeCell ref="N39:N39"/>
    <mergeCell ref="O39:O39"/>
    <mergeCell ref="P39:P39"/>
    <mergeCell ref="Q39:Q39"/>
    <mergeCell ref="R39:R39"/>
    <mergeCell ref="S39:S39"/>
    <mergeCell ref="X39:X39"/>
    <mergeCell ref="Y39:Y39"/>
    <mergeCell ref="Z39:Z39"/>
    <mergeCell ref="AA39:AA39"/>
    <mergeCell ref="AB39:AB39"/>
    <mergeCell ref="AC39:AC39"/>
    <mergeCell ref="AD39:AD39"/>
    <mergeCell ref="AE39:AE39"/>
    <mergeCell ref="AF39:AF39"/>
    <mergeCell ref="A40:A40"/>
    <mergeCell ref="B40:B40"/>
    <mergeCell ref="C40:C40"/>
    <mergeCell ref="F40:F40"/>
    <mergeCell ref="G40:G40"/>
    <mergeCell ref="H40:H40"/>
    <mergeCell ref="M40:M40"/>
    <mergeCell ref="N40:N40"/>
    <mergeCell ref="O40:O40"/>
    <mergeCell ref="P40:P40"/>
    <mergeCell ref="Q40:Q40"/>
    <mergeCell ref="R40:R40"/>
    <mergeCell ref="S40:S40"/>
    <mergeCell ref="X40:X40"/>
    <mergeCell ref="Y40:Y40"/>
    <mergeCell ref="Z40:Z40"/>
    <mergeCell ref="AA40:AA40"/>
    <mergeCell ref="AB40:AB40"/>
    <mergeCell ref="AC40:AC40"/>
    <mergeCell ref="AD40:AD40"/>
    <mergeCell ref="AE40:AE40"/>
    <mergeCell ref="AF40:AF40"/>
    <mergeCell ref="A41:A41"/>
    <mergeCell ref="B41:B41"/>
    <mergeCell ref="C41:C41"/>
    <mergeCell ref="F41:F41"/>
    <mergeCell ref="G41:G41"/>
    <mergeCell ref="H41:H41"/>
    <mergeCell ref="M41:M41"/>
    <mergeCell ref="N41:N41"/>
    <mergeCell ref="O41:O41"/>
    <mergeCell ref="P41:P41"/>
    <mergeCell ref="Q41:Q41"/>
    <mergeCell ref="R41:R41"/>
    <mergeCell ref="S41:S41"/>
    <mergeCell ref="X41:X41"/>
    <mergeCell ref="Y41:Y41"/>
    <mergeCell ref="Z41:Z41"/>
    <mergeCell ref="AA41:AA41"/>
    <mergeCell ref="AB41:AB41"/>
    <mergeCell ref="AC41:AC41"/>
    <mergeCell ref="AD41:AD41"/>
    <mergeCell ref="AE41:AE41"/>
    <mergeCell ref="AF41:AF41"/>
    <mergeCell ref="A42:A42"/>
    <mergeCell ref="B42:B42"/>
    <mergeCell ref="C42:C42"/>
    <mergeCell ref="F42:F42"/>
    <mergeCell ref="G42:G42"/>
    <mergeCell ref="H42:H42"/>
    <mergeCell ref="M42:M42"/>
    <mergeCell ref="N42:N42"/>
    <mergeCell ref="O42:O42"/>
    <mergeCell ref="P42:P42"/>
    <mergeCell ref="Q42:Q42"/>
    <mergeCell ref="R42:R42"/>
    <mergeCell ref="S42:S42"/>
    <mergeCell ref="X42:X42"/>
    <mergeCell ref="Y42:Y42"/>
    <mergeCell ref="Z42:Z42"/>
    <mergeCell ref="AA42:AA42"/>
    <mergeCell ref="AB42:AB42"/>
    <mergeCell ref="AC42:AC42"/>
    <mergeCell ref="AD42:AD42"/>
    <mergeCell ref="AE42:AE42"/>
    <mergeCell ref="AF42:AF42"/>
    <mergeCell ref="A43:A43"/>
    <mergeCell ref="B43:B43"/>
    <mergeCell ref="C43:C43"/>
    <mergeCell ref="F43:F43"/>
    <mergeCell ref="G43:G43"/>
    <mergeCell ref="H43:H43"/>
    <mergeCell ref="M43:M43"/>
    <mergeCell ref="N43:N43"/>
    <mergeCell ref="O43:O43"/>
    <mergeCell ref="P43:P43"/>
    <mergeCell ref="Q43:Q43"/>
    <mergeCell ref="R43:R43"/>
    <mergeCell ref="S43:S43"/>
    <mergeCell ref="X43:X43"/>
    <mergeCell ref="Y43:Y43"/>
    <mergeCell ref="Z43:Z43"/>
    <mergeCell ref="AA43:AA43"/>
    <mergeCell ref="AB43:AB43"/>
    <mergeCell ref="AC43:AC43"/>
    <mergeCell ref="AD43:AD43"/>
    <mergeCell ref="AE43:AE43"/>
    <mergeCell ref="AF43:AF43"/>
    <mergeCell ref="A44:A44"/>
    <mergeCell ref="B44:B44"/>
    <mergeCell ref="C44:C44"/>
    <mergeCell ref="F44:F44"/>
    <mergeCell ref="G44:G44"/>
    <mergeCell ref="H44:H44"/>
    <mergeCell ref="M44:M44"/>
    <mergeCell ref="N44:N44"/>
    <mergeCell ref="O44:O44"/>
    <mergeCell ref="P44:P44"/>
    <mergeCell ref="Q44:Q44"/>
    <mergeCell ref="R44:R44"/>
    <mergeCell ref="S44:S44"/>
    <mergeCell ref="X44:X44"/>
    <mergeCell ref="Y44:Y44"/>
    <mergeCell ref="Z44:Z44"/>
    <mergeCell ref="AA44:AA44"/>
    <mergeCell ref="AB44:AB44"/>
    <mergeCell ref="AC44:AC44"/>
    <mergeCell ref="AD44:AD44"/>
    <mergeCell ref="AE44:AE44"/>
    <mergeCell ref="AF44:AF44"/>
    <mergeCell ref="A45:A45"/>
    <mergeCell ref="B45:B45"/>
    <mergeCell ref="C45:C45"/>
    <mergeCell ref="F45:F45"/>
    <mergeCell ref="G45:G45"/>
    <mergeCell ref="H45:H45"/>
    <mergeCell ref="M45:M45"/>
    <mergeCell ref="N45:N45"/>
    <mergeCell ref="O45:O45"/>
    <mergeCell ref="P45:P45"/>
    <mergeCell ref="Q45:Q45"/>
    <mergeCell ref="R45:R45"/>
    <mergeCell ref="S45:S45"/>
    <mergeCell ref="X45:X45"/>
    <mergeCell ref="Y45:Y45"/>
    <mergeCell ref="Z45:Z45"/>
    <mergeCell ref="AA45:AA45"/>
    <mergeCell ref="AB45:AB45"/>
    <mergeCell ref="AC45:AC45"/>
    <mergeCell ref="AD45:AD45"/>
    <mergeCell ref="AE45:AE45"/>
    <mergeCell ref="AF45:AF45"/>
    <mergeCell ref="A46:A46"/>
    <mergeCell ref="B46:B46"/>
    <mergeCell ref="C46:C46"/>
    <mergeCell ref="F46:F46"/>
    <mergeCell ref="G46:G46"/>
    <mergeCell ref="H46:H46"/>
    <mergeCell ref="M46:M46"/>
    <mergeCell ref="N46:N46"/>
    <mergeCell ref="O46:O46"/>
    <mergeCell ref="P46:P46"/>
    <mergeCell ref="Q46:Q46"/>
    <mergeCell ref="R46:R46"/>
    <mergeCell ref="S46:S46"/>
    <mergeCell ref="X46:X46"/>
    <mergeCell ref="Y46:Y46"/>
    <mergeCell ref="Z46:Z46"/>
    <mergeCell ref="AA46:AA46"/>
    <mergeCell ref="AB46:AB46"/>
    <mergeCell ref="AC46:AC46"/>
    <mergeCell ref="AD46:AD46"/>
    <mergeCell ref="AE46:AE46"/>
    <mergeCell ref="AF46:AF46"/>
    <mergeCell ref="A47:A47"/>
    <mergeCell ref="B47:B47"/>
    <mergeCell ref="C47:C47"/>
    <mergeCell ref="F47:F47"/>
    <mergeCell ref="G47:G47"/>
    <mergeCell ref="H47:H47"/>
    <mergeCell ref="M47:M47"/>
    <mergeCell ref="N47:N47"/>
    <mergeCell ref="O47:O47"/>
    <mergeCell ref="P47:P47"/>
    <mergeCell ref="Q47:Q47"/>
    <mergeCell ref="R47:R47"/>
    <mergeCell ref="S47:S47"/>
    <mergeCell ref="X47:X47"/>
    <mergeCell ref="Y47:Y47"/>
    <mergeCell ref="Z47:Z47"/>
    <mergeCell ref="AA47:AA47"/>
    <mergeCell ref="AB47:AB47"/>
    <mergeCell ref="AC47:AC47"/>
    <mergeCell ref="AD47:AD47"/>
    <mergeCell ref="AE47:AE47"/>
    <mergeCell ref="AF47:AF47"/>
    <mergeCell ref="A48:A48"/>
    <mergeCell ref="B48:B48"/>
    <mergeCell ref="C48:C48"/>
    <mergeCell ref="F48:F48"/>
    <mergeCell ref="G48:G48"/>
    <mergeCell ref="H48:H48"/>
    <mergeCell ref="M48:M48"/>
    <mergeCell ref="N48:N48"/>
    <mergeCell ref="O48:O48"/>
    <mergeCell ref="P48:P48"/>
    <mergeCell ref="Q48:Q48"/>
    <mergeCell ref="R48:R48"/>
    <mergeCell ref="S48:S48"/>
    <mergeCell ref="X48:X48"/>
    <mergeCell ref="Y48:Y48"/>
    <mergeCell ref="Z48:Z48"/>
    <mergeCell ref="AA48:AA48"/>
    <mergeCell ref="AB48:AB48"/>
    <mergeCell ref="AC48:AC48"/>
    <mergeCell ref="AD48:AD48"/>
    <mergeCell ref="AE48:AE48"/>
    <mergeCell ref="AF48:AF48"/>
    <mergeCell ref="A49:A49"/>
    <mergeCell ref="B49:B49"/>
    <mergeCell ref="C49:C49"/>
    <mergeCell ref="F49:F49"/>
    <mergeCell ref="G49:G49"/>
    <mergeCell ref="H49:H49"/>
    <mergeCell ref="M49:M49"/>
    <mergeCell ref="N49:N49"/>
    <mergeCell ref="O49:O49"/>
    <mergeCell ref="P49:P49"/>
    <mergeCell ref="Q49:Q49"/>
    <mergeCell ref="R49:R49"/>
    <mergeCell ref="S49:S49"/>
    <mergeCell ref="X49:X49"/>
    <mergeCell ref="Y49:Y49"/>
    <mergeCell ref="Z49:Z49"/>
    <mergeCell ref="AA49:AA49"/>
    <mergeCell ref="AB49:AB49"/>
    <mergeCell ref="AC49:AC49"/>
    <mergeCell ref="AD49:AD49"/>
    <mergeCell ref="AE49:AE49"/>
    <mergeCell ref="AF49:AF49"/>
    <mergeCell ref="A50:A50"/>
    <mergeCell ref="B50:B50"/>
    <mergeCell ref="C50:C50"/>
    <mergeCell ref="F50:F50"/>
    <mergeCell ref="G50:G50"/>
    <mergeCell ref="H50:H50"/>
    <mergeCell ref="M50:M50"/>
    <mergeCell ref="N50:N50"/>
    <mergeCell ref="O50:O50"/>
    <mergeCell ref="P50:P50"/>
    <mergeCell ref="Q50:Q50"/>
    <mergeCell ref="R50:R50"/>
    <mergeCell ref="S50:S50"/>
    <mergeCell ref="X50:X50"/>
    <mergeCell ref="Y50:Y50"/>
    <mergeCell ref="Z50:Z50"/>
    <mergeCell ref="AA50:AA50"/>
    <mergeCell ref="AB50:AB50"/>
    <mergeCell ref="AC50:AC50"/>
    <mergeCell ref="AD50:AD50"/>
    <mergeCell ref="AE50:AE50"/>
    <mergeCell ref="AF50:AF50"/>
    <mergeCell ref="A51:A51"/>
    <mergeCell ref="B51:B51"/>
    <mergeCell ref="C51:C51"/>
    <mergeCell ref="F51:F51"/>
    <mergeCell ref="G51:G51"/>
    <mergeCell ref="H51:H51"/>
    <mergeCell ref="M51:M51"/>
    <mergeCell ref="N51:N51"/>
    <mergeCell ref="O51:O51"/>
    <mergeCell ref="P51:P51"/>
    <mergeCell ref="Q51:Q51"/>
    <mergeCell ref="R51:R51"/>
    <mergeCell ref="S51:S51"/>
    <mergeCell ref="X51:X51"/>
    <mergeCell ref="Y51:Y51"/>
    <mergeCell ref="Z51:Z51"/>
    <mergeCell ref="AA51:AA51"/>
    <mergeCell ref="AB51:AB51"/>
    <mergeCell ref="AC51:AC51"/>
    <mergeCell ref="AD51:AD51"/>
    <mergeCell ref="AE51:AE51"/>
    <mergeCell ref="AF51:AF51"/>
    <mergeCell ref="A52:A52"/>
    <mergeCell ref="B52:B52"/>
    <mergeCell ref="C52:C52"/>
    <mergeCell ref="F52:F52"/>
    <mergeCell ref="G52:G52"/>
    <mergeCell ref="H52:H52"/>
    <mergeCell ref="M52:M52"/>
    <mergeCell ref="N52:N52"/>
    <mergeCell ref="O52:O52"/>
    <mergeCell ref="P52:P52"/>
    <mergeCell ref="Q52:Q52"/>
    <mergeCell ref="R52:R52"/>
    <mergeCell ref="S52:S52"/>
    <mergeCell ref="X52:X52"/>
    <mergeCell ref="Y52:Y52"/>
    <mergeCell ref="Z52:Z52"/>
    <mergeCell ref="AA52:AA52"/>
    <mergeCell ref="AB52:AB52"/>
    <mergeCell ref="AC52:AC52"/>
    <mergeCell ref="AD52:AD52"/>
    <mergeCell ref="AE52:AE52"/>
    <mergeCell ref="AF52:AF52"/>
    <mergeCell ref="A53:A53"/>
    <mergeCell ref="B53:B53"/>
    <mergeCell ref="C53:C53"/>
    <mergeCell ref="F53:F53"/>
    <mergeCell ref="G53:G53"/>
    <mergeCell ref="H53:H53"/>
    <mergeCell ref="M53:M53"/>
    <mergeCell ref="N53:N53"/>
    <mergeCell ref="O53:O53"/>
    <mergeCell ref="P53:P53"/>
    <mergeCell ref="Q53:Q53"/>
    <mergeCell ref="R53:R53"/>
    <mergeCell ref="S53:S53"/>
    <mergeCell ref="X53:X53"/>
    <mergeCell ref="Y53:Y53"/>
    <mergeCell ref="Z53:Z53"/>
    <mergeCell ref="AA53:AA53"/>
    <mergeCell ref="AB53:AB53"/>
    <mergeCell ref="AC53:AC53"/>
    <mergeCell ref="AD53:AD53"/>
    <mergeCell ref="AE53:AE53"/>
    <mergeCell ref="AF53:AF53"/>
    <mergeCell ref="A54:A54"/>
    <mergeCell ref="B54:B54"/>
    <mergeCell ref="C54:C54"/>
    <mergeCell ref="F54:F54"/>
    <mergeCell ref="G54:G54"/>
    <mergeCell ref="H54:H54"/>
    <mergeCell ref="M54:M54"/>
    <mergeCell ref="N54:N54"/>
    <mergeCell ref="O54:O54"/>
    <mergeCell ref="P54:P54"/>
    <mergeCell ref="Q54:Q54"/>
    <mergeCell ref="R54:R54"/>
    <mergeCell ref="S54:S54"/>
    <mergeCell ref="X54:X54"/>
    <mergeCell ref="Y54:Y54"/>
    <mergeCell ref="Z54:Z54"/>
    <mergeCell ref="AA54:AA54"/>
    <mergeCell ref="AB54:AB54"/>
    <mergeCell ref="AC54:AC54"/>
    <mergeCell ref="AD54:AD54"/>
    <mergeCell ref="AE54:AE54"/>
    <mergeCell ref="AF54:AF54"/>
    <mergeCell ref="A55:A55"/>
    <mergeCell ref="B55:B55"/>
    <mergeCell ref="C55:C55"/>
    <mergeCell ref="F55:F55"/>
    <mergeCell ref="G55:G55"/>
    <mergeCell ref="H55:H55"/>
    <mergeCell ref="M55:M55"/>
    <mergeCell ref="N55:N55"/>
    <mergeCell ref="O55:O55"/>
    <mergeCell ref="P55:P55"/>
    <mergeCell ref="Q55:Q55"/>
    <mergeCell ref="R55:R55"/>
    <mergeCell ref="S55:S55"/>
    <mergeCell ref="X55:X55"/>
    <mergeCell ref="Y55:Y55"/>
    <mergeCell ref="Z55:Z55"/>
    <mergeCell ref="AA55:AA55"/>
    <mergeCell ref="AB55:AB55"/>
    <mergeCell ref="AC55:AC55"/>
    <mergeCell ref="AD55:AD55"/>
    <mergeCell ref="AE55:AE55"/>
    <mergeCell ref="AF55:AF55"/>
    <mergeCell ref="A56:A56"/>
    <mergeCell ref="B56:B56"/>
    <mergeCell ref="C56:C56"/>
    <mergeCell ref="F56:F56"/>
    <mergeCell ref="G56:G56"/>
    <mergeCell ref="H56:H56"/>
    <mergeCell ref="M56:M56"/>
    <mergeCell ref="N56:N56"/>
    <mergeCell ref="O56:O56"/>
    <mergeCell ref="P56:P56"/>
    <mergeCell ref="Q56:Q56"/>
    <mergeCell ref="R56:R56"/>
    <mergeCell ref="S56:S56"/>
    <mergeCell ref="X56:X56"/>
    <mergeCell ref="Y56:Y56"/>
    <mergeCell ref="Z56:Z56"/>
    <mergeCell ref="AA56:AA56"/>
    <mergeCell ref="AB56:AB56"/>
    <mergeCell ref="AC56:AC56"/>
    <mergeCell ref="AD56:AD56"/>
    <mergeCell ref="AE56:AE56"/>
    <mergeCell ref="AF56:AF56"/>
    <mergeCell ref="A57:A57"/>
    <mergeCell ref="B57:B57"/>
    <mergeCell ref="C57:C57"/>
    <mergeCell ref="F57:F57"/>
    <mergeCell ref="G57:G57"/>
    <mergeCell ref="H57:H57"/>
    <mergeCell ref="M57:M57"/>
    <mergeCell ref="N57:N57"/>
    <mergeCell ref="O57:O57"/>
    <mergeCell ref="P57:P57"/>
    <mergeCell ref="Q57:Q57"/>
    <mergeCell ref="R57:R57"/>
    <mergeCell ref="S57:S57"/>
    <mergeCell ref="X57:X57"/>
    <mergeCell ref="Y57:Y57"/>
    <mergeCell ref="Z57:Z57"/>
    <mergeCell ref="AA57:AA57"/>
    <mergeCell ref="AB57:AB57"/>
    <mergeCell ref="AC57:AC57"/>
    <mergeCell ref="AD57:AD57"/>
    <mergeCell ref="AE57:AE57"/>
    <mergeCell ref="AF57:AF57"/>
    <mergeCell ref="A58:A58"/>
    <mergeCell ref="B58:B58"/>
    <mergeCell ref="C58:C58"/>
    <mergeCell ref="F58:F58"/>
    <mergeCell ref="G58:G58"/>
    <mergeCell ref="H58:H58"/>
    <mergeCell ref="M58:M58"/>
    <mergeCell ref="N58:N58"/>
    <mergeCell ref="O58:O58"/>
    <mergeCell ref="P58:P58"/>
    <mergeCell ref="Q58:Q58"/>
    <mergeCell ref="R58:R58"/>
    <mergeCell ref="S58:S58"/>
    <mergeCell ref="X58:X58"/>
    <mergeCell ref="Y58:Y58"/>
    <mergeCell ref="Z58:Z58"/>
    <mergeCell ref="AA58:AA58"/>
    <mergeCell ref="AB58:AB58"/>
    <mergeCell ref="AC58:AC58"/>
    <mergeCell ref="AD58:AD58"/>
    <mergeCell ref="AE58:AE58"/>
    <mergeCell ref="AF58:AF58"/>
    <mergeCell ref="A59:A59"/>
    <mergeCell ref="B59:B59"/>
    <mergeCell ref="C59:C59"/>
    <mergeCell ref="F59:F59"/>
    <mergeCell ref="G59:G59"/>
    <mergeCell ref="H59:H59"/>
    <mergeCell ref="M59:M59"/>
    <mergeCell ref="N59:N59"/>
    <mergeCell ref="O59:O59"/>
    <mergeCell ref="P59:P59"/>
    <mergeCell ref="Q59:Q59"/>
    <mergeCell ref="R59:R59"/>
    <mergeCell ref="S59:S59"/>
    <mergeCell ref="X59:X59"/>
    <mergeCell ref="Y59:Y59"/>
    <mergeCell ref="Z59:Z59"/>
    <mergeCell ref="AA59:AA59"/>
    <mergeCell ref="AB59:AB59"/>
    <mergeCell ref="AC59:AC59"/>
    <mergeCell ref="AD59:AD59"/>
    <mergeCell ref="AE59:AE59"/>
    <mergeCell ref="AF59:AF59"/>
    <mergeCell ref="A60:A60"/>
    <mergeCell ref="B60:B60"/>
    <mergeCell ref="C60:C60"/>
    <mergeCell ref="F60:F60"/>
    <mergeCell ref="G60:G60"/>
    <mergeCell ref="H60:H60"/>
    <mergeCell ref="M60:M60"/>
    <mergeCell ref="N60:N60"/>
    <mergeCell ref="O60:O60"/>
    <mergeCell ref="P60:P60"/>
    <mergeCell ref="Q60:Q60"/>
    <mergeCell ref="R60:R60"/>
    <mergeCell ref="S60:S60"/>
    <mergeCell ref="X60:X60"/>
    <mergeCell ref="Y60:Y60"/>
    <mergeCell ref="Z60:Z60"/>
    <mergeCell ref="AA60:AA60"/>
    <mergeCell ref="AB60:AB60"/>
    <mergeCell ref="AC60:AC60"/>
    <mergeCell ref="AD60:AD60"/>
    <mergeCell ref="AE60:AE60"/>
    <mergeCell ref="AF60:AF60"/>
    <mergeCell ref="A61:A61"/>
    <mergeCell ref="B61:B61"/>
    <mergeCell ref="C61:C61"/>
    <mergeCell ref="F61:F61"/>
    <mergeCell ref="G61:G61"/>
    <mergeCell ref="H61:H61"/>
    <mergeCell ref="M61:M61"/>
    <mergeCell ref="N61:N61"/>
    <mergeCell ref="O61:O61"/>
    <mergeCell ref="P61:P61"/>
    <mergeCell ref="Q61:Q61"/>
    <mergeCell ref="R61:R61"/>
    <mergeCell ref="S61:S61"/>
    <mergeCell ref="X61:X61"/>
    <mergeCell ref="Y61:Y61"/>
    <mergeCell ref="Z61:Z61"/>
    <mergeCell ref="AA61:AA61"/>
    <mergeCell ref="AB61:AB61"/>
    <mergeCell ref="AC61:AC61"/>
    <mergeCell ref="AD61:AD61"/>
    <mergeCell ref="AE61:AE61"/>
    <mergeCell ref="AF61:AF61"/>
    <mergeCell ref="A62:A62"/>
    <mergeCell ref="B62:B62"/>
    <mergeCell ref="C62:C62"/>
    <mergeCell ref="F62:F62"/>
    <mergeCell ref="G62:G62"/>
    <mergeCell ref="H62:H62"/>
    <mergeCell ref="M62:M62"/>
    <mergeCell ref="N62:N62"/>
    <mergeCell ref="O62:O62"/>
    <mergeCell ref="P62:P62"/>
    <mergeCell ref="Q62:Q62"/>
    <mergeCell ref="R62:R62"/>
    <mergeCell ref="S62:S62"/>
    <mergeCell ref="X62:X62"/>
    <mergeCell ref="Y62:Y62"/>
    <mergeCell ref="Z62:Z62"/>
    <mergeCell ref="AA62:AA62"/>
    <mergeCell ref="AB62:AB62"/>
    <mergeCell ref="AC62:AC62"/>
    <mergeCell ref="AD62:AD62"/>
    <mergeCell ref="AE62:AE62"/>
    <mergeCell ref="AF62:AF62"/>
    <mergeCell ref="A63:A63"/>
    <mergeCell ref="B63:B63"/>
    <mergeCell ref="C63:C63"/>
    <mergeCell ref="F63:F63"/>
    <mergeCell ref="G63:G63"/>
    <mergeCell ref="H63:H63"/>
    <mergeCell ref="M63:M63"/>
    <mergeCell ref="N63:N63"/>
    <mergeCell ref="O63:O63"/>
    <mergeCell ref="P63:P63"/>
    <mergeCell ref="Q63:Q63"/>
    <mergeCell ref="R63:R63"/>
    <mergeCell ref="S63:S63"/>
    <mergeCell ref="X63:X63"/>
    <mergeCell ref="Y63:Y63"/>
    <mergeCell ref="Z63:Z63"/>
    <mergeCell ref="AA63:AA63"/>
    <mergeCell ref="AB63:AB63"/>
    <mergeCell ref="AC63:AC63"/>
    <mergeCell ref="AD63:AD63"/>
    <mergeCell ref="AE63:AE63"/>
    <mergeCell ref="AF63:AF63"/>
    <mergeCell ref="A64:A64"/>
    <mergeCell ref="B64:B64"/>
    <mergeCell ref="C64:C64"/>
    <mergeCell ref="F64:F64"/>
    <mergeCell ref="G64:G64"/>
    <mergeCell ref="H64:H64"/>
    <mergeCell ref="M64:M64"/>
    <mergeCell ref="N64:N64"/>
    <mergeCell ref="O64:O64"/>
    <mergeCell ref="P64:P64"/>
    <mergeCell ref="Q64:Q64"/>
    <mergeCell ref="R64:R64"/>
    <mergeCell ref="S64:S64"/>
    <mergeCell ref="X64:X64"/>
    <mergeCell ref="Y64:Y64"/>
    <mergeCell ref="Z64:Z64"/>
    <mergeCell ref="AA64:AA64"/>
    <mergeCell ref="AB64:AB64"/>
    <mergeCell ref="AC64:AC64"/>
    <mergeCell ref="AD64:AD64"/>
    <mergeCell ref="AE64:AE64"/>
    <mergeCell ref="AF64:AF64"/>
    <mergeCell ref="A65:A65"/>
    <mergeCell ref="B65:B65"/>
    <mergeCell ref="C65:C65"/>
    <mergeCell ref="F65:F65"/>
    <mergeCell ref="G65:G65"/>
    <mergeCell ref="H65:H65"/>
    <mergeCell ref="M65:M65"/>
    <mergeCell ref="N65:N65"/>
    <mergeCell ref="O65:O65"/>
    <mergeCell ref="P65:P65"/>
    <mergeCell ref="Q65:Q65"/>
    <mergeCell ref="R65:R65"/>
    <mergeCell ref="S65:S65"/>
    <mergeCell ref="X65:X65"/>
    <mergeCell ref="Y65:Y65"/>
    <mergeCell ref="Z65:Z65"/>
    <mergeCell ref="AA65:AA65"/>
    <mergeCell ref="AB65:AB65"/>
    <mergeCell ref="AC65:AC65"/>
    <mergeCell ref="AD65:AD65"/>
    <mergeCell ref="AE65:AE65"/>
    <mergeCell ref="AF65:AF65"/>
    <mergeCell ref="A66:A66"/>
    <mergeCell ref="B66:B66"/>
    <mergeCell ref="C66:C66"/>
    <mergeCell ref="F66:F66"/>
    <mergeCell ref="G66:G66"/>
    <mergeCell ref="H66:H66"/>
    <mergeCell ref="M66:M66"/>
    <mergeCell ref="N66:N66"/>
    <mergeCell ref="O66:O66"/>
    <mergeCell ref="P66:P66"/>
    <mergeCell ref="Q66:Q66"/>
    <mergeCell ref="R66:R66"/>
    <mergeCell ref="S66:S66"/>
    <mergeCell ref="X66:X66"/>
    <mergeCell ref="Y66:Y66"/>
    <mergeCell ref="Z66:Z66"/>
    <mergeCell ref="AA66:AA66"/>
    <mergeCell ref="AB66:AB66"/>
    <mergeCell ref="AC66:AC66"/>
    <mergeCell ref="AD66:AD66"/>
    <mergeCell ref="AE66:AE66"/>
    <mergeCell ref="AF66:AF66"/>
    <mergeCell ref="A67:A67"/>
    <mergeCell ref="B67:B67"/>
    <mergeCell ref="C67:C67"/>
    <mergeCell ref="F67:F67"/>
    <mergeCell ref="G67:G67"/>
    <mergeCell ref="H67:H67"/>
    <mergeCell ref="M67:M67"/>
    <mergeCell ref="N67:N67"/>
    <mergeCell ref="O67:O67"/>
    <mergeCell ref="P67:P67"/>
    <mergeCell ref="Q67:Q67"/>
    <mergeCell ref="R67:R67"/>
    <mergeCell ref="S67:S67"/>
    <mergeCell ref="X67:X67"/>
    <mergeCell ref="Y67:Y67"/>
    <mergeCell ref="Z67:Z67"/>
    <mergeCell ref="AA67:AA67"/>
    <mergeCell ref="AB67:AB67"/>
    <mergeCell ref="AC67:AC67"/>
    <mergeCell ref="AD67:AD67"/>
    <mergeCell ref="AE67:AE67"/>
    <mergeCell ref="AF67:AF67"/>
    <mergeCell ref="A68:A68"/>
    <mergeCell ref="B68:B68"/>
    <mergeCell ref="C68:C68"/>
    <mergeCell ref="F68:F68"/>
    <mergeCell ref="G68:G68"/>
    <mergeCell ref="H68:H68"/>
    <mergeCell ref="M68:M68"/>
    <mergeCell ref="N68:N68"/>
    <mergeCell ref="O68:O68"/>
    <mergeCell ref="P68:P68"/>
    <mergeCell ref="Q68:Q68"/>
    <mergeCell ref="R68:R68"/>
    <mergeCell ref="S68:S68"/>
    <mergeCell ref="X68:X68"/>
    <mergeCell ref="Y68:Y68"/>
    <mergeCell ref="Z68:Z68"/>
    <mergeCell ref="AA68:AA68"/>
    <mergeCell ref="AB68:AB68"/>
    <mergeCell ref="AC68:AC68"/>
    <mergeCell ref="AD68:AD68"/>
    <mergeCell ref="AE68:AE68"/>
    <mergeCell ref="AF68:AF68"/>
    <mergeCell ref="A69:A69"/>
    <mergeCell ref="B69:B69"/>
    <mergeCell ref="C69:C69"/>
    <mergeCell ref="F69:F69"/>
    <mergeCell ref="G69:G69"/>
    <mergeCell ref="H69:H69"/>
    <mergeCell ref="M69:M69"/>
    <mergeCell ref="N69:N69"/>
    <mergeCell ref="O69:O69"/>
    <mergeCell ref="P69:P69"/>
    <mergeCell ref="Q69:Q69"/>
    <mergeCell ref="R69:R69"/>
    <mergeCell ref="S69:S69"/>
    <mergeCell ref="X69:X69"/>
    <mergeCell ref="Y69:Y69"/>
    <mergeCell ref="Z69:Z69"/>
    <mergeCell ref="AA69:AA69"/>
    <mergeCell ref="AB69:AB69"/>
    <mergeCell ref="AC69:AC69"/>
    <mergeCell ref="AD69:AD69"/>
    <mergeCell ref="AE69:AE69"/>
    <mergeCell ref="AF69:AF69"/>
    <mergeCell ref="A70:A70"/>
    <mergeCell ref="B70:B70"/>
    <mergeCell ref="C70:C70"/>
    <mergeCell ref="F70:F70"/>
    <mergeCell ref="G70:G70"/>
    <mergeCell ref="H70:H70"/>
    <mergeCell ref="M70:M70"/>
    <mergeCell ref="N70:N70"/>
    <mergeCell ref="O70:O70"/>
    <mergeCell ref="P70:P70"/>
    <mergeCell ref="Q70:Q70"/>
    <mergeCell ref="R70:R70"/>
    <mergeCell ref="S70:S70"/>
    <mergeCell ref="X70:X70"/>
    <mergeCell ref="Y70:Y70"/>
    <mergeCell ref="Z70:Z70"/>
    <mergeCell ref="AA70:AA70"/>
    <mergeCell ref="AB70:AB70"/>
    <mergeCell ref="AC70:AC70"/>
    <mergeCell ref="AD70:AD70"/>
    <mergeCell ref="AE70:AE70"/>
    <mergeCell ref="AF70:AF70"/>
    <mergeCell ref="A71:A71"/>
    <mergeCell ref="B71:B71"/>
    <mergeCell ref="C71:C71"/>
    <mergeCell ref="F71:F71"/>
    <mergeCell ref="G71:G71"/>
    <mergeCell ref="H71:H71"/>
    <mergeCell ref="M71:M71"/>
    <mergeCell ref="N71:N71"/>
    <mergeCell ref="O71:O71"/>
    <mergeCell ref="P71:P71"/>
    <mergeCell ref="Q71:Q71"/>
    <mergeCell ref="R71:R71"/>
    <mergeCell ref="S71:S71"/>
    <mergeCell ref="X71:X71"/>
    <mergeCell ref="Y71:Y71"/>
    <mergeCell ref="Z71:Z71"/>
    <mergeCell ref="AA71:AA71"/>
    <mergeCell ref="AB71:AB71"/>
    <mergeCell ref="AC71:AC71"/>
    <mergeCell ref="AD71:AD71"/>
    <mergeCell ref="AE71:AE71"/>
    <mergeCell ref="AF71:AF71"/>
    <mergeCell ref="A72:A72"/>
    <mergeCell ref="B72:B72"/>
    <mergeCell ref="C72:C72"/>
    <mergeCell ref="F72:F72"/>
    <mergeCell ref="G72:G72"/>
    <mergeCell ref="H72:H72"/>
    <mergeCell ref="M72:M72"/>
    <mergeCell ref="N72:N72"/>
    <mergeCell ref="O72:O72"/>
    <mergeCell ref="P72:P72"/>
    <mergeCell ref="Q72:Q72"/>
    <mergeCell ref="R72:R72"/>
    <mergeCell ref="S72:S72"/>
    <mergeCell ref="X72:X72"/>
    <mergeCell ref="Y72:Y72"/>
    <mergeCell ref="Z72:Z72"/>
    <mergeCell ref="AA72:AA72"/>
    <mergeCell ref="AB72:AB72"/>
    <mergeCell ref="AC72:AC72"/>
    <mergeCell ref="AD72:AD72"/>
    <mergeCell ref="AE72:AE72"/>
    <mergeCell ref="AF72:AF72"/>
    <mergeCell ref="A73:A73"/>
    <mergeCell ref="B73:B73"/>
    <mergeCell ref="C73:C73"/>
    <mergeCell ref="F73:F73"/>
    <mergeCell ref="G73:G73"/>
    <mergeCell ref="H73:H73"/>
    <mergeCell ref="M73:M73"/>
    <mergeCell ref="N73:N73"/>
    <mergeCell ref="O73:O73"/>
    <mergeCell ref="P73:P73"/>
    <mergeCell ref="Q73:Q73"/>
    <mergeCell ref="R73:R73"/>
    <mergeCell ref="S73:S73"/>
    <mergeCell ref="X73:X73"/>
    <mergeCell ref="Y73:Y73"/>
    <mergeCell ref="Z73:Z73"/>
    <mergeCell ref="AA73:AA73"/>
    <mergeCell ref="AB73:AB73"/>
    <mergeCell ref="AC73:AC73"/>
    <mergeCell ref="AD73:AD73"/>
    <mergeCell ref="AE73:AE73"/>
    <mergeCell ref="AF73:AF73"/>
    <mergeCell ref="A74:A74"/>
    <mergeCell ref="B74:B74"/>
    <mergeCell ref="C74:C74"/>
    <mergeCell ref="F74:F74"/>
    <mergeCell ref="G74:G74"/>
    <mergeCell ref="H74:H74"/>
    <mergeCell ref="M74:M74"/>
    <mergeCell ref="N74:N74"/>
    <mergeCell ref="O74:O74"/>
    <mergeCell ref="P74:P74"/>
    <mergeCell ref="Q74:Q74"/>
    <mergeCell ref="R74:R74"/>
    <mergeCell ref="S74:S74"/>
    <mergeCell ref="X74:X74"/>
    <mergeCell ref="Y74:Y74"/>
    <mergeCell ref="Z74:Z74"/>
    <mergeCell ref="AA74:AA74"/>
    <mergeCell ref="AB74:AB74"/>
    <mergeCell ref="AC74:AC74"/>
    <mergeCell ref="AD74:AD74"/>
    <mergeCell ref="AE74:AE74"/>
    <mergeCell ref="AF74:AF74"/>
    <mergeCell ref="A75:A75"/>
    <mergeCell ref="B75:B75"/>
    <mergeCell ref="C75:C75"/>
    <mergeCell ref="F75:F75"/>
    <mergeCell ref="G75:G75"/>
    <mergeCell ref="H75:H75"/>
    <mergeCell ref="M75:M75"/>
    <mergeCell ref="N75:N75"/>
    <mergeCell ref="O75:O75"/>
    <mergeCell ref="P75:P75"/>
    <mergeCell ref="Q75:Q75"/>
    <mergeCell ref="R75:R75"/>
    <mergeCell ref="S75:S75"/>
    <mergeCell ref="X75:X75"/>
    <mergeCell ref="Y75:Y75"/>
    <mergeCell ref="Z75:Z75"/>
    <mergeCell ref="AA75:AA75"/>
    <mergeCell ref="AB75:AB75"/>
    <mergeCell ref="AC75:AC75"/>
    <mergeCell ref="AD75:AD75"/>
    <mergeCell ref="AE75:AE75"/>
    <mergeCell ref="AF75:AF75"/>
    <mergeCell ref="A76:A76"/>
    <mergeCell ref="B76:B76"/>
    <mergeCell ref="C76:C76"/>
    <mergeCell ref="F76:F76"/>
    <mergeCell ref="G76:G76"/>
    <mergeCell ref="H76:H76"/>
    <mergeCell ref="M76:M76"/>
    <mergeCell ref="N76:N76"/>
    <mergeCell ref="O76:O76"/>
    <mergeCell ref="P76:P76"/>
    <mergeCell ref="Q76:Q76"/>
    <mergeCell ref="R76:R76"/>
    <mergeCell ref="S76:S76"/>
    <mergeCell ref="X76:X76"/>
    <mergeCell ref="Y76:Y76"/>
    <mergeCell ref="Z76:Z76"/>
    <mergeCell ref="AA76:AA76"/>
    <mergeCell ref="AB76:AB76"/>
    <mergeCell ref="AC76:AC76"/>
    <mergeCell ref="AD76:AD76"/>
    <mergeCell ref="AE76:AE76"/>
    <mergeCell ref="AF76:AF76"/>
    <mergeCell ref="A77:A77"/>
    <mergeCell ref="B77:B77"/>
    <mergeCell ref="C77:C77"/>
    <mergeCell ref="F77:F77"/>
    <mergeCell ref="G77:G77"/>
    <mergeCell ref="H77:H77"/>
    <mergeCell ref="M77:M77"/>
    <mergeCell ref="N77:N77"/>
    <mergeCell ref="O77:O77"/>
    <mergeCell ref="P77:P77"/>
    <mergeCell ref="Q77:Q77"/>
    <mergeCell ref="R77:R77"/>
    <mergeCell ref="S77:S77"/>
    <mergeCell ref="X77:X77"/>
    <mergeCell ref="Y77:Y77"/>
    <mergeCell ref="Z77:Z77"/>
    <mergeCell ref="AA77:AA77"/>
    <mergeCell ref="AB77:AB77"/>
    <mergeCell ref="AC77:AC77"/>
    <mergeCell ref="AD77:AD77"/>
    <mergeCell ref="AE77:AE77"/>
    <mergeCell ref="AF77:AF77"/>
    <mergeCell ref="A78:A78"/>
    <mergeCell ref="B78:B78"/>
    <mergeCell ref="C78:C78"/>
    <mergeCell ref="F78:F78"/>
    <mergeCell ref="G78:G78"/>
    <mergeCell ref="H78:H78"/>
    <mergeCell ref="M78:M78"/>
    <mergeCell ref="N78:N78"/>
    <mergeCell ref="O78:O78"/>
    <mergeCell ref="P78:P78"/>
    <mergeCell ref="Q78:Q78"/>
    <mergeCell ref="R78:R78"/>
    <mergeCell ref="S78:S78"/>
    <mergeCell ref="X78:X78"/>
    <mergeCell ref="Y78:Y78"/>
    <mergeCell ref="Z78:Z78"/>
    <mergeCell ref="AA78:AA78"/>
    <mergeCell ref="AB78:AB78"/>
    <mergeCell ref="AC78:AC78"/>
    <mergeCell ref="AD78:AD78"/>
    <mergeCell ref="AE78:AE78"/>
    <mergeCell ref="AF78:AF78"/>
    <mergeCell ref="A79:A79"/>
    <mergeCell ref="B79:B79"/>
    <mergeCell ref="C79:C79"/>
    <mergeCell ref="F79:F79"/>
    <mergeCell ref="G79:G79"/>
    <mergeCell ref="H79:H79"/>
    <mergeCell ref="M79:M79"/>
    <mergeCell ref="N79:N79"/>
    <mergeCell ref="O79:O79"/>
    <mergeCell ref="P79:P79"/>
    <mergeCell ref="Q79:Q79"/>
    <mergeCell ref="R79:R79"/>
    <mergeCell ref="S79:S79"/>
    <mergeCell ref="X79:X79"/>
    <mergeCell ref="Y79:Y79"/>
    <mergeCell ref="Z79:Z79"/>
    <mergeCell ref="AA79:AA79"/>
    <mergeCell ref="AB79:AB79"/>
    <mergeCell ref="AC79:AC79"/>
    <mergeCell ref="AD79:AD79"/>
    <mergeCell ref="AE79:AE79"/>
    <mergeCell ref="AF79:AF79"/>
    <mergeCell ref="A80:A80"/>
    <mergeCell ref="B80:B80"/>
    <mergeCell ref="C80:C80"/>
    <mergeCell ref="F80:F80"/>
    <mergeCell ref="G80:G80"/>
    <mergeCell ref="H80:H80"/>
    <mergeCell ref="M80:M80"/>
    <mergeCell ref="N80:N80"/>
    <mergeCell ref="O80:O80"/>
    <mergeCell ref="P80:P80"/>
    <mergeCell ref="Q80:Q80"/>
    <mergeCell ref="R80:R80"/>
    <mergeCell ref="S80:S80"/>
    <mergeCell ref="X80:X80"/>
    <mergeCell ref="Y80:Y80"/>
    <mergeCell ref="Z80:Z80"/>
    <mergeCell ref="AA80:AA80"/>
    <mergeCell ref="AB80:AB80"/>
    <mergeCell ref="AC80:AC80"/>
    <mergeCell ref="AD80:AD80"/>
    <mergeCell ref="AE80:AE80"/>
    <mergeCell ref="AF80:AF80"/>
    <mergeCell ref="A81:A81"/>
    <mergeCell ref="B81:B81"/>
    <mergeCell ref="C81:C81"/>
    <mergeCell ref="F81:F81"/>
    <mergeCell ref="G81:G81"/>
    <mergeCell ref="H81:H81"/>
    <mergeCell ref="M81:M81"/>
    <mergeCell ref="N81:N81"/>
    <mergeCell ref="O81:O81"/>
    <mergeCell ref="P81:P81"/>
    <mergeCell ref="Q81:Q81"/>
    <mergeCell ref="R81:R81"/>
    <mergeCell ref="S81:S81"/>
    <mergeCell ref="X81:X81"/>
    <mergeCell ref="Y81:Y81"/>
    <mergeCell ref="Z81:Z81"/>
    <mergeCell ref="AA81:AA81"/>
    <mergeCell ref="AB81:AB81"/>
    <mergeCell ref="AC81:AC81"/>
    <mergeCell ref="AD81:AD81"/>
    <mergeCell ref="AE81:AE81"/>
    <mergeCell ref="AF81:AF81"/>
    <mergeCell ref="A82:A82"/>
    <mergeCell ref="B82:B82"/>
    <mergeCell ref="C82:C82"/>
    <mergeCell ref="F82:F82"/>
    <mergeCell ref="G82:G82"/>
    <mergeCell ref="H82:H82"/>
    <mergeCell ref="M82:M82"/>
    <mergeCell ref="N82:N82"/>
    <mergeCell ref="O82:O82"/>
    <mergeCell ref="P82:P82"/>
    <mergeCell ref="Q82:Q82"/>
    <mergeCell ref="R82:R82"/>
    <mergeCell ref="S82:S82"/>
    <mergeCell ref="X82:X82"/>
    <mergeCell ref="Y82:Y82"/>
    <mergeCell ref="Z82:Z82"/>
    <mergeCell ref="AA82:AA82"/>
    <mergeCell ref="AB82:AB82"/>
    <mergeCell ref="AC82:AC82"/>
    <mergeCell ref="AD82:AD82"/>
    <mergeCell ref="AE82:AE82"/>
    <mergeCell ref="AF82:AF82"/>
    <mergeCell ref="A83:A83"/>
    <mergeCell ref="B83:B83"/>
    <mergeCell ref="C83:C83"/>
    <mergeCell ref="F83:F83"/>
    <mergeCell ref="G83:G83"/>
    <mergeCell ref="H83:H83"/>
    <mergeCell ref="M83:M83"/>
    <mergeCell ref="N83:N83"/>
    <mergeCell ref="O83:O83"/>
    <mergeCell ref="P83:P83"/>
    <mergeCell ref="Q83:Q83"/>
    <mergeCell ref="R83:R83"/>
    <mergeCell ref="S83:S83"/>
    <mergeCell ref="X83:X83"/>
    <mergeCell ref="Y83:Y83"/>
    <mergeCell ref="Z83:Z83"/>
    <mergeCell ref="AA83:AA83"/>
    <mergeCell ref="AB83:AB83"/>
    <mergeCell ref="AC83:AC83"/>
    <mergeCell ref="AD83:AD83"/>
    <mergeCell ref="AE83:AE83"/>
    <mergeCell ref="AF83:AF83"/>
    <mergeCell ref="A84:A84"/>
    <mergeCell ref="B84:B84"/>
    <mergeCell ref="C84:C84"/>
    <mergeCell ref="F84:F84"/>
    <mergeCell ref="G84:G84"/>
    <mergeCell ref="H84:H84"/>
    <mergeCell ref="M84:M84"/>
    <mergeCell ref="N84:N84"/>
    <mergeCell ref="O84:O84"/>
    <mergeCell ref="P84:P84"/>
    <mergeCell ref="Q84:Q84"/>
    <mergeCell ref="R84:R84"/>
    <mergeCell ref="S84:S84"/>
    <mergeCell ref="X84:X84"/>
    <mergeCell ref="Y84:Y84"/>
    <mergeCell ref="Z84:Z84"/>
    <mergeCell ref="AA84:AA84"/>
    <mergeCell ref="AB84:AB84"/>
    <mergeCell ref="AC84:AC84"/>
    <mergeCell ref="AD84:AD84"/>
    <mergeCell ref="AE84:AE84"/>
    <mergeCell ref="AF84:AF84"/>
    <mergeCell ref="A85:A85"/>
    <mergeCell ref="B85:B85"/>
    <mergeCell ref="C85:C85"/>
    <mergeCell ref="F85:F85"/>
    <mergeCell ref="G85:G85"/>
    <mergeCell ref="H85:H85"/>
    <mergeCell ref="M85:M85"/>
    <mergeCell ref="N85:N85"/>
    <mergeCell ref="O85:O85"/>
    <mergeCell ref="P85:P85"/>
    <mergeCell ref="Q85:Q85"/>
    <mergeCell ref="R85:R85"/>
    <mergeCell ref="S85:S85"/>
    <mergeCell ref="X85:X85"/>
    <mergeCell ref="Y85:Y85"/>
    <mergeCell ref="Z85:Z85"/>
    <mergeCell ref="AA85:AA85"/>
    <mergeCell ref="AB85:AB85"/>
    <mergeCell ref="AC85:AC85"/>
    <mergeCell ref="AD85:AD85"/>
    <mergeCell ref="AE85:AE85"/>
    <mergeCell ref="AF85:AF85"/>
    <mergeCell ref="A86:A86"/>
    <mergeCell ref="B86:B86"/>
    <mergeCell ref="C86:C86"/>
    <mergeCell ref="F86:F86"/>
    <mergeCell ref="G86:G86"/>
    <mergeCell ref="H86:H86"/>
    <mergeCell ref="M86:M86"/>
    <mergeCell ref="N86:N86"/>
    <mergeCell ref="O86:O86"/>
    <mergeCell ref="P86:P86"/>
    <mergeCell ref="Q86:Q86"/>
    <mergeCell ref="R86:R86"/>
    <mergeCell ref="S86:S86"/>
    <mergeCell ref="X86:X86"/>
    <mergeCell ref="Y86:Y86"/>
    <mergeCell ref="Z86:Z86"/>
    <mergeCell ref="AA86:AA86"/>
    <mergeCell ref="AB86:AB86"/>
    <mergeCell ref="AC86:AC86"/>
    <mergeCell ref="AD86:AD86"/>
    <mergeCell ref="AE86:AE86"/>
    <mergeCell ref="AF86:AF86"/>
    <mergeCell ref="A87:A87"/>
    <mergeCell ref="B87:B87"/>
    <mergeCell ref="C87:C87"/>
    <mergeCell ref="F87:F87"/>
    <mergeCell ref="G87:G87"/>
    <mergeCell ref="H87:H87"/>
    <mergeCell ref="M87:M87"/>
    <mergeCell ref="N87:N87"/>
    <mergeCell ref="O87:O87"/>
    <mergeCell ref="P87:P87"/>
    <mergeCell ref="Q87:Q87"/>
    <mergeCell ref="R87:R87"/>
    <mergeCell ref="S87:S87"/>
    <mergeCell ref="X87:X87"/>
    <mergeCell ref="Y87:Y87"/>
    <mergeCell ref="Z87:Z87"/>
    <mergeCell ref="AA87:AA87"/>
    <mergeCell ref="AB87:AB87"/>
    <mergeCell ref="AC87:AC87"/>
    <mergeCell ref="AD87:AD87"/>
    <mergeCell ref="AE87:AE87"/>
    <mergeCell ref="AF87:AF87"/>
    <mergeCell ref="A88:A88"/>
    <mergeCell ref="B88:B88"/>
    <mergeCell ref="C88:C88"/>
    <mergeCell ref="F88:F88"/>
    <mergeCell ref="G88:G88"/>
    <mergeCell ref="H88:H88"/>
    <mergeCell ref="M88:M88"/>
    <mergeCell ref="N88:N88"/>
    <mergeCell ref="O88:O88"/>
    <mergeCell ref="P88:P88"/>
    <mergeCell ref="Q88:Q88"/>
    <mergeCell ref="R88:R88"/>
    <mergeCell ref="S88:S88"/>
    <mergeCell ref="X88:X88"/>
    <mergeCell ref="Y88:Y88"/>
    <mergeCell ref="Z88:Z88"/>
    <mergeCell ref="AA88:AA88"/>
    <mergeCell ref="AB88:AB88"/>
    <mergeCell ref="AC88:AC88"/>
    <mergeCell ref="AD88:AD88"/>
    <mergeCell ref="AE88:AE88"/>
    <mergeCell ref="AF88:AF88"/>
    <mergeCell ref="A89:A89"/>
    <mergeCell ref="B89:B89"/>
    <mergeCell ref="C89:C89"/>
    <mergeCell ref="F89:F89"/>
    <mergeCell ref="G89:G89"/>
    <mergeCell ref="H89:H89"/>
    <mergeCell ref="M89:M89"/>
    <mergeCell ref="N89:N89"/>
    <mergeCell ref="O89:O89"/>
    <mergeCell ref="P89:P89"/>
    <mergeCell ref="Q89:Q89"/>
    <mergeCell ref="R89:R89"/>
    <mergeCell ref="S89:S89"/>
    <mergeCell ref="X89:X89"/>
    <mergeCell ref="Y89:Y89"/>
    <mergeCell ref="Z89:Z89"/>
    <mergeCell ref="AA89:AA89"/>
    <mergeCell ref="AB89:AB89"/>
    <mergeCell ref="AC89:AC89"/>
    <mergeCell ref="AD89:AD89"/>
    <mergeCell ref="AE89:AE89"/>
    <mergeCell ref="AF89:AF89"/>
    <mergeCell ref="A90:A90"/>
    <mergeCell ref="B90:B90"/>
    <mergeCell ref="C90:C90"/>
    <mergeCell ref="F90:F90"/>
    <mergeCell ref="G90:G90"/>
    <mergeCell ref="H90:H90"/>
    <mergeCell ref="M90:M90"/>
    <mergeCell ref="N90:N90"/>
    <mergeCell ref="O90:O90"/>
    <mergeCell ref="P90:P90"/>
    <mergeCell ref="Q90:Q90"/>
    <mergeCell ref="R90:R90"/>
    <mergeCell ref="S90:S90"/>
    <mergeCell ref="X90:X90"/>
    <mergeCell ref="Y90:Y90"/>
    <mergeCell ref="Z90:Z90"/>
    <mergeCell ref="AA90:AA90"/>
    <mergeCell ref="AB90:AB90"/>
    <mergeCell ref="AC90:AC90"/>
    <mergeCell ref="AD90:AD90"/>
    <mergeCell ref="AE90:AE90"/>
    <mergeCell ref="AF90:AF90"/>
    <mergeCell ref="A91:A91"/>
    <mergeCell ref="B91:B91"/>
    <mergeCell ref="C91:C91"/>
    <mergeCell ref="F91:F91"/>
    <mergeCell ref="G91:G91"/>
    <mergeCell ref="H91:H91"/>
    <mergeCell ref="M91:M91"/>
    <mergeCell ref="N91:N91"/>
    <mergeCell ref="O91:O91"/>
    <mergeCell ref="P91:P91"/>
    <mergeCell ref="Q91:Q91"/>
    <mergeCell ref="R91:R91"/>
    <mergeCell ref="S91:S91"/>
    <mergeCell ref="X91:X91"/>
    <mergeCell ref="Y91:Y91"/>
    <mergeCell ref="Z91:Z91"/>
    <mergeCell ref="AA91:AA91"/>
    <mergeCell ref="AB91:AB91"/>
    <mergeCell ref="AC91:AC91"/>
    <mergeCell ref="AD91:AD91"/>
    <mergeCell ref="AE91:AE91"/>
    <mergeCell ref="AF91:AF91"/>
    <mergeCell ref="A92:A92"/>
    <mergeCell ref="B92:B92"/>
    <mergeCell ref="C92:C92"/>
    <mergeCell ref="F92:F92"/>
    <mergeCell ref="G92:G92"/>
    <mergeCell ref="H92:H92"/>
    <mergeCell ref="M92:M92"/>
    <mergeCell ref="N92:N92"/>
    <mergeCell ref="O92:O92"/>
    <mergeCell ref="P92:P92"/>
    <mergeCell ref="Q92:Q92"/>
    <mergeCell ref="R92:R92"/>
    <mergeCell ref="S92:S92"/>
    <mergeCell ref="X92:X92"/>
    <mergeCell ref="Y92:Y92"/>
    <mergeCell ref="Z92:Z92"/>
    <mergeCell ref="AA92:AA92"/>
    <mergeCell ref="AB92:AB92"/>
    <mergeCell ref="AC92:AC92"/>
    <mergeCell ref="AD92:AD92"/>
    <mergeCell ref="AE92:AE92"/>
    <mergeCell ref="AF92:AF92"/>
    <mergeCell ref="A93:A93"/>
    <mergeCell ref="B93:B93"/>
    <mergeCell ref="C93:C93"/>
    <mergeCell ref="F93:F93"/>
    <mergeCell ref="G93:G93"/>
    <mergeCell ref="H93:H93"/>
    <mergeCell ref="M93:M93"/>
    <mergeCell ref="N93:N93"/>
    <mergeCell ref="O93:O93"/>
    <mergeCell ref="P93:P93"/>
    <mergeCell ref="Q93:Q93"/>
    <mergeCell ref="R93:R93"/>
    <mergeCell ref="S93:S93"/>
    <mergeCell ref="X93:X93"/>
    <mergeCell ref="Y93:Y93"/>
    <mergeCell ref="Z93:Z93"/>
    <mergeCell ref="AA93:AA93"/>
    <mergeCell ref="AB93:AB93"/>
    <mergeCell ref="AC93:AC93"/>
    <mergeCell ref="AD93:AD93"/>
    <mergeCell ref="AE93:AE93"/>
    <mergeCell ref="AF93:AF93"/>
    <mergeCell ref="A94:A94"/>
    <mergeCell ref="B94:B94"/>
    <mergeCell ref="C94:C94"/>
    <mergeCell ref="F94:F94"/>
    <mergeCell ref="G94:G94"/>
    <mergeCell ref="H94:H94"/>
    <mergeCell ref="M94:M94"/>
    <mergeCell ref="N94:N94"/>
    <mergeCell ref="O94:O94"/>
    <mergeCell ref="P94:P94"/>
    <mergeCell ref="Q94:Q94"/>
    <mergeCell ref="R94:R94"/>
    <mergeCell ref="S94:S94"/>
    <mergeCell ref="X94:X94"/>
    <mergeCell ref="Y94:Y94"/>
    <mergeCell ref="Z94:Z94"/>
    <mergeCell ref="AA94:AA94"/>
    <mergeCell ref="AB94:AB94"/>
    <mergeCell ref="AC94:AC94"/>
    <mergeCell ref="AD94:AD94"/>
    <mergeCell ref="AE94:AE94"/>
    <mergeCell ref="AF94:AF94"/>
    <mergeCell ref="A95:A95"/>
    <mergeCell ref="B95:B95"/>
    <mergeCell ref="C95:C95"/>
    <mergeCell ref="F95:F95"/>
    <mergeCell ref="G95:G95"/>
    <mergeCell ref="H95:H95"/>
    <mergeCell ref="M95:M95"/>
    <mergeCell ref="N95:N95"/>
    <mergeCell ref="O95:O95"/>
    <mergeCell ref="P95:P95"/>
    <mergeCell ref="Q95:Q95"/>
    <mergeCell ref="R95:R95"/>
    <mergeCell ref="S95:S95"/>
    <mergeCell ref="X95:X95"/>
    <mergeCell ref="Y95:Y95"/>
    <mergeCell ref="Z95:Z95"/>
    <mergeCell ref="AA95:AA95"/>
    <mergeCell ref="AB95:AB95"/>
    <mergeCell ref="AC95:AC95"/>
    <mergeCell ref="AD95:AD95"/>
    <mergeCell ref="AE95:AE95"/>
    <mergeCell ref="AF95:AF95"/>
    <mergeCell ref="A96:A96"/>
    <mergeCell ref="B96:B96"/>
    <mergeCell ref="C96:C96"/>
    <mergeCell ref="F96:F96"/>
    <mergeCell ref="G96:G96"/>
    <mergeCell ref="H96:H96"/>
    <mergeCell ref="M96:M96"/>
    <mergeCell ref="N96:N96"/>
    <mergeCell ref="O96:O96"/>
    <mergeCell ref="P96:P96"/>
    <mergeCell ref="Q96:Q96"/>
    <mergeCell ref="R96:R96"/>
    <mergeCell ref="S96:S96"/>
    <mergeCell ref="X96:X96"/>
    <mergeCell ref="Y96:Y96"/>
    <mergeCell ref="Z96:Z96"/>
    <mergeCell ref="AA96:AA96"/>
    <mergeCell ref="AB96:AB96"/>
    <mergeCell ref="AC96:AC96"/>
    <mergeCell ref="AD96:AD96"/>
    <mergeCell ref="AE96:AE96"/>
    <mergeCell ref="AF96:AF96"/>
    <mergeCell ref="A97:A97"/>
    <mergeCell ref="B97:B97"/>
    <mergeCell ref="C97:C97"/>
    <mergeCell ref="F97:F97"/>
    <mergeCell ref="G97:G97"/>
    <mergeCell ref="H97:H97"/>
    <mergeCell ref="M97:M97"/>
    <mergeCell ref="N97:N97"/>
    <mergeCell ref="O97:O97"/>
    <mergeCell ref="P97:P97"/>
    <mergeCell ref="Q97:Q97"/>
    <mergeCell ref="R97:R97"/>
    <mergeCell ref="S97:S97"/>
    <mergeCell ref="X97:X97"/>
    <mergeCell ref="Y97:Y97"/>
    <mergeCell ref="Z97:Z97"/>
    <mergeCell ref="AA97:AA97"/>
    <mergeCell ref="AB97:AB97"/>
    <mergeCell ref="AC97:AC97"/>
    <mergeCell ref="AD97:AD97"/>
    <mergeCell ref="AE97:AE97"/>
    <mergeCell ref="AF97:AF97"/>
    <mergeCell ref="A98:A98"/>
    <mergeCell ref="B98:B98"/>
    <mergeCell ref="C98:C98"/>
    <mergeCell ref="F98:F98"/>
    <mergeCell ref="G98:G98"/>
    <mergeCell ref="H98:H98"/>
    <mergeCell ref="M98:M98"/>
    <mergeCell ref="N98:N98"/>
    <mergeCell ref="O98:O98"/>
    <mergeCell ref="P98:P98"/>
    <mergeCell ref="Q98:Q98"/>
    <mergeCell ref="R98:R98"/>
    <mergeCell ref="S98:S98"/>
    <mergeCell ref="X98:X98"/>
    <mergeCell ref="Y98:Y98"/>
    <mergeCell ref="Z98:Z98"/>
    <mergeCell ref="AA98:AA98"/>
    <mergeCell ref="AB98:AB98"/>
    <mergeCell ref="AC98:AC98"/>
    <mergeCell ref="AD98:AD98"/>
    <mergeCell ref="AE98:AE98"/>
    <mergeCell ref="AF98:AF98"/>
    <mergeCell ref="A99:A99"/>
    <mergeCell ref="B99:B99"/>
    <mergeCell ref="C99:C99"/>
    <mergeCell ref="F99:F99"/>
    <mergeCell ref="G99:G99"/>
    <mergeCell ref="H99:H99"/>
    <mergeCell ref="M99:M99"/>
    <mergeCell ref="N99:N99"/>
    <mergeCell ref="O99:O99"/>
    <mergeCell ref="P99:P99"/>
    <mergeCell ref="Q99:Q99"/>
    <mergeCell ref="R99:R99"/>
    <mergeCell ref="S99:S99"/>
    <mergeCell ref="X99:X99"/>
    <mergeCell ref="Y99:Y99"/>
    <mergeCell ref="Z99:Z99"/>
    <mergeCell ref="AA99:AA99"/>
    <mergeCell ref="AB99:AB99"/>
    <mergeCell ref="AC99:AC99"/>
    <mergeCell ref="AD99:AD99"/>
    <mergeCell ref="AE99:AE99"/>
    <mergeCell ref="AF99:AF99"/>
    <mergeCell ref="A100:A100"/>
    <mergeCell ref="B100:B100"/>
    <mergeCell ref="C100:C100"/>
    <mergeCell ref="F100:F100"/>
    <mergeCell ref="G100:G100"/>
    <mergeCell ref="H100:H100"/>
    <mergeCell ref="M100:M100"/>
    <mergeCell ref="N100:N100"/>
    <mergeCell ref="O100:O100"/>
    <mergeCell ref="P100:P100"/>
    <mergeCell ref="Q100:Q100"/>
    <mergeCell ref="R100:R100"/>
    <mergeCell ref="S100:S100"/>
    <mergeCell ref="X100:X100"/>
    <mergeCell ref="Y100:Y100"/>
    <mergeCell ref="Z100:Z100"/>
    <mergeCell ref="AA100:AA100"/>
    <mergeCell ref="AB100:AB100"/>
    <mergeCell ref="AC100:AC100"/>
    <mergeCell ref="AD100:AD100"/>
    <mergeCell ref="AE100:AE100"/>
    <mergeCell ref="AF100:AF100"/>
    <mergeCell ref="A101:A101"/>
    <mergeCell ref="B101:B101"/>
    <mergeCell ref="C101:C101"/>
    <mergeCell ref="F101:F101"/>
    <mergeCell ref="G101:G101"/>
    <mergeCell ref="H101:H101"/>
    <mergeCell ref="M101:M101"/>
    <mergeCell ref="N101:N101"/>
    <mergeCell ref="O101:O101"/>
    <mergeCell ref="P101:P101"/>
    <mergeCell ref="Q101:Q101"/>
    <mergeCell ref="R101:R101"/>
    <mergeCell ref="S101:S101"/>
    <mergeCell ref="X101:X101"/>
    <mergeCell ref="Y101:Y101"/>
    <mergeCell ref="Z101:Z101"/>
    <mergeCell ref="AA101:AA101"/>
    <mergeCell ref="AB101:AB101"/>
    <mergeCell ref="AC101:AC101"/>
    <mergeCell ref="AD101:AD101"/>
    <mergeCell ref="AE101:AE101"/>
    <mergeCell ref="AF101:AF101"/>
    <mergeCell ref="A102:A102"/>
    <mergeCell ref="B102:B102"/>
    <mergeCell ref="C102:C102"/>
    <mergeCell ref="F102:F102"/>
    <mergeCell ref="G102:G102"/>
    <mergeCell ref="H102:H102"/>
    <mergeCell ref="M102:M102"/>
    <mergeCell ref="N102:N102"/>
    <mergeCell ref="O102:O102"/>
    <mergeCell ref="P102:P102"/>
    <mergeCell ref="Q102:Q102"/>
    <mergeCell ref="R102:R102"/>
    <mergeCell ref="S102:S102"/>
    <mergeCell ref="X102:X102"/>
    <mergeCell ref="Y102:Y102"/>
    <mergeCell ref="Z102:Z102"/>
    <mergeCell ref="AA102:AA102"/>
    <mergeCell ref="AB102:AB102"/>
    <mergeCell ref="AC102:AC102"/>
    <mergeCell ref="AD102:AD102"/>
    <mergeCell ref="AE102:AE102"/>
    <mergeCell ref="AF102:AF102"/>
    <mergeCell ref="A103:A103"/>
    <mergeCell ref="B103:B103"/>
    <mergeCell ref="C103:C103"/>
    <mergeCell ref="F103:F103"/>
    <mergeCell ref="G103:G103"/>
    <mergeCell ref="H103:H103"/>
    <mergeCell ref="M103:M103"/>
    <mergeCell ref="N103:N103"/>
    <mergeCell ref="O103:O103"/>
    <mergeCell ref="P103:P103"/>
    <mergeCell ref="Q103:Q103"/>
    <mergeCell ref="R103:R103"/>
    <mergeCell ref="S103:S103"/>
    <mergeCell ref="X103:X103"/>
    <mergeCell ref="Y103:Y103"/>
    <mergeCell ref="Z103:Z103"/>
    <mergeCell ref="AA103:AA103"/>
    <mergeCell ref="AB103:AB103"/>
    <mergeCell ref="AC103:AC103"/>
    <mergeCell ref="AD103:AD103"/>
    <mergeCell ref="AE103:AE103"/>
    <mergeCell ref="AF103:AF103"/>
    <mergeCell ref="A104:A104"/>
    <mergeCell ref="B104:B104"/>
    <mergeCell ref="C104:C104"/>
    <mergeCell ref="F104:F104"/>
    <mergeCell ref="G104:G104"/>
    <mergeCell ref="H104:H104"/>
    <mergeCell ref="M104:M104"/>
    <mergeCell ref="N104:N104"/>
    <mergeCell ref="O104:O104"/>
    <mergeCell ref="P104:P104"/>
    <mergeCell ref="Q104:Q104"/>
    <mergeCell ref="R104:R104"/>
    <mergeCell ref="S104:S104"/>
    <mergeCell ref="X104:X104"/>
    <mergeCell ref="Y104:Y104"/>
    <mergeCell ref="Z104:Z104"/>
    <mergeCell ref="AA104:AA104"/>
    <mergeCell ref="AB104:AB104"/>
    <mergeCell ref="AC104:AC104"/>
    <mergeCell ref="AD104:AD104"/>
    <mergeCell ref="AE104:AE104"/>
    <mergeCell ref="AF104:AF104"/>
    <mergeCell ref="A105:A105"/>
    <mergeCell ref="B105:B105"/>
    <mergeCell ref="C105:C105"/>
    <mergeCell ref="F105:F105"/>
    <mergeCell ref="G105:G105"/>
    <mergeCell ref="H105:H105"/>
    <mergeCell ref="M105:M105"/>
    <mergeCell ref="N105:N105"/>
    <mergeCell ref="O105:O105"/>
    <mergeCell ref="P105:P105"/>
    <mergeCell ref="Q105:Q105"/>
    <mergeCell ref="R105:R105"/>
    <mergeCell ref="S105:S105"/>
    <mergeCell ref="X105:X105"/>
    <mergeCell ref="Y105:Y105"/>
    <mergeCell ref="Z105:Z105"/>
    <mergeCell ref="AA105:AA105"/>
    <mergeCell ref="AB105:AB105"/>
    <mergeCell ref="AC105:AC105"/>
    <mergeCell ref="AD105:AD105"/>
    <mergeCell ref="AE105:AE105"/>
    <mergeCell ref="AF105:AF105"/>
    <mergeCell ref="A106:A106"/>
    <mergeCell ref="B106:B106"/>
    <mergeCell ref="C106:C106"/>
    <mergeCell ref="F106:F106"/>
    <mergeCell ref="G106:G106"/>
    <mergeCell ref="H106:H106"/>
    <mergeCell ref="M106:M106"/>
    <mergeCell ref="N106:N106"/>
    <mergeCell ref="O106:O106"/>
    <mergeCell ref="P106:P106"/>
    <mergeCell ref="Q106:Q106"/>
    <mergeCell ref="R106:R106"/>
    <mergeCell ref="S106:S106"/>
    <mergeCell ref="X106:X106"/>
    <mergeCell ref="Y106:Y106"/>
    <mergeCell ref="Z106:Z106"/>
    <mergeCell ref="AA106:AA106"/>
    <mergeCell ref="AB106:AB106"/>
    <mergeCell ref="AC106:AC106"/>
    <mergeCell ref="AD106:AD106"/>
    <mergeCell ref="AE106:AE106"/>
    <mergeCell ref="AF106:AF106"/>
    <mergeCell ref="A107:A107"/>
    <mergeCell ref="B107:B107"/>
    <mergeCell ref="C107:C107"/>
    <mergeCell ref="F107:F107"/>
    <mergeCell ref="G107:G107"/>
    <mergeCell ref="H107:H107"/>
    <mergeCell ref="M107:M107"/>
    <mergeCell ref="N107:N107"/>
    <mergeCell ref="O107:O107"/>
    <mergeCell ref="P107:P107"/>
    <mergeCell ref="Q107:Q107"/>
    <mergeCell ref="R107:R107"/>
    <mergeCell ref="S107:S107"/>
    <mergeCell ref="X107:X107"/>
    <mergeCell ref="Y107:Y107"/>
    <mergeCell ref="Z107:Z107"/>
    <mergeCell ref="AA107:AA107"/>
    <mergeCell ref="AB107:AB107"/>
    <mergeCell ref="AC107:AC107"/>
    <mergeCell ref="AD107:AD107"/>
    <mergeCell ref="AE107:AE107"/>
    <mergeCell ref="AF107:AF107"/>
    <mergeCell ref="A108:A108"/>
    <mergeCell ref="B108:B108"/>
    <mergeCell ref="C108:C108"/>
    <mergeCell ref="F108:F108"/>
    <mergeCell ref="G108:G108"/>
    <mergeCell ref="H108:H108"/>
    <mergeCell ref="M108:M108"/>
    <mergeCell ref="N108:N108"/>
    <mergeCell ref="O108:O108"/>
    <mergeCell ref="P108:P108"/>
    <mergeCell ref="Q108:Q108"/>
    <mergeCell ref="R108:R108"/>
    <mergeCell ref="S108:S108"/>
    <mergeCell ref="X108:X108"/>
    <mergeCell ref="Y108:Y108"/>
    <mergeCell ref="Z108:Z108"/>
    <mergeCell ref="AA108:AA108"/>
    <mergeCell ref="AB108:AB108"/>
    <mergeCell ref="AC108:AC108"/>
    <mergeCell ref="AD108:AD108"/>
    <mergeCell ref="AE108:AE108"/>
    <mergeCell ref="AF108:AF108"/>
    <mergeCell ref="A109:A109"/>
    <mergeCell ref="B109:B109"/>
    <mergeCell ref="C109:C109"/>
    <mergeCell ref="F109:F109"/>
    <mergeCell ref="G109:G109"/>
    <mergeCell ref="H109:H109"/>
    <mergeCell ref="M109:M109"/>
    <mergeCell ref="N109:N109"/>
    <mergeCell ref="O109:O109"/>
    <mergeCell ref="P109:P109"/>
    <mergeCell ref="Q109:Q109"/>
    <mergeCell ref="R109:R109"/>
    <mergeCell ref="S109:S109"/>
    <mergeCell ref="X109:X109"/>
    <mergeCell ref="Y109:Y109"/>
    <mergeCell ref="Z109:Z109"/>
    <mergeCell ref="AA109:AA109"/>
    <mergeCell ref="AB109:AB109"/>
    <mergeCell ref="AC109:AC109"/>
    <mergeCell ref="AD109:AD109"/>
    <mergeCell ref="AE109:AE109"/>
    <mergeCell ref="AF109:AF109"/>
    <mergeCell ref="A110:A110"/>
    <mergeCell ref="B110:B110"/>
    <mergeCell ref="C110:C110"/>
    <mergeCell ref="F110:F110"/>
    <mergeCell ref="G110:G110"/>
    <mergeCell ref="H110:H110"/>
    <mergeCell ref="M110:M110"/>
    <mergeCell ref="N110:N110"/>
    <mergeCell ref="O110:O110"/>
    <mergeCell ref="P110:P110"/>
    <mergeCell ref="Q110:Q110"/>
    <mergeCell ref="R110:R110"/>
    <mergeCell ref="S110:S110"/>
    <mergeCell ref="X110:X110"/>
    <mergeCell ref="Y110:Y110"/>
    <mergeCell ref="Z110:Z110"/>
    <mergeCell ref="AA110:AA110"/>
    <mergeCell ref="AB110:AB110"/>
    <mergeCell ref="AC110:AC110"/>
    <mergeCell ref="AD110:AD110"/>
    <mergeCell ref="AE110:AE110"/>
    <mergeCell ref="AF110:AF110"/>
    <mergeCell ref="A111:A111"/>
    <mergeCell ref="B111:B111"/>
    <mergeCell ref="C111:C111"/>
    <mergeCell ref="F111:F111"/>
    <mergeCell ref="G111:G111"/>
    <mergeCell ref="H111:H111"/>
    <mergeCell ref="M111:M111"/>
    <mergeCell ref="N111:N111"/>
    <mergeCell ref="O111:O111"/>
    <mergeCell ref="P111:P111"/>
    <mergeCell ref="Q111:Q111"/>
    <mergeCell ref="R111:R111"/>
    <mergeCell ref="S111:S111"/>
    <mergeCell ref="X111:X111"/>
    <mergeCell ref="Y111:Y111"/>
    <mergeCell ref="Z111:Z111"/>
    <mergeCell ref="AA111:AA111"/>
    <mergeCell ref="AB111:AB111"/>
    <mergeCell ref="AC111:AC111"/>
    <mergeCell ref="AD111:AD111"/>
    <mergeCell ref="AE111:AE111"/>
    <mergeCell ref="AF111:AF111"/>
    <mergeCell ref="A112:A112"/>
    <mergeCell ref="B112:B112"/>
    <mergeCell ref="C112:C112"/>
    <mergeCell ref="F112:F112"/>
    <mergeCell ref="G112:G112"/>
    <mergeCell ref="H112:H112"/>
    <mergeCell ref="M112:M112"/>
    <mergeCell ref="N112:N112"/>
    <mergeCell ref="O112:O112"/>
    <mergeCell ref="P112:P112"/>
    <mergeCell ref="Q112:Q112"/>
    <mergeCell ref="R112:R112"/>
    <mergeCell ref="S112:S112"/>
    <mergeCell ref="X112:X112"/>
    <mergeCell ref="Y112:Y112"/>
    <mergeCell ref="Z112:Z112"/>
    <mergeCell ref="AA112:AA112"/>
    <mergeCell ref="AB112:AB112"/>
    <mergeCell ref="AC112:AC112"/>
    <mergeCell ref="AD112:AD112"/>
    <mergeCell ref="AE112:AE112"/>
    <mergeCell ref="AF112:AF112"/>
    <mergeCell ref="A113:A113"/>
    <mergeCell ref="B113:B113"/>
    <mergeCell ref="C113:C113"/>
    <mergeCell ref="F113:F113"/>
    <mergeCell ref="G113:G113"/>
    <mergeCell ref="H113:H113"/>
    <mergeCell ref="M113:M113"/>
    <mergeCell ref="N113:N113"/>
    <mergeCell ref="O113:O113"/>
    <mergeCell ref="P113:P113"/>
    <mergeCell ref="Q113:Q113"/>
    <mergeCell ref="R113:R113"/>
    <mergeCell ref="S113:S113"/>
    <mergeCell ref="X113:X113"/>
    <mergeCell ref="Y113:Y113"/>
    <mergeCell ref="Z113:Z113"/>
    <mergeCell ref="AA113:AA113"/>
    <mergeCell ref="AB113:AB113"/>
    <mergeCell ref="AC113:AC113"/>
    <mergeCell ref="AD113:AD113"/>
    <mergeCell ref="AE113:AE113"/>
    <mergeCell ref="AF113:AF113"/>
    <mergeCell ref="A114:A114"/>
    <mergeCell ref="B114:B114"/>
    <mergeCell ref="C114:C114"/>
    <mergeCell ref="F114:F114"/>
    <mergeCell ref="G114:G114"/>
    <mergeCell ref="H114:H114"/>
    <mergeCell ref="M114:M114"/>
    <mergeCell ref="N114:N114"/>
    <mergeCell ref="O114:O114"/>
    <mergeCell ref="P114:P114"/>
    <mergeCell ref="Q114:Q114"/>
    <mergeCell ref="R114:R114"/>
    <mergeCell ref="S114:S114"/>
    <mergeCell ref="X114:X114"/>
    <mergeCell ref="Y114:Y114"/>
    <mergeCell ref="Z114:Z114"/>
    <mergeCell ref="AA114:AA114"/>
    <mergeCell ref="AB114:AB114"/>
    <mergeCell ref="AC114:AC114"/>
    <mergeCell ref="AD114:AD114"/>
    <mergeCell ref="AE114:AE114"/>
    <mergeCell ref="AF114:AF114"/>
    <mergeCell ref="A115:A115"/>
    <mergeCell ref="B115:B115"/>
    <mergeCell ref="C115:C115"/>
    <mergeCell ref="F115:F115"/>
    <mergeCell ref="G115:G115"/>
    <mergeCell ref="H115:H115"/>
    <mergeCell ref="M115:M115"/>
    <mergeCell ref="N115:N115"/>
    <mergeCell ref="O115:O115"/>
    <mergeCell ref="P115:P115"/>
    <mergeCell ref="Q115:Q115"/>
    <mergeCell ref="R115:R115"/>
    <mergeCell ref="S115:S115"/>
    <mergeCell ref="X115:X115"/>
    <mergeCell ref="Y115:Y115"/>
    <mergeCell ref="Z115:Z115"/>
    <mergeCell ref="AA115:AA115"/>
    <mergeCell ref="AB115:AB115"/>
    <mergeCell ref="AC115:AC115"/>
    <mergeCell ref="AD115:AD115"/>
    <mergeCell ref="AE115:AE115"/>
    <mergeCell ref="AF115:AF115"/>
    <mergeCell ref="A116:A116"/>
    <mergeCell ref="B116:B116"/>
    <mergeCell ref="C116:C116"/>
    <mergeCell ref="F116:F116"/>
    <mergeCell ref="G116:G116"/>
    <mergeCell ref="H116:H116"/>
    <mergeCell ref="M116:M116"/>
    <mergeCell ref="N116:N116"/>
    <mergeCell ref="O116:O116"/>
    <mergeCell ref="P116:P116"/>
    <mergeCell ref="Q116:Q116"/>
    <mergeCell ref="R116:R116"/>
    <mergeCell ref="S116:S116"/>
    <mergeCell ref="X116:X116"/>
    <mergeCell ref="Y116:Y116"/>
    <mergeCell ref="Z116:Z116"/>
    <mergeCell ref="AA116:AA116"/>
    <mergeCell ref="AB116:AB116"/>
    <mergeCell ref="AC116:AC116"/>
    <mergeCell ref="AD116:AD116"/>
    <mergeCell ref="AE116:AE116"/>
    <mergeCell ref="AF116:AF116"/>
    <mergeCell ref="A117:A117"/>
    <mergeCell ref="B117:B117"/>
    <mergeCell ref="C117:C117"/>
    <mergeCell ref="F117:F117"/>
    <mergeCell ref="G117:G117"/>
    <mergeCell ref="H117:H117"/>
    <mergeCell ref="M117:M117"/>
    <mergeCell ref="N117:N117"/>
    <mergeCell ref="O117:O117"/>
    <mergeCell ref="P117:P117"/>
    <mergeCell ref="Q117:Q117"/>
    <mergeCell ref="R117:R117"/>
    <mergeCell ref="S117:S117"/>
    <mergeCell ref="X117:X117"/>
    <mergeCell ref="Y117:Y117"/>
    <mergeCell ref="Z117:Z117"/>
    <mergeCell ref="AA117:AA117"/>
    <mergeCell ref="AB117:AB117"/>
    <mergeCell ref="AC117:AC117"/>
    <mergeCell ref="AD117:AD117"/>
    <mergeCell ref="AE117:AE117"/>
    <mergeCell ref="AF117:AF117"/>
    <mergeCell ref="A118:A118"/>
    <mergeCell ref="B118:B118"/>
    <mergeCell ref="C118:C118"/>
    <mergeCell ref="F118:F118"/>
    <mergeCell ref="G118:G118"/>
    <mergeCell ref="H118:H118"/>
    <mergeCell ref="M118:M118"/>
    <mergeCell ref="N118:N118"/>
    <mergeCell ref="O118:O118"/>
    <mergeCell ref="P118:P118"/>
    <mergeCell ref="Q118:Q118"/>
    <mergeCell ref="R118:R118"/>
    <mergeCell ref="S118:S118"/>
    <mergeCell ref="X118:X118"/>
    <mergeCell ref="Y118:Y118"/>
    <mergeCell ref="Z118:Z118"/>
    <mergeCell ref="AA118:AA118"/>
    <mergeCell ref="AB118:AB118"/>
    <mergeCell ref="AC118:AC118"/>
    <mergeCell ref="AD118:AD118"/>
    <mergeCell ref="AE118:AE118"/>
    <mergeCell ref="AF118:AF118"/>
    <mergeCell ref="A119:A119"/>
    <mergeCell ref="B119:B119"/>
    <mergeCell ref="C119:C119"/>
    <mergeCell ref="F119:F119"/>
    <mergeCell ref="G119:G119"/>
    <mergeCell ref="H119:H119"/>
    <mergeCell ref="M119:M119"/>
    <mergeCell ref="N119:N119"/>
    <mergeCell ref="O119:O119"/>
    <mergeCell ref="P119:P119"/>
    <mergeCell ref="Q119:Q119"/>
    <mergeCell ref="R119:R119"/>
    <mergeCell ref="S119:S119"/>
    <mergeCell ref="X119:X119"/>
    <mergeCell ref="Y119:Y119"/>
    <mergeCell ref="Z119:Z119"/>
    <mergeCell ref="AA119:AA119"/>
    <mergeCell ref="AB119:AB119"/>
    <mergeCell ref="AC119:AC119"/>
    <mergeCell ref="AD119:AD119"/>
    <mergeCell ref="AE119:AE119"/>
    <mergeCell ref="AF119:AF119"/>
    <mergeCell ref="A120:A120"/>
    <mergeCell ref="B120:B120"/>
    <mergeCell ref="C120:C120"/>
    <mergeCell ref="F120:F120"/>
    <mergeCell ref="G120:G120"/>
    <mergeCell ref="H120:H120"/>
    <mergeCell ref="M120:M120"/>
    <mergeCell ref="N120:N120"/>
    <mergeCell ref="O120:O120"/>
    <mergeCell ref="P120:P120"/>
    <mergeCell ref="Q120:Q120"/>
    <mergeCell ref="R120:R120"/>
    <mergeCell ref="S120:S120"/>
    <mergeCell ref="X120:X120"/>
    <mergeCell ref="Y120:Y120"/>
    <mergeCell ref="Z120:Z120"/>
    <mergeCell ref="AA120:AA120"/>
    <mergeCell ref="AB120:AB120"/>
    <mergeCell ref="AC120:AC120"/>
    <mergeCell ref="AD120:AD120"/>
    <mergeCell ref="AE120:AE120"/>
    <mergeCell ref="AF120:AF120"/>
    <mergeCell ref="A121:A121"/>
    <mergeCell ref="B121:B121"/>
    <mergeCell ref="C121:C121"/>
    <mergeCell ref="F121:F121"/>
    <mergeCell ref="G121:G121"/>
    <mergeCell ref="H121:H121"/>
    <mergeCell ref="M121:M121"/>
    <mergeCell ref="N121:N121"/>
    <mergeCell ref="O121:O121"/>
    <mergeCell ref="P121:P121"/>
    <mergeCell ref="Q121:Q121"/>
    <mergeCell ref="R121:R121"/>
    <mergeCell ref="S121:S121"/>
    <mergeCell ref="X121:X121"/>
    <mergeCell ref="Y121:Y121"/>
    <mergeCell ref="Z121:Z121"/>
    <mergeCell ref="AA121:AA121"/>
    <mergeCell ref="AB121:AB121"/>
    <mergeCell ref="AC121:AC121"/>
    <mergeCell ref="AD121:AD121"/>
    <mergeCell ref="AE121:AE121"/>
    <mergeCell ref="AF121:AF121"/>
    <mergeCell ref="A122:A122"/>
    <mergeCell ref="B122:B122"/>
    <mergeCell ref="C122:C122"/>
    <mergeCell ref="F122:F122"/>
    <mergeCell ref="G122:G122"/>
    <mergeCell ref="H122:H122"/>
    <mergeCell ref="M122:M122"/>
    <mergeCell ref="N122:N122"/>
    <mergeCell ref="O122:O122"/>
    <mergeCell ref="P122:P122"/>
    <mergeCell ref="Q122:Q122"/>
    <mergeCell ref="R122:R122"/>
    <mergeCell ref="S122:S122"/>
    <mergeCell ref="X122:X122"/>
    <mergeCell ref="Y122:Y122"/>
    <mergeCell ref="Z122:Z122"/>
    <mergeCell ref="AA122:AA122"/>
    <mergeCell ref="AB122:AB122"/>
    <mergeCell ref="AC122:AC122"/>
    <mergeCell ref="AD122:AD122"/>
    <mergeCell ref="AE122:AE122"/>
    <mergeCell ref="AF122:AF122"/>
    <mergeCell ref="A123:A123"/>
    <mergeCell ref="B123:B123"/>
    <mergeCell ref="C123:C123"/>
    <mergeCell ref="F123:F123"/>
    <mergeCell ref="G123:G123"/>
    <mergeCell ref="H123:H123"/>
    <mergeCell ref="M123:M123"/>
    <mergeCell ref="N123:N123"/>
    <mergeCell ref="O123:O123"/>
    <mergeCell ref="P123:P123"/>
    <mergeCell ref="Q123:Q123"/>
    <mergeCell ref="R123:R123"/>
    <mergeCell ref="S123:S123"/>
    <mergeCell ref="X123:X123"/>
    <mergeCell ref="Y123:Y123"/>
    <mergeCell ref="Z123:Z123"/>
    <mergeCell ref="AA123:AA123"/>
    <mergeCell ref="AB123:AB123"/>
    <mergeCell ref="AC123:AC123"/>
    <mergeCell ref="AD123:AD123"/>
    <mergeCell ref="AE123:AE123"/>
    <mergeCell ref="AF123:AF123"/>
    <mergeCell ref="A124:A124"/>
    <mergeCell ref="B124:B124"/>
    <mergeCell ref="C124:C124"/>
    <mergeCell ref="F124:F124"/>
    <mergeCell ref="G124:G124"/>
    <mergeCell ref="H124:H124"/>
    <mergeCell ref="M124:M124"/>
    <mergeCell ref="N124:N124"/>
    <mergeCell ref="O124:O124"/>
    <mergeCell ref="P124:P124"/>
    <mergeCell ref="Q124:Q124"/>
    <mergeCell ref="R124:R124"/>
    <mergeCell ref="S124:S124"/>
    <mergeCell ref="X124:X124"/>
    <mergeCell ref="Y124:Y124"/>
    <mergeCell ref="Z124:Z124"/>
    <mergeCell ref="AA124:AA124"/>
    <mergeCell ref="AB124:AB124"/>
    <mergeCell ref="AC124:AC124"/>
    <mergeCell ref="AD124:AD124"/>
    <mergeCell ref="AE124:AE124"/>
    <mergeCell ref="AF124:AF124"/>
    <mergeCell ref="A125:A125"/>
    <mergeCell ref="B125:B125"/>
    <mergeCell ref="C125:C125"/>
    <mergeCell ref="F125:F125"/>
    <mergeCell ref="G125:G125"/>
    <mergeCell ref="H125:H125"/>
    <mergeCell ref="M125:M125"/>
    <mergeCell ref="N125:N125"/>
    <mergeCell ref="O125:O125"/>
    <mergeCell ref="P125:P125"/>
    <mergeCell ref="Q125:Q125"/>
    <mergeCell ref="R125:R125"/>
    <mergeCell ref="S125:S125"/>
    <mergeCell ref="X125:X125"/>
    <mergeCell ref="Y125:Y125"/>
    <mergeCell ref="Z125:Z125"/>
    <mergeCell ref="AA125:AA125"/>
    <mergeCell ref="AB125:AB125"/>
    <mergeCell ref="AC125:AC125"/>
    <mergeCell ref="AD125:AD125"/>
    <mergeCell ref="AE125:AE125"/>
    <mergeCell ref="AF125:AF125"/>
    <mergeCell ref="A126:A126"/>
    <mergeCell ref="B126:B126"/>
    <mergeCell ref="C126:C126"/>
    <mergeCell ref="F126:F126"/>
    <mergeCell ref="G126:G126"/>
    <mergeCell ref="H126:H126"/>
    <mergeCell ref="M126:M126"/>
    <mergeCell ref="N126:N126"/>
    <mergeCell ref="O126:O126"/>
    <mergeCell ref="P126:P126"/>
    <mergeCell ref="Q126:Q126"/>
    <mergeCell ref="R126:R126"/>
    <mergeCell ref="S126:S126"/>
    <mergeCell ref="X126:X126"/>
    <mergeCell ref="Y126:Y126"/>
    <mergeCell ref="Z126:Z126"/>
    <mergeCell ref="AA126:AA126"/>
    <mergeCell ref="AB126:AB126"/>
    <mergeCell ref="AC126:AC126"/>
    <mergeCell ref="AD126:AD126"/>
    <mergeCell ref="AE126:AE126"/>
    <mergeCell ref="AF126:AF126"/>
    <mergeCell ref="A127:A127"/>
    <mergeCell ref="B127:B127"/>
    <mergeCell ref="C127:C127"/>
    <mergeCell ref="F127:F127"/>
    <mergeCell ref="G127:G127"/>
    <mergeCell ref="H127:H127"/>
    <mergeCell ref="M127:M127"/>
    <mergeCell ref="N127:N127"/>
    <mergeCell ref="O127:O127"/>
    <mergeCell ref="P127:P127"/>
    <mergeCell ref="Q127:Q127"/>
    <mergeCell ref="R127:R127"/>
    <mergeCell ref="S127:S127"/>
    <mergeCell ref="X127:X127"/>
    <mergeCell ref="Y127:Y127"/>
    <mergeCell ref="Z127:Z127"/>
    <mergeCell ref="AA127:AA127"/>
    <mergeCell ref="AB127:AB127"/>
    <mergeCell ref="AC127:AC127"/>
    <mergeCell ref="AD127:AD127"/>
    <mergeCell ref="AE127:AE127"/>
    <mergeCell ref="AF127:AF127"/>
    <mergeCell ref="A128:A128"/>
    <mergeCell ref="B128:B128"/>
    <mergeCell ref="C128:C128"/>
    <mergeCell ref="F128:F128"/>
    <mergeCell ref="G128:G128"/>
    <mergeCell ref="H128:H128"/>
    <mergeCell ref="M128:M128"/>
    <mergeCell ref="N128:N128"/>
    <mergeCell ref="O128:O128"/>
    <mergeCell ref="P128:P128"/>
    <mergeCell ref="Q128:Q128"/>
    <mergeCell ref="R128:R128"/>
    <mergeCell ref="S128:S128"/>
    <mergeCell ref="X128:X128"/>
    <mergeCell ref="Y128:Y128"/>
    <mergeCell ref="Z128:Z128"/>
    <mergeCell ref="AA128:AA128"/>
    <mergeCell ref="AB128:AB128"/>
    <mergeCell ref="AC128:AC128"/>
    <mergeCell ref="AD128:AD128"/>
    <mergeCell ref="AE128:AE128"/>
    <mergeCell ref="AF128:AF128"/>
    <mergeCell ref="A129:A129"/>
    <mergeCell ref="B129:B129"/>
    <mergeCell ref="C129:C129"/>
    <mergeCell ref="F129:F129"/>
    <mergeCell ref="G129:G129"/>
    <mergeCell ref="H129:H129"/>
    <mergeCell ref="M129:M129"/>
    <mergeCell ref="N129:N129"/>
    <mergeCell ref="O129:O129"/>
    <mergeCell ref="P129:P129"/>
    <mergeCell ref="Q129:Q129"/>
    <mergeCell ref="R129:R129"/>
    <mergeCell ref="S129:S129"/>
    <mergeCell ref="X129:X129"/>
    <mergeCell ref="Y129:Y129"/>
    <mergeCell ref="Z129:Z129"/>
    <mergeCell ref="AA129:AA129"/>
    <mergeCell ref="AB129:AB129"/>
    <mergeCell ref="AC129:AC129"/>
    <mergeCell ref="AD129:AD129"/>
    <mergeCell ref="AE129:AE129"/>
    <mergeCell ref="AF129:AF129"/>
    <mergeCell ref="A130:A130"/>
    <mergeCell ref="B130:B130"/>
    <mergeCell ref="C130:C130"/>
    <mergeCell ref="F130:F130"/>
    <mergeCell ref="G130:G130"/>
    <mergeCell ref="H130:H130"/>
    <mergeCell ref="M130:M130"/>
    <mergeCell ref="N130:N130"/>
    <mergeCell ref="O130:O130"/>
    <mergeCell ref="P130:P130"/>
    <mergeCell ref="Q130:Q130"/>
    <mergeCell ref="R130:R130"/>
    <mergeCell ref="S130:S130"/>
    <mergeCell ref="X130:X130"/>
    <mergeCell ref="Y130:Y130"/>
    <mergeCell ref="Z130:Z130"/>
    <mergeCell ref="AA130:AA130"/>
    <mergeCell ref="AB130:AB130"/>
    <mergeCell ref="AC130:AC130"/>
    <mergeCell ref="AD130:AD130"/>
    <mergeCell ref="AE130:AE130"/>
    <mergeCell ref="AF130:AF130"/>
    <mergeCell ref="A131:A131"/>
    <mergeCell ref="B131:B131"/>
    <mergeCell ref="C131:C131"/>
    <mergeCell ref="F131:F131"/>
    <mergeCell ref="G131:G131"/>
    <mergeCell ref="H131:H131"/>
    <mergeCell ref="M131:M131"/>
    <mergeCell ref="N131:N131"/>
    <mergeCell ref="O131:O131"/>
    <mergeCell ref="P131:P131"/>
    <mergeCell ref="Q131:Q131"/>
    <mergeCell ref="R131:R131"/>
    <mergeCell ref="S131:S131"/>
    <mergeCell ref="X131:X131"/>
    <mergeCell ref="Y131:Y131"/>
    <mergeCell ref="Z131:Z131"/>
    <mergeCell ref="AA131:AA131"/>
    <mergeCell ref="AB131:AB131"/>
    <mergeCell ref="AC131:AC131"/>
    <mergeCell ref="AD131:AD131"/>
    <mergeCell ref="AE131:AE131"/>
    <mergeCell ref="AF131:AF131"/>
    <mergeCell ref="A132:A132"/>
    <mergeCell ref="B132:B132"/>
    <mergeCell ref="C132:C132"/>
    <mergeCell ref="F132:F132"/>
    <mergeCell ref="G132:G132"/>
    <mergeCell ref="H132:H132"/>
    <mergeCell ref="M132:M132"/>
    <mergeCell ref="N132:N132"/>
    <mergeCell ref="O132:O132"/>
    <mergeCell ref="P132:P132"/>
    <mergeCell ref="Q132:Q132"/>
    <mergeCell ref="R132:R132"/>
    <mergeCell ref="S132:S132"/>
    <mergeCell ref="X132:X132"/>
    <mergeCell ref="Y132:Y132"/>
    <mergeCell ref="Z132:Z132"/>
    <mergeCell ref="AA132:AA132"/>
    <mergeCell ref="AB132:AB132"/>
    <mergeCell ref="AC132:AC132"/>
    <mergeCell ref="AD132:AD132"/>
    <mergeCell ref="AE132:AE132"/>
    <mergeCell ref="AF132:AF132"/>
    <mergeCell ref="A133:A133"/>
    <mergeCell ref="B133:B133"/>
    <mergeCell ref="C133:C133"/>
    <mergeCell ref="F133:F133"/>
    <mergeCell ref="G133:G133"/>
    <mergeCell ref="H133:H133"/>
    <mergeCell ref="M133:M133"/>
    <mergeCell ref="N133:N133"/>
    <mergeCell ref="O133:O133"/>
    <mergeCell ref="P133:P133"/>
    <mergeCell ref="Q133:Q133"/>
    <mergeCell ref="R133:R133"/>
    <mergeCell ref="S133:S133"/>
    <mergeCell ref="X133:X133"/>
    <mergeCell ref="Y133:Y133"/>
    <mergeCell ref="Z133:Z133"/>
    <mergeCell ref="AA133:AA133"/>
    <mergeCell ref="AB133:AB133"/>
    <mergeCell ref="AC133:AC133"/>
    <mergeCell ref="AD133:AD133"/>
    <mergeCell ref="AE133:AE133"/>
    <mergeCell ref="AF133:AF133"/>
    <mergeCell ref="A134:A134"/>
    <mergeCell ref="B134:B134"/>
    <mergeCell ref="C134:C134"/>
    <mergeCell ref="F134:F134"/>
    <mergeCell ref="G134:G134"/>
    <mergeCell ref="H134:H134"/>
    <mergeCell ref="M134:M134"/>
    <mergeCell ref="N134:N134"/>
    <mergeCell ref="O134:O134"/>
    <mergeCell ref="P134:P134"/>
    <mergeCell ref="Q134:Q134"/>
    <mergeCell ref="R134:R134"/>
    <mergeCell ref="S134:S134"/>
    <mergeCell ref="X134:X134"/>
    <mergeCell ref="Y134:Y134"/>
    <mergeCell ref="Z134:Z134"/>
    <mergeCell ref="AA134:AA134"/>
    <mergeCell ref="AB134:AB134"/>
    <mergeCell ref="AC134:AC134"/>
    <mergeCell ref="AD134:AD134"/>
    <mergeCell ref="AE134:AE134"/>
    <mergeCell ref="AF134:AF134"/>
    <mergeCell ref="A135:A136"/>
    <mergeCell ref="B135:B136"/>
    <mergeCell ref="C135:C136"/>
    <mergeCell ref="F135:F136"/>
    <mergeCell ref="G135:G136"/>
    <mergeCell ref="H135:H136"/>
    <mergeCell ref="M135:M136"/>
    <mergeCell ref="N135:N136"/>
    <mergeCell ref="O135:O136"/>
    <mergeCell ref="P135:P136"/>
    <mergeCell ref="Q135:Q136"/>
    <mergeCell ref="R135:R136"/>
    <mergeCell ref="S135:S136"/>
    <mergeCell ref="X135:X136"/>
    <mergeCell ref="Y135:Y136"/>
    <mergeCell ref="Z135:Z136"/>
    <mergeCell ref="AA135:AA136"/>
    <mergeCell ref="AB135:AB136"/>
    <mergeCell ref="AC135:AC136"/>
    <mergeCell ref="AD135:AD136"/>
    <mergeCell ref="AE135:AE136"/>
    <mergeCell ref="AF135:AF136"/>
    <mergeCell ref="A137:A137"/>
    <mergeCell ref="B137:B137"/>
    <mergeCell ref="C137:C137"/>
    <mergeCell ref="F137:F137"/>
    <mergeCell ref="G137:G137"/>
    <mergeCell ref="H137:H137"/>
    <mergeCell ref="M137:M137"/>
    <mergeCell ref="N137:N137"/>
    <mergeCell ref="O137:O137"/>
    <mergeCell ref="P137:P137"/>
    <mergeCell ref="Q137:Q137"/>
    <mergeCell ref="R137:R137"/>
    <mergeCell ref="S137:S137"/>
    <mergeCell ref="X137:X137"/>
    <mergeCell ref="Y137:Y137"/>
    <mergeCell ref="Z137:Z137"/>
    <mergeCell ref="AA137:AA137"/>
    <mergeCell ref="AB137:AB137"/>
    <mergeCell ref="AC137:AC137"/>
    <mergeCell ref="AD137:AD137"/>
    <mergeCell ref="AE137:AE137"/>
    <mergeCell ref="AF137:AF137"/>
    <mergeCell ref="A138:A138"/>
    <mergeCell ref="B138:B138"/>
    <mergeCell ref="C138:C138"/>
    <mergeCell ref="F138:F138"/>
    <mergeCell ref="G138:G138"/>
    <mergeCell ref="H138:H138"/>
    <mergeCell ref="M138:M138"/>
    <mergeCell ref="N138:N138"/>
    <mergeCell ref="O138:O138"/>
    <mergeCell ref="P138:P138"/>
    <mergeCell ref="Q138:Q138"/>
    <mergeCell ref="R138:R138"/>
    <mergeCell ref="S138:S138"/>
    <mergeCell ref="X138:X138"/>
    <mergeCell ref="Y138:Y138"/>
    <mergeCell ref="Z138:Z138"/>
    <mergeCell ref="AA138:AA138"/>
    <mergeCell ref="AB138:AB138"/>
    <mergeCell ref="AC138:AC138"/>
    <mergeCell ref="AD138:AD138"/>
    <mergeCell ref="AE138:AE138"/>
    <mergeCell ref="AF138:AF138"/>
    <mergeCell ref="A139:A139"/>
    <mergeCell ref="B139:B139"/>
    <mergeCell ref="C139:C139"/>
    <mergeCell ref="F139:F139"/>
    <mergeCell ref="G139:G139"/>
    <mergeCell ref="H139:H139"/>
    <mergeCell ref="M139:M139"/>
    <mergeCell ref="N139:N139"/>
    <mergeCell ref="O139:O139"/>
    <mergeCell ref="P139:P139"/>
    <mergeCell ref="Q139:Q139"/>
    <mergeCell ref="R139:R139"/>
    <mergeCell ref="S139:S139"/>
    <mergeCell ref="X139:X139"/>
    <mergeCell ref="Y139:Y139"/>
    <mergeCell ref="Z139:Z139"/>
    <mergeCell ref="AA139:AA139"/>
    <mergeCell ref="AB139:AB139"/>
    <mergeCell ref="AC139:AC139"/>
    <mergeCell ref="AD139:AD139"/>
    <mergeCell ref="AE139:AE139"/>
    <mergeCell ref="AF139:AF139"/>
    <mergeCell ref="A140:A140"/>
    <mergeCell ref="B140:B140"/>
    <mergeCell ref="C140:C140"/>
    <mergeCell ref="F140:F140"/>
    <mergeCell ref="G140:G140"/>
    <mergeCell ref="H140:H140"/>
    <mergeCell ref="M140:M140"/>
    <mergeCell ref="N140:N140"/>
    <mergeCell ref="O140:O140"/>
    <mergeCell ref="P140:P140"/>
    <mergeCell ref="Q140:Q140"/>
    <mergeCell ref="R140:R140"/>
    <mergeCell ref="S140:S140"/>
    <mergeCell ref="X140:X140"/>
    <mergeCell ref="Y140:Y140"/>
    <mergeCell ref="Z140:Z140"/>
    <mergeCell ref="AA140:AA140"/>
    <mergeCell ref="AB140:AB140"/>
    <mergeCell ref="AC140:AC140"/>
    <mergeCell ref="AD140:AD140"/>
    <mergeCell ref="AE140:AE140"/>
    <mergeCell ref="AF140:AF140"/>
    <mergeCell ref="A141:A141"/>
    <mergeCell ref="B141:B141"/>
    <mergeCell ref="C141:C141"/>
    <mergeCell ref="F141:F141"/>
    <mergeCell ref="G141:G141"/>
    <mergeCell ref="H141:H141"/>
    <mergeCell ref="M141:M141"/>
    <mergeCell ref="N141:N141"/>
    <mergeCell ref="O141:O141"/>
    <mergeCell ref="P141:P141"/>
    <mergeCell ref="Q141:Q141"/>
    <mergeCell ref="R141:R141"/>
    <mergeCell ref="S141:S141"/>
    <mergeCell ref="X141:X141"/>
    <mergeCell ref="Y141:Y141"/>
    <mergeCell ref="Z141:Z141"/>
    <mergeCell ref="AA141:AA141"/>
    <mergeCell ref="AB141:AB141"/>
    <mergeCell ref="AC141:AC141"/>
    <mergeCell ref="AD141:AD141"/>
    <mergeCell ref="AE141:AE141"/>
    <mergeCell ref="AF141:AF141"/>
    <mergeCell ref="A142:A142"/>
    <mergeCell ref="B142:B142"/>
    <mergeCell ref="C142:C142"/>
    <mergeCell ref="F142:F142"/>
    <mergeCell ref="G142:G142"/>
    <mergeCell ref="H142:H142"/>
    <mergeCell ref="M142:M142"/>
    <mergeCell ref="N142:N142"/>
    <mergeCell ref="O142:O142"/>
    <mergeCell ref="P142:P142"/>
    <mergeCell ref="Q142:Q142"/>
    <mergeCell ref="R142:R142"/>
    <mergeCell ref="S142:S142"/>
    <mergeCell ref="X142:X142"/>
    <mergeCell ref="Y142:Y142"/>
    <mergeCell ref="Z142:Z142"/>
    <mergeCell ref="AA142:AA142"/>
    <mergeCell ref="AB142:AB142"/>
    <mergeCell ref="AC142:AC142"/>
    <mergeCell ref="AD142:AD142"/>
    <mergeCell ref="AE142:AE142"/>
    <mergeCell ref="AF142:AF142"/>
    <mergeCell ref="A143:A143"/>
    <mergeCell ref="B143:B143"/>
    <mergeCell ref="C143:C143"/>
    <mergeCell ref="F143:F143"/>
    <mergeCell ref="G143:G143"/>
    <mergeCell ref="H143:H143"/>
    <mergeCell ref="M143:M143"/>
    <mergeCell ref="N143:N143"/>
    <mergeCell ref="O143:O143"/>
    <mergeCell ref="P143:P143"/>
    <mergeCell ref="Q143:Q143"/>
    <mergeCell ref="R143:R143"/>
    <mergeCell ref="S143:S143"/>
    <mergeCell ref="X143:X143"/>
    <mergeCell ref="Y143:Y143"/>
    <mergeCell ref="Z143:Z143"/>
    <mergeCell ref="AA143:AA143"/>
    <mergeCell ref="AB143:AB143"/>
    <mergeCell ref="AC143:AC143"/>
    <mergeCell ref="AD143:AD143"/>
    <mergeCell ref="AE143:AE143"/>
    <mergeCell ref="AF143:AF143"/>
    <mergeCell ref="A144:A144"/>
    <mergeCell ref="B144:B144"/>
    <mergeCell ref="C144:C144"/>
    <mergeCell ref="F144:F144"/>
    <mergeCell ref="G144:G144"/>
    <mergeCell ref="H144:H144"/>
    <mergeCell ref="M144:M144"/>
    <mergeCell ref="N144:N144"/>
    <mergeCell ref="O144:O144"/>
    <mergeCell ref="P144:P144"/>
    <mergeCell ref="Q144:Q144"/>
    <mergeCell ref="R144:R144"/>
    <mergeCell ref="S144:S144"/>
    <mergeCell ref="X144:X144"/>
    <mergeCell ref="Y144:Y144"/>
    <mergeCell ref="Z144:Z144"/>
    <mergeCell ref="AA144:AA144"/>
    <mergeCell ref="AB144:AB144"/>
    <mergeCell ref="AC144:AC144"/>
    <mergeCell ref="AD144:AD144"/>
    <mergeCell ref="AE144:AE144"/>
    <mergeCell ref="AF144:AF144"/>
    <mergeCell ref="A145:A145"/>
    <mergeCell ref="B145:B145"/>
    <mergeCell ref="C145:C145"/>
    <mergeCell ref="F145:F145"/>
    <mergeCell ref="G145:G145"/>
    <mergeCell ref="H145:H145"/>
    <mergeCell ref="M145:M145"/>
    <mergeCell ref="N145:N145"/>
    <mergeCell ref="O145:O145"/>
    <mergeCell ref="P145:P145"/>
    <mergeCell ref="Q145:Q145"/>
    <mergeCell ref="R145:R145"/>
    <mergeCell ref="S145:S145"/>
    <mergeCell ref="X145:X145"/>
    <mergeCell ref="Y145:Y145"/>
    <mergeCell ref="Z145:Z145"/>
    <mergeCell ref="AA145:AA145"/>
    <mergeCell ref="AB145:AB145"/>
    <mergeCell ref="AC145:AC145"/>
    <mergeCell ref="AD145:AD145"/>
    <mergeCell ref="AE145:AE145"/>
    <mergeCell ref="AF145:AF145"/>
    <mergeCell ref="A146:A146"/>
    <mergeCell ref="B146:B146"/>
    <mergeCell ref="C146:C146"/>
    <mergeCell ref="F146:F146"/>
    <mergeCell ref="G146:G146"/>
    <mergeCell ref="H146:H146"/>
    <mergeCell ref="M146:M146"/>
    <mergeCell ref="N146:N146"/>
    <mergeCell ref="O146:O146"/>
    <mergeCell ref="P146:P146"/>
    <mergeCell ref="Q146:Q146"/>
    <mergeCell ref="R146:R146"/>
    <mergeCell ref="S146:S146"/>
    <mergeCell ref="X146:X146"/>
    <mergeCell ref="Y146:Y146"/>
    <mergeCell ref="Z146:Z146"/>
    <mergeCell ref="AA146:AA146"/>
    <mergeCell ref="AB146:AB146"/>
    <mergeCell ref="AC146:AC146"/>
    <mergeCell ref="AD146:AD146"/>
    <mergeCell ref="AE146:AE146"/>
    <mergeCell ref="AF146:AF146"/>
    <mergeCell ref="A147:A147"/>
    <mergeCell ref="B147:B147"/>
    <mergeCell ref="C147:C147"/>
    <mergeCell ref="F147:F147"/>
    <mergeCell ref="G147:G147"/>
    <mergeCell ref="H147:H147"/>
    <mergeCell ref="M147:M147"/>
    <mergeCell ref="N147:N147"/>
    <mergeCell ref="O147:O147"/>
    <mergeCell ref="P147:P147"/>
    <mergeCell ref="Q147:Q147"/>
    <mergeCell ref="R147:R147"/>
    <mergeCell ref="S147:S147"/>
    <mergeCell ref="X147:X147"/>
    <mergeCell ref="Y147:Y147"/>
    <mergeCell ref="Z147:Z147"/>
    <mergeCell ref="AA147:AA147"/>
    <mergeCell ref="AB147:AB147"/>
    <mergeCell ref="AC147:AC147"/>
    <mergeCell ref="AD147:AD147"/>
    <mergeCell ref="AE147:AE147"/>
    <mergeCell ref="AF147:AF147"/>
    <mergeCell ref="A148:A148"/>
    <mergeCell ref="B148:B148"/>
    <mergeCell ref="C148:C148"/>
    <mergeCell ref="F148:F148"/>
    <mergeCell ref="G148:G148"/>
    <mergeCell ref="H148:H148"/>
    <mergeCell ref="M148:M148"/>
    <mergeCell ref="N148:N148"/>
    <mergeCell ref="O148:O148"/>
    <mergeCell ref="P148:P148"/>
    <mergeCell ref="Q148:Q148"/>
    <mergeCell ref="R148:R148"/>
    <mergeCell ref="S148:S148"/>
    <mergeCell ref="X148:X148"/>
    <mergeCell ref="Y148:Y148"/>
    <mergeCell ref="Z148:Z148"/>
    <mergeCell ref="AA148:AA148"/>
    <mergeCell ref="AB148:AB148"/>
    <mergeCell ref="AC148:AC148"/>
    <mergeCell ref="AD148:AD148"/>
    <mergeCell ref="AE148:AE148"/>
    <mergeCell ref="AF148:AF148"/>
    <mergeCell ref="A149:A149"/>
    <mergeCell ref="B149:B149"/>
    <mergeCell ref="C149:C149"/>
    <mergeCell ref="F149:F149"/>
    <mergeCell ref="G149:G149"/>
    <mergeCell ref="H149:H149"/>
    <mergeCell ref="M149:M149"/>
    <mergeCell ref="N149:N149"/>
    <mergeCell ref="O149:O149"/>
    <mergeCell ref="P149:P149"/>
    <mergeCell ref="Q149:Q149"/>
    <mergeCell ref="R149:R149"/>
    <mergeCell ref="S149:S149"/>
    <mergeCell ref="X149:X149"/>
    <mergeCell ref="Y149:Y149"/>
    <mergeCell ref="Z149:Z149"/>
    <mergeCell ref="AA149:AA149"/>
    <mergeCell ref="AB149:AB149"/>
    <mergeCell ref="AC149:AC149"/>
    <mergeCell ref="AD149:AD149"/>
    <mergeCell ref="AE149:AE149"/>
    <mergeCell ref="AF149:AF149"/>
    <mergeCell ref="A150:A150"/>
    <mergeCell ref="B150:B150"/>
    <mergeCell ref="C150:C150"/>
    <mergeCell ref="F150:F150"/>
    <mergeCell ref="G150:G150"/>
    <mergeCell ref="H150:H150"/>
    <mergeCell ref="M150:M150"/>
    <mergeCell ref="N150:N150"/>
    <mergeCell ref="O150:O150"/>
    <mergeCell ref="P150:P150"/>
    <mergeCell ref="Q150:Q150"/>
    <mergeCell ref="R150:R150"/>
    <mergeCell ref="S150:S150"/>
    <mergeCell ref="X150:X150"/>
    <mergeCell ref="Y150:Y150"/>
    <mergeCell ref="Z150:Z150"/>
    <mergeCell ref="AA150:AA150"/>
    <mergeCell ref="AB150:AB150"/>
    <mergeCell ref="AC150:AC150"/>
    <mergeCell ref="AD150:AD150"/>
    <mergeCell ref="AE150:AE150"/>
    <mergeCell ref="AF150:AF150"/>
    <mergeCell ref="A151:A151"/>
    <mergeCell ref="B151:B151"/>
    <mergeCell ref="C151:C151"/>
    <mergeCell ref="F151:F151"/>
    <mergeCell ref="G151:G151"/>
    <mergeCell ref="H151:H151"/>
    <mergeCell ref="M151:M151"/>
    <mergeCell ref="N151:N151"/>
    <mergeCell ref="O151:O151"/>
    <mergeCell ref="P151:P151"/>
    <mergeCell ref="Q151:Q151"/>
    <mergeCell ref="R151:R151"/>
    <mergeCell ref="S151:S151"/>
    <mergeCell ref="X151:X151"/>
    <mergeCell ref="Y151:Y151"/>
    <mergeCell ref="Z151:Z151"/>
    <mergeCell ref="AA151:AA151"/>
    <mergeCell ref="AB151:AB151"/>
    <mergeCell ref="AC151:AC151"/>
    <mergeCell ref="AD151:AD151"/>
    <mergeCell ref="AE151:AE151"/>
    <mergeCell ref="AF151:AF151"/>
    <mergeCell ref="A152:A152"/>
    <mergeCell ref="B152:B152"/>
    <mergeCell ref="C152:C152"/>
    <mergeCell ref="F152:F152"/>
    <mergeCell ref="G152:G152"/>
    <mergeCell ref="H152:H152"/>
    <mergeCell ref="M152:M152"/>
    <mergeCell ref="N152:N152"/>
    <mergeCell ref="O152:O152"/>
    <mergeCell ref="P152:P152"/>
    <mergeCell ref="Q152:Q152"/>
    <mergeCell ref="R152:R152"/>
    <mergeCell ref="S152:S152"/>
    <mergeCell ref="X152:X152"/>
    <mergeCell ref="Y152:Y152"/>
    <mergeCell ref="Z152:Z152"/>
    <mergeCell ref="AA152:AA152"/>
    <mergeCell ref="AB152:AB152"/>
    <mergeCell ref="AC152:AC152"/>
    <mergeCell ref="AD152:AD152"/>
    <mergeCell ref="AE152:AE152"/>
    <mergeCell ref="AF152:AF152"/>
    <mergeCell ref="A153:A153"/>
    <mergeCell ref="B153:B153"/>
    <mergeCell ref="C153:C153"/>
    <mergeCell ref="F153:F153"/>
    <mergeCell ref="G153:G153"/>
    <mergeCell ref="H153:H153"/>
    <mergeCell ref="M153:M153"/>
    <mergeCell ref="N153:N153"/>
    <mergeCell ref="O153:O153"/>
    <mergeCell ref="P153:P153"/>
    <mergeCell ref="Q153:Q153"/>
    <mergeCell ref="R153:R153"/>
    <mergeCell ref="S153:S153"/>
    <mergeCell ref="X153:X153"/>
    <mergeCell ref="Y153:Y153"/>
    <mergeCell ref="Z153:Z153"/>
    <mergeCell ref="AA153:AA153"/>
    <mergeCell ref="AB153:AB153"/>
    <mergeCell ref="AC153:AC153"/>
    <mergeCell ref="AD153:AD153"/>
    <mergeCell ref="AE153:AE153"/>
    <mergeCell ref="AF153:AF153"/>
    <mergeCell ref="A154:A154"/>
    <mergeCell ref="B154:B154"/>
    <mergeCell ref="C154:C154"/>
    <mergeCell ref="F154:F154"/>
    <mergeCell ref="G154:G154"/>
    <mergeCell ref="H154:H154"/>
    <mergeCell ref="M154:M154"/>
    <mergeCell ref="N154:N154"/>
    <mergeCell ref="O154:O154"/>
    <mergeCell ref="P154:P154"/>
    <mergeCell ref="Q154:Q154"/>
    <mergeCell ref="R154:R154"/>
    <mergeCell ref="S154:S154"/>
    <mergeCell ref="X154:X154"/>
    <mergeCell ref="Y154:Y154"/>
    <mergeCell ref="Z154:Z154"/>
    <mergeCell ref="AA154:AA154"/>
    <mergeCell ref="AB154:AB154"/>
    <mergeCell ref="AC154:AC154"/>
    <mergeCell ref="AD154:AD154"/>
    <mergeCell ref="AE154:AE154"/>
    <mergeCell ref="AF154:AF154"/>
    <mergeCell ref="A155:A155"/>
    <mergeCell ref="B155:B155"/>
    <mergeCell ref="C155:C155"/>
    <mergeCell ref="F155:F155"/>
    <mergeCell ref="G155:G155"/>
    <mergeCell ref="H155:H155"/>
    <mergeCell ref="M155:M155"/>
    <mergeCell ref="N155:N155"/>
    <mergeCell ref="O155:O155"/>
    <mergeCell ref="P155:P155"/>
    <mergeCell ref="Q155:Q155"/>
    <mergeCell ref="R155:R155"/>
    <mergeCell ref="S155:S155"/>
    <mergeCell ref="X155:X155"/>
    <mergeCell ref="Y155:Y155"/>
    <mergeCell ref="Z155:Z155"/>
    <mergeCell ref="AA155:AA155"/>
    <mergeCell ref="AB155:AB155"/>
    <mergeCell ref="AC155:AC155"/>
    <mergeCell ref="AD155:AD155"/>
    <mergeCell ref="AE155:AE155"/>
    <mergeCell ref="AF155:AF155"/>
    <mergeCell ref="A156:A156"/>
    <mergeCell ref="B156:B156"/>
    <mergeCell ref="C156:C156"/>
    <mergeCell ref="F156:F156"/>
    <mergeCell ref="G156:G156"/>
    <mergeCell ref="H156:H156"/>
    <mergeCell ref="M156:M156"/>
    <mergeCell ref="N156:N156"/>
    <mergeCell ref="O156:O156"/>
    <mergeCell ref="P156:P156"/>
    <mergeCell ref="Q156:Q156"/>
    <mergeCell ref="R156:R156"/>
    <mergeCell ref="S156:S156"/>
    <mergeCell ref="X156:X156"/>
    <mergeCell ref="Y156:Y156"/>
    <mergeCell ref="Z156:Z156"/>
    <mergeCell ref="AA156:AA156"/>
    <mergeCell ref="AB156:AB156"/>
    <mergeCell ref="AC156:AC156"/>
    <mergeCell ref="AD156:AD156"/>
    <mergeCell ref="AE156:AE156"/>
    <mergeCell ref="AF156:AF156"/>
    <mergeCell ref="A157:A157"/>
    <mergeCell ref="B157:B157"/>
    <mergeCell ref="C157:C157"/>
    <mergeCell ref="F157:F157"/>
    <mergeCell ref="G157:G157"/>
    <mergeCell ref="H157:H157"/>
    <mergeCell ref="M157:M157"/>
    <mergeCell ref="N157:N157"/>
    <mergeCell ref="O157:O157"/>
    <mergeCell ref="P157:P157"/>
    <mergeCell ref="Q157:Q157"/>
    <mergeCell ref="R157:R157"/>
    <mergeCell ref="S157:S157"/>
    <mergeCell ref="X157:X157"/>
    <mergeCell ref="Y157:Y157"/>
    <mergeCell ref="Z157:Z157"/>
    <mergeCell ref="AA157:AA157"/>
    <mergeCell ref="AB157:AB157"/>
    <mergeCell ref="AC157:AC157"/>
    <mergeCell ref="AD157:AD157"/>
    <mergeCell ref="AE157:AE157"/>
    <mergeCell ref="AF157:AF157"/>
    <mergeCell ref="A158:A158"/>
    <mergeCell ref="B158:B158"/>
    <mergeCell ref="C158:C158"/>
    <mergeCell ref="F158:F158"/>
    <mergeCell ref="G158:G158"/>
    <mergeCell ref="H158:H158"/>
    <mergeCell ref="M158:M158"/>
    <mergeCell ref="N158:N158"/>
    <mergeCell ref="O158:O158"/>
    <mergeCell ref="P158:P158"/>
    <mergeCell ref="Q158:Q158"/>
    <mergeCell ref="R158:R158"/>
    <mergeCell ref="S158:S158"/>
    <mergeCell ref="X158:X158"/>
    <mergeCell ref="Y158:Y158"/>
    <mergeCell ref="Z158:Z158"/>
    <mergeCell ref="AA158:AA158"/>
    <mergeCell ref="AB158:AB158"/>
    <mergeCell ref="AC158:AC158"/>
    <mergeCell ref="AD158:AD158"/>
    <mergeCell ref="AE158:AE158"/>
    <mergeCell ref="AF158:AF158"/>
    <mergeCell ref="A159:A159"/>
    <mergeCell ref="B159:B159"/>
    <mergeCell ref="C159:C159"/>
    <mergeCell ref="F159:F159"/>
    <mergeCell ref="G159:G159"/>
    <mergeCell ref="H159:H159"/>
    <mergeCell ref="M159:M159"/>
    <mergeCell ref="N159:N159"/>
    <mergeCell ref="O159:O159"/>
    <mergeCell ref="P159:P159"/>
    <mergeCell ref="Q159:Q159"/>
    <mergeCell ref="R159:R159"/>
    <mergeCell ref="S159:S159"/>
    <mergeCell ref="X159:X159"/>
    <mergeCell ref="Y159:Y159"/>
    <mergeCell ref="Z159:Z159"/>
    <mergeCell ref="AA159:AA159"/>
    <mergeCell ref="AB159:AB159"/>
    <mergeCell ref="AC159:AC159"/>
    <mergeCell ref="AD159:AD159"/>
    <mergeCell ref="AE159:AE159"/>
    <mergeCell ref="AF159:AF159"/>
    <mergeCell ref="A160:A160"/>
    <mergeCell ref="B160:B160"/>
    <mergeCell ref="C160:C160"/>
    <mergeCell ref="F160:F160"/>
    <mergeCell ref="G160:G160"/>
    <mergeCell ref="H160:H160"/>
    <mergeCell ref="M160:M160"/>
    <mergeCell ref="N160:N160"/>
    <mergeCell ref="O160:O160"/>
    <mergeCell ref="P160:P160"/>
    <mergeCell ref="Q160:Q160"/>
    <mergeCell ref="R160:R160"/>
    <mergeCell ref="S160:S160"/>
    <mergeCell ref="X160:X160"/>
    <mergeCell ref="Y160:Y160"/>
    <mergeCell ref="Z160:Z160"/>
    <mergeCell ref="AA160:AA160"/>
    <mergeCell ref="AB160:AB160"/>
    <mergeCell ref="AC160:AC160"/>
    <mergeCell ref="AD160:AD160"/>
    <mergeCell ref="AE160:AE160"/>
    <mergeCell ref="AF160:AF160"/>
    <mergeCell ref="A161:A161"/>
    <mergeCell ref="B161:B161"/>
    <mergeCell ref="C161:C161"/>
    <mergeCell ref="F161:F161"/>
    <mergeCell ref="G161:G161"/>
    <mergeCell ref="H161:H161"/>
    <mergeCell ref="M161:M161"/>
    <mergeCell ref="N161:N161"/>
    <mergeCell ref="O161:O161"/>
    <mergeCell ref="P161:P161"/>
    <mergeCell ref="Q161:Q161"/>
    <mergeCell ref="R161:R161"/>
    <mergeCell ref="S161:S161"/>
    <mergeCell ref="X161:X161"/>
    <mergeCell ref="Y161:Y161"/>
    <mergeCell ref="Z161:Z161"/>
    <mergeCell ref="AA161:AA161"/>
    <mergeCell ref="AB161:AB161"/>
    <mergeCell ref="AC161:AC161"/>
    <mergeCell ref="AD161:AD161"/>
    <mergeCell ref="AE161:AE161"/>
    <mergeCell ref="AF161:AF161"/>
    <mergeCell ref="A162:A162"/>
    <mergeCell ref="B162:B162"/>
    <mergeCell ref="C162:C162"/>
    <mergeCell ref="F162:F162"/>
    <mergeCell ref="G162:G162"/>
    <mergeCell ref="H162:H162"/>
    <mergeCell ref="M162:M162"/>
    <mergeCell ref="N162:N162"/>
    <mergeCell ref="O162:O162"/>
    <mergeCell ref="P162:P162"/>
    <mergeCell ref="Q162:Q162"/>
    <mergeCell ref="R162:R162"/>
    <mergeCell ref="S162:S162"/>
    <mergeCell ref="X162:X162"/>
    <mergeCell ref="Y162:Y162"/>
    <mergeCell ref="Z162:Z162"/>
    <mergeCell ref="AA162:AA162"/>
    <mergeCell ref="AB162:AB162"/>
    <mergeCell ref="AC162:AC162"/>
    <mergeCell ref="AD162:AD162"/>
    <mergeCell ref="AE162:AE162"/>
    <mergeCell ref="AF162:AF162"/>
    <mergeCell ref="A163:A163"/>
    <mergeCell ref="B163:B163"/>
    <mergeCell ref="C163:C163"/>
    <mergeCell ref="F163:F163"/>
    <mergeCell ref="G163:G163"/>
    <mergeCell ref="H163:H163"/>
    <mergeCell ref="M163:M163"/>
    <mergeCell ref="N163:N163"/>
    <mergeCell ref="O163:O163"/>
    <mergeCell ref="P163:P163"/>
    <mergeCell ref="Q163:Q163"/>
    <mergeCell ref="R163:R163"/>
    <mergeCell ref="S163:S163"/>
    <mergeCell ref="X163:X163"/>
    <mergeCell ref="Y163:Y163"/>
    <mergeCell ref="Z163:Z163"/>
    <mergeCell ref="AA163:AA163"/>
    <mergeCell ref="AB163:AB163"/>
    <mergeCell ref="AC163:AC163"/>
    <mergeCell ref="AD163:AD163"/>
    <mergeCell ref="AE163:AE163"/>
    <mergeCell ref="AF163:AF163"/>
    <mergeCell ref="A164:A164"/>
    <mergeCell ref="B164:B164"/>
    <mergeCell ref="C164:C164"/>
    <mergeCell ref="F164:F164"/>
    <mergeCell ref="G164:G164"/>
    <mergeCell ref="H164:H164"/>
    <mergeCell ref="M164:M164"/>
    <mergeCell ref="N164:N164"/>
    <mergeCell ref="O164:O164"/>
    <mergeCell ref="P164:P164"/>
    <mergeCell ref="Q164:Q164"/>
    <mergeCell ref="R164:R164"/>
    <mergeCell ref="S164:S164"/>
    <mergeCell ref="X164:X164"/>
    <mergeCell ref="Y164:Y164"/>
    <mergeCell ref="Z164:Z164"/>
    <mergeCell ref="AA164:AA164"/>
    <mergeCell ref="AB164:AB164"/>
    <mergeCell ref="AC164:AC164"/>
    <mergeCell ref="AD164:AD164"/>
    <mergeCell ref="AE164:AE164"/>
    <mergeCell ref="AF164:AF164"/>
    <mergeCell ref="A165:A165"/>
    <mergeCell ref="B165:B165"/>
    <mergeCell ref="C165:C165"/>
    <mergeCell ref="F165:F165"/>
    <mergeCell ref="G165:G165"/>
    <mergeCell ref="H165:H165"/>
    <mergeCell ref="M165:M165"/>
    <mergeCell ref="N165:N165"/>
    <mergeCell ref="O165:O165"/>
    <mergeCell ref="P165:P165"/>
    <mergeCell ref="Q165:Q165"/>
    <mergeCell ref="R165:R165"/>
    <mergeCell ref="S165:S165"/>
    <mergeCell ref="X165:X165"/>
    <mergeCell ref="Y165:Y165"/>
    <mergeCell ref="Z165:Z165"/>
    <mergeCell ref="AA165:AA165"/>
    <mergeCell ref="AB165:AB165"/>
    <mergeCell ref="AC165:AC165"/>
    <mergeCell ref="AD165:AD165"/>
    <mergeCell ref="AE165:AE165"/>
    <mergeCell ref="AF165:AF165"/>
    <mergeCell ref="A166:A166"/>
    <mergeCell ref="B166:B166"/>
    <mergeCell ref="C166:C166"/>
    <mergeCell ref="F166:F166"/>
    <mergeCell ref="G166:G166"/>
    <mergeCell ref="H166:H166"/>
    <mergeCell ref="M166:M166"/>
    <mergeCell ref="N166:N166"/>
    <mergeCell ref="O166:O166"/>
    <mergeCell ref="P166:P166"/>
    <mergeCell ref="Q166:Q166"/>
    <mergeCell ref="R166:R166"/>
    <mergeCell ref="S166:S166"/>
    <mergeCell ref="X166:X166"/>
    <mergeCell ref="Y166:Y166"/>
    <mergeCell ref="Z166:Z166"/>
    <mergeCell ref="AA166:AA166"/>
    <mergeCell ref="AB166:AB166"/>
    <mergeCell ref="AC166:AC166"/>
    <mergeCell ref="AD166:AD166"/>
    <mergeCell ref="AE166:AE166"/>
    <mergeCell ref="AF166:AF166"/>
    <mergeCell ref="A167:A167"/>
    <mergeCell ref="B167:B167"/>
    <mergeCell ref="C167:C167"/>
    <mergeCell ref="F167:F167"/>
    <mergeCell ref="G167:G167"/>
    <mergeCell ref="H167:H167"/>
    <mergeCell ref="M167:M167"/>
    <mergeCell ref="N167:N167"/>
    <mergeCell ref="O167:O167"/>
    <mergeCell ref="P167:P167"/>
    <mergeCell ref="Q167:Q167"/>
    <mergeCell ref="R167:R167"/>
    <mergeCell ref="S167:S167"/>
    <mergeCell ref="X167:X167"/>
    <mergeCell ref="Y167:Y167"/>
    <mergeCell ref="Z167:Z167"/>
    <mergeCell ref="AA167:AA167"/>
    <mergeCell ref="AB167:AB167"/>
    <mergeCell ref="AC167:AC167"/>
    <mergeCell ref="AD167:AD167"/>
    <mergeCell ref="AE167:AE167"/>
    <mergeCell ref="AF167:AF167"/>
    <mergeCell ref="A168:A168"/>
    <mergeCell ref="B168:B168"/>
    <mergeCell ref="C168:C168"/>
    <mergeCell ref="F168:F168"/>
    <mergeCell ref="G168:G168"/>
    <mergeCell ref="H168:H168"/>
    <mergeCell ref="M168:M168"/>
    <mergeCell ref="N168:N168"/>
    <mergeCell ref="O168:O168"/>
    <mergeCell ref="P168:P168"/>
    <mergeCell ref="Q168:Q168"/>
    <mergeCell ref="R168:R168"/>
    <mergeCell ref="S168:S168"/>
    <mergeCell ref="X168:X168"/>
    <mergeCell ref="Y168:Y168"/>
    <mergeCell ref="Z168:Z168"/>
    <mergeCell ref="AA168:AA168"/>
    <mergeCell ref="AB168:AB168"/>
    <mergeCell ref="AC168:AC168"/>
    <mergeCell ref="AD168:AD168"/>
    <mergeCell ref="AE168:AE168"/>
    <mergeCell ref="AF168:AF168"/>
    <mergeCell ref="A169:A169"/>
    <mergeCell ref="B169:B169"/>
    <mergeCell ref="C169:C169"/>
    <mergeCell ref="F169:F169"/>
    <mergeCell ref="G169:G169"/>
    <mergeCell ref="H169:H169"/>
    <mergeCell ref="M169:M169"/>
    <mergeCell ref="N169:N169"/>
    <mergeCell ref="O169:O169"/>
    <mergeCell ref="P169:P169"/>
    <mergeCell ref="Q169:Q169"/>
    <mergeCell ref="R169:R169"/>
    <mergeCell ref="S169:S169"/>
    <mergeCell ref="X169:X169"/>
    <mergeCell ref="Y169:Y169"/>
    <mergeCell ref="Z169:Z169"/>
    <mergeCell ref="AA169:AA169"/>
    <mergeCell ref="AB169:AB169"/>
    <mergeCell ref="AC169:AC169"/>
    <mergeCell ref="AD169:AD169"/>
    <mergeCell ref="AE169:AE169"/>
    <mergeCell ref="AF169:AF169"/>
    <mergeCell ref="A170:A170"/>
    <mergeCell ref="B170:B170"/>
    <mergeCell ref="C170:C170"/>
    <mergeCell ref="F170:F170"/>
    <mergeCell ref="G170:G170"/>
    <mergeCell ref="H170:H170"/>
    <mergeCell ref="M170:M170"/>
    <mergeCell ref="N170:N170"/>
    <mergeCell ref="O170:O170"/>
    <mergeCell ref="P170:P170"/>
    <mergeCell ref="Q170:Q170"/>
    <mergeCell ref="R170:R170"/>
    <mergeCell ref="S170:S170"/>
    <mergeCell ref="X170:X170"/>
    <mergeCell ref="Y170:Y170"/>
    <mergeCell ref="Z170:Z170"/>
    <mergeCell ref="AA170:AA170"/>
    <mergeCell ref="AB170:AB170"/>
    <mergeCell ref="AC170:AC170"/>
    <mergeCell ref="AD170:AD170"/>
    <mergeCell ref="AE170:AE170"/>
    <mergeCell ref="AF170:AF170"/>
    <mergeCell ref="A171:A171"/>
    <mergeCell ref="B171:B171"/>
    <mergeCell ref="C171:C171"/>
    <mergeCell ref="F171:F171"/>
    <mergeCell ref="G171:G171"/>
    <mergeCell ref="H171:H171"/>
    <mergeCell ref="M171:M171"/>
    <mergeCell ref="N171:N171"/>
    <mergeCell ref="O171:O171"/>
    <mergeCell ref="P171:P171"/>
    <mergeCell ref="Q171:Q171"/>
    <mergeCell ref="R171:R171"/>
    <mergeCell ref="S171:S171"/>
    <mergeCell ref="X171:X171"/>
    <mergeCell ref="Y171:Y171"/>
    <mergeCell ref="Z171:Z171"/>
    <mergeCell ref="AA171:AA171"/>
    <mergeCell ref="AB171:AB171"/>
    <mergeCell ref="AC171:AC171"/>
    <mergeCell ref="AD171:AD171"/>
    <mergeCell ref="AE171:AE171"/>
    <mergeCell ref="AF171:AF171"/>
    <mergeCell ref="A172:A172"/>
    <mergeCell ref="B172:B172"/>
    <mergeCell ref="C172:C172"/>
    <mergeCell ref="F172:F172"/>
    <mergeCell ref="G172:G172"/>
    <mergeCell ref="H172:H172"/>
    <mergeCell ref="M172:M172"/>
    <mergeCell ref="N172:N172"/>
    <mergeCell ref="O172:O172"/>
    <mergeCell ref="P172:P172"/>
    <mergeCell ref="Q172:Q172"/>
    <mergeCell ref="R172:R172"/>
    <mergeCell ref="S172:S172"/>
    <mergeCell ref="X172:X172"/>
    <mergeCell ref="Y172:Y172"/>
    <mergeCell ref="Z172:Z172"/>
    <mergeCell ref="AA172:AA172"/>
    <mergeCell ref="AB172:AB172"/>
    <mergeCell ref="AC172:AC172"/>
    <mergeCell ref="AD172:AD172"/>
    <mergeCell ref="AE172:AE172"/>
    <mergeCell ref="AF172:AF172"/>
    <mergeCell ref="A173:A173"/>
    <mergeCell ref="B173:B173"/>
    <mergeCell ref="C173:C173"/>
    <mergeCell ref="F173:F173"/>
    <mergeCell ref="G173:G173"/>
    <mergeCell ref="H173:H173"/>
    <mergeCell ref="M173:M173"/>
    <mergeCell ref="N173:N173"/>
    <mergeCell ref="O173:O173"/>
    <mergeCell ref="P173:P173"/>
    <mergeCell ref="Q173:Q173"/>
    <mergeCell ref="R173:R173"/>
    <mergeCell ref="S173:S173"/>
    <mergeCell ref="X173:X173"/>
    <mergeCell ref="Y173:Y173"/>
    <mergeCell ref="Z173:Z173"/>
    <mergeCell ref="AA173:AA173"/>
    <mergeCell ref="AB173:AB173"/>
    <mergeCell ref="AC173:AC173"/>
    <mergeCell ref="AD173:AD173"/>
    <mergeCell ref="AE173:AE173"/>
    <mergeCell ref="AF173:AF173"/>
    <mergeCell ref="A174:A174"/>
    <mergeCell ref="B174:B174"/>
    <mergeCell ref="C174:C174"/>
    <mergeCell ref="F174:F174"/>
    <mergeCell ref="G174:G174"/>
    <mergeCell ref="H174:H174"/>
    <mergeCell ref="M174:M174"/>
    <mergeCell ref="N174:N174"/>
    <mergeCell ref="O174:O174"/>
    <mergeCell ref="P174:P174"/>
    <mergeCell ref="Q174:Q174"/>
    <mergeCell ref="R174:R174"/>
    <mergeCell ref="S174:S174"/>
    <mergeCell ref="X174:X174"/>
    <mergeCell ref="Y174:Y174"/>
    <mergeCell ref="Z174:Z174"/>
    <mergeCell ref="AA174:AA174"/>
    <mergeCell ref="AB174:AB174"/>
    <mergeCell ref="AC174:AC174"/>
    <mergeCell ref="AD174:AD174"/>
    <mergeCell ref="AE174:AE174"/>
    <mergeCell ref="AF174:AF174"/>
    <mergeCell ref="A175:A175"/>
    <mergeCell ref="B175:B175"/>
    <mergeCell ref="C175:C175"/>
    <mergeCell ref="F175:F175"/>
    <mergeCell ref="G175:G175"/>
    <mergeCell ref="H175:H175"/>
    <mergeCell ref="M175:M175"/>
    <mergeCell ref="N175:N175"/>
    <mergeCell ref="O175:O175"/>
    <mergeCell ref="P175:P175"/>
    <mergeCell ref="Q175:Q175"/>
    <mergeCell ref="R175:R175"/>
    <mergeCell ref="S175:S175"/>
    <mergeCell ref="X175:X175"/>
    <mergeCell ref="Y175:Y175"/>
    <mergeCell ref="Z175:Z175"/>
    <mergeCell ref="AA175:AA175"/>
    <mergeCell ref="AB175:AB175"/>
    <mergeCell ref="AC175:AC175"/>
    <mergeCell ref="AD175:AD175"/>
    <mergeCell ref="AE175:AE175"/>
    <mergeCell ref="AF175:AF175"/>
    <mergeCell ref="A176:A176"/>
    <mergeCell ref="B176:B176"/>
    <mergeCell ref="C176:C176"/>
    <mergeCell ref="F176:F176"/>
    <mergeCell ref="G176:G176"/>
    <mergeCell ref="H176:H176"/>
    <mergeCell ref="M176:M176"/>
    <mergeCell ref="N176:N176"/>
    <mergeCell ref="O176:O176"/>
    <mergeCell ref="P176:P176"/>
    <mergeCell ref="Q176:Q176"/>
    <mergeCell ref="R176:R176"/>
    <mergeCell ref="S176:S176"/>
    <mergeCell ref="X176:X176"/>
    <mergeCell ref="Y176:Y176"/>
    <mergeCell ref="Z176:Z176"/>
    <mergeCell ref="AA176:AA176"/>
    <mergeCell ref="AB176:AB176"/>
    <mergeCell ref="AC176:AC176"/>
    <mergeCell ref="AD176:AD176"/>
    <mergeCell ref="AE176:AE176"/>
    <mergeCell ref="AF176:AF176"/>
    <mergeCell ref="A177:A177"/>
    <mergeCell ref="B177:B177"/>
    <mergeCell ref="C177:C177"/>
    <mergeCell ref="F177:F177"/>
    <mergeCell ref="G177:G177"/>
    <mergeCell ref="H177:H177"/>
    <mergeCell ref="M177:M177"/>
    <mergeCell ref="N177:N177"/>
    <mergeCell ref="O177:O177"/>
    <mergeCell ref="P177:P177"/>
    <mergeCell ref="Q177:Q177"/>
    <mergeCell ref="R177:R177"/>
    <mergeCell ref="S177:S177"/>
    <mergeCell ref="X177:X177"/>
    <mergeCell ref="Y177:Y177"/>
    <mergeCell ref="Z177:Z177"/>
    <mergeCell ref="AA177:AA177"/>
    <mergeCell ref="AB177:AB177"/>
    <mergeCell ref="AC177:AC177"/>
    <mergeCell ref="AD177:AD177"/>
    <mergeCell ref="AE177:AE177"/>
    <mergeCell ref="AF177:AF177"/>
    <mergeCell ref="A178:A178"/>
    <mergeCell ref="B178:B178"/>
    <mergeCell ref="C178:C178"/>
    <mergeCell ref="F178:F178"/>
    <mergeCell ref="G178:G178"/>
    <mergeCell ref="H178:H178"/>
    <mergeCell ref="M178:M178"/>
    <mergeCell ref="N178:N178"/>
    <mergeCell ref="O178:O178"/>
    <mergeCell ref="P178:P178"/>
    <mergeCell ref="Q178:Q178"/>
    <mergeCell ref="R178:R178"/>
    <mergeCell ref="S178:S178"/>
    <mergeCell ref="X178:X178"/>
    <mergeCell ref="Y178:Y178"/>
    <mergeCell ref="Z178:Z178"/>
    <mergeCell ref="AA178:AA178"/>
    <mergeCell ref="AB178:AB178"/>
    <mergeCell ref="AC178:AC178"/>
    <mergeCell ref="AD178:AD178"/>
    <mergeCell ref="AE178:AE178"/>
    <mergeCell ref="AF178:AF178"/>
    <mergeCell ref="A179:A179"/>
    <mergeCell ref="B179:B179"/>
    <mergeCell ref="C179:C179"/>
    <mergeCell ref="F179:F179"/>
    <mergeCell ref="G179:G179"/>
    <mergeCell ref="H179:H179"/>
    <mergeCell ref="M179:M179"/>
    <mergeCell ref="N179:N179"/>
    <mergeCell ref="O179:O179"/>
    <mergeCell ref="P179:P179"/>
    <mergeCell ref="Q179:Q179"/>
    <mergeCell ref="R179:R179"/>
    <mergeCell ref="S179:S179"/>
    <mergeCell ref="X179:X179"/>
    <mergeCell ref="Y179:Y179"/>
    <mergeCell ref="Z179:Z179"/>
    <mergeCell ref="AA179:AA179"/>
    <mergeCell ref="AB179:AB179"/>
    <mergeCell ref="AC179:AC179"/>
    <mergeCell ref="AD179:AD179"/>
    <mergeCell ref="AE179:AE179"/>
    <mergeCell ref="AF179:AF179"/>
    <mergeCell ref="A180:A180"/>
    <mergeCell ref="B180:B180"/>
    <mergeCell ref="C180:C180"/>
    <mergeCell ref="F180:F180"/>
    <mergeCell ref="G180:G180"/>
    <mergeCell ref="H180:H180"/>
    <mergeCell ref="M180:M180"/>
    <mergeCell ref="N180:N180"/>
    <mergeCell ref="O180:O180"/>
    <mergeCell ref="P180:P180"/>
    <mergeCell ref="Q180:Q180"/>
    <mergeCell ref="R180:R180"/>
    <mergeCell ref="S180:S180"/>
    <mergeCell ref="X180:X180"/>
    <mergeCell ref="Y180:Y180"/>
    <mergeCell ref="Z180:Z180"/>
    <mergeCell ref="AA180:AA180"/>
    <mergeCell ref="AB180:AB180"/>
    <mergeCell ref="AC180:AC180"/>
    <mergeCell ref="AD180:AD180"/>
    <mergeCell ref="AE180:AE180"/>
    <mergeCell ref="AF180:AF180"/>
    <mergeCell ref="A181:A181"/>
    <mergeCell ref="B181:B181"/>
    <mergeCell ref="C181:C181"/>
    <mergeCell ref="F181:F181"/>
    <mergeCell ref="G181:G181"/>
    <mergeCell ref="H181:H181"/>
    <mergeCell ref="M181:M181"/>
    <mergeCell ref="N181:N181"/>
    <mergeCell ref="O181:O181"/>
    <mergeCell ref="P181:P181"/>
    <mergeCell ref="Q181:Q181"/>
    <mergeCell ref="R181:R181"/>
    <mergeCell ref="S181:S181"/>
    <mergeCell ref="X181:X181"/>
    <mergeCell ref="Y181:Y181"/>
    <mergeCell ref="Z181:Z181"/>
    <mergeCell ref="AA181:AA181"/>
    <mergeCell ref="AB181:AB181"/>
    <mergeCell ref="AC181:AC181"/>
    <mergeCell ref="AD181:AD181"/>
    <mergeCell ref="AE181:AE181"/>
    <mergeCell ref="AF181:AF181"/>
    <mergeCell ref="A182:A182"/>
    <mergeCell ref="B182:B182"/>
    <mergeCell ref="C182:C182"/>
    <mergeCell ref="F182:F182"/>
    <mergeCell ref="G182:G182"/>
    <mergeCell ref="H182:H182"/>
    <mergeCell ref="M182:M182"/>
    <mergeCell ref="N182:N182"/>
    <mergeCell ref="O182:O182"/>
    <mergeCell ref="P182:P182"/>
    <mergeCell ref="Q182:Q182"/>
    <mergeCell ref="R182:R182"/>
    <mergeCell ref="S182:S182"/>
    <mergeCell ref="X182:X182"/>
    <mergeCell ref="Y182:Y182"/>
    <mergeCell ref="Z182:Z182"/>
    <mergeCell ref="AA182:AA182"/>
    <mergeCell ref="AB182:AB182"/>
    <mergeCell ref="AC182:AC182"/>
    <mergeCell ref="AD182:AD182"/>
    <mergeCell ref="AE182:AE182"/>
    <mergeCell ref="AF182:AF182"/>
    <mergeCell ref="A183:A183"/>
    <mergeCell ref="B183:B183"/>
    <mergeCell ref="C183:C183"/>
    <mergeCell ref="F183:F183"/>
    <mergeCell ref="G183:G183"/>
    <mergeCell ref="H183:H183"/>
    <mergeCell ref="M183:M183"/>
    <mergeCell ref="N183:N183"/>
    <mergeCell ref="O183:O183"/>
    <mergeCell ref="P183:P183"/>
    <mergeCell ref="Q183:Q183"/>
    <mergeCell ref="R183:R183"/>
    <mergeCell ref="S183:S183"/>
    <mergeCell ref="X183:X183"/>
    <mergeCell ref="Y183:Y183"/>
    <mergeCell ref="Z183:Z183"/>
    <mergeCell ref="AA183:AA183"/>
    <mergeCell ref="AB183:AB183"/>
    <mergeCell ref="AC183:AC183"/>
    <mergeCell ref="AD183:AD183"/>
    <mergeCell ref="AE183:AE183"/>
    <mergeCell ref="AF183:AF183"/>
    <mergeCell ref="A184:A184"/>
    <mergeCell ref="B184:B184"/>
    <mergeCell ref="C184:C184"/>
    <mergeCell ref="F184:F184"/>
    <mergeCell ref="G184:G184"/>
    <mergeCell ref="H184:H184"/>
    <mergeCell ref="M184:M184"/>
    <mergeCell ref="N184:N184"/>
    <mergeCell ref="O184:O184"/>
    <mergeCell ref="P184:P184"/>
    <mergeCell ref="Q184:Q184"/>
    <mergeCell ref="R184:R184"/>
    <mergeCell ref="S184:S184"/>
    <mergeCell ref="X184:X184"/>
    <mergeCell ref="Y184:Y184"/>
    <mergeCell ref="Z184:Z184"/>
    <mergeCell ref="AA184:AA184"/>
    <mergeCell ref="AB184:AB184"/>
    <mergeCell ref="AC184:AC184"/>
    <mergeCell ref="AD184:AD184"/>
    <mergeCell ref="AE184:AE184"/>
    <mergeCell ref="AF184:AF184"/>
    <mergeCell ref="A185:A185"/>
    <mergeCell ref="B185:B185"/>
    <mergeCell ref="C185:C185"/>
    <mergeCell ref="F185:F185"/>
    <mergeCell ref="G185:G185"/>
    <mergeCell ref="H185:H185"/>
    <mergeCell ref="M185:M185"/>
    <mergeCell ref="N185:N185"/>
    <mergeCell ref="O185:O185"/>
    <mergeCell ref="P185:P185"/>
    <mergeCell ref="Q185:Q185"/>
    <mergeCell ref="R185:R185"/>
    <mergeCell ref="S185:S185"/>
    <mergeCell ref="X185:X185"/>
    <mergeCell ref="Y185:Y185"/>
    <mergeCell ref="Z185:Z185"/>
    <mergeCell ref="AA185:AA185"/>
    <mergeCell ref="AB185:AB185"/>
    <mergeCell ref="AC185:AC185"/>
    <mergeCell ref="AD185:AD185"/>
    <mergeCell ref="AE185:AE185"/>
    <mergeCell ref="AF185:AF185"/>
    <mergeCell ref="A186:A186"/>
    <mergeCell ref="B186:B186"/>
    <mergeCell ref="C186:C186"/>
    <mergeCell ref="F186:F186"/>
    <mergeCell ref="G186:G186"/>
    <mergeCell ref="H186:H186"/>
    <mergeCell ref="M186:M186"/>
    <mergeCell ref="N186:N186"/>
    <mergeCell ref="O186:O186"/>
    <mergeCell ref="P186:P186"/>
    <mergeCell ref="Q186:Q186"/>
    <mergeCell ref="R186:R186"/>
    <mergeCell ref="S186:S186"/>
    <mergeCell ref="X186:X186"/>
    <mergeCell ref="Y186:Y186"/>
    <mergeCell ref="Z186:Z186"/>
    <mergeCell ref="AA186:AA186"/>
    <mergeCell ref="AB186:AB186"/>
    <mergeCell ref="AC186:AC186"/>
    <mergeCell ref="AD186:AD186"/>
    <mergeCell ref="AE186:AE186"/>
    <mergeCell ref="AF186:AF186"/>
    <mergeCell ref="A187:A187"/>
    <mergeCell ref="B187:B187"/>
    <mergeCell ref="C187:C187"/>
    <mergeCell ref="F187:F187"/>
    <mergeCell ref="G187:G187"/>
    <mergeCell ref="H187:H187"/>
    <mergeCell ref="M187:M187"/>
    <mergeCell ref="N187:N187"/>
    <mergeCell ref="O187:O187"/>
    <mergeCell ref="P187:P187"/>
    <mergeCell ref="Q187:Q187"/>
    <mergeCell ref="R187:R187"/>
    <mergeCell ref="S187:S187"/>
    <mergeCell ref="X187:X187"/>
    <mergeCell ref="Y187:Y187"/>
    <mergeCell ref="Z187:Z187"/>
    <mergeCell ref="AA187:AA187"/>
    <mergeCell ref="AB187:AB187"/>
    <mergeCell ref="AC187:AC187"/>
    <mergeCell ref="AD187:AD187"/>
    <mergeCell ref="AE187:AE187"/>
    <mergeCell ref="AF187:AF187"/>
    <mergeCell ref="A188:A188"/>
    <mergeCell ref="B188:B188"/>
    <mergeCell ref="C188:C188"/>
    <mergeCell ref="F188:F188"/>
    <mergeCell ref="G188:G188"/>
    <mergeCell ref="H188:H188"/>
    <mergeCell ref="M188:M188"/>
    <mergeCell ref="N188:N188"/>
    <mergeCell ref="O188:O188"/>
    <mergeCell ref="P188:P188"/>
    <mergeCell ref="Q188:Q188"/>
    <mergeCell ref="R188:R188"/>
    <mergeCell ref="S188:S188"/>
    <mergeCell ref="X188:X188"/>
    <mergeCell ref="Y188:Y188"/>
    <mergeCell ref="Z188:Z188"/>
    <mergeCell ref="AA188:AA188"/>
    <mergeCell ref="AB188:AB188"/>
    <mergeCell ref="AC188:AC188"/>
    <mergeCell ref="AD188:AD188"/>
    <mergeCell ref="AE188:AE188"/>
    <mergeCell ref="AF188:AF188"/>
    <mergeCell ref="A189:A189"/>
    <mergeCell ref="B189:B189"/>
    <mergeCell ref="C189:C189"/>
    <mergeCell ref="F189:F189"/>
    <mergeCell ref="G189:G189"/>
    <mergeCell ref="H189:H189"/>
    <mergeCell ref="M189:M189"/>
    <mergeCell ref="N189:N189"/>
    <mergeCell ref="O189:O189"/>
    <mergeCell ref="P189:P189"/>
    <mergeCell ref="Q189:Q189"/>
    <mergeCell ref="R189:R189"/>
    <mergeCell ref="S189:S189"/>
    <mergeCell ref="X189:X189"/>
    <mergeCell ref="Y189:Y189"/>
    <mergeCell ref="Z189:Z189"/>
    <mergeCell ref="AA189:AA189"/>
    <mergeCell ref="AB189:AB189"/>
    <mergeCell ref="AC189:AC189"/>
    <mergeCell ref="AD189:AD189"/>
    <mergeCell ref="AE189:AE189"/>
    <mergeCell ref="AF189:AF189"/>
    <mergeCell ref="A190:A190"/>
    <mergeCell ref="B190:B190"/>
    <mergeCell ref="C190:C190"/>
    <mergeCell ref="F190:F190"/>
    <mergeCell ref="G190:G190"/>
    <mergeCell ref="H190:H190"/>
    <mergeCell ref="M190:M190"/>
    <mergeCell ref="N190:N190"/>
    <mergeCell ref="O190:O190"/>
    <mergeCell ref="P190:P190"/>
    <mergeCell ref="Q190:Q190"/>
    <mergeCell ref="R190:R190"/>
    <mergeCell ref="S190:S190"/>
    <mergeCell ref="X190:X190"/>
    <mergeCell ref="Y190:Y190"/>
    <mergeCell ref="Z190:Z190"/>
    <mergeCell ref="AA190:AA190"/>
    <mergeCell ref="AB190:AB190"/>
    <mergeCell ref="AC190:AC190"/>
    <mergeCell ref="AD190:AD190"/>
    <mergeCell ref="AE190:AE190"/>
    <mergeCell ref="AF190:AF190"/>
    <mergeCell ref="A191:A191"/>
    <mergeCell ref="B191:B191"/>
    <mergeCell ref="C191:C191"/>
    <mergeCell ref="F191:F191"/>
    <mergeCell ref="G191:G191"/>
    <mergeCell ref="H191:H191"/>
    <mergeCell ref="M191:M191"/>
    <mergeCell ref="N191:N191"/>
    <mergeCell ref="O191:O191"/>
    <mergeCell ref="P191:P191"/>
    <mergeCell ref="Q191:Q191"/>
    <mergeCell ref="R191:R191"/>
    <mergeCell ref="S191:S191"/>
    <mergeCell ref="X191:X191"/>
    <mergeCell ref="Y191:Y191"/>
    <mergeCell ref="Z191:Z191"/>
    <mergeCell ref="AA191:AA191"/>
    <mergeCell ref="AB191:AB191"/>
    <mergeCell ref="AC191:AC191"/>
    <mergeCell ref="AD191:AD191"/>
    <mergeCell ref="AE191:AE191"/>
    <mergeCell ref="AF191:AF191"/>
    <mergeCell ref="A192:A192"/>
    <mergeCell ref="B192:B192"/>
    <mergeCell ref="C192:C192"/>
    <mergeCell ref="F192:F192"/>
    <mergeCell ref="G192:G192"/>
    <mergeCell ref="H192:H192"/>
    <mergeCell ref="M192:M192"/>
    <mergeCell ref="N192:N192"/>
    <mergeCell ref="O192:O192"/>
    <mergeCell ref="P192:P192"/>
    <mergeCell ref="Q192:Q192"/>
    <mergeCell ref="R192:R192"/>
    <mergeCell ref="S192:S192"/>
    <mergeCell ref="X192:X192"/>
    <mergeCell ref="Y192:Y192"/>
    <mergeCell ref="Z192:Z192"/>
    <mergeCell ref="AA192:AA192"/>
    <mergeCell ref="AB192:AB192"/>
    <mergeCell ref="AC192:AC192"/>
    <mergeCell ref="AD192:AD192"/>
    <mergeCell ref="AE192:AE192"/>
    <mergeCell ref="AF192:AF192"/>
    <mergeCell ref="A193:A193"/>
    <mergeCell ref="B193:B193"/>
    <mergeCell ref="C193:C193"/>
    <mergeCell ref="F193:F193"/>
    <mergeCell ref="G193:G193"/>
    <mergeCell ref="H193:H193"/>
    <mergeCell ref="M193:M193"/>
    <mergeCell ref="N193:N193"/>
    <mergeCell ref="O193:O193"/>
    <mergeCell ref="P193:P193"/>
    <mergeCell ref="Q193:Q193"/>
    <mergeCell ref="R193:R193"/>
    <mergeCell ref="S193:S193"/>
    <mergeCell ref="X193:X193"/>
    <mergeCell ref="Y193:Y193"/>
    <mergeCell ref="Z193:Z193"/>
    <mergeCell ref="AA193:AA193"/>
    <mergeCell ref="AB193:AB193"/>
    <mergeCell ref="AC193:AC193"/>
    <mergeCell ref="AD193:AD193"/>
    <mergeCell ref="AE193:AE193"/>
    <mergeCell ref="AF193:AF193"/>
    <mergeCell ref="A194:A194"/>
    <mergeCell ref="B194:B194"/>
    <mergeCell ref="C194:C194"/>
    <mergeCell ref="F194:F194"/>
    <mergeCell ref="G194:G194"/>
    <mergeCell ref="H194:H194"/>
    <mergeCell ref="M194:M194"/>
    <mergeCell ref="N194:N194"/>
    <mergeCell ref="O194:O194"/>
    <mergeCell ref="P194:P194"/>
    <mergeCell ref="Q194:Q194"/>
    <mergeCell ref="R194:R194"/>
    <mergeCell ref="S194:S194"/>
    <mergeCell ref="X194:X194"/>
    <mergeCell ref="Y194:Y194"/>
    <mergeCell ref="Z194:Z194"/>
    <mergeCell ref="AA194:AA194"/>
    <mergeCell ref="AB194:AB194"/>
    <mergeCell ref="AC194:AC194"/>
    <mergeCell ref="AD194:AD194"/>
    <mergeCell ref="AE194:AE194"/>
    <mergeCell ref="AF194:AF194"/>
    <mergeCell ref="A195:A195"/>
    <mergeCell ref="B195:B195"/>
    <mergeCell ref="C195:C195"/>
    <mergeCell ref="F195:F195"/>
    <mergeCell ref="G195:G195"/>
    <mergeCell ref="H195:H195"/>
    <mergeCell ref="M195:M195"/>
    <mergeCell ref="N195:N195"/>
    <mergeCell ref="O195:O195"/>
    <mergeCell ref="P195:P195"/>
    <mergeCell ref="Q195:Q195"/>
    <mergeCell ref="R195:R195"/>
    <mergeCell ref="S195:S195"/>
    <mergeCell ref="X195:X195"/>
    <mergeCell ref="Y195:Y195"/>
    <mergeCell ref="Z195:Z195"/>
    <mergeCell ref="AA195:AA195"/>
    <mergeCell ref="AB195:AB195"/>
    <mergeCell ref="AC195:AC195"/>
    <mergeCell ref="AD195:AD195"/>
    <mergeCell ref="AE195:AE195"/>
    <mergeCell ref="AF195:AF195"/>
    <mergeCell ref="A196:A196"/>
    <mergeCell ref="B196:B196"/>
    <mergeCell ref="C196:C196"/>
    <mergeCell ref="F196:F196"/>
    <mergeCell ref="G196:G196"/>
    <mergeCell ref="H196:H196"/>
    <mergeCell ref="M196:M196"/>
    <mergeCell ref="N196:N196"/>
    <mergeCell ref="O196:O196"/>
    <mergeCell ref="P196:P196"/>
    <mergeCell ref="Q196:Q196"/>
    <mergeCell ref="R196:R196"/>
    <mergeCell ref="S196:S196"/>
    <mergeCell ref="X196:X196"/>
    <mergeCell ref="Y196:Y196"/>
    <mergeCell ref="Z196:Z196"/>
    <mergeCell ref="AA196:AA196"/>
    <mergeCell ref="AB196:AB196"/>
    <mergeCell ref="AC196:AC196"/>
    <mergeCell ref="AD196:AD196"/>
    <mergeCell ref="AE196:AE196"/>
    <mergeCell ref="AF196:AF196"/>
    <mergeCell ref="A197:A197"/>
    <mergeCell ref="B197:B197"/>
    <mergeCell ref="C197:C197"/>
    <mergeCell ref="F197:F197"/>
    <mergeCell ref="G197:G197"/>
    <mergeCell ref="H197:H197"/>
    <mergeCell ref="M197:M197"/>
    <mergeCell ref="N197:N197"/>
    <mergeCell ref="O197:O197"/>
    <mergeCell ref="P197:P197"/>
    <mergeCell ref="Q197:Q197"/>
    <mergeCell ref="R197:R197"/>
    <mergeCell ref="S197:S197"/>
    <mergeCell ref="X197:X197"/>
    <mergeCell ref="Y197:Y197"/>
    <mergeCell ref="Z197:Z197"/>
    <mergeCell ref="AA197:AA197"/>
    <mergeCell ref="AB197:AB197"/>
    <mergeCell ref="AC197:AC197"/>
    <mergeCell ref="AD197:AD197"/>
    <mergeCell ref="AE197:AE197"/>
    <mergeCell ref="AF197:AF197"/>
    <mergeCell ref="A198:A198"/>
    <mergeCell ref="B198:B198"/>
    <mergeCell ref="C198:C198"/>
    <mergeCell ref="F198:F198"/>
    <mergeCell ref="G198:G198"/>
    <mergeCell ref="H198:H198"/>
    <mergeCell ref="M198:M198"/>
    <mergeCell ref="N198:N198"/>
    <mergeCell ref="O198:O198"/>
    <mergeCell ref="P198:P198"/>
    <mergeCell ref="Q198:Q198"/>
    <mergeCell ref="R198:R198"/>
    <mergeCell ref="S198:S198"/>
    <mergeCell ref="X198:X198"/>
    <mergeCell ref="Y198:Y198"/>
    <mergeCell ref="Z198:Z198"/>
    <mergeCell ref="AA198:AA198"/>
    <mergeCell ref="AB198:AB198"/>
    <mergeCell ref="AC198:AC198"/>
    <mergeCell ref="AD198:AD198"/>
    <mergeCell ref="AE198:AE198"/>
    <mergeCell ref="AF198:AF198"/>
    <mergeCell ref="A199:A199"/>
    <mergeCell ref="B199:B199"/>
    <mergeCell ref="C199:C199"/>
    <mergeCell ref="F199:F199"/>
    <mergeCell ref="G199:G199"/>
    <mergeCell ref="H199:H199"/>
    <mergeCell ref="M199:M199"/>
    <mergeCell ref="N199:N199"/>
    <mergeCell ref="O199:O199"/>
    <mergeCell ref="P199:P199"/>
    <mergeCell ref="Q199:Q199"/>
    <mergeCell ref="R199:R199"/>
    <mergeCell ref="S199:S199"/>
    <mergeCell ref="X199:X199"/>
    <mergeCell ref="Y199:Y199"/>
    <mergeCell ref="Z199:Z199"/>
    <mergeCell ref="AA199:AA199"/>
    <mergeCell ref="AB199:AB199"/>
    <mergeCell ref="AC199:AC199"/>
    <mergeCell ref="AD199:AD199"/>
    <mergeCell ref="AE199:AE199"/>
    <mergeCell ref="AF199:AF199"/>
    <mergeCell ref="A200:A200"/>
    <mergeCell ref="B200:B200"/>
    <mergeCell ref="C200:C200"/>
    <mergeCell ref="F200:F200"/>
    <mergeCell ref="G200:G200"/>
    <mergeCell ref="H200:H200"/>
    <mergeCell ref="M200:M200"/>
    <mergeCell ref="N200:N200"/>
    <mergeCell ref="O200:O200"/>
    <mergeCell ref="P200:P200"/>
    <mergeCell ref="Q200:Q200"/>
    <mergeCell ref="R200:R200"/>
    <mergeCell ref="S200:S200"/>
    <mergeCell ref="X200:X200"/>
    <mergeCell ref="Y200:Y200"/>
    <mergeCell ref="Z200:Z200"/>
    <mergeCell ref="AA200:AA200"/>
    <mergeCell ref="AB200:AB200"/>
    <mergeCell ref="AC200:AC200"/>
    <mergeCell ref="AD200:AD200"/>
    <mergeCell ref="AE200:AE200"/>
    <mergeCell ref="AF200:AF200"/>
    <mergeCell ref="A201:A201"/>
    <mergeCell ref="B201:B201"/>
    <mergeCell ref="C201:C201"/>
    <mergeCell ref="F201:F201"/>
    <mergeCell ref="G201:G201"/>
    <mergeCell ref="H201:H201"/>
    <mergeCell ref="M201:M201"/>
    <mergeCell ref="N201:N201"/>
    <mergeCell ref="O201:O201"/>
    <mergeCell ref="P201:P201"/>
    <mergeCell ref="Q201:Q201"/>
    <mergeCell ref="R201:R201"/>
    <mergeCell ref="S201:S201"/>
    <mergeCell ref="X201:X201"/>
    <mergeCell ref="Y201:Y201"/>
    <mergeCell ref="Z201:Z201"/>
    <mergeCell ref="AA201:AA201"/>
    <mergeCell ref="AB201:AB201"/>
    <mergeCell ref="AC201:AC201"/>
    <mergeCell ref="AD201:AD201"/>
    <mergeCell ref="AE201:AE201"/>
    <mergeCell ref="AF201:AF201"/>
    <mergeCell ref="A202:A202"/>
    <mergeCell ref="B202:B202"/>
    <mergeCell ref="C202:C202"/>
    <mergeCell ref="F202:F202"/>
    <mergeCell ref="G202:G202"/>
    <mergeCell ref="H202:H202"/>
    <mergeCell ref="M202:M202"/>
    <mergeCell ref="N202:N202"/>
    <mergeCell ref="O202:O202"/>
    <mergeCell ref="P202:P202"/>
    <mergeCell ref="Q202:Q202"/>
    <mergeCell ref="R202:R202"/>
    <mergeCell ref="S202:S202"/>
    <mergeCell ref="X202:X202"/>
    <mergeCell ref="Y202:Y202"/>
    <mergeCell ref="Z202:Z202"/>
    <mergeCell ref="AA202:AA202"/>
    <mergeCell ref="AB202:AB202"/>
    <mergeCell ref="AC202:AC202"/>
    <mergeCell ref="AD202:AD202"/>
    <mergeCell ref="AE202:AE202"/>
    <mergeCell ref="AF202:AF202"/>
    <mergeCell ref="A203:A203"/>
    <mergeCell ref="B203:B203"/>
    <mergeCell ref="C203:C203"/>
    <mergeCell ref="F203:F203"/>
    <mergeCell ref="G203:G203"/>
    <mergeCell ref="H203:H203"/>
    <mergeCell ref="M203:M203"/>
    <mergeCell ref="N203:N203"/>
    <mergeCell ref="O203:O203"/>
    <mergeCell ref="P203:P203"/>
    <mergeCell ref="Q203:Q203"/>
    <mergeCell ref="R203:R203"/>
    <mergeCell ref="S203:S203"/>
    <mergeCell ref="X203:X203"/>
    <mergeCell ref="Y203:Y203"/>
    <mergeCell ref="Z203:Z203"/>
    <mergeCell ref="AA203:AA203"/>
    <mergeCell ref="AB203:AB203"/>
    <mergeCell ref="AC203:AC203"/>
    <mergeCell ref="AD203:AD203"/>
    <mergeCell ref="AE203:AE203"/>
    <mergeCell ref="AF203:AF203"/>
    <mergeCell ref="A204:A204"/>
    <mergeCell ref="B204:B204"/>
    <mergeCell ref="C204:C204"/>
    <mergeCell ref="F204:F204"/>
    <mergeCell ref="G204:G204"/>
    <mergeCell ref="H204:H204"/>
    <mergeCell ref="M204:M204"/>
    <mergeCell ref="N204:N204"/>
    <mergeCell ref="O204:O204"/>
    <mergeCell ref="P204:P204"/>
    <mergeCell ref="Q204:Q204"/>
    <mergeCell ref="R204:R204"/>
    <mergeCell ref="S204:S204"/>
    <mergeCell ref="X204:X204"/>
    <mergeCell ref="Y204:Y204"/>
    <mergeCell ref="Z204:Z204"/>
    <mergeCell ref="AA204:AA204"/>
    <mergeCell ref="AB204:AB204"/>
    <mergeCell ref="AC204:AC204"/>
    <mergeCell ref="AD204:AD204"/>
    <mergeCell ref="AE204:AE204"/>
    <mergeCell ref="AF204:AF204"/>
    <mergeCell ref="A205:A205"/>
    <mergeCell ref="B205:B205"/>
    <mergeCell ref="C205:C205"/>
    <mergeCell ref="F205:F205"/>
    <mergeCell ref="G205:G205"/>
    <mergeCell ref="H205:H205"/>
    <mergeCell ref="M205:M205"/>
    <mergeCell ref="N205:N205"/>
    <mergeCell ref="O205:O205"/>
    <mergeCell ref="P205:P205"/>
    <mergeCell ref="Q205:Q205"/>
    <mergeCell ref="R205:R205"/>
    <mergeCell ref="S205:S205"/>
    <mergeCell ref="X205:X205"/>
    <mergeCell ref="Y205:Y205"/>
    <mergeCell ref="Z205:Z205"/>
    <mergeCell ref="AA205:AA205"/>
    <mergeCell ref="AB205:AB205"/>
    <mergeCell ref="AC205:AC205"/>
    <mergeCell ref="AD205:AD205"/>
    <mergeCell ref="AE205:AE205"/>
    <mergeCell ref="AF205:AF205"/>
    <mergeCell ref="A206:A206"/>
    <mergeCell ref="B206:B206"/>
    <mergeCell ref="C206:C206"/>
    <mergeCell ref="F206:F206"/>
    <mergeCell ref="G206:G206"/>
    <mergeCell ref="H206:H206"/>
    <mergeCell ref="M206:M206"/>
    <mergeCell ref="N206:N206"/>
    <mergeCell ref="O206:O206"/>
    <mergeCell ref="P206:P206"/>
    <mergeCell ref="Q206:Q206"/>
    <mergeCell ref="R206:R206"/>
    <mergeCell ref="S206:S206"/>
    <mergeCell ref="X206:X206"/>
    <mergeCell ref="Y206:Y206"/>
    <mergeCell ref="Z206:Z206"/>
    <mergeCell ref="AA206:AA206"/>
    <mergeCell ref="AB206:AB206"/>
    <mergeCell ref="AC206:AC206"/>
    <mergeCell ref="AD206:AD206"/>
    <mergeCell ref="AE206:AE206"/>
    <mergeCell ref="AF206:AF206"/>
    <mergeCell ref="A207:A207"/>
    <mergeCell ref="B207:B207"/>
    <mergeCell ref="C207:C207"/>
    <mergeCell ref="F207:F207"/>
    <mergeCell ref="G207:G207"/>
    <mergeCell ref="H207:H207"/>
    <mergeCell ref="M207:M207"/>
    <mergeCell ref="N207:N207"/>
    <mergeCell ref="O207:O207"/>
    <mergeCell ref="P207:P207"/>
    <mergeCell ref="Q207:Q207"/>
    <mergeCell ref="R207:R207"/>
    <mergeCell ref="S207:S207"/>
    <mergeCell ref="X207:X207"/>
    <mergeCell ref="Y207:Y207"/>
    <mergeCell ref="Z207:Z207"/>
    <mergeCell ref="AA207:AA207"/>
    <mergeCell ref="AB207:AB207"/>
    <mergeCell ref="AC207:AC207"/>
    <mergeCell ref="AD207:AD207"/>
    <mergeCell ref="AE207:AE207"/>
    <mergeCell ref="AF207:AF207"/>
    <mergeCell ref="A208:A208"/>
    <mergeCell ref="B208:B208"/>
    <mergeCell ref="C208:C208"/>
    <mergeCell ref="F208:F208"/>
    <mergeCell ref="G208:G208"/>
    <mergeCell ref="H208:H208"/>
    <mergeCell ref="M208:M208"/>
    <mergeCell ref="N208:N208"/>
    <mergeCell ref="O208:O208"/>
    <mergeCell ref="P208:P208"/>
    <mergeCell ref="Q208:Q208"/>
    <mergeCell ref="R208:R208"/>
    <mergeCell ref="S208:S208"/>
    <mergeCell ref="X208:X208"/>
    <mergeCell ref="Y208:Y208"/>
    <mergeCell ref="Z208:Z208"/>
    <mergeCell ref="AA208:AA208"/>
    <mergeCell ref="AB208:AB208"/>
    <mergeCell ref="AC208:AC208"/>
    <mergeCell ref="AD208:AD208"/>
    <mergeCell ref="AE208:AE208"/>
    <mergeCell ref="AF208:AF208"/>
    <mergeCell ref="A209:A209"/>
    <mergeCell ref="B209:B209"/>
    <mergeCell ref="C209:C209"/>
    <mergeCell ref="F209:F209"/>
    <mergeCell ref="G209:G209"/>
    <mergeCell ref="H209:H209"/>
    <mergeCell ref="M209:M209"/>
    <mergeCell ref="N209:N209"/>
    <mergeCell ref="O209:O209"/>
    <mergeCell ref="P209:P209"/>
    <mergeCell ref="Q209:Q209"/>
    <mergeCell ref="R209:R209"/>
    <mergeCell ref="S209:S209"/>
    <mergeCell ref="X209:X209"/>
    <mergeCell ref="Y209:Y209"/>
    <mergeCell ref="Z209:Z209"/>
    <mergeCell ref="AA209:AA209"/>
    <mergeCell ref="AB209:AB209"/>
    <mergeCell ref="AC209:AC209"/>
    <mergeCell ref="AD209:AD209"/>
    <mergeCell ref="AE209:AE209"/>
    <mergeCell ref="AF209:AF209"/>
    <mergeCell ref="A210:A210"/>
    <mergeCell ref="B210:B210"/>
    <mergeCell ref="C210:C210"/>
    <mergeCell ref="F210:F210"/>
    <mergeCell ref="G210:G210"/>
    <mergeCell ref="H210:H210"/>
    <mergeCell ref="M210:M210"/>
    <mergeCell ref="N210:N210"/>
    <mergeCell ref="O210:O210"/>
    <mergeCell ref="P210:P210"/>
    <mergeCell ref="Q210:Q210"/>
    <mergeCell ref="R210:R210"/>
    <mergeCell ref="S210:S210"/>
    <mergeCell ref="X210:X210"/>
    <mergeCell ref="Y210:Y210"/>
    <mergeCell ref="Z210:Z210"/>
    <mergeCell ref="AA210:AA210"/>
    <mergeCell ref="AB210:AB210"/>
    <mergeCell ref="AC210:AC210"/>
    <mergeCell ref="AD210:AD210"/>
    <mergeCell ref="AE210:AE210"/>
    <mergeCell ref="AF210:AF210"/>
    <mergeCell ref="A211:A211"/>
    <mergeCell ref="B211:B211"/>
    <mergeCell ref="C211:C211"/>
    <mergeCell ref="F211:F211"/>
    <mergeCell ref="G211:G211"/>
    <mergeCell ref="H211:H211"/>
    <mergeCell ref="M211:M211"/>
    <mergeCell ref="N211:N211"/>
    <mergeCell ref="O211:O211"/>
    <mergeCell ref="P211:P211"/>
    <mergeCell ref="Q211:Q211"/>
    <mergeCell ref="R211:R211"/>
    <mergeCell ref="S211:S211"/>
    <mergeCell ref="X211:X211"/>
    <mergeCell ref="Y211:Y211"/>
    <mergeCell ref="Z211:Z211"/>
    <mergeCell ref="AA211:AA211"/>
    <mergeCell ref="AB211:AB211"/>
    <mergeCell ref="AC211:AC211"/>
    <mergeCell ref="AD211:AD211"/>
    <mergeCell ref="AE211:AE211"/>
    <mergeCell ref="AF211:AF211"/>
    <mergeCell ref="A212:A212"/>
    <mergeCell ref="B212:B212"/>
    <mergeCell ref="C212:C212"/>
    <mergeCell ref="F212:F212"/>
    <mergeCell ref="G212:G212"/>
    <mergeCell ref="H212:H212"/>
    <mergeCell ref="M212:M212"/>
    <mergeCell ref="N212:N212"/>
    <mergeCell ref="O212:O212"/>
    <mergeCell ref="P212:P212"/>
    <mergeCell ref="Q212:Q212"/>
    <mergeCell ref="R212:R212"/>
    <mergeCell ref="S212:S212"/>
    <mergeCell ref="X212:X212"/>
    <mergeCell ref="Y212:Y212"/>
    <mergeCell ref="Z212:Z212"/>
    <mergeCell ref="AA212:AA212"/>
    <mergeCell ref="AB212:AB212"/>
    <mergeCell ref="AC212:AC212"/>
    <mergeCell ref="AD212:AD212"/>
    <mergeCell ref="AE212:AE212"/>
    <mergeCell ref="AF212:AF212"/>
    <mergeCell ref="A213:A213"/>
    <mergeCell ref="B213:B213"/>
    <mergeCell ref="C213:C213"/>
    <mergeCell ref="F213:F213"/>
    <mergeCell ref="G213:G213"/>
    <mergeCell ref="H213:H213"/>
    <mergeCell ref="M213:M213"/>
    <mergeCell ref="N213:N213"/>
    <mergeCell ref="O213:O213"/>
    <mergeCell ref="P213:P213"/>
    <mergeCell ref="Q213:Q213"/>
    <mergeCell ref="R213:R213"/>
    <mergeCell ref="S213:S213"/>
    <mergeCell ref="X213:X213"/>
    <mergeCell ref="Y213:Y213"/>
    <mergeCell ref="Z213:Z213"/>
    <mergeCell ref="AA213:AA213"/>
    <mergeCell ref="AB213:AB213"/>
    <mergeCell ref="AC213:AC213"/>
    <mergeCell ref="AD213:AD213"/>
    <mergeCell ref="AE213:AE213"/>
    <mergeCell ref="AF213:AF213"/>
    <mergeCell ref="A214:A214"/>
    <mergeCell ref="B214:B214"/>
    <mergeCell ref="C214:C214"/>
    <mergeCell ref="F214:F214"/>
    <mergeCell ref="G214:G214"/>
    <mergeCell ref="H214:H214"/>
    <mergeCell ref="M214:M214"/>
    <mergeCell ref="N214:N214"/>
    <mergeCell ref="O214:O214"/>
    <mergeCell ref="P214:P214"/>
    <mergeCell ref="Q214:Q214"/>
    <mergeCell ref="R214:R214"/>
    <mergeCell ref="S214:S214"/>
    <mergeCell ref="X214:X214"/>
    <mergeCell ref="Y214:Y214"/>
    <mergeCell ref="Z214:Z214"/>
    <mergeCell ref="AA214:AA214"/>
    <mergeCell ref="AB214:AB214"/>
    <mergeCell ref="AC214:AC214"/>
    <mergeCell ref="AD214:AD214"/>
    <mergeCell ref="AE214:AE214"/>
    <mergeCell ref="AF214:AF214"/>
    <mergeCell ref="A215:A215"/>
    <mergeCell ref="B215:B215"/>
    <mergeCell ref="C215:C215"/>
    <mergeCell ref="F215:F215"/>
    <mergeCell ref="G215:G215"/>
    <mergeCell ref="H215:H215"/>
    <mergeCell ref="M215:M215"/>
    <mergeCell ref="N215:N215"/>
    <mergeCell ref="O215:O215"/>
    <mergeCell ref="P215:P215"/>
    <mergeCell ref="Q215:Q215"/>
    <mergeCell ref="R215:R215"/>
    <mergeCell ref="S215:S215"/>
    <mergeCell ref="X215:X215"/>
    <mergeCell ref="Y215:Y215"/>
    <mergeCell ref="Z215:Z215"/>
    <mergeCell ref="AA215:AA215"/>
    <mergeCell ref="AB215:AB215"/>
    <mergeCell ref="AC215:AC215"/>
    <mergeCell ref="AD215:AD215"/>
    <mergeCell ref="AE215:AE215"/>
    <mergeCell ref="AF215:AF215"/>
    <mergeCell ref="A216:A216"/>
    <mergeCell ref="B216:B216"/>
    <mergeCell ref="C216:C216"/>
    <mergeCell ref="F216:F216"/>
    <mergeCell ref="G216:G216"/>
    <mergeCell ref="H216:H216"/>
    <mergeCell ref="M216:M216"/>
    <mergeCell ref="N216:N216"/>
    <mergeCell ref="O216:O216"/>
    <mergeCell ref="P216:P216"/>
    <mergeCell ref="Q216:Q216"/>
    <mergeCell ref="R216:R216"/>
    <mergeCell ref="S216:S216"/>
    <mergeCell ref="X216:X216"/>
    <mergeCell ref="Y216:Y216"/>
    <mergeCell ref="Z216:Z216"/>
    <mergeCell ref="AA216:AA216"/>
    <mergeCell ref="AB216:AB216"/>
    <mergeCell ref="AC216:AC216"/>
    <mergeCell ref="AD216:AD216"/>
    <mergeCell ref="AE216:AE216"/>
    <mergeCell ref="AF216:AF216"/>
    <mergeCell ref="A217:A217"/>
    <mergeCell ref="B217:B217"/>
    <mergeCell ref="C217:C217"/>
    <mergeCell ref="F217:F217"/>
    <mergeCell ref="G217:G217"/>
    <mergeCell ref="H217:H217"/>
    <mergeCell ref="M217:M217"/>
    <mergeCell ref="N217:N217"/>
    <mergeCell ref="O217:O217"/>
    <mergeCell ref="P217:P217"/>
    <mergeCell ref="Q217:Q217"/>
    <mergeCell ref="R217:R217"/>
    <mergeCell ref="S217:S217"/>
    <mergeCell ref="X217:X217"/>
    <mergeCell ref="Y217:Y217"/>
    <mergeCell ref="Z217:Z217"/>
    <mergeCell ref="AA217:AA217"/>
    <mergeCell ref="AB217:AB217"/>
    <mergeCell ref="AC217:AC217"/>
    <mergeCell ref="AD217:AD217"/>
    <mergeCell ref="AE217:AE217"/>
    <mergeCell ref="AF217:AF217"/>
    <mergeCell ref="A218:A218"/>
    <mergeCell ref="B218:B218"/>
    <mergeCell ref="C218:C218"/>
    <mergeCell ref="F218:F218"/>
    <mergeCell ref="G218:G218"/>
    <mergeCell ref="H218:H218"/>
    <mergeCell ref="M218:M218"/>
    <mergeCell ref="N218:N218"/>
    <mergeCell ref="O218:O218"/>
    <mergeCell ref="P218:P218"/>
    <mergeCell ref="Q218:Q218"/>
    <mergeCell ref="R218:R218"/>
    <mergeCell ref="S218:S218"/>
    <mergeCell ref="X218:X218"/>
    <mergeCell ref="Y218:Y218"/>
    <mergeCell ref="Z218:Z218"/>
    <mergeCell ref="AA218:AA218"/>
    <mergeCell ref="AB218:AB218"/>
    <mergeCell ref="AC218:AC218"/>
    <mergeCell ref="AD218:AD218"/>
    <mergeCell ref="AE218:AE218"/>
    <mergeCell ref="AF218:AF218"/>
    <mergeCell ref="A219:A219"/>
    <mergeCell ref="B219:B219"/>
    <mergeCell ref="C219:C219"/>
    <mergeCell ref="F219:F219"/>
    <mergeCell ref="G219:G219"/>
    <mergeCell ref="H219:H219"/>
    <mergeCell ref="M219:M219"/>
    <mergeCell ref="N219:N219"/>
    <mergeCell ref="O219:O219"/>
    <mergeCell ref="P219:P219"/>
    <mergeCell ref="Q219:Q219"/>
    <mergeCell ref="R219:R219"/>
    <mergeCell ref="S219:S219"/>
    <mergeCell ref="X219:X219"/>
    <mergeCell ref="Y219:Y219"/>
    <mergeCell ref="Z219:Z219"/>
    <mergeCell ref="AA219:AA219"/>
    <mergeCell ref="AB219:AB219"/>
    <mergeCell ref="AC219:AC219"/>
    <mergeCell ref="AD219:AD219"/>
    <mergeCell ref="AE219:AE219"/>
    <mergeCell ref="AF219:AF219"/>
    <mergeCell ref="A220:A220"/>
    <mergeCell ref="B220:B220"/>
    <mergeCell ref="C220:C220"/>
    <mergeCell ref="F220:F220"/>
    <mergeCell ref="G220:G220"/>
    <mergeCell ref="H220:H220"/>
    <mergeCell ref="M220:M220"/>
    <mergeCell ref="N220:N220"/>
    <mergeCell ref="O220:O220"/>
    <mergeCell ref="P220:P220"/>
    <mergeCell ref="Q220:Q220"/>
    <mergeCell ref="R220:R220"/>
    <mergeCell ref="S220:S220"/>
    <mergeCell ref="X220:X220"/>
    <mergeCell ref="Y220:Y220"/>
    <mergeCell ref="Z220:Z220"/>
    <mergeCell ref="AA220:AA220"/>
    <mergeCell ref="AB220:AB220"/>
    <mergeCell ref="AC220:AC220"/>
    <mergeCell ref="AD220:AD220"/>
    <mergeCell ref="AE220:AE220"/>
    <mergeCell ref="AF220:AF220"/>
    <mergeCell ref="A221:A221"/>
    <mergeCell ref="B221:B221"/>
    <mergeCell ref="C221:C221"/>
    <mergeCell ref="F221:F221"/>
    <mergeCell ref="G221:G221"/>
    <mergeCell ref="H221:H221"/>
    <mergeCell ref="M221:M221"/>
    <mergeCell ref="N221:N221"/>
    <mergeCell ref="O221:O221"/>
    <mergeCell ref="P221:P221"/>
    <mergeCell ref="Q221:Q221"/>
    <mergeCell ref="R221:R221"/>
    <mergeCell ref="S221:S221"/>
    <mergeCell ref="X221:X221"/>
    <mergeCell ref="Y221:Y221"/>
    <mergeCell ref="Z221:Z221"/>
    <mergeCell ref="AA221:AA221"/>
    <mergeCell ref="AB221:AB221"/>
    <mergeCell ref="AC221:AC221"/>
    <mergeCell ref="AD221:AD221"/>
    <mergeCell ref="AE221:AE221"/>
    <mergeCell ref="AF221:AF221"/>
    <mergeCell ref="A222:A222"/>
    <mergeCell ref="B222:B222"/>
    <mergeCell ref="C222:C222"/>
    <mergeCell ref="F222:F222"/>
    <mergeCell ref="G222:G222"/>
    <mergeCell ref="H222:H222"/>
    <mergeCell ref="M222:M222"/>
    <mergeCell ref="N222:N222"/>
    <mergeCell ref="O222:O222"/>
    <mergeCell ref="P222:P222"/>
    <mergeCell ref="Q222:Q222"/>
    <mergeCell ref="R222:R222"/>
    <mergeCell ref="S222:S222"/>
    <mergeCell ref="X222:X222"/>
    <mergeCell ref="Y222:Y222"/>
    <mergeCell ref="Z222:Z222"/>
    <mergeCell ref="AA222:AA222"/>
    <mergeCell ref="AB222:AB222"/>
    <mergeCell ref="AC222:AC222"/>
    <mergeCell ref="AD222:AD222"/>
    <mergeCell ref="AE222:AE222"/>
    <mergeCell ref="AF222:AF222"/>
    <mergeCell ref="A223:A223"/>
    <mergeCell ref="B223:B223"/>
    <mergeCell ref="C223:C223"/>
    <mergeCell ref="F223:F223"/>
    <mergeCell ref="G223:G223"/>
    <mergeCell ref="H223:H223"/>
    <mergeCell ref="M223:M223"/>
    <mergeCell ref="N223:N223"/>
    <mergeCell ref="O223:O223"/>
    <mergeCell ref="P223:P223"/>
    <mergeCell ref="Q223:Q223"/>
    <mergeCell ref="R223:R223"/>
    <mergeCell ref="S223:S223"/>
    <mergeCell ref="X223:X223"/>
    <mergeCell ref="Y223:Y223"/>
    <mergeCell ref="Z223:Z223"/>
    <mergeCell ref="AA223:AA223"/>
    <mergeCell ref="AB223:AB223"/>
    <mergeCell ref="AC223:AC223"/>
    <mergeCell ref="AD223:AD223"/>
    <mergeCell ref="AE223:AE223"/>
    <mergeCell ref="AF223:AF223"/>
    <mergeCell ref="A224:A224"/>
    <mergeCell ref="B224:B224"/>
    <mergeCell ref="C224:C224"/>
    <mergeCell ref="F224:F224"/>
    <mergeCell ref="G224:G224"/>
    <mergeCell ref="H224:H224"/>
    <mergeCell ref="M224:M224"/>
    <mergeCell ref="N224:N224"/>
    <mergeCell ref="O224:O224"/>
    <mergeCell ref="P224:P224"/>
    <mergeCell ref="Q224:Q224"/>
    <mergeCell ref="R224:R224"/>
    <mergeCell ref="S224:S224"/>
    <mergeCell ref="X224:X224"/>
    <mergeCell ref="Y224:Y224"/>
    <mergeCell ref="Z224:Z224"/>
    <mergeCell ref="AA224:AA224"/>
    <mergeCell ref="AB224:AB224"/>
    <mergeCell ref="AC224:AC224"/>
    <mergeCell ref="AD224:AD224"/>
    <mergeCell ref="AE224:AE224"/>
    <mergeCell ref="AF224:AF224"/>
    <mergeCell ref="A225:A225"/>
    <mergeCell ref="B225:B225"/>
    <mergeCell ref="C225:C225"/>
    <mergeCell ref="F225:F225"/>
    <mergeCell ref="G225:G225"/>
    <mergeCell ref="H225:H225"/>
    <mergeCell ref="M225:M225"/>
    <mergeCell ref="N225:N225"/>
    <mergeCell ref="O225:O225"/>
    <mergeCell ref="P225:P225"/>
    <mergeCell ref="Q225:Q225"/>
    <mergeCell ref="R225:R225"/>
    <mergeCell ref="S225:S225"/>
    <mergeCell ref="X225:X225"/>
    <mergeCell ref="Y225:Y225"/>
    <mergeCell ref="Z225:Z225"/>
    <mergeCell ref="AA225:AA225"/>
    <mergeCell ref="AB225:AB225"/>
    <mergeCell ref="AC225:AC225"/>
    <mergeCell ref="AD225:AD225"/>
    <mergeCell ref="AE225:AE225"/>
    <mergeCell ref="AF225:AF225"/>
    <mergeCell ref="A226:A226"/>
    <mergeCell ref="B226:B226"/>
    <mergeCell ref="C226:C226"/>
    <mergeCell ref="F226:F226"/>
    <mergeCell ref="G226:G226"/>
    <mergeCell ref="H226:H226"/>
    <mergeCell ref="M226:M226"/>
    <mergeCell ref="N226:N226"/>
    <mergeCell ref="O226:O226"/>
    <mergeCell ref="P226:P226"/>
    <mergeCell ref="Q226:Q226"/>
    <mergeCell ref="R226:R226"/>
    <mergeCell ref="S226:S226"/>
    <mergeCell ref="X226:X226"/>
    <mergeCell ref="Y226:Y226"/>
    <mergeCell ref="Z226:Z226"/>
    <mergeCell ref="AA226:AA226"/>
    <mergeCell ref="AB226:AB226"/>
    <mergeCell ref="AC226:AC226"/>
    <mergeCell ref="AD226:AD226"/>
    <mergeCell ref="AE226:AE226"/>
    <mergeCell ref="AF226:AF226"/>
    <mergeCell ref="A227:A227"/>
    <mergeCell ref="B227:B227"/>
    <mergeCell ref="C227:C227"/>
    <mergeCell ref="F227:F227"/>
    <mergeCell ref="G227:G227"/>
    <mergeCell ref="H227:H227"/>
    <mergeCell ref="M227:M227"/>
    <mergeCell ref="N227:N227"/>
    <mergeCell ref="O227:O227"/>
    <mergeCell ref="P227:P227"/>
    <mergeCell ref="Q227:Q227"/>
    <mergeCell ref="R227:R227"/>
    <mergeCell ref="S227:S227"/>
    <mergeCell ref="X227:X227"/>
    <mergeCell ref="Y227:Y227"/>
    <mergeCell ref="Z227:Z227"/>
    <mergeCell ref="AA227:AA227"/>
    <mergeCell ref="AB227:AB227"/>
    <mergeCell ref="AC227:AC227"/>
    <mergeCell ref="AD227:AD227"/>
    <mergeCell ref="AE227:AE227"/>
    <mergeCell ref="AF227:AF227"/>
    <mergeCell ref="A228:A228"/>
    <mergeCell ref="B228:B228"/>
    <mergeCell ref="C228:C228"/>
    <mergeCell ref="F228:F228"/>
    <mergeCell ref="G228:G228"/>
    <mergeCell ref="H228:H228"/>
    <mergeCell ref="M228:M228"/>
    <mergeCell ref="N228:N228"/>
    <mergeCell ref="O228:O228"/>
    <mergeCell ref="P228:P228"/>
    <mergeCell ref="Q228:Q228"/>
    <mergeCell ref="R228:R228"/>
    <mergeCell ref="S228:S228"/>
    <mergeCell ref="X228:X228"/>
    <mergeCell ref="Y228:Y228"/>
    <mergeCell ref="Z228:Z228"/>
    <mergeCell ref="AA228:AA228"/>
    <mergeCell ref="AB228:AB228"/>
    <mergeCell ref="AC228:AC228"/>
    <mergeCell ref="AD228:AD228"/>
    <mergeCell ref="AE228:AE228"/>
    <mergeCell ref="AF228:AF228"/>
    <mergeCell ref="A229:A229"/>
    <mergeCell ref="B229:B229"/>
    <mergeCell ref="C229:C229"/>
    <mergeCell ref="F229:F229"/>
    <mergeCell ref="G229:G229"/>
    <mergeCell ref="H229:H229"/>
    <mergeCell ref="M229:M229"/>
    <mergeCell ref="N229:N229"/>
    <mergeCell ref="O229:O229"/>
    <mergeCell ref="P229:P229"/>
    <mergeCell ref="Q229:Q229"/>
    <mergeCell ref="R229:R229"/>
    <mergeCell ref="S229:S229"/>
    <mergeCell ref="X229:X229"/>
    <mergeCell ref="Y229:Y229"/>
    <mergeCell ref="Z229:Z229"/>
    <mergeCell ref="AA229:AA229"/>
    <mergeCell ref="AB229:AB229"/>
    <mergeCell ref="AC229:AC229"/>
    <mergeCell ref="AD229:AD229"/>
    <mergeCell ref="AE229:AE229"/>
    <mergeCell ref="AF229:AF229"/>
    <mergeCell ref="A230:A230"/>
    <mergeCell ref="B230:B230"/>
    <mergeCell ref="C230:C230"/>
    <mergeCell ref="F230:F230"/>
    <mergeCell ref="G230:G230"/>
    <mergeCell ref="H230:H230"/>
    <mergeCell ref="M230:M230"/>
    <mergeCell ref="N230:N230"/>
    <mergeCell ref="O230:O230"/>
    <mergeCell ref="P230:P230"/>
    <mergeCell ref="Q230:Q230"/>
    <mergeCell ref="R230:R230"/>
    <mergeCell ref="S230:S230"/>
    <mergeCell ref="X230:X230"/>
    <mergeCell ref="Y230:Y230"/>
    <mergeCell ref="Z230:Z230"/>
    <mergeCell ref="AA230:AA230"/>
    <mergeCell ref="AB230:AB230"/>
    <mergeCell ref="AC230:AC230"/>
    <mergeCell ref="AD230:AD230"/>
    <mergeCell ref="AE230:AE230"/>
    <mergeCell ref="AF230:AF230"/>
    <mergeCell ref="A231:A231"/>
    <mergeCell ref="B231:B231"/>
    <mergeCell ref="C231:C231"/>
    <mergeCell ref="F231:F231"/>
    <mergeCell ref="G231:G231"/>
    <mergeCell ref="H231:H231"/>
    <mergeCell ref="M231:M231"/>
    <mergeCell ref="N231:N231"/>
    <mergeCell ref="O231:O231"/>
    <mergeCell ref="P231:P231"/>
    <mergeCell ref="Q231:Q231"/>
    <mergeCell ref="R231:R231"/>
    <mergeCell ref="S231:S231"/>
    <mergeCell ref="X231:X231"/>
    <mergeCell ref="Y231:Y231"/>
    <mergeCell ref="Z231:Z231"/>
    <mergeCell ref="AA231:AA231"/>
    <mergeCell ref="AB231:AB231"/>
    <mergeCell ref="AC231:AC231"/>
    <mergeCell ref="AD231:AD231"/>
    <mergeCell ref="AE231:AE231"/>
    <mergeCell ref="AF231:AF231"/>
    <mergeCell ref="A232:A232"/>
    <mergeCell ref="B232:B232"/>
    <mergeCell ref="C232:C232"/>
    <mergeCell ref="F232:F232"/>
    <mergeCell ref="G232:G232"/>
    <mergeCell ref="H232:H232"/>
    <mergeCell ref="M232:M232"/>
    <mergeCell ref="N232:N232"/>
    <mergeCell ref="O232:O232"/>
    <mergeCell ref="P232:P232"/>
    <mergeCell ref="Q232:Q232"/>
    <mergeCell ref="R232:R232"/>
    <mergeCell ref="S232:S232"/>
    <mergeCell ref="X232:X232"/>
    <mergeCell ref="Y232:Y232"/>
    <mergeCell ref="Z232:Z232"/>
    <mergeCell ref="AA232:AA232"/>
    <mergeCell ref="AB232:AB232"/>
    <mergeCell ref="AC232:AC232"/>
    <mergeCell ref="AD232:AD232"/>
    <mergeCell ref="AE232:AE232"/>
    <mergeCell ref="AF232:AF232"/>
    <mergeCell ref="A233:A233"/>
    <mergeCell ref="B233:B233"/>
    <mergeCell ref="C233:C233"/>
    <mergeCell ref="F233:F233"/>
    <mergeCell ref="G233:G233"/>
    <mergeCell ref="H233:H233"/>
    <mergeCell ref="M233:M233"/>
    <mergeCell ref="N233:N233"/>
    <mergeCell ref="O233:O233"/>
    <mergeCell ref="P233:P233"/>
    <mergeCell ref="Q233:Q233"/>
    <mergeCell ref="R233:R233"/>
    <mergeCell ref="S233:S233"/>
    <mergeCell ref="X233:X233"/>
    <mergeCell ref="Y233:Y233"/>
    <mergeCell ref="Z233:Z233"/>
    <mergeCell ref="AA233:AA233"/>
    <mergeCell ref="AB233:AB233"/>
    <mergeCell ref="AC233:AC233"/>
    <mergeCell ref="AD233:AD233"/>
    <mergeCell ref="AE233:AE233"/>
    <mergeCell ref="AF233:AF233"/>
    <mergeCell ref="A234:A234"/>
    <mergeCell ref="B234:B234"/>
    <mergeCell ref="C234:C234"/>
    <mergeCell ref="F234:F234"/>
    <mergeCell ref="G234:G234"/>
    <mergeCell ref="H234:H234"/>
    <mergeCell ref="M234:M234"/>
    <mergeCell ref="N234:N234"/>
    <mergeCell ref="O234:O234"/>
    <mergeCell ref="P234:P234"/>
    <mergeCell ref="Q234:Q234"/>
    <mergeCell ref="R234:R234"/>
    <mergeCell ref="S234:S234"/>
    <mergeCell ref="X234:X234"/>
    <mergeCell ref="Y234:Y234"/>
    <mergeCell ref="Z234:Z234"/>
    <mergeCell ref="AA234:AA234"/>
    <mergeCell ref="AB234:AB234"/>
    <mergeCell ref="AC234:AC234"/>
    <mergeCell ref="AD234:AD234"/>
    <mergeCell ref="AE234:AE234"/>
    <mergeCell ref="AF234:AF234"/>
    <mergeCell ref="A235:A235"/>
    <mergeCell ref="B235:B235"/>
    <mergeCell ref="C235:C235"/>
    <mergeCell ref="F235:F235"/>
    <mergeCell ref="G235:G235"/>
    <mergeCell ref="H235:H235"/>
    <mergeCell ref="M235:M235"/>
    <mergeCell ref="N235:N235"/>
    <mergeCell ref="O235:O235"/>
    <mergeCell ref="P235:P235"/>
    <mergeCell ref="Q235:Q235"/>
    <mergeCell ref="R235:R235"/>
    <mergeCell ref="S235:S235"/>
    <mergeCell ref="X235:X235"/>
    <mergeCell ref="Y235:Y235"/>
    <mergeCell ref="Z235:Z235"/>
    <mergeCell ref="AA235:AA235"/>
    <mergeCell ref="AB235:AB235"/>
    <mergeCell ref="AC235:AC235"/>
    <mergeCell ref="AD235:AD235"/>
    <mergeCell ref="AE235:AE235"/>
    <mergeCell ref="AF235:AF235"/>
    <mergeCell ref="A236:A236"/>
    <mergeCell ref="B236:B236"/>
    <mergeCell ref="C236:C236"/>
    <mergeCell ref="F236:F236"/>
    <mergeCell ref="G236:G236"/>
    <mergeCell ref="H236:H236"/>
    <mergeCell ref="M236:M236"/>
    <mergeCell ref="N236:N236"/>
    <mergeCell ref="O236:O236"/>
    <mergeCell ref="P236:P236"/>
    <mergeCell ref="Q236:Q236"/>
    <mergeCell ref="R236:R236"/>
    <mergeCell ref="S236:S236"/>
    <mergeCell ref="X236:X236"/>
    <mergeCell ref="Y236:Y236"/>
    <mergeCell ref="Z236:Z236"/>
    <mergeCell ref="AA236:AA236"/>
    <mergeCell ref="AB236:AB236"/>
    <mergeCell ref="AC236:AC236"/>
    <mergeCell ref="AD236:AD236"/>
    <mergeCell ref="AE236:AE236"/>
    <mergeCell ref="AF236:AF236"/>
    <mergeCell ref="A237:A237"/>
    <mergeCell ref="B237:B237"/>
    <mergeCell ref="C237:C237"/>
    <mergeCell ref="F237:F237"/>
    <mergeCell ref="G237:G237"/>
    <mergeCell ref="H237:H237"/>
    <mergeCell ref="M237:M237"/>
    <mergeCell ref="N237:N237"/>
    <mergeCell ref="O237:O237"/>
    <mergeCell ref="P237:P237"/>
    <mergeCell ref="Q237:Q237"/>
    <mergeCell ref="R237:R237"/>
    <mergeCell ref="S237:S237"/>
    <mergeCell ref="X237:X237"/>
    <mergeCell ref="Y237:Y237"/>
    <mergeCell ref="Z237:Z237"/>
    <mergeCell ref="AA237:AA237"/>
    <mergeCell ref="AB237:AB237"/>
    <mergeCell ref="AC237:AC237"/>
    <mergeCell ref="AD237:AD237"/>
    <mergeCell ref="AE237:AE237"/>
    <mergeCell ref="AF237:AF237"/>
    <mergeCell ref="A238:A238"/>
    <mergeCell ref="B238:B238"/>
    <mergeCell ref="C238:C238"/>
    <mergeCell ref="F238:F238"/>
    <mergeCell ref="G238:G238"/>
    <mergeCell ref="H238:H238"/>
    <mergeCell ref="M238:M238"/>
    <mergeCell ref="N238:N238"/>
    <mergeCell ref="O238:O238"/>
    <mergeCell ref="P238:P238"/>
    <mergeCell ref="Q238:Q238"/>
    <mergeCell ref="R238:R238"/>
    <mergeCell ref="S238:S238"/>
    <mergeCell ref="X238:X238"/>
    <mergeCell ref="Y238:Y238"/>
    <mergeCell ref="Z238:Z238"/>
    <mergeCell ref="AA238:AA238"/>
    <mergeCell ref="AB238:AB238"/>
    <mergeCell ref="AC238:AC238"/>
    <mergeCell ref="AD238:AD238"/>
    <mergeCell ref="AE238:AE238"/>
    <mergeCell ref="AF238:AF238"/>
    <mergeCell ref="A239:A239"/>
    <mergeCell ref="B239:B239"/>
    <mergeCell ref="C239:C239"/>
    <mergeCell ref="F239:F239"/>
    <mergeCell ref="G239:G239"/>
    <mergeCell ref="H239:H239"/>
    <mergeCell ref="M239:M239"/>
    <mergeCell ref="N239:N239"/>
    <mergeCell ref="O239:O239"/>
    <mergeCell ref="P239:P239"/>
    <mergeCell ref="Q239:Q239"/>
    <mergeCell ref="R239:R239"/>
    <mergeCell ref="S239:S239"/>
    <mergeCell ref="X239:X239"/>
    <mergeCell ref="Y239:Y239"/>
    <mergeCell ref="Z239:Z239"/>
    <mergeCell ref="AA239:AA239"/>
    <mergeCell ref="AB239:AB239"/>
    <mergeCell ref="AC239:AC239"/>
    <mergeCell ref="AD239:AD239"/>
    <mergeCell ref="AE239:AE239"/>
    <mergeCell ref="AF239:AF239"/>
    <mergeCell ref="A240:A240"/>
    <mergeCell ref="B240:B240"/>
    <mergeCell ref="C240:C240"/>
    <mergeCell ref="F240:F240"/>
    <mergeCell ref="G240:G240"/>
    <mergeCell ref="H240:H240"/>
    <mergeCell ref="M240:M240"/>
    <mergeCell ref="N240:N240"/>
    <mergeCell ref="O240:O240"/>
    <mergeCell ref="P240:P240"/>
    <mergeCell ref="Q240:Q240"/>
    <mergeCell ref="R240:R240"/>
    <mergeCell ref="S240:S240"/>
    <mergeCell ref="X240:X240"/>
    <mergeCell ref="Y240:Y240"/>
    <mergeCell ref="Z240:Z240"/>
    <mergeCell ref="AA240:AA240"/>
    <mergeCell ref="AB240:AB240"/>
    <mergeCell ref="AC240:AC240"/>
    <mergeCell ref="AD240:AD240"/>
    <mergeCell ref="AE240:AE240"/>
    <mergeCell ref="AF240:AF240"/>
    <mergeCell ref="A241:A241"/>
    <mergeCell ref="B241:B241"/>
    <mergeCell ref="C241:C241"/>
    <mergeCell ref="F241:F241"/>
    <mergeCell ref="G241:G241"/>
    <mergeCell ref="H241:H241"/>
    <mergeCell ref="M241:M241"/>
    <mergeCell ref="N241:N241"/>
    <mergeCell ref="O241:O241"/>
    <mergeCell ref="P241:P241"/>
    <mergeCell ref="Q241:Q241"/>
    <mergeCell ref="R241:R241"/>
    <mergeCell ref="S241:S241"/>
    <mergeCell ref="X241:X241"/>
    <mergeCell ref="Y241:Y241"/>
    <mergeCell ref="Z241:Z241"/>
    <mergeCell ref="AA241:AA241"/>
    <mergeCell ref="AB241:AB241"/>
    <mergeCell ref="AC241:AC241"/>
    <mergeCell ref="AD241:AD241"/>
    <mergeCell ref="AE241:AE241"/>
    <mergeCell ref="AF241:AF241"/>
    <mergeCell ref="A242:A242"/>
    <mergeCell ref="B242:B242"/>
    <mergeCell ref="C242:C242"/>
    <mergeCell ref="F242:F242"/>
    <mergeCell ref="G242:G242"/>
    <mergeCell ref="H242:H242"/>
    <mergeCell ref="M242:M242"/>
    <mergeCell ref="N242:N242"/>
    <mergeCell ref="O242:O242"/>
    <mergeCell ref="P242:P242"/>
    <mergeCell ref="Q242:Q242"/>
    <mergeCell ref="R242:R242"/>
    <mergeCell ref="S242:S242"/>
    <mergeCell ref="X242:X242"/>
    <mergeCell ref="Y242:Y242"/>
    <mergeCell ref="Z242:Z242"/>
    <mergeCell ref="AA242:AA242"/>
    <mergeCell ref="AB242:AB242"/>
    <mergeCell ref="AC242:AC242"/>
    <mergeCell ref="AD242:AD242"/>
    <mergeCell ref="AE242:AE242"/>
    <mergeCell ref="AF242:AF242"/>
    <mergeCell ref="A243:A243"/>
    <mergeCell ref="B243:B243"/>
    <mergeCell ref="C243:C243"/>
    <mergeCell ref="F243:F243"/>
    <mergeCell ref="G243:G243"/>
    <mergeCell ref="H243:H243"/>
    <mergeCell ref="M243:M243"/>
    <mergeCell ref="N243:N243"/>
    <mergeCell ref="O243:O243"/>
    <mergeCell ref="P243:P243"/>
    <mergeCell ref="Q243:Q243"/>
    <mergeCell ref="R243:R243"/>
    <mergeCell ref="S243:S243"/>
    <mergeCell ref="X243:X243"/>
    <mergeCell ref="Y243:Y243"/>
    <mergeCell ref="Z243:Z243"/>
    <mergeCell ref="AA243:AA243"/>
    <mergeCell ref="AB243:AB243"/>
    <mergeCell ref="AC243:AC243"/>
    <mergeCell ref="AD243:AD243"/>
    <mergeCell ref="AE243:AE243"/>
    <mergeCell ref="AF243:AF243"/>
    <mergeCell ref="A244:A244"/>
    <mergeCell ref="B244:B244"/>
    <mergeCell ref="C244:C244"/>
    <mergeCell ref="F244:F244"/>
    <mergeCell ref="G244:G244"/>
    <mergeCell ref="H244:H244"/>
    <mergeCell ref="M244:M244"/>
    <mergeCell ref="N244:N244"/>
    <mergeCell ref="O244:O244"/>
    <mergeCell ref="P244:P244"/>
    <mergeCell ref="Q244:Q244"/>
    <mergeCell ref="R244:R244"/>
    <mergeCell ref="S244:S244"/>
    <mergeCell ref="X244:X244"/>
    <mergeCell ref="Y244:Y244"/>
    <mergeCell ref="Z244:Z244"/>
    <mergeCell ref="AA244:AA244"/>
    <mergeCell ref="AB244:AB244"/>
    <mergeCell ref="AC244:AC244"/>
    <mergeCell ref="AD244:AD244"/>
    <mergeCell ref="AE244:AE244"/>
    <mergeCell ref="AF244:AF244"/>
    <mergeCell ref="A245:A245"/>
    <mergeCell ref="B245:B245"/>
    <mergeCell ref="C245:C245"/>
    <mergeCell ref="F245:F245"/>
    <mergeCell ref="G245:G245"/>
    <mergeCell ref="H245:H245"/>
    <mergeCell ref="M245:M245"/>
    <mergeCell ref="N245:N245"/>
    <mergeCell ref="O245:O245"/>
    <mergeCell ref="P245:P245"/>
    <mergeCell ref="Q245:Q245"/>
    <mergeCell ref="R245:R245"/>
    <mergeCell ref="S245:S245"/>
    <mergeCell ref="X245:X245"/>
    <mergeCell ref="Y245:Y245"/>
    <mergeCell ref="Z245:Z245"/>
    <mergeCell ref="AA245:AA245"/>
    <mergeCell ref="AB245:AB245"/>
    <mergeCell ref="AC245:AC245"/>
    <mergeCell ref="AD245:AD245"/>
    <mergeCell ref="AE245:AE245"/>
    <mergeCell ref="AF245:AF245"/>
    <mergeCell ref="A246:A246"/>
    <mergeCell ref="B246:B246"/>
    <mergeCell ref="C246:C246"/>
    <mergeCell ref="F246:F246"/>
    <mergeCell ref="G246:G246"/>
    <mergeCell ref="H246:H246"/>
    <mergeCell ref="M246:M246"/>
    <mergeCell ref="N246:N246"/>
    <mergeCell ref="O246:O246"/>
    <mergeCell ref="P246:P246"/>
    <mergeCell ref="Q246:Q246"/>
    <mergeCell ref="R246:R246"/>
    <mergeCell ref="S246:S246"/>
    <mergeCell ref="X246:X246"/>
    <mergeCell ref="Y246:Y246"/>
    <mergeCell ref="Z246:Z246"/>
    <mergeCell ref="AA246:AA246"/>
    <mergeCell ref="AB246:AB246"/>
    <mergeCell ref="AC246:AC246"/>
    <mergeCell ref="AD246:AD246"/>
    <mergeCell ref="AE246:AE246"/>
    <mergeCell ref="AF246:AF246"/>
    <mergeCell ref="A247:A247"/>
    <mergeCell ref="B247:B247"/>
    <mergeCell ref="C247:C247"/>
    <mergeCell ref="F247:F247"/>
    <mergeCell ref="G247:G247"/>
    <mergeCell ref="H247:H247"/>
    <mergeCell ref="M247:M247"/>
    <mergeCell ref="N247:N247"/>
    <mergeCell ref="O247:O247"/>
    <mergeCell ref="P247:P247"/>
    <mergeCell ref="Q247:Q247"/>
    <mergeCell ref="R247:R247"/>
    <mergeCell ref="S247:S247"/>
    <mergeCell ref="X247:X247"/>
    <mergeCell ref="Y247:Y247"/>
    <mergeCell ref="Z247:Z247"/>
    <mergeCell ref="AA247:AA247"/>
    <mergeCell ref="AB247:AB247"/>
    <mergeCell ref="AC247:AC247"/>
    <mergeCell ref="AD247:AD247"/>
    <mergeCell ref="AE247:AE247"/>
    <mergeCell ref="AF247:AF247"/>
    <mergeCell ref="A248:A248"/>
    <mergeCell ref="B248:B248"/>
    <mergeCell ref="C248:C248"/>
    <mergeCell ref="F248:F248"/>
    <mergeCell ref="G248:G248"/>
    <mergeCell ref="H248:H248"/>
    <mergeCell ref="M248:M248"/>
    <mergeCell ref="N248:N248"/>
    <mergeCell ref="O248:O248"/>
    <mergeCell ref="P248:P248"/>
    <mergeCell ref="Q248:Q248"/>
    <mergeCell ref="R248:R248"/>
    <mergeCell ref="S248:S248"/>
    <mergeCell ref="X248:X248"/>
    <mergeCell ref="Y248:Y248"/>
    <mergeCell ref="Z248:Z248"/>
    <mergeCell ref="AA248:AA248"/>
    <mergeCell ref="AB248:AB248"/>
    <mergeCell ref="AC248:AC248"/>
    <mergeCell ref="AD248:AD248"/>
    <mergeCell ref="AE248:AE248"/>
    <mergeCell ref="AF248:AF248"/>
    <mergeCell ref="A249:A249"/>
    <mergeCell ref="B249:B249"/>
    <mergeCell ref="C249:C249"/>
    <mergeCell ref="F249:F249"/>
    <mergeCell ref="G249:G249"/>
    <mergeCell ref="H249:H249"/>
    <mergeCell ref="M249:M249"/>
    <mergeCell ref="N249:N249"/>
    <mergeCell ref="O249:O249"/>
    <mergeCell ref="P249:P249"/>
    <mergeCell ref="Q249:Q249"/>
    <mergeCell ref="R249:R249"/>
    <mergeCell ref="S249:S249"/>
    <mergeCell ref="X249:X249"/>
    <mergeCell ref="Y249:Y249"/>
    <mergeCell ref="Z249:Z249"/>
    <mergeCell ref="AA249:AA249"/>
    <mergeCell ref="AB249:AB249"/>
    <mergeCell ref="AC249:AC249"/>
    <mergeCell ref="AD249:AD249"/>
    <mergeCell ref="AE249:AE249"/>
    <mergeCell ref="AF249:AF249"/>
    <mergeCell ref="A250:A250"/>
    <mergeCell ref="B250:B250"/>
    <mergeCell ref="C250:C250"/>
    <mergeCell ref="F250:F250"/>
    <mergeCell ref="G250:G250"/>
    <mergeCell ref="H250:H250"/>
    <mergeCell ref="M250:M250"/>
    <mergeCell ref="N250:N250"/>
    <mergeCell ref="O250:O250"/>
    <mergeCell ref="P250:P250"/>
    <mergeCell ref="Q250:Q250"/>
    <mergeCell ref="R250:R250"/>
    <mergeCell ref="S250:S250"/>
    <mergeCell ref="X250:X250"/>
    <mergeCell ref="Y250:Y250"/>
    <mergeCell ref="Z250:Z250"/>
    <mergeCell ref="AA250:AA250"/>
    <mergeCell ref="AB250:AB250"/>
    <mergeCell ref="AC250:AC250"/>
    <mergeCell ref="AD250:AD250"/>
    <mergeCell ref="AE250:AE250"/>
    <mergeCell ref="AF250:AF250"/>
    <mergeCell ref="A251:A251"/>
    <mergeCell ref="B251:B251"/>
    <mergeCell ref="C251:C251"/>
    <mergeCell ref="F251:F251"/>
    <mergeCell ref="G251:G251"/>
    <mergeCell ref="H251:H251"/>
    <mergeCell ref="M251:M251"/>
    <mergeCell ref="N251:N251"/>
    <mergeCell ref="O251:O251"/>
    <mergeCell ref="P251:P251"/>
    <mergeCell ref="Q251:Q251"/>
    <mergeCell ref="R251:R251"/>
    <mergeCell ref="S251:S251"/>
    <mergeCell ref="X251:X251"/>
    <mergeCell ref="Y251:Y251"/>
    <mergeCell ref="Z251:Z251"/>
    <mergeCell ref="AA251:AA251"/>
    <mergeCell ref="AB251:AB251"/>
    <mergeCell ref="AC251:AC251"/>
    <mergeCell ref="AD251:AD251"/>
    <mergeCell ref="AE251:AE251"/>
    <mergeCell ref="AF251:AF251"/>
    <mergeCell ref="A252:A252"/>
    <mergeCell ref="B252:B252"/>
    <mergeCell ref="C252:C252"/>
    <mergeCell ref="F252:F252"/>
    <mergeCell ref="G252:G252"/>
    <mergeCell ref="H252:H252"/>
    <mergeCell ref="M252:M252"/>
    <mergeCell ref="N252:N252"/>
    <mergeCell ref="O252:O252"/>
    <mergeCell ref="P252:P252"/>
    <mergeCell ref="Q252:Q252"/>
    <mergeCell ref="R252:R252"/>
    <mergeCell ref="S252:S252"/>
    <mergeCell ref="X252:X252"/>
    <mergeCell ref="Y252:Y252"/>
    <mergeCell ref="Z252:Z252"/>
    <mergeCell ref="AA252:AA252"/>
    <mergeCell ref="AB252:AB252"/>
    <mergeCell ref="AC252:AC252"/>
    <mergeCell ref="AD252:AD252"/>
    <mergeCell ref="AE252:AE252"/>
    <mergeCell ref="AF252:AF252"/>
    <mergeCell ref="A253:A253"/>
    <mergeCell ref="B253:B253"/>
    <mergeCell ref="C253:C253"/>
    <mergeCell ref="F253:F253"/>
    <mergeCell ref="G253:G253"/>
    <mergeCell ref="H253:H253"/>
    <mergeCell ref="M253:M253"/>
    <mergeCell ref="N253:N253"/>
    <mergeCell ref="O253:O253"/>
    <mergeCell ref="P253:P253"/>
    <mergeCell ref="Q253:Q253"/>
    <mergeCell ref="R253:R253"/>
    <mergeCell ref="S253:S253"/>
    <mergeCell ref="X253:X253"/>
    <mergeCell ref="Y253:Y253"/>
    <mergeCell ref="Z253:Z253"/>
    <mergeCell ref="AA253:AA253"/>
    <mergeCell ref="AB253:AB253"/>
    <mergeCell ref="AC253:AC253"/>
    <mergeCell ref="AD253:AD253"/>
    <mergeCell ref="AE253:AE253"/>
    <mergeCell ref="AF253:AF253"/>
    <mergeCell ref="A254:A254"/>
    <mergeCell ref="B254:B254"/>
    <mergeCell ref="C254:C254"/>
    <mergeCell ref="F254:F254"/>
    <mergeCell ref="G254:G254"/>
    <mergeCell ref="H254:H254"/>
    <mergeCell ref="M254:M254"/>
    <mergeCell ref="N254:N254"/>
    <mergeCell ref="O254:O254"/>
    <mergeCell ref="P254:P254"/>
    <mergeCell ref="Q254:Q254"/>
    <mergeCell ref="R254:R254"/>
    <mergeCell ref="S254:S254"/>
    <mergeCell ref="X254:X254"/>
    <mergeCell ref="Y254:Y254"/>
    <mergeCell ref="Z254:Z254"/>
    <mergeCell ref="AA254:AA254"/>
    <mergeCell ref="AB254:AB254"/>
    <mergeCell ref="AC254:AC254"/>
    <mergeCell ref="AD254:AD254"/>
    <mergeCell ref="AE254:AE254"/>
    <mergeCell ref="AF254:AF254"/>
    <mergeCell ref="A255:A255"/>
    <mergeCell ref="B255:B255"/>
    <mergeCell ref="C255:C255"/>
    <mergeCell ref="F255:F255"/>
    <mergeCell ref="G255:G255"/>
    <mergeCell ref="H255:H255"/>
    <mergeCell ref="M255:M255"/>
    <mergeCell ref="N255:N255"/>
    <mergeCell ref="O255:O255"/>
    <mergeCell ref="P255:P255"/>
    <mergeCell ref="Q255:Q255"/>
    <mergeCell ref="R255:R255"/>
    <mergeCell ref="S255:S255"/>
    <mergeCell ref="X255:X255"/>
    <mergeCell ref="Y255:Y255"/>
    <mergeCell ref="Z255:Z255"/>
    <mergeCell ref="AA255:AA255"/>
    <mergeCell ref="AB255:AB255"/>
    <mergeCell ref="AC255:AC255"/>
    <mergeCell ref="AD255:AD255"/>
    <mergeCell ref="AE255:AE255"/>
    <mergeCell ref="AF255:AF255"/>
    <mergeCell ref="A256:A256"/>
    <mergeCell ref="B256:B256"/>
    <mergeCell ref="C256:C256"/>
    <mergeCell ref="F256:F256"/>
    <mergeCell ref="G256:G256"/>
    <mergeCell ref="H256:H256"/>
    <mergeCell ref="M256:M256"/>
    <mergeCell ref="N256:N256"/>
    <mergeCell ref="O256:O256"/>
    <mergeCell ref="P256:P256"/>
    <mergeCell ref="Q256:Q256"/>
    <mergeCell ref="R256:R256"/>
    <mergeCell ref="S256:S256"/>
    <mergeCell ref="X256:X256"/>
    <mergeCell ref="Y256:Y256"/>
    <mergeCell ref="Z256:Z256"/>
    <mergeCell ref="AA256:AA256"/>
    <mergeCell ref="AB256:AB256"/>
    <mergeCell ref="AC256:AC256"/>
    <mergeCell ref="AD256:AD256"/>
    <mergeCell ref="AE256:AE256"/>
    <mergeCell ref="AF256:AF256"/>
    <mergeCell ref="A257:A257"/>
    <mergeCell ref="B257:B257"/>
    <mergeCell ref="C257:C257"/>
    <mergeCell ref="F257:F257"/>
    <mergeCell ref="G257:G257"/>
    <mergeCell ref="H257:H257"/>
    <mergeCell ref="M257:M257"/>
    <mergeCell ref="N257:N257"/>
    <mergeCell ref="O257:O257"/>
    <mergeCell ref="P257:P257"/>
    <mergeCell ref="Q257:Q257"/>
    <mergeCell ref="R257:R257"/>
    <mergeCell ref="S257:S257"/>
    <mergeCell ref="X257:X257"/>
    <mergeCell ref="Y257:Y257"/>
    <mergeCell ref="Z257:Z257"/>
    <mergeCell ref="AA257:AA257"/>
    <mergeCell ref="AB257:AB257"/>
    <mergeCell ref="AC257:AC257"/>
    <mergeCell ref="AD257:AD257"/>
    <mergeCell ref="AE257:AE257"/>
    <mergeCell ref="AF257:AF257"/>
    <mergeCell ref="A258:A258"/>
    <mergeCell ref="B258:B258"/>
    <mergeCell ref="C258:C258"/>
    <mergeCell ref="F258:F258"/>
    <mergeCell ref="G258:G258"/>
    <mergeCell ref="H258:H258"/>
    <mergeCell ref="M258:M258"/>
    <mergeCell ref="N258:N258"/>
    <mergeCell ref="O258:O258"/>
    <mergeCell ref="P258:P258"/>
    <mergeCell ref="Q258:Q258"/>
    <mergeCell ref="R258:R258"/>
    <mergeCell ref="S258:S258"/>
    <mergeCell ref="X258:X258"/>
    <mergeCell ref="Y258:Y258"/>
    <mergeCell ref="Z258:Z258"/>
    <mergeCell ref="AA258:AA258"/>
    <mergeCell ref="AB258:AB258"/>
    <mergeCell ref="AC258:AC258"/>
    <mergeCell ref="AD258:AD258"/>
    <mergeCell ref="AE258:AE258"/>
    <mergeCell ref="AF258:AF258"/>
    <mergeCell ref="A259:A259"/>
    <mergeCell ref="B259:B259"/>
    <mergeCell ref="C259:C259"/>
    <mergeCell ref="F259:F259"/>
    <mergeCell ref="G259:G259"/>
    <mergeCell ref="H259:H259"/>
    <mergeCell ref="M259:M259"/>
    <mergeCell ref="N259:N259"/>
    <mergeCell ref="O259:O259"/>
    <mergeCell ref="P259:P259"/>
    <mergeCell ref="Q259:Q259"/>
    <mergeCell ref="R259:R259"/>
    <mergeCell ref="S259:S259"/>
    <mergeCell ref="X259:X259"/>
    <mergeCell ref="Y259:Y259"/>
    <mergeCell ref="Z259:Z259"/>
    <mergeCell ref="AA259:AA259"/>
    <mergeCell ref="AB259:AB259"/>
    <mergeCell ref="AC259:AC259"/>
    <mergeCell ref="AD259:AD259"/>
    <mergeCell ref="AE259:AE259"/>
    <mergeCell ref="AF259:AF259"/>
    <mergeCell ref="A260:A260"/>
    <mergeCell ref="B260:B260"/>
    <mergeCell ref="C260:C260"/>
    <mergeCell ref="F260:F260"/>
    <mergeCell ref="G260:G260"/>
    <mergeCell ref="H260:H260"/>
    <mergeCell ref="M260:M260"/>
    <mergeCell ref="N260:N260"/>
    <mergeCell ref="O260:O260"/>
    <mergeCell ref="P260:P260"/>
    <mergeCell ref="Q260:Q260"/>
    <mergeCell ref="R260:R260"/>
    <mergeCell ref="S260:S260"/>
    <mergeCell ref="X260:X260"/>
    <mergeCell ref="Y260:Y260"/>
    <mergeCell ref="Z260:Z260"/>
    <mergeCell ref="AA260:AA260"/>
    <mergeCell ref="AB260:AB260"/>
    <mergeCell ref="AC260:AC260"/>
    <mergeCell ref="AD260:AD260"/>
    <mergeCell ref="AE260:AE260"/>
    <mergeCell ref="AF260:AF260"/>
    <mergeCell ref="A261:A261"/>
    <mergeCell ref="B261:B261"/>
    <mergeCell ref="C261:C261"/>
    <mergeCell ref="F261:F261"/>
    <mergeCell ref="G261:G261"/>
    <mergeCell ref="H261:H261"/>
    <mergeCell ref="M261:M261"/>
    <mergeCell ref="N261:N261"/>
    <mergeCell ref="O261:O261"/>
    <mergeCell ref="P261:P261"/>
    <mergeCell ref="Q261:Q261"/>
    <mergeCell ref="R261:R261"/>
    <mergeCell ref="S261:S261"/>
    <mergeCell ref="X261:X261"/>
    <mergeCell ref="Y261:Y261"/>
    <mergeCell ref="Z261:Z261"/>
    <mergeCell ref="AA261:AA261"/>
    <mergeCell ref="AB261:AB261"/>
    <mergeCell ref="AC261:AC261"/>
    <mergeCell ref="AD261:AD261"/>
    <mergeCell ref="AE261:AE261"/>
    <mergeCell ref="AF261:AF261"/>
    <mergeCell ref="A262:A262"/>
    <mergeCell ref="B262:B262"/>
    <mergeCell ref="C262:C262"/>
    <mergeCell ref="F262:F262"/>
    <mergeCell ref="G262:G262"/>
    <mergeCell ref="H262:H262"/>
    <mergeCell ref="M262:M262"/>
    <mergeCell ref="N262:N262"/>
    <mergeCell ref="O262:O262"/>
    <mergeCell ref="P262:P262"/>
    <mergeCell ref="Q262:Q262"/>
    <mergeCell ref="R262:R262"/>
    <mergeCell ref="S262:S262"/>
    <mergeCell ref="X262:X262"/>
    <mergeCell ref="Y262:Y262"/>
    <mergeCell ref="Z262:Z262"/>
    <mergeCell ref="AA262:AA262"/>
    <mergeCell ref="AB262:AB262"/>
    <mergeCell ref="AC262:AC262"/>
    <mergeCell ref="AD262:AD262"/>
    <mergeCell ref="AE262:AE262"/>
    <mergeCell ref="AF262:AF262"/>
    <mergeCell ref="A263:A263"/>
    <mergeCell ref="B263:B263"/>
    <mergeCell ref="C263:C263"/>
    <mergeCell ref="F263:F263"/>
    <mergeCell ref="G263:G263"/>
    <mergeCell ref="H263:H263"/>
    <mergeCell ref="M263:M263"/>
    <mergeCell ref="N263:N263"/>
    <mergeCell ref="O263:O263"/>
    <mergeCell ref="P263:P263"/>
    <mergeCell ref="Q263:Q263"/>
    <mergeCell ref="R263:R263"/>
    <mergeCell ref="S263:S263"/>
    <mergeCell ref="X263:X263"/>
    <mergeCell ref="Y263:Y263"/>
    <mergeCell ref="Z263:Z263"/>
    <mergeCell ref="AA263:AA263"/>
    <mergeCell ref="AB263:AB263"/>
    <mergeCell ref="AC263:AC263"/>
    <mergeCell ref="AD263:AD263"/>
    <mergeCell ref="AE263:AE263"/>
    <mergeCell ref="AF263:AF263"/>
    <mergeCell ref="A264:A264"/>
    <mergeCell ref="B264:B264"/>
    <mergeCell ref="C264:C264"/>
    <mergeCell ref="F264:F264"/>
    <mergeCell ref="G264:G264"/>
    <mergeCell ref="H264:H264"/>
    <mergeCell ref="M264:M264"/>
    <mergeCell ref="N264:N264"/>
    <mergeCell ref="O264:O264"/>
    <mergeCell ref="P264:P264"/>
    <mergeCell ref="Q264:Q264"/>
    <mergeCell ref="R264:R264"/>
    <mergeCell ref="S264:S264"/>
    <mergeCell ref="X264:X264"/>
    <mergeCell ref="Y264:Y264"/>
    <mergeCell ref="Z264:Z264"/>
    <mergeCell ref="AA264:AA264"/>
    <mergeCell ref="AB264:AB264"/>
    <mergeCell ref="AC264:AC264"/>
    <mergeCell ref="AD264:AD264"/>
    <mergeCell ref="AE264:AE264"/>
    <mergeCell ref="AF264:AF264"/>
    <mergeCell ref="A265:A265"/>
    <mergeCell ref="B265:B265"/>
    <mergeCell ref="C265:C265"/>
    <mergeCell ref="F265:F265"/>
    <mergeCell ref="G265:G265"/>
    <mergeCell ref="H265:H265"/>
    <mergeCell ref="M265:M265"/>
    <mergeCell ref="N265:N265"/>
    <mergeCell ref="O265:O265"/>
    <mergeCell ref="P265:P265"/>
    <mergeCell ref="Q265:Q265"/>
    <mergeCell ref="R265:R265"/>
    <mergeCell ref="S265:S265"/>
    <mergeCell ref="X265:X265"/>
    <mergeCell ref="Y265:Y265"/>
    <mergeCell ref="Z265:Z265"/>
    <mergeCell ref="AA265:AA265"/>
    <mergeCell ref="AB265:AB265"/>
    <mergeCell ref="AC265:AC265"/>
    <mergeCell ref="AD265:AD265"/>
    <mergeCell ref="AE265:AE265"/>
    <mergeCell ref="AF265:AF265"/>
    <mergeCell ref="A266:A266"/>
    <mergeCell ref="B266:B266"/>
    <mergeCell ref="C266:C266"/>
    <mergeCell ref="F266:F266"/>
    <mergeCell ref="G266:G266"/>
    <mergeCell ref="H266:H266"/>
    <mergeCell ref="M266:M266"/>
    <mergeCell ref="N266:N266"/>
    <mergeCell ref="O266:O266"/>
    <mergeCell ref="P266:P266"/>
    <mergeCell ref="Q266:Q266"/>
    <mergeCell ref="R266:R266"/>
    <mergeCell ref="S266:S266"/>
    <mergeCell ref="X266:X266"/>
    <mergeCell ref="Y266:Y266"/>
    <mergeCell ref="Z266:Z266"/>
    <mergeCell ref="AA266:AA266"/>
    <mergeCell ref="AB266:AB266"/>
    <mergeCell ref="AC266:AC266"/>
    <mergeCell ref="AD266:AD266"/>
    <mergeCell ref="AE266:AE266"/>
    <mergeCell ref="AF266:AF266"/>
    <mergeCell ref="A267:A267"/>
    <mergeCell ref="B267:B267"/>
    <mergeCell ref="C267:C267"/>
    <mergeCell ref="F267:F267"/>
    <mergeCell ref="G267:G267"/>
    <mergeCell ref="H267:H267"/>
    <mergeCell ref="M267:M267"/>
    <mergeCell ref="N267:N267"/>
    <mergeCell ref="O267:O267"/>
    <mergeCell ref="P267:P267"/>
    <mergeCell ref="Q267:Q267"/>
    <mergeCell ref="R267:R267"/>
    <mergeCell ref="S267:S267"/>
    <mergeCell ref="X267:X267"/>
    <mergeCell ref="Y267:Y267"/>
    <mergeCell ref="Z267:Z267"/>
    <mergeCell ref="AA267:AA267"/>
    <mergeCell ref="AB267:AB267"/>
    <mergeCell ref="AC267:AC267"/>
    <mergeCell ref="AD267:AD267"/>
    <mergeCell ref="AE267:AE267"/>
    <mergeCell ref="AF267:AF267"/>
    <mergeCell ref="A268:A268"/>
    <mergeCell ref="B268:B268"/>
    <mergeCell ref="C268:C268"/>
    <mergeCell ref="F268:F268"/>
    <mergeCell ref="G268:G268"/>
    <mergeCell ref="H268:H268"/>
    <mergeCell ref="M268:M268"/>
    <mergeCell ref="N268:N268"/>
    <mergeCell ref="O268:O268"/>
    <mergeCell ref="P268:P268"/>
    <mergeCell ref="Q268:Q268"/>
    <mergeCell ref="R268:R268"/>
    <mergeCell ref="S268:S268"/>
    <mergeCell ref="X268:X268"/>
    <mergeCell ref="Y268:Y268"/>
    <mergeCell ref="Z268:Z268"/>
    <mergeCell ref="AA268:AA268"/>
    <mergeCell ref="AB268:AB268"/>
    <mergeCell ref="AC268:AC268"/>
    <mergeCell ref="AD268:AD268"/>
    <mergeCell ref="AE268:AE268"/>
    <mergeCell ref="AF268:AF268"/>
    <mergeCell ref="A269:A269"/>
    <mergeCell ref="B269:B269"/>
    <mergeCell ref="C269:C269"/>
    <mergeCell ref="F269:F269"/>
    <mergeCell ref="G269:G269"/>
    <mergeCell ref="H269:H269"/>
    <mergeCell ref="M269:M269"/>
    <mergeCell ref="N269:N269"/>
    <mergeCell ref="O269:O269"/>
    <mergeCell ref="P269:P269"/>
    <mergeCell ref="Q269:Q269"/>
    <mergeCell ref="R269:R269"/>
    <mergeCell ref="S269:S269"/>
    <mergeCell ref="X269:X269"/>
    <mergeCell ref="Y269:Y269"/>
    <mergeCell ref="Z269:Z269"/>
    <mergeCell ref="AA269:AA269"/>
    <mergeCell ref="AB269:AB269"/>
    <mergeCell ref="AC269:AC269"/>
    <mergeCell ref="AD269:AD269"/>
    <mergeCell ref="AE269:AE269"/>
    <mergeCell ref="AF269:AF269"/>
    <mergeCell ref="A270:A270"/>
    <mergeCell ref="B270:B270"/>
    <mergeCell ref="C270:C270"/>
    <mergeCell ref="F270:F270"/>
    <mergeCell ref="G270:G270"/>
    <mergeCell ref="H270:H270"/>
    <mergeCell ref="M270:M270"/>
    <mergeCell ref="N270:N270"/>
    <mergeCell ref="O270:O270"/>
    <mergeCell ref="P270:P270"/>
    <mergeCell ref="Q270:Q270"/>
    <mergeCell ref="R270:R270"/>
    <mergeCell ref="S270:S270"/>
    <mergeCell ref="X270:X270"/>
    <mergeCell ref="Y270:Y270"/>
    <mergeCell ref="Z270:Z270"/>
    <mergeCell ref="AA270:AA270"/>
    <mergeCell ref="AB270:AB270"/>
    <mergeCell ref="AC270:AC270"/>
    <mergeCell ref="AD270:AD270"/>
    <mergeCell ref="AE270:AE270"/>
    <mergeCell ref="AF270:AF270"/>
    <mergeCell ref="A271:A271"/>
    <mergeCell ref="B271:B271"/>
    <mergeCell ref="C271:C271"/>
    <mergeCell ref="F271:F271"/>
    <mergeCell ref="G271:G271"/>
    <mergeCell ref="H271:H271"/>
    <mergeCell ref="M271:M271"/>
    <mergeCell ref="N271:N271"/>
    <mergeCell ref="O271:O271"/>
    <mergeCell ref="P271:P271"/>
    <mergeCell ref="Q271:Q271"/>
    <mergeCell ref="R271:R271"/>
    <mergeCell ref="S271:S271"/>
    <mergeCell ref="X271:X271"/>
    <mergeCell ref="Y271:Y271"/>
    <mergeCell ref="Z271:Z271"/>
    <mergeCell ref="AA271:AA271"/>
    <mergeCell ref="AB271:AB271"/>
    <mergeCell ref="AC271:AC271"/>
    <mergeCell ref="AD271:AD271"/>
    <mergeCell ref="AE271:AE271"/>
    <mergeCell ref="AF271:AF271"/>
    <mergeCell ref="A272:A272"/>
    <mergeCell ref="B272:B272"/>
    <mergeCell ref="C272:C272"/>
    <mergeCell ref="F272:F272"/>
    <mergeCell ref="G272:G272"/>
    <mergeCell ref="H272:H272"/>
    <mergeCell ref="M272:M272"/>
    <mergeCell ref="N272:N272"/>
    <mergeCell ref="O272:O272"/>
    <mergeCell ref="P272:P272"/>
    <mergeCell ref="Q272:Q272"/>
    <mergeCell ref="R272:R272"/>
    <mergeCell ref="S272:S272"/>
    <mergeCell ref="X272:X272"/>
    <mergeCell ref="Y272:Y272"/>
    <mergeCell ref="Z272:Z272"/>
    <mergeCell ref="AA272:AA272"/>
    <mergeCell ref="AB272:AB272"/>
    <mergeCell ref="AC272:AC272"/>
    <mergeCell ref="AD272:AD272"/>
    <mergeCell ref="AE272:AE272"/>
    <mergeCell ref="AF272:AF272"/>
    <mergeCell ref="A273:A273"/>
    <mergeCell ref="B273:B273"/>
    <mergeCell ref="C273:C273"/>
    <mergeCell ref="F273:F273"/>
    <mergeCell ref="G273:G273"/>
    <mergeCell ref="H273:H273"/>
    <mergeCell ref="M273:M273"/>
    <mergeCell ref="N273:N273"/>
    <mergeCell ref="O273:O273"/>
    <mergeCell ref="P273:P273"/>
    <mergeCell ref="Q273:Q273"/>
    <mergeCell ref="R273:R273"/>
    <mergeCell ref="S273:S273"/>
    <mergeCell ref="X273:X273"/>
    <mergeCell ref="Y273:Y273"/>
    <mergeCell ref="Z273:Z273"/>
    <mergeCell ref="AA273:AA273"/>
    <mergeCell ref="AB273:AB273"/>
    <mergeCell ref="AC273:AC273"/>
    <mergeCell ref="AD273:AD273"/>
    <mergeCell ref="AE273:AE273"/>
    <mergeCell ref="AF273:AF273"/>
    <mergeCell ref="A274:A274"/>
    <mergeCell ref="B274:B274"/>
    <mergeCell ref="C274:C274"/>
    <mergeCell ref="F274:F274"/>
    <mergeCell ref="G274:G274"/>
    <mergeCell ref="H274:H274"/>
    <mergeCell ref="M274:M274"/>
    <mergeCell ref="N274:N274"/>
    <mergeCell ref="O274:O274"/>
    <mergeCell ref="P274:P274"/>
    <mergeCell ref="Q274:Q274"/>
    <mergeCell ref="R274:R274"/>
    <mergeCell ref="S274:S274"/>
    <mergeCell ref="X274:X274"/>
    <mergeCell ref="Y274:Y274"/>
    <mergeCell ref="Z274:Z274"/>
    <mergeCell ref="AA274:AA274"/>
    <mergeCell ref="AB274:AB274"/>
    <mergeCell ref="AC274:AC274"/>
    <mergeCell ref="AD274:AD274"/>
    <mergeCell ref="AE274:AE274"/>
    <mergeCell ref="AF274:AF274"/>
    <mergeCell ref="A275:A275"/>
    <mergeCell ref="B275:B275"/>
    <mergeCell ref="C275:C275"/>
    <mergeCell ref="F275:F275"/>
    <mergeCell ref="G275:G275"/>
    <mergeCell ref="H275:H275"/>
    <mergeCell ref="M275:M275"/>
    <mergeCell ref="N275:N275"/>
    <mergeCell ref="O275:O275"/>
    <mergeCell ref="P275:P275"/>
    <mergeCell ref="Q275:Q275"/>
    <mergeCell ref="R275:R275"/>
    <mergeCell ref="S275:S275"/>
    <mergeCell ref="X275:X275"/>
    <mergeCell ref="Y275:Y275"/>
    <mergeCell ref="Z275:Z275"/>
    <mergeCell ref="AA275:AA275"/>
    <mergeCell ref="AB275:AB275"/>
    <mergeCell ref="AC275:AC275"/>
    <mergeCell ref="AD275:AD275"/>
    <mergeCell ref="AE275:AE275"/>
    <mergeCell ref="AF275:AF275"/>
    <mergeCell ref="A276:A276"/>
    <mergeCell ref="B276:B276"/>
    <mergeCell ref="C276:C276"/>
    <mergeCell ref="F276:F276"/>
    <mergeCell ref="G276:G276"/>
    <mergeCell ref="H276:H276"/>
    <mergeCell ref="M276:M276"/>
    <mergeCell ref="N276:N276"/>
    <mergeCell ref="O276:O276"/>
    <mergeCell ref="P276:P276"/>
    <mergeCell ref="Q276:Q276"/>
    <mergeCell ref="R276:R276"/>
    <mergeCell ref="S276:S276"/>
    <mergeCell ref="X276:X276"/>
    <mergeCell ref="Y276:Y276"/>
    <mergeCell ref="Z276:Z276"/>
    <mergeCell ref="AA276:AA276"/>
    <mergeCell ref="AB276:AB276"/>
    <mergeCell ref="AC276:AC276"/>
    <mergeCell ref="AD276:AD276"/>
    <mergeCell ref="AE276:AE276"/>
    <mergeCell ref="AF276:AF276"/>
    <mergeCell ref="A277:A277"/>
    <mergeCell ref="B277:B277"/>
    <mergeCell ref="C277:C277"/>
    <mergeCell ref="F277:F277"/>
    <mergeCell ref="G277:G277"/>
    <mergeCell ref="H277:H277"/>
    <mergeCell ref="M277:M277"/>
    <mergeCell ref="N277:N277"/>
    <mergeCell ref="O277:O277"/>
    <mergeCell ref="P277:P277"/>
    <mergeCell ref="Q277:Q277"/>
    <mergeCell ref="R277:R277"/>
    <mergeCell ref="S277:S277"/>
    <mergeCell ref="X277:X277"/>
    <mergeCell ref="Y277:Y277"/>
    <mergeCell ref="Z277:Z277"/>
    <mergeCell ref="AA277:AA277"/>
    <mergeCell ref="AB277:AB277"/>
    <mergeCell ref="AC277:AC277"/>
    <mergeCell ref="AD277:AD277"/>
    <mergeCell ref="AE277:AE277"/>
    <mergeCell ref="AF277:AF277"/>
    <mergeCell ref="A278:A278"/>
    <mergeCell ref="B278:B278"/>
    <mergeCell ref="C278:C278"/>
    <mergeCell ref="F278:F278"/>
    <mergeCell ref="G278:G278"/>
    <mergeCell ref="H278:H278"/>
    <mergeCell ref="M278:M278"/>
    <mergeCell ref="N278:N278"/>
    <mergeCell ref="O278:O278"/>
    <mergeCell ref="P278:P278"/>
    <mergeCell ref="Q278:Q278"/>
    <mergeCell ref="R278:R278"/>
    <mergeCell ref="S278:S278"/>
    <mergeCell ref="X278:X278"/>
    <mergeCell ref="Y278:Y278"/>
    <mergeCell ref="Z278:Z278"/>
    <mergeCell ref="AA278:AA278"/>
    <mergeCell ref="AB278:AB278"/>
    <mergeCell ref="AC278:AC278"/>
    <mergeCell ref="AD278:AD278"/>
    <mergeCell ref="AE278:AE278"/>
    <mergeCell ref="AF278:AF278"/>
    <mergeCell ref="A279:A279"/>
    <mergeCell ref="B279:B279"/>
    <mergeCell ref="C279:C279"/>
    <mergeCell ref="F279:F279"/>
    <mergeCell ref="G279:G279"/>
    <mergeCell ref="H279:H279"/>
    <mergeCell ref="M279:M279"/>
    <mergeCell ref="N279:N279"/>
    <mergeCell ref="O279:O279"/>
    <mergeCell ref="P279:P279"/>
    <mergeCell ref="Q279:Q279"/>
    <mergeCell ref="R279:R279"/>
    <mergeCell ref="S279:S279"/>
    <mergeCell ref="X279:X279"/>
    <mergeCell ref="Y279:Y279"/>
    <mergeCell ref="Z279:Z279"/>
    <mergeCell ref="AA279:AA279"/>
    <mergeCell ref="AB279:AB279"/>
    <mergeCell ref="AC279:AC279"/>
    <mergeCell ref="AD279:AD279"/>
    <mergeCell ref="AE279:AE279"/>
    <mergeCell ref="AF279:AF279"/>
    <mergeCell ref="A280:A280"/>
    <mergeCell ref="B280:B280"/>
    <mergeCell ref="C280:C280"/>
    <mergeCell ref="F280:F280"/>
    <mergeCell ref="G280:G280"/>
    <mergeCell ref="H280:H280"/>
    <mergeCell ref="M280:M280"/>
    <mergeCell ref="N280:N280"/>
    <mergeCell ref="O280:O280"/>
    <mergeCell ref="P280:P280"/>
    <mergeCell ref="Q280:Q280"/>
    <mergeCell ref="R280:R280"/>
    <mergeCell ref="S280:S280"/>
    <mergeCell ref="X280:X280"/>
    <mergeCell ref="Y280:Y280"/>
    <mergeCell ref="Z280:Z280"/>
    <mergeCell ref="AA280:AA280"/>
    <mergeCell ref="AB280:AB280"/>
    <mergeCell ref="AC280:AC280"/>
    <mergeCell ref="AD280:AD280"/>
    <mergeCell ref="AE280:AE280"/>
    <mergeCell ref="AF280:AF280"/>
    <mergeCell ref="A281:A281"/>
    <mergeCell ref="B281:B281"/>
    <mergeCell ref="C281:C281"/>
    <mergeCell ref="F281:F281"/>
    <mergeCell ref="G281:G281"/>
    <mergeCell ref="H281:H281"/>
    <mergeCell ref="M281:M281"/>
    <mergeCell ref="N281:N281"/>
    <mergeCell ref="O281:O281"/>
    <mergeCell ref="P281:P281"/>
    <mergeCell ref="Q281:Q281"/>
    <mergeCell ref="R281:R281"/>
    <mergeCell ref="S281:S281"/>
    <mergeCell ref="X281:X281"/>
    <mergeCell ref="Y281:Y281"/>
    <mergeCell ref="Z281:Z281"/>
    <mergeCell ref="AA281:AA281"/>
    <mergeCell ref="AB281:AB281"/>
    <mergeCell ref="AC281:AC281"/>
    <mergeCell ref="AD281:AD281"/>
    <mergeCell ref="AE281:AE281"/>
    <mergeCell ref="AF281:AF281"/>
    <mergeCell ref="A282:A282"/>
    <mergeCell ref="B282:B282"/>
    <mergeCell ref="C282:C282"/>
    <mergeCell ref="F282:F282"/>
    <mergeCell ref="G282:G282"/>
    <mergeCell ref="H282:H282"/>
    <mergeCell ref="M282:M282"/>
    <mergeCell ref="N282:N282"/>
    <mergeCell ref="O282:O282"/>
    <mergeCell ref="P282:P282"/>
    <mergeCell ref="Q282:Q282"/>
    <mergeCell ref="R282:R282"/>
    <mergeCell ref="S282:S282"/>
    <mergeCell ref="X282:X282"/>
    <mergeCell ref="Y282:Y282"/>
    <mergeCell ref="Z282:Z282"/>
    <mergeCell ref="AA282:AA282"/>
    <mergeCell ref="AB282:AB282"/>
    <mergeCell ref="AC282:AC282"/>
    <mergeCell ref="AD282:AD282"/>
    <mergeCell ref="AE282:AE282"/>
    <mergeCell ref="AF282:AF282"/>
    <mergeCell ref="A283:A283"/>
    <mergeCell ref="B283:B283"/>
    <mergeCell ref="C283:C283"/>
    <mergeCell ref="F283:F283"/>
    <mergeCell ref="G283:G283"/>
    <mergeCell ref="H283:H283"/>
    <mergeCell ref="M283:M283"/>
    <mergeCell ref="N283:N283"/>
    <mergeCell ref="O283:O283"/>
    <mergeCell ref="P283:P283"/>
    <mergeCell ref="Q283:Q283"/>
    <mergeCell ref="R283:R283"/>
    <mergeCell ref="S283:S283"/>
    <mergeCell ref="X283:X283"/>
    <mergeCell ref="Y283:Y283"/>
    <mergeCell ref="Z283:Z283"/>
    <mergeCell ref="AA283:AA283"/>
    <mergeCell ref="AB283:AB283"/>
    <mergeCell ref="AC283:AC283"/>
    <mergeCell ref="AD283:AD283"/>
    <mergeCell ref="AE283:AE283"/>
    <mergeCell ref="AF283:AF283"/>
    <mergeCell ref="A284:A284"/>
    <mergeCell ref="B284:B284"/>
    <mergeCell ref="C284:C284"/>
    <mergeCell ref="F284:F284"/>
    <mergeCell ref="G284:G284"/>
    <mergeCell ref="H284:H284"/>
    <mergeCell ref="M284:M284"/>
    <mergeCell ref="N284:N284"/>
    <mergeCell ref="O284:O284"/>
    <mergeCell ref="P284:P284"/>
    <mergeCell ref="Q284:Q284"/>
    <mergeCell ref="R284:R284"/>
    <mergeCell ref="S284:S284"/>
    <mergeCell ref="X284:X284"/>
    <mergeCell ref="Y284:Y284"/>
    <mergeCell ref="Z284:Z284"/>
    <mergeCell ref="AA284:AA284"/>
    <mergeCell ref="AB284:AB284"/>
    <mergeCell ref="AC284:AC284"/>
    <mergeCell ref="AD284:AD284"/>
    <mergeCell ref="AE284:AE284"/>
    <mergeCell ref="AF284:AF284"/>
    <mergeCell ref="A285:A285"/>
    <mergeCell ref="B285:B285"/>
    <mergeCell ref="C285:C285"/>
    <mergeCell ref="F285:F285"/>
    <mergeCell ref="G285:G285"/>
    <mergeCell ref="H285:H285"/>
    <mergeCell ref="M285:M285"/>
    <mergeCell ref="N285:N285"/>
    <mergeCell ref="O285:O285"/>
    <mergeCell ref="P285:P285"/>
    <mergeCell ref="Q285:Q285"/>
    <mergeCell ref="R285:R285"/>
    <mergeCell ref="S285:S285"/>
    <mergeCell ref="X285:X285"/>
    <mergeCell ref="Y285:Y285"/>
    <mergeCell ref="Z285:Z285"/>
    <mergeCell ref="AA285:AA285"/>
    <mergeCell ref="AB285:AB285"/>
    <mergeCell ref="AC285:AC285"/>
    <mergeCell ref="AD285:AD285"/>
    <mergeCell ref="AE285:AE285"/>
    <mergeCell ref="AF285:AF285"/>
    <mergeCell ref="A286:A286"/>
    <mergeCell ref="B286:B286"/>
    <mergeCell ref="C286:C286"/>
    <mergeCell ref="F286:F286"/>
    <mergeCell ref="G286:G286"/>
    <mergeCell ref="H286:H286"/>
    <mergeCell ref="M286:M286"/>
    <mergeCell ref="N286:N286"/>
    <mergeCell ref="O286:O286"/>
    <mergeCell ref="P286:P286"/>
    <mergeCell ref="Q286:Q286"/>
    <mergeCell ref="R286:R286"/>
    <mergeCell ref="S286:S286"/>
    <mergeCell ref="X286:X286"/>
    <mergeCell ref="Y286:Y286"/>
    <mergeCell ref="Z286:Z286"/>
    <mergeCell ref="AA286:AA286"/>
    <mergeCell ref="AB286:AB286"/>
    <mergeCell ref="AC286:AC286"/>
    <mergeCell ref="AD286:AD286"/>
    <mergeCell ref="AE286:AE286"/>
    <mergeCell ref="AF286:AF286"/>
    <mergeCell ref="A287:A287"/>
    <mergeCell ref="B287:B287"/>
    <mergeCell ref="C287:C287"/>
    <mergeCell ref="F287:F287"/>
    <mergeCell ref="G287:G287"/>
    <mergeCell ref="H287:H287"/>
    <mergeCell ref="M287:M287"/>
    <mergeCell ref="N287:N287"/>
    <mergeCell ref="O287:O287"/>
    <mergeCell ref="P287:P287"/>
    <mergeCell ref="Q287:Q287"/>
    <mergeCell ref="R287:R287"/>
    <mergeCell ref="S287:S287"/>
    <mergeCell ref="X287:X287"/>
    <mergeCell ref="Y287:Y287"/>
    <mergeCell ref="Z287:Z287"/>
    <mergeCell ref="AA287:AA287"/>
    <mergeCell ref="AB287:AB287"/>
    <mergeCell ref="AC287:AC287"/>
    <mergeCell ref="AD287:AD287"/>
    <mergeCell ref="AE287:AE287"/>
    <mergeCell ref="AF287:AF287"/>
    <mergeCell ref="A288:A288"/>
    <mergeCell ref="B288:B288"/>
    <mergeCell ref="C288:C288"/>
    <mergeCell ref="F288:F288"/>
    <mergeCell ref="G288:G288"/>
    <mergeCell ref="H288:H288"/>
    <mergeCell ref="M288:M288"/>
    <mergeCell ref="N288:N288"/>
    <mergeCell ref="O288:O288"/>
    <mergeCell ref="P288:P288"/>
    <mergeCell ref="Q288:Q288"/>
    <mergeCell ref="R288:R288"/>
    <mergeCell ref="S288:S288"/>
    <mergeCell ref="X288:X288"/>
    <mergeCell ref="Y288:Y288"/>
    <mergeCell ref="Z288:Z288"/>
    <mergeCell ref="AA288:AA288"/>
    <mergeCell ref="AB288:AB288"/>
    <mergeCell ref="AC288:AC288"/>
    <mergeCell ref="AD288:AD288"/>
    <mergeCell ref="AE288:AE288"/>
    <mergeCell ref="AF288:AF288"/>
    <mergeCell ref="A289:A289"/>
    <mergeCell ref="B289:B289"/>
    <mergeCell ref="C289:C289"/>
    <mergeCell ref="F289:F289"/>
    <mergeCell ref="G289:G289"/>
    <mergeCell ref="H289:H289"/>
    <mergeCell ref="M289:M289"/>
    <mergeCell ref="N289:N289"/>
    <mergeCell ref="O289:O289"/>
    <mergeCell ref="P289:P289"/>
    <mergeCell ref="Q289:Q289"/>
    <mergeCell ref="R289:R289"/>
    <mergeCell ref="S289:S289"/>
    <mergeCell ref="X289:X289"/>
    <mergeCell ref="Y289:Y289"/>
    <mergeCell ref="Z289:Z289"/>
    <mergeCell ref="AA289:AA289"/>
    <mergeCell ref="AB289:AB289"/>
    <mergeCell ref="AC289:AC289"/>
    <mergeCell ref="AD289:AD289"/>
    <mergeCell ref="AE289:AE289"/>
    <mergeCell ref="AF289:AF289"/>
    <mergeCell ref="A290:A290"/>
    <mergeCell ref="B290:B290"/>
    <mergeCell ref="C290:C290"/>
    <mergeCell ref="F290:F290"/>
    <mergeCell ref="G290:G290"/>
    <mergeCell ref="H290:H290"/>
    <mergeCell ref="M290:M290"/>
    <mergeCell ref="N290:N290"/>
    <mergeCell ref="O290:O290"/>
    <mergeCell ref="P290:P290"/>
    <mergeCell ref="Q290:Q290"/>
    <mergeCell ref="R290:R290"/>
    <mergeCell ref="S290:S290"/>
    <mergeCell ref="X290:X290"/>
    <mergeCell ref="Y290:Y290"/>
    <mergeCell ref="Z290:Z290"/>
    <mergeCell ref="AA290:AA290"/>
    <mergeCell ref="AB290:AB290"/>
    <mergeCell ref="AC290:AC290"/>
    <mergeCell ref="AD290:AD290"/>
    <mergeCell ref="AE290:AE290"/>
    <mergeCell ref="AF290:AF290"/>
    <mergeCell ref="A291:A291"/>
    <mergeCell ref="B291:B291"/>
    <mergeCell ref="C291:C291"/>
    <mergeCell ref="F291:F291"/>
    <mergeCell ref="G291:G291"/>
    <mergeCell ref="H291:H291"/>
    <mergeCell ref="M291:M291"/>
    <mergeCell ref="N291:N291"/>
    <mergeCell ref="O291:O291"/>
    <mergeCell ref="P291:P291"/>
    <mergeCell ref="Q291:Q291"/>
    <mergeCell ref="R291:R291"/>
    <mergeCell ref="S291:S291"/>
    <mergeCell ref="X291:X291"/>
    <mergeCell ref="Y291:Y291"/>
    <mergeCell ref="Z291:Z291"/>
    <mergeCell ref="AA291:AA291"/>
    <mergeCell ref="AB291:AB291"/>
    <mergeCell ref="AC291:AC291"/>
    <mergeCell ref="AD291:AD291"/>
    <mergeCell ref="AE291:AE291"/>
    <mergeCell ref="AF291:AF291"/>
    <mergeCell ref="A292:A292"/>
    <mergeCell ref="B292:B292"/>
    <mergeCell ref="C292:C292"/>
    <mergeCell ref="F292:F292"/>
    <mergeCell ref="G292:G292"/>
    <mergeCell ref="H292:H292"/>
    <mergeCell ref="M292:M292"/>
    <mergeCell ref="N292:N292"/>
    <mergeCell ref="O292:O292"/>
    <mergeCell ref="P292:P292"/>
    <mergeCell ref="Q292:Q292"/>
    <mergeCell ref="R292:R292"/>
    <mergeCell ref="S292:S292"/>
    <mergeCell ref="X292:X292"/>
    <mergeCell ref="Y292:Y292"/>
    <mergeCell ref="Z292:Z292"/>
    <mergeCell ref="AA292:AA292"/>
    <mergeCell ref="AB292:AB292"/>
    <mergeCell ref="AC292:AC292"/>
    <mergeCell ref="AD292:AD292"/>
    <mergeCell ref="AE292:AE292"/>
    <mergeCell ref="AF292:AF292"/>
    <mergeCell ref="A293:A293"/>
    <mergeCell ref="B293:B293"/>
    <mergeCell ref="C293:C293"/>
    <mergeCell ref="F293:F293"/>
    <mergeCell ref="G293:G293"/>
    <mergeCell ref="H293:H293"/>
    <mergeCell ref="M293:M293"/>
    <mergeCell ref="N293:N293"/>
    <mergeCell ref="O293:O293"/>
    <mergeCell ref="P293:P293"/>
    <mergeCell ref="Q293:Q293"/>
    <mergeCell ref="R293:R293"/>
    <mergeCell ref="S293:S293"/>
    <mergeCell ref="X293:X293"/>
    <mergeCell ref="Y293:Y293"/>
    <mergeCell ref="Z293:Z293"/>
    <mergeCell ref="AA293:AA293"/>
    <mergeCell ref="AB293:AB293"/>
    <mergeCell ref="AC293:AC293"/>
    <mergeCell ref="AD293:AD293"/>
    <mergeCell ref="AE293:AE293"/>
    <mergeCell ref="AF293:AF293"/>
    <mergeCell ref="A294:A294"/>
    <mergeCell ref="B294:B294"/>
    <mergeCell ref="C294:C294"/>
    <mergeCell ref="F294:F294"/>
    <mergeCell ref="G294:G294"/>
    <mergeCell ref="H294:H294"/>
    <mergeCell ref="M294:M294"/>
    <mergeCell ref="N294:N294"/>
    <mergeCell ref="O294:O294"/>
    <mergeCell ref="P294:P294"/>
    <mergeCell ref="Q294:Q294"/>
    <mergeCell ref="R294:R294"/>
    <mergeCell ref="S294:S294"/>
    <mergeCell ref="X294:X294"/>
    <mergeCell ref="Y294:Y294"/>
    <mergeCell ref="Z294:Z294"/>
    <mergeCell ref="AA294:AA294"/>
    <mergeCell ref="AB294:AB294"/>
    <mergeCell ref="AC294:AC294"/>
    <mergeCell ref="AD294:AD294"/>
    <mergeCell ref="AE294:AE294"/>
    <mergeCell ref="AF294:AF294"/>
    <mergeCell ref="A295:A295"/>
    <mergeCell ref="B295:B295"/>
    <mergeCell ref="C295:C295"/>
    <mergeCell ref="F295:F295"/>
    <mergeCell ref="G295:G295"/>
    <mergeCell ref="H295:H295"/>
    <mergeCell ref="M295:M295"/>
    <mergeCell ref="N295:N295"/>
    <mergeCell ref="O295:O295"/>
    <mergeCell ref="P295:P295"/>
    <mergeCell ref="Q295:Q295"/>
    <mergeCell ref="R295:R295"/>
    <mergeCell ref="S295:S295"/>
    <mergeCell ref="X295:X295"/>
    <mergeCell ref="Y295:Y295"/>
    <mergeCell ref="Z295:Z295"/>
    <mergeCell ref="AA295:AA295"/>
    <mergeCell ref="AB295:AB295"/>
    <mergeCell ref="AC295:AC295"/>
    <mergeCell ref="AD295:AD295"/>
    <mergeCell ref="AE295:AE295"/>
    <mergeCell ref="AF295:AF295"/>
    <mergeCell ref="A296:A296"/>
    <mergeCell ref="B296:B296"/>
    <mergeCell ref="C296:C296"/>
    <mergeCell ref="F296:F296"/>
    <mergeCell ref="G296:G296"/>
    <mergeCell ref="H296:H296"/>
    <mergeCell ref="M296:M296"/>
    <mergeCell ref="N296:N296"/>
    <mergeCell ref="O296:O296"/>
    <mergeCell ref="P296:P296"/>
    <mergeCell ref="Q296:Q296"/>
    <mergeCell ref="R296:R296"/>
    <mergeCell ref="S296:S296"/>
    <mergeCell ref="X296:X296"/>
    <mergeCell ref="Y296:Y296"/>
    <mergeCell ref="Z296:Z296"/>
    <mergeCell ref="AA296:AA296"/>
    <mergeCell ref="AB296:AB296"/>
    <mergeCell ref="AC296:AC296"/>
    <mergeCell ref="AD296:AD296"/>
    <mergeCell ref="AE296:AE296"/>
    <mergeCell ref="AF296:AF296"/>
    <mergeCell ref="A297:A297"/>
    <mergeCell ref="B297:B297"/>
    <mergeCell ref="C297:C297"/>
    <mergeCell ref="F297:F297"/>
    <mergeCell ref="G297:G297"/>
    <mergeCell ref="H297:H297"/>
    <mergeCell ref="M297:M297"/>
    <mergeCell ref="N297:N297"/>
    <mergeCell ref="O297:O297"/>
    <mergeCell ref="P297:P297"/>
    <mergeCell ref="Q297:Q297"/>
    <mergeCell ref="R297:R297"/>
    <mergeCell ref="S297:S297"/>
    <mergeCell ref="X297:X297"/>
    <mergeCell ref="Y297:Y297"/>
    <mergeCell ref="Z297:Z297"/>
    <mergeCell ref="AA297:AA297"/>
    <mergeCell ref="AB297:AB297"/>
    <mergeCell ref="AC297:AC297"/>
    <mergeCell ref="AD297:AD297"/>
    <mergeCell ref="AE297:AE297"/>
    <mergeCell ref="AF297:AF297"/>
    <mergeCell ref="A298:A298"/>
    <mergeCell ref="B298:B298"/>
    <mergeCell ref="C298:C298"/>
    <mergeCell ref="F298:F298"/>
    <mergeCell ref="G298:G298"/>
    <mergeCell ref="H298:H298"/>
    <mergeCell ref="M298:M298"/>
    <mergeCell ref="N298:N298"/>
    <mergeCell ref="O298:O298"/>
    <mergeCell ref="P298:P298"/>
    <mergeCell ref="Q298:Q298"/>
    <mergeCell ref="R298:R298"/>
    <mergeCell ref="S298:S298"/>
    <mergeCell ref="X298:X298"/>
    <mergeCell ref="Y298:Y298"/>
    <mergeCell ref="Z298:Z298"/>
    <mergeCell ref="AA298:AA298"/>
    <mergeCell ref="AB298:AB298"/>
    <mergeCell ref="AC298:AC298"/>
    <mergeCell ref="AD298:AD298"/>
    <mergeCell ref="AE298:AE298"/>
    <mergeCell ref="AF298:AF298"/>
    <mergeCell ref="A299:A299"/>
    <mergeCell ref="B299:B299"/>
    <mergeCell ref="C299:C299"/>
    <mergeCell ref="F299:F299"/>
    <mergeCell ref="G299:G299"/>
    <mergeCell ref="H299:H299"/>
    <mergeCell ref="M299:M299"/>
    <mergeCell ref="N299:N299"/>
    <mergeCell ref="O299:O299"/>
    <mergeCell ref="P299:P299"/>
    <mergeCell ref="Q299:Q299"/>
    <mergeCell ref="R299:R299"/>
    <mergeCell ref="S299:S299"/>
    <mergeCell ref="X299:X299"/>
    <mergeCell ref="Y299:Y299"/>
    <mergeCell ref="Z299:Z299"/>
    <mergeCell ref="AA299:AA299"/>
    <mergeCell ref="AB299:AB299"/>
    <mergeCell ref="AC299:AC299"/>
    <mergeCell ref="AD299:AD299"/>
    <mergeCell ref="AE299:AE299"/>
    <mergeCell ref="AF299:AF299"/>
    <mergeCell ref="A300:A300"/>
    <mergeCell ref="B300:B300"/>
    <mergeCell ref="C300:C300"/>
    <mergeCell ref="F300:F300"/>
    <mergeCell ref="G300:G300"/>
    <mergeCell ref="H300:H300"/>
    <mergeCell ref="M300:M300"/>
    <mergeCell ref="N300:N300"/>
    <mergeCell ref="O300:O300"/>
    <mergeCell ref="P300:P300"/>
    <mergeCell ref="Q300:Q300"/>
    <mergeCell ref="R300:R300"/>
    <mergeCell ref="S300:S300"/>
    <mergeCell ref="X300:X300"/>
    <mergeCell ref="Y300:Y300"/>
    <mergeCell ref="Z300:Z300"/>
    <mergeCell ref="AA300:AA300"/>
    <mergeCell ref="AB300:AB300"/>
    <mergeCell ref="AC300:AC300"/>
    <mergeCell ref="AD300:AD300"/>
    <mergeCell ref="AE300:AE300"/>
    <mergeCell ref="AF300:AF300"/>
    <mergeCell ref="A301:A301"/>
    <mergeCell ref="B301:B301"/>
    <mergeCell ref="C301:C301"/>
    <mergeCell ref="F301:F301"/>
    <mergeCell ref="G301:G301"/>
    <mergeCell ref="H301:H301"/>
    <mergeCell ref="M301:M301"/>
    <mergeCell ref="N301:N301"/>
    <mergeCell ref="O301:O301"/>
    <mergeCell ref="P301:P301"/>
    <mergeCell ref="Q301:Q301"/>
    <mergeCell ref="R301:R301"/>
    <mergeCell ref="S301:S301"/>
    <mergeCell ref="X301:X301"/>
    <mergeCell ref="Y301:Y301"/>
    <mergeCell ref="Z301:Z301"/>
    <mergeCell ref="AA301:AA301"/>
    <mergeCell ref="AB301:AB301"/>
    <mergeCell ref="AC301:AC301"/>
    <mergeCell ref="AD301:AD301"/>
    <mergeCell ref="AE301:AE301"/>
    <mergeCell ref="AF301:AF301"/>
    <mergeCell ref="A302:A302"/>
    <mergeCell ref="B302:B302"/>
    <mergeCell ref="C302:C302"/>
    <mergeCell ref="F302:F302"/>
    <mergeCell ref="G302:G302"/>
    <mergeCell ref="H302:H302"/>
    <mergeCell ref="M302:M302"/>
    <mergeCell ref="N302:N302"/>
    <mergeCell ref="O302:O302"/>
    <mergeCell ref="P302:P302"/>
    <mergeCell ref="Q302:Q302"/>
    <mergeCell ref="R302:R302"/>
    <mergeCell ref="S302:S302"/>
    <mergeCell ref="X302:X302"/>
    <mergeCell ref="Y302:Y302"/>
    <mergeCell ref="Z302:Z302"/>
    <mergeCell ref="AA302:AA302"/>
    <mergeCell ref="AB302:AB302"/>
    <mergeCell ref="AC302:AC302"/>
    <mergeCell ref="AD302:AD302"/>
    <mergeCell ref="AE302:AE302"/>
    <mergeCell ref="AF302:AF302"/>
    <mergeCell ref="A303:A303"/>
    <mergeCell ref="B303:B303"/>
    <mergeCell ref="C303:C303"/>
    <mergeCell ref="F303:F303"/>
    <mergeCell ref="G303:G303"/>
    <mergeCell ref="H303:H303"/>
    <mergeCell ref="M303:M303"/>
    <mergeCell ref="N303:N303"/>
    <mergeCell ref="O303:O303"/>
    <mergeCell ref="P303:P303"/>
    <mergeCell ref="Q303:Q303"/>
    <mergeCell ref="R303:R303"/>
    <mergeCell ref="S303:S303"/>
    <mergeCell ref="X303:X303"/>
    <mergeCell ref="Y303:Y303"/>
    <mergeCell ref="Z303:Z303"/>
    <mergeCell ref="AA303:AA303"/>
    <mergeCell ref="AB303:AB303"/>
    <mergeCell ref="AC303:AC303"/>
    <mergeCell ref="AD303:AD303"/>
    <mergeCell ref="AE303:AE303"/>
    <mergeCell ref="AF303:AF303"/>
    <mergeCell ref="A304:A304"/>
    <mergeCell ref="B304:B304"/>
    <mergeCell ref="C304:C304"/>
    <mergeCell ref="F304:F304"/>
    <mergeCell ref="G304:G304"/>
    <mergeCell ref="H304:H304"/>
    <mergeCell ref="M304:M304"/>
    <mergeCell ref="N304:N304"/>
    <mergeCell ref="O304:O304"/>
    <mergeCell ref="P304:P304"/>
    <mergeCell ref="Q304:Q304"/>
    <mergeCell ref="R304:R304"/>
    <mergeCell ref="S304:S304"/>
    <mergeCell ref="X304:X304"/>
    <mergeCell ref="Y304:Y304"/>
    <mergeCell ref="Z304:Z304"/>
    <mergeCell ref="AA304:AA304"/>
    <mergeCell ref="AB304:AB304"/>
    <mergeCell ref="AC304:AC304"/>
    <mergeCell ref="AD304:AD304"/>
    <mergeCell ref="AE304:AE304"/>
    <mergeCell ref="AF304:AF304"/>
    <mergeCell ref="A305:A305"/>
    <mergeCell ref="B305:B305"/>
    <mergeCell ref="C305:C305"/>
    <mergeCell ref="F305:F305"/>
    <mergeCell ref="G305:G305"/>
    <mergeCell ref="H305:H305"/>
    <mergeCell ref="M305:M305"/>
    <mergeCell ref="N305:N305"/>
    <mergeCell ref="O305:O305"/>
    <mergeCell ref="P305:P305"/>
    <mergeCell ref="Q305:Q305"/>
    <mergeCell ref="R305:R305"/>
    <mergeCell ref="S305:S305"/>
    <mergeCell ref="X305:X305"/>
    <mergeCell ref="Y305:Y305"/>
    <mergeCell ref="Z305:Z305"/>
    <mergeCell ref="AA305:AA305"/>
    <mergeCell ref="AB305:AB305"/>
    <mergeCell ref="AC305:AC305"/>
    <mergeCell ref="AD305:AD305"/>
    <mergeCell ref="AE305:AE305"/>
    <mergeCell ref="AF305:AF305"/>
    <mergeCell ref="A306:A306"/>
    <mergeCell ref="B306:B306"/>
    <mergeCell ref="C306:C306"/>
    <mergeCell ref="F306:F306"/>
    <mergeCell ref="G306:G306"/>
    <mergeCell ref="H306:H306"/>
    <mergeCell ref="M306:M306"/>
    <mergeCell ref="N306:N306"/>
    <mergeCell ref="O306:O306"/>
    <mergeCell ref="P306:P306"/>
    <mergeCell ref="Q306:Q306"/>
    <mergeCell ref="R306:R306"/>
    <mergeCell ref="S306:S306"/>
    <mergeCell ref="X306:X306"/>
    <mergeCell ref="Y306:Y306"/>
    <mergeCell ref="Z306:Z306"/>
    <mergeCell ref="AA306:AA306"/>
    <mergeCell ref="AB306:AB306"/>
    <mergeCell ref="AC306:AC306"/>
    <mergeCell ref="AD306:AD306"/>
    <mergeCell ref="AE306:AE306"/>
    <mergeCell ref="AF306:AF306"/>
    <mergeCell ref="A307:A307"/>
    <mergeCell ref="B307:B307"/>
    <mergeCell ref="C307:C307"/>
    <mergeCell ref="F307:F307"/>
    <mergeCell ref="G307:G307"/>
    <mergeCell ref="H307:H307"/>
    <mergeCell ref="M307:M307"/>
    <mergeCell ref="N307:N307"/>
    <mergeCell ref="O307:O307"/>
    <mergeCell ref="P307:P307"/>
    <mergeCell ref="Q307:Q307"/>
    <mergeCell ref="R307:R307"/>
    <mergeCell ref="S307:S307"/>
    <mergeCell ref="X307:X307"/>
    <mergeCell ref="Y307:Y307"/>
    <mergeCell ref="Z307:Z307"/>
    <mergeCell ref="AA307:AA307"/>
    <mergeCell ref="AB307:AB307"/>
    <mergeCell ref="AC307:AC307"/>
    <mergeCell ref="AD307:AD307"/>
    <mergeCell ref="AE307:AE307"/>
    <mergeCell ref="AF307:AF307"/>
    <mergeCell ref="A308:A308"/>
    <mergeCell ref="B308:B308"/>
    <mergeCell ref="C308:C308"/>
    <mergeCell ref="F308:F308"/>
    <mergeCell ref="G308:G308"/>
    <mergeCell ref="H308:H308"/>
    <mergeCell ref="M308:M308"/>
    <mergeCell ref="N308:N308"/>
    <mergeCell ref="O308:O308"/>
    <mergeCell ref="P308:P308"/>
    <mergeCell ref="Q308:Q308"/>
    <mergeCell ref="R308:R308"/>
    <mergeCell ref="S308:S308"/>
    <mergeCell ref="X308:X308"/>
    <mergeCell ref="Y308:Y308"/>
    <mergeCell ref="Z308:Z308"/>
    <mergeCell ref="AA308:AA308"/>
    <mergeCell ref="AB308:AB308"/>
    <mergeCell ref="AC308:AC308"/>
    <mergeCell ref="AD308:AD308"/>
    <mergeCell ref="AE308:AE308"/>
    <mergeCell ref="AF308:AF308"/>
    <mergeCell ref="A309:A309"/>
    <mergeCell ref="B309:B309"/>
    <mergeCell ref="C309:C309"/>
    <mergeCell ref="F309:F309"/>
    <mergeCell ref="G309:G309"/>
    <mergeCell ref="H309:H309"/>
    <mergeCell ref="M309:M309"/>
    <mergeCell ref="N309:N309"/>
    <mergeCell ref="O309:O309"/>
    <mergeCell ref="P309:P309"/>
    <mergeCell ref="Q309:Q309"/>
    <mergeCell ref="R309:R309"/>
    <mergeCell ref="S309:S309"/>
    <mergeCell ref="X309:X309"/>
    <mergeCell ref="Y309:Y309"/>
    <mergeCell ref="Z309:Z309"/>
    <mergeCell ref="AA309:AA309"/>
    <mergeCell ref="AB309:AB309"/>
    <mergeCell ref="AC309:AC309"/>
    <mergeCell ref="AD309:AD309"/>
    <mergeCell ref="AE309:AE309"/>
    <mergeCell ref="AF309:AF309"/>
    <mergeCell ref="A310:A310"/>
    <mergeCell ref="B310:B310"/>
    <mergeCell ref="C310:C310"/>
    <mergeCell ref="F310:F310"/>
    <mergeCell ref="G310:G310"/>
    <mergeCell ref="H310:H310"/>
    <mergeCell ref="M310:M310"/>
    <mergeCell ref="N310:N310"/>
    <mergeCell ref="O310:O310"/>
    <mergeCell ref="P310:P310"/>
    <mergeCell ref="Q310:Q310"/>
    <mergeCell ref="R310:R310"/>
    <mergeCell ref="S310:S310"/>
    <mergeCell ref="X310:X310"/>
    <mergeCell ref="Y310:Y310"/>
    <mergeCell ref="Z310:Z310"/>
    <mergeCell ref="AA310:AA310"/>
    <mergeCell ref="AB310:AB310"/>
    <mergeCell ref="AC310:AC310"/>
    <mergeCell ref="AD310:AD310"/>
    <mergeCell ref="AE310:AE310"/>
    <mergeCell ref="AF310:AF310"/>
    <mergeCell ref="A311:A311"/>
    <mergeCell ref="B311:B311"/>
    <mergeCell ref="C311:C311"/>
    <mergeCell ref="F311:F311"/>
    <mergeCell ref="G311:G311"/>
    <mergeCell ref="H311:H311"/>
    <mergeCell ref="M311:M311"/>
    <mergeCell ref="N311:N311"/>
    <mergeCell ref="O311:O311"/>
    <mergeCell ref="P311:P311"/>
    <mergeCell ref="Q311:Q311"/>
    <mergeCell ref="R311:R311"/>
    <mergeCell ref="S311:S311"/>
    <mergeCell ref="X311:X311"/>
    <mergeCell ref="Y311:Y311"/>
    <mergeCell ref="Z311:Z311"/>
    <mergeCell ref="AA311:AA311"/>
    <mergeCell ref="AB311:AB311"/>
    <mergeCell ref="AC311:AC311"/>
    <mergeCell ref="AD311:AD311"/>
    <mergeCell ref="AE311:AE311"/>
    <mergeCell ref="AF311:AF311"/>
    <mergeCell ref="A312:A312"/>
    <mergeCell ref="B312:B312"/>
    <mergeCell ref="C312:C312"/>
    <mergeCell ref="F312:F312"/>
    <mergeCell ref="G312:G312"/>
    <mergeCell ref="H312:H312"/>
    <mergeCell ref="M312:M312"/>
    <mergeCell ref="N312:N312"/>
    <mergeCell ref="O312:O312"/>
    <mergeCell ref="P312:P312"/>
    <mergeCell ref="Q312:Q312"/>
    <mergeCell ref="R312:R312"/>
    <mergeCell ref="S312:S312"/>
    <mergeCell ref="X312:X312"/>
    <mergeCell ref="Y312:Y312"/>
    <mergeCell ref="Z312:Z312"/>
    <mergeCell ref="AA312:AA312"/>
    <mergeCell ref="AB312:AB312"/>
    <mergeCell ref="AC312:AC312"/>
    <mergeCell ref="AD312:AD312"/>
    <mergeCell ref="AE312:AE312"/>
    <mergeCell ref="AF312:AF312"/>
    <mergeCell ref="A313:A313"/>
    <mergeCell ref="B313:B313"/>
    <mergeCell ref="C313:C313"/>
    <mergeCell ref="F313:F313"/>
    <mergeCell ref="G313:G313"/>
    <mergeCell ref="H313:H313"/>
    <mergeCell ref="M313:M313"/>
    <mergeCell ref="N313:N313"/>
    <mergeCell ref="O313:O313"/>
    <mergeCell ref="P313:P313"/>
    <mergeCell ref="Q313:Q313"/>
    <mergeCell ref="R313:R313"/>
    <mergeCell ref="S313:S313"/>
    <mergeCell ref="X313:X313"/>
    <mergeCell ref="Y313:Y313"/>
    <mergeCell ref="Z313:Z313"/>
    <mergeCell ref="AA313:AA313"/>
    <mergeCell ref="AB313:AB313"/>
    <mergeCell ref="AC313:AC313"/>
    <mergeCell ref="AD313:AD313"/>
    <mergeCell ref="AE313:AE313"/>
    <mergeCell ref="AF313:AF313"/>
    <mergeCell ref="A314:A314"/>
    <mergeCell ref="B314:B314"/>
    <mergeCell ref="C314:C314"/>
    <mergeCell ref="F314:F314"/>
    <mergeCell ref="G314:G314"/>
    <mergeCell ref="H314:H314"/>
    <mergeCell ref="M314:M314"/>
    <mergeCell ref="N314:N314"/>
    <mergeCell ref="O314:O314"/>
    <mergeCell ref="P314:P314"/>
    <mergeCell ref="Q314:Q314"/>
    <mergeCell ref="R314:R314"/>
    <mergeCell ref="S314:S314"/>
    <mergeCell ref="X314:X314"/>
    <mergeCell ref="Y314:Y314"/>
    <mergeCell ref="Z314:Z314"/>
    <mergeCell ref="AA314:AA314"/>
    <mergeCell ref="AB314:AB314"/>
    <mergeCell ref="AC314:AC314"/>
    <mergeCell ref="AD314:AD314"/>
    <mergeCell ref="AE314:AE314"/>
    <mergeCell ref="AF314:AF314"/>
    <mergeCell ref="A315:A315"/>
    <mergeCell ref="B315:B315"/>
    <mergeCell ref="C315:C315"/>
    <mergeCell ref="F315:F315"/>
    <mergeCell ref="G315:G315"/>
    <mergeCell ref="H315:H315"/>
    <mergeCell ref="M315:M315"/>
    <mergeCell ref="N315:N315"/>
    <mergeCell ref="O315:O315"/>
    <mergeCell ref="P315:P315"/>
    <mergeCell ref="Q315:Q315"/>
    <mergeCell ref="R315:R315"/>
    <mergeCell ref="S315:S315"/>
    <mergeCell ref="X315:X315"/>
    <mergeCell ref="Y315:Y315"/>
    <mergeCell ref="Z315:Z315"/>
    <mergeCell ref="AA315:AA315"/>
    <mergeCell ref="AB315:AB315"/>
    <mergeCell ref="AC315:AC315"/>
    <mergeCell ref="AD315:AD315"/>
    <mergeCell ref="AE315:AE315"/>
    <mergeCell ref="AF315:AF315"/>
    <mergeCell ref="A316:A316"/>
    <mergeCell ref="B316:B316"/>
    <mergeCell ref="C316:C316"/>
    <mergeCell ref="F316:F316"/>
    <mergeCell ref="G316:G316"/>
    <mergeCell ref="H316:H316"/>
    <mergeCell ref="M316:M316"/>
    <mergeCell ref="N316:N316"/>
    <mergeCell ref="O316:O316"/>
    <mergeCell ref="P316:P316"/>
    <mergeCell ref="Q316:Q316"/>
    <mergeCell ref="R316:R316"/>
    <mergeCell ref="S316:S316"/>
    <mergeCell ref="X316:X316"/>
    <mergeCell ref="Y316:Y316"/>
    <mergeCell ref="Z316:Z316"/>
    <mergeCell ref="AA316:AA316"/>
    <mergeCell ref="AB316:AB316"/>
    <mergeCell ref="AC316:AC316"/>
    <mergeCell ref="AD316:AD316"/>
    <mergeCell ref="AE316:AE316"/>
    <mergeCell ref="AF316:AF316"/>
    <mergeCell ref="A317:A317"/>
    <mergeCell ref="B317:B317"/>
    <mergeCell ref="C317:C317"/>
    <mergeCell ref="F317:F317"/>
    <mergeCell ref="G317:G317"/>
    <mergeCell ref="H317:H317"/>
    <mergeCell ref="M317:M317"/>
    <mergeCell ref="N317:N317"/>
    <mergeCell ref="O317:O317"/>
    <mergeCell ref="P317:P317"/>
    <mergeCell ref="Q317:Q317"/>
    <mergeCell ref="R317:R317"/>
    <mergeCell ref="S317:S317"/>
    <mergeCell ref="X317:X317"/>
    <mergeCell ref="Y317:Y317"/>
    <mergeCell ref="Z317:Z317"/>
    <mergeCell ref="AA317:AA317"/>
    <mergeCell ref="AB317:AB317"/>
    <mergeCell ref="AC317:AC317"/>
    <mergeCell ref="AD317:AD317"/>
    <mergeCell ref="AE317:AE317"/>
    <mergeCell ref="AF317:AF317"/>
    <mergeCell ref="A318:A318"/>
    <mergeCell ref="B318:B318"/>
    <mergeCell ref="C318:C318"/>
    <mergeCell ref="F318:F318"/>
    <mergeCell ref="G318:G318"/>
    <mergeCell ref="H318:H318"/>
    <mergeCell ref="M318:M318"/>
    <mergeCell ref="N318:N318"/>
    <mergeCell ref="O318:O318"/>
    <mergeCell ref="P318:P318"/>
    <mergeCell ref="Q318:Q318"/>
    <mergeCell ref="R318:R318"/>
    <mergeCell ref="S318:S318"/>
    <mergeCell ref="X318:X318"/>
    <mergeCell ref="Y318:Y318"/>
    <mergeCell ref="Z318:Z318"/>
    <mergeCell ref="AA318:AA318"/>
    <mergeCell ref="AB318:AB318"/>
    <mergeCell ref="AC318:AC318"/>
    <mergeCell ref="AD318:AD318"/>
    <mergeCell ref="AE318:AE318"/>
    <mergeCell ref="AF318:AF318"/>
    <mergeCell ref="A319:A319"/>
    <mergeCell ref="B319:B319"/>
    <mergeCell ref="C319:C319"/>
    <mergeCell ref="F319:F319"/>
    <mergeCell ref="G319:G319"/>
    <mergeCell ref="H319:H319"/>
    <mergeCell ref="M319:M319"/>
    <mergeCell ref="N319:N319"/>
    <mergeCell ref="O319:O319"/>
    <mergeCell ref="P319:P319"/>
    <mergeCell ref="Q319:Q319"/>
    <mergeCell ref="R319:R319"/>
    <mergeCell ref="S319:S319"/>
    <mergeCell ref="X319:X319"/>
    <mergeCell ref="Y319:Y319"/>
    <mergeCell ref="Z319:Z319"/>
    <mergeCell ref="AA319:AA319"/>
    <mergeCell ref="AB319:AB319"/>
    <mergeCell ref="AC319:AC319"/>
    <mergeCell ref="AD319:AD319"/>
    <mergeCell ref="AE319:AE319"/>
    <mergeCell ref="AF319:AF319"/>
    <mergeCell ref="A320:A320"/>
    <mergeCell ref="B320:B320"/>
    <mergeCell ref="C320:C320"/>
    <mergeCell ref="F320:F320"/>
    <mergeCell ref="G320:G320"/>
    <mergeCell ref="H320:H320"/>
    <mergeCell ref="M320:M320"/>
    <mergeCell ref="N320:N320"/>
    <mergeCell ref="O320:O320"/>
    <mergeCell ref="P320:P320"/>
    <mergeCell ref="Q320:Q320"/>
    <mergeCell ref="R320:R320"/>
    <mergeCell ref="S320:S320"/>
    <mergeCell ref="X320:X320"/>
    <mergeCell ref="Y320:Y320"/>
    <mergeCell ref="Z320:Z320"/>
    <mergeCell ref="AA320:AA320"/>
    <mergeCell ref="AB320:AB320"/>
    <mergeCell ref="AC320:AC320"/>
    <mergeCell ref="AD320:AD320"/>
    <mergeCell ref="AE320:AE320"/>
    <mergeCell ref="AF320:AF320"/>
    <mergeCell ref="A321:A321"/>
    <mergeCell ref="B321:B321"/>
    <mergeCell ref="C321:C321"/>
    <mergeCell ref="F321:F321"/>
    <mergeCell ref="G321:G321"/>
    <mergeCell ref="H321:H321"/>
    <mergeCell ref="M321:M321"/>
    <mergeCell ref="N321:N321"/>
    <mergeCell ref="O321:O321"/>
    <mergeCell ref="P321:P321"/>
    <mergeCell ref="Q321:Q321"/>
    <mergeCell ref="R321:R321"/>
    <mergeCell ref="S321:S321"/>
    <mergeCell ref="X321:X321"/>
    <mergeCell ref="Y321:Y321"/>
    <mergeCell ref="Z321:Z321"/>
    <mergeCell ref="AA321:AA321"/>
    <mergeCell ref="AB321:AB321"/>
    <mergeCell ref="AC321:AC321"/>
    <mergeCell ref="AD321:AD321"/>
    <mergeCell ref="AE321:AE321"/>
    <mergeCell ref="AF321:AF321"/>
    <mergeCell ref="A322:A322"/>
    <mergeCell ref="B322:B322"/>
    <mergeCell ref="C322:C322"/>
    <mergeCell ref="F322:F322"/>
    <mergeCell ref="G322:G322"/>
    <mergeCell ref="H322:H322"/>
    <mergeCell ref="M322:M322"/>
    <mergeCell ref="N322:N322"/>
    <mergeCell ref="O322:O322"/>
    <mergeCell ref="P322:P322"/>
    <mergeCell ref="Q322:Q322"/>
    <mergeCell ref="R322:R322"/>
    <mergeCell ref="S322:S322"/>
    <mergeCell ref="X322:X322"/>
    <mergeCell ref="Y322:Y322"/>
    <mergeCell ref="Z322:Z322"/>
    <mergeCell ref="AA322:AA322"/>
    <mergeCell ref="AB322:AB322"/>
    <mergeCell ref="AC322:AC322"/>
    <mergeCell ref="AD322:AD322"/>
    <mergeCell ref="AE322:AE322"/>
    <mergeCell ref="AF322:AF322"/>
    <mergeCell ref="A323:A323"/>
    <mergeCell ref="B323:B323"/>
    <mergeCell ref="C323:C323"/>
    <mergeCell ref="F323:F323"/>
    <mergeCell ref="G323:G323"/>
    <mergeCell ref="H323:H323"/>
    <mergeCell ref="M323:M323"/>
    <mergeCell ref="N323:N323"/>
    <mergeCell ref="O323:O323"/>
    <mergeCell ref="P323:P323"/>
    <mergeCell ref="Q323:Q323"/>
    <mergeCell ref="R323:R323"/>
    <mergeCell ref="S323:S323"/>
    <mergeCell ref="X323:X323"/>
    <mergeCell ref="Y323:Y323"/>
    <mergeCell ref="Z323:Z323"/>
    <mergeCell ref="AA323:AA323"/>
    <mergeCell ref="AB323:AB323"/>
    <mergeCell ref="AC323:AC323"/>
    <mergeCell ref="AD323:AD323"/>
    <mergeCell ref="AE323:AE323"/>
    <mergeCell ref="AF323:AF323"/>
    <mergeCell ref="A324:A324"/>
    <mergeCell ref="B324:B324"/>
    <mergeCell ref="C324:C324"/>
    <mergeCell ref="F324:F324"/>
    <mergeCell ref="G324:G324"/>
    <mergeCell ref="H324:H324"/>
    <mergeCell ref="M324:M324"/>
    <mergeCell ref="N324:N324"/>
    <mergeCell ref="O324:O324"/>
    <mergeCell ref="P324:P324"/>
    <mergeCell ref="Q324:Q324"/>
    <mergeCell ref="R324:R324"/>
    <mergeCell ref="S324:S324"/>
    <mergeCell ref="X324:X324"/>
    <mergeCell ref="Y324:Y324"/>
    <mergeCell ref="Z324:Z324"/>
    <mergeCell ref="AA324:AA324"/>
    <mergeCell ref="AB324:AB324"/>
    <mergeCell ref="AC324:AC324"/>
    <mergeCell ref="AD324:AD324"/>
    <mergeCell ref="AE324:AE324"/>
    <mergeCell ref="AF324:AF324"/>
    <mergeCell ref="A325:A325"/>
    <mergeCell ref="B325:B325"/>
    <mergeCell ref="C325:C325"/>
    <mergeCell ref="F325:F325"/>
    <mergeCell ref="G325:G325"/>
    <mergeCell ref="H325:H325"/>
    <mergeCell ref="M325:M325"/>
    <mergeCell ref="N325:N325"/>
    <mergeCell ref="O325:O325"/>
    <mergeCell ref="P325:P325"/>
    <mergeCell ref="Q325:Q325"/>
    <mergeCell ref="R325:R325"/>
    <mergeCell ref="S325:S325"/>
    <mergeCell ref="X325:X325"/>
    <mergeCell ref="Y325:Y325"/>
    <mergeCell ref="Z325:Z325"/>
    <mergeCell ref="AA325:AA325"/>
    <mergeCell ref="AB325:AB325"/>
    <mergeCell ref="AC325:AC325"/>
    <mergeCell ref="AD325:AD325"/>
    <mergeCell ref="AE325:AE325"/>
    <mergeCell ref="AF325:AF325"/>
    <mergeCell ref="A326:A326"/>
    <mergeCell ref="B326:B326"/>
    <mergeCell ref="C326:C326"/>
    <mergeCell ref="F326:F326"/>
    <mergeCell ref="G326:G326"/>
    <mergeCell ref="H326:H326"/>
    <mergeCell ref="M326:M326"/>
    <mergeCell ref="N326:N326"/>
    <mergeCell ref="O326:O326"/>
    <mergeCell ref="P326:P326"/>
    <mergeCell ref="Q326:Q326"/>
    <mergeCell ref="R326:R326"/>
    <mergeCell ref="S326:S326"/>
    <mergeCell ref="X326:X326"/>
    <mergeCell ref="Y326:Y326"/>
    <mergeCell ref="Z326:Z326"/>
    <mergeCell ref="AA326:AA326"/>
    <mergeCell ref="AB326:AB326"/>
    <mergeCell ref="AC326:AC326"/>
    <mergeCell ref="AD326:AD326"/>
    <mergeCell ref="AE326:AE326"/>
    <mergeCell ref="AF326:AF326"/>
    <mergeCell ref="A327:A327"/>
    <mergeCell ref="B327:B327"/>
    <mergeCell ref="C327:C327"/>
    <mergeCell ref="F327:F327"/>
    <mergeCell ref="G327:G327"/>
    <mergeCell ref="H327:H327"/>
    <mergeCell ref="M327:M327"/>
    <mergeCell ref="N327:N327"/>
    <mergeCell ref="O327:O327"/>
    <mergeCell ref="P327:P327"/>
    <mergeCell ref="Q327:Q327"/>
    <mergeCell ref="R327:R327"/>
    <mergeCell ref="S327:S327"/>
    <mergeCell ref="X327:X327"/>
    <mergeCell ref="Y327:Y327"/>
    <mergeCell ref="Z327:Z327"/>
    <mergeCell ref="AA327:AA327"/>
    <mergeCell ref="AB327:AB327"/>
    <mergeCell ref="AC327:AC327"/>
    <mergeCell ref="AD327:AD327"/>
    <mergeCell ref="AE327:AE327"/>
    <mergeCell ref="AF327:AF327"/>
    <mergeCell ref="A328:A328"/>
    <mergeCell ref="B328:B328"/>
    <mergeCell ref="C328:C328"/>
    <mergeCell ref="F328:F328"/>
    <mergeCell ref="G328:G328"/>
    <mergeCell ref="H328:H328"/>
    <mergeCell ref="M328:M328"/>
    <mergeCell ref="N328:N328"/>
    <mergeCell ref="O328:O328"/>
    <mergeCell ref="P328:P328"/>
    <mergeCell ref="Q328:Q328"/>
    <mergeCell ref="R328:R328"/>
    <mergeCell ref="S328:S328"/>
    <mergeCell ref="X328:X328"/>
    <mergeCell ref="Y328:Y328"/>
    <mergeCell ref="Z328:Z328"/>
    <mergeCell ref="AA328:AA328"/>
    <mergeCell ref="AB328:AB328"/>
    <mergeCell ref="AC328:AC328"/>
    <mergeCell ref="AD328:AD328"/>
    <mergeCell ref="AE328:AE328"/>
    <mergeCell ref="AF328:AF328"/>
    <mergeCell ref="A329:A329"/>
    <mergeCell ref="B329:B329"/>
    <mergeCell ref="C329:C329"/>
    <mergeCell ref="F329:F329"/>
    <mergeCell ref="G329:G329"/>
    <mergeCell ref="H329:H329"/>
    <mergeCell ref="M329:M329"/>
    <mergeCell ref="N329:N329"/>
    <mergeCell ref="O329:O329"/>
    <mergeCell ref="P329:P329"/>
    <mergeCell ref="Q329:Q329"/>
    <mergeCell ref="R329:R329"/>
    <mergeCell ref="S329:S329"/>
    <mergeCell ref="X329:X329"/>
    <mergeCell ref="Y329:Y329"/>
    <mergeCell ref="Z329:Z329"/>
    <mergeCell ref="AA329:AA329"/>
    <mergeCell ref="AB329:AB329"/>
    <mergeCell ref="AC329:AC329"/>
    <mergeCell ref="AD329:AD329"/>
    <mergeCell ref="AE329:AE329"/>
    <mergeCell ref="AF329:AF329"/>
    <mergeCell ref="A330:A330"/>
    <mergeCell ref="B330:B330"/>
    <mergeCell ref="C330:C330"/>
    <mergeCell ref="F330:F330"/>
    <mergeCell ref="G330:G330"/>
    <mergeCell ref="H330:H330"/>
    <mergeCell ref="M330:M330"/>
    <mergeCell ref="N330:N330"/>
    <mergeCell ref="O330:O330"/>
    <mergeCell ref="P330:P330"/>
    <mergeCell ref="Q330:Q330"/>
    <mergeCell ref="R330:R330"/>
    <mergeCell ref="S330:S330"/>
    <mergeCell ref="X330:X330"/>
    <mergeCell ref="Y330:Y330"/>
    <mergeCell ref="Z330:Z330"/>
    <mergeCell ref="AA330:AA330"/>
    <mergeCell ref="AB330:AB330"/>
    <mergeCell ref="AC330:AC330"/>
    <mergeCell ref="AD330:AD330"/>
    <mergeCell ref="AE330:AE330"/>
    <mergeCell ref="AF330:AF330"/>
    <mergeCell ref="A331:A331"/>
    <mergeCell ref="B331:B331"/>
    <mergeCell ref="C331:C331"/>
    <mergeCell ref="F331:F331"/>
    <mergeCell ref="G331:G331"/>
    <mergeCell ref="H331:H331"/>
    <mergeCell ref="M331:M331"/>
    <mergeCell ref="N331:N331"/>
    <mergeCell ref="O331:O331"/>
    <mergeCell ref="P331:P331"/>
    <mergeCell ref="Q331:Q331"/>
    <mergeCell ref="R331:R331"/>
    <mergeCell ref="S331:S331"/>
    <mergeCell ref="X331:X331"/>
    <mergeCell ref="Y331:Y331"/>
    <mergeCell ref="Z331:Z331"/>
    <mergeCell ref="AA331:AA331"/>
    <mergeCell ref="AB331:AB331"/>
    <mergeCell ref="AC331:AC331"/>
    <mergeCell ref="AD331:AD331"/>
    <mergeCell ref="AE331:AE331"/>
    <mergeCell ref="AF331:AF331"/>
    <mergeCell ref="A332:A332"/>
    <mergeCell ref="B332:B332"/>
    <mergeCell ref="C332:C332"/>
    <mergeCell ref="F332:F332"/>
    <mergeCell ref="G332:G332"/>
    <mergeCell ref="H332:H332"/>
    <mergeCell ref="M332:M332"/>
    <mergeCell ref="N332:N332"/>
    <mergeCell ref="O332:O332"/>
    <mergeCell ref="P332:P332"/>
    <mergeCell ref="Q332:Q332"/>
    <mergeCell ref="R332:R332"/>
    <mergeCell ref="S332:S332"/>
    <mergeCell ref="X332:X332"/>
    <mergeCell ref="Y332:Y332"/>
    <mergeCell ref="Z332:Z332"/>
    <mergeCell ref="AA332:AA332"/>
    <mergeCell ref="AB332:AB332"/>
    <mergeCell ref="AC332:AC332"/>
    <mergeCell ref="AD332:AD332"/>
    <mergeCell ref="AE332:AE332"/>
    <mergeCell ref="AF332:AF332"/>
    <mergeCell ref="A333:A333"/>
    <mergeCell ref="B333:B333"/>
    <mergeCell ref="C333:C333"/>
    <mergeCell ref="F333:F333"/>
    <mergeCell ref="G333:G333"/>
    <mergeCell ref="H333:H333"/>
    <mergeCell ref="M333:M333"/>
    <mergeCell ref="N333:N333"/>
    <mergeCell ref="O333:O333"/>
    <mergeCell ref="P333:P333"/>
    <mergeCell ref="Q333:Q333"/>
    <mergeCell ref="R333:R333"/>
    <mergeCell ref="S333:S333"/>
    <mergeCell ref="X333:X333"/>
    <mergeCell ref="Y333:Y333"/>
    <mergeCell ref="Z333:Z333"/>
    <mergeCell ref="AA333:AA333"/>
    <mergeCell ref="AB333:AB333"/>
    <mergeCell ref="AC333:AC333"/>
    <mergeCell ref="AD333:AD333"/>
    <mergeCell ref="AE333:AE333"/>
    <mergeCell ref="AF333:AF333"/>
    <mergeCell ref="A334:A334"/>
    <mergeCell ref="B334:B334"/>
    <mergeCell ref="C334:C334"/>
    <mergeCell ref="F334:F334"/>
    <mergeCell ref="G334:G334"/>
    <mergeCell ref="H334:H334"/>
    <mergeCell ref="M334:M334"/>
    <mergeCell ref="N334:N334"/>
    <mergeCell ref="O334:O334"/>
    <mergeCell ref="P334:P334"/>
    <mergeCell ref="Q334:Q334"/>
    <mergeCell ref="R334:R334"/>
    <mergeCell ref="S334:S334"/>
    <mergeCell ref="X334:X334"/>
    <mergeCell ref="Y334:Y334"/>
    <mergeCell ref="Z334:Z334"/>
    <mergeCell ref="AA334:AA334"/>
    <mergeCell ref="AB334:AB334"/>
    <mergeCell ref="AC334:AC334"/>
    <mergeCell ref="AD334:AD334"/>
    <mergeCell ref="AE334:AE334"/>
    <mergeCell ref="AF334:AF334"/>
    <mergeCell ref="A335:A335"/>
    <mergeCell ref="B335:B335"/>
    <mergeCell ref="C335:C335"/>
    <mergeCell ref="F335:F335"/>
    <mergeCell ref="G335:G335"/>
    <mergeCell ref="H335:H335"/>
    <mergeCell ref="M335:M335"/>
    <mergeCell ref="N335:N335"/>
    <mergeCell ref="O335:O335"/>
    <mergeCell ref="P335:P335"/>
    <mergeCell ref="Q335:Q335"/>
    <mergeCell ref="R335:R335"/>
    <mergeCell ref="S335:S335"/>
    <mergeCell ref="X335:X335"/>
    <mergeCell ref="Y335:Y335"/>
    <mergeCell ref="Z335:Z335"/>
    <mergeCell ref="AA335:AA335"/>
    <mergeCell ref="AB335:AB335"/>
    <mergeCell ref="AC335:AC335"/>
    <mergeCell ref="AD335:AD335"/>
    <mergeCell ref="AE335:AE335"/>
    <mergeCell ref="AF335:AF335"/>
    <mergeCell ref="A336:A336"/>
    <mergeCell ref="B336:B336"/>
    <mergeCell ref="C336:C336"/>
    <mergeCell ref="F336:F336"/>
    <mergeCell ref="G336:G336"/>
    <mergeCell ref="H336:H336"/>
    <mergeCell ref="M336:M336"/>
    <mergeCell ref="N336:N336"/>
    <mergeCell ref="O336:O336"/>
    <mergeCell ref="P336:P336"/>
    <mergeCell ref="Q336:Q336"/>
    <mergeCell ref="R336:R336"/>
    <mergeCell ref="S336:S336"/>
    <mergeCell ref="X336:X336"/>
    <mergeCell ref="Y336:Y336"/>
    <mergeCell ref="Z336:Z336"/>
    <mergeCell ref="AA336:AA336"/>
    <mergeCell ref="AB336:AB336"/>
    <mergeCell ref="AC336:AC336"/>
    <mergeCell ref="AD336:AD336"/>
    <mergeCell ref="AE336:AE336"/>
    <mergeCell ref="AF336:AF336"/>
    <mergeCell ref="A337:A337"/>
    <mergeCell ref="B337:B337"/>
    <mergeCell ref="C337:C337"/>
    <mergeCell ref="F337:F337"/>
    <mergeCell ref="G337:G337"/>
    <mergeCell ref="H337:H337"/>
    <mergeCell ref="M337:M337"/>
    <mergeCell ref="N337:N337"/>
    <mergeCell ref="O337:O337"/>
    <mergeCell ref="P337:P337"/>
    <mergeCell ref="Q337:Q337"/>
    <mergeCell ref="R337:R337"/>
    <mergeCell ref="S337:S337"/>
    <mergeCell ref="X337:X337"/>
    <mergeCell ref="Y337:Y337"/>
    <mergeCell ref="Z337:Z337"/>
    <mergeCell ref="AA337:AA337"/>
    <mergeCell ref="AB337:AB337"/>
    <mergeCell ref="AC337:AC337"/>
    <mergeCell ref="AD337:AD337"/>
    <mergeCell ref="AE337:AE337"/>
    <mergeCell ref="AF337:AF337"/>
    <mergeCell ref="A338:A338"/>
    <mergeCell ref="B338:B338"/>
    <mergeCell ref="C338:C338"/>
    <mergeCell ref="F338:F338"/>
    <mergeCell ref="G338:G338"/>
    <mergeCell ref="H338:H338"/>
    <mergeCell ref="M338:M338"/>
    <mergeCell ref="N338:N338"/>
    <mergeCell ref="O338:O338"/>
    <mergeCell ref="P338:P338"/>
    <mergeCell ref="Q338:Q338"/>
    <mergeCell ref="R338:R338"/>
    <mergeCell ref="S338:S338"/>
    <mergeCell ref="X338:X338"/>
    <mergeCell ref="Y338:Y338"/>
    <mergeCell ref="Z338:Z338"/>
    <mergeCell ref="AA338:AA338"/>
    <mergeCell ref="AB338:AB338"/>
    <mergeCell ref="AC338:AC338"/>
    <mergeCell ref="AD338:AD338"/>
    <mergeCell ref="AE338:AE338"/>
    <mergeCell ref="AF338:AF338"/>
    <mergeCell ref="A339:A339"/>
    <mergeCell ref="B339:B339"/>
    <mergeCell ref="C339:C339"/>
    <mergeCell ref="F339:F339"/>
    <mergeCell ref="G339:G339"/>
    <mergeCell ref="H339:H339"/>
    <mergeCell ref="M339:M339"/>
    <mergeCell ref="N339:N339"/>
    <mergeCell ref="O339:O339"/>
    <mergeCell ref="P339:P339"/>
    <mergeCell ref="Q339:Q339"/>
    <mergeCell ref="R339:R339"/>
    <mergeCell ref="S339:S339"/>
    <mergeCell ref="X339:X339"/>
    <mergeCell ref="Y339:Y339"/>
    <mergeCell ref="Z339:Z339"/>
    <mergeCell ref="AA339:AA339"/>
    <mergeCell ref="AB339:AB339"/>
    <mergeCell ref="AC339:AC339"/>
    <mergeCell ref="AD339:AD339"/>
    <mergeCell ref="AE339:AE339"/>
    <mergeCell ref="AF339:AF339"/>
    <mergeCell ref="A340:A340"/>
    <mergeCell ref="B340:B340"/>
    <mergeCell ref="C340:C340"/>
    <mergeCell ref="F340:F340"/>
    <mergeCell ref="G340:G340"/>
    <mergeCell ref="H340:H340"/>
    <mergeCell ref="M340:M340"/>
    <mergeCell ref="N340:N340"/>
    <mergeCell ref="O340:O340"/>
    <mergeCell ref="P340:P340"/>
    <mergeCell ref="Q340:Q340"/>
    <mergeCell ref="R340:R340"/>
    <mergeCell ref="S340:S340"/>
    <mergeCell ref="X340:X340"/>
    <mergeCell ref="Y340:Y340"/>
    <mergeCell ref="Z340:Z340"/>
    <mergeCell ref="AA340:AA340"/>
    <mergeCell ref="AB340:AB340"/>
    <mergeCell ref="AC340:AC340"/>
    <mergeCell ref="AD340:AD340"/>
    <mergeCell ref="AE340:AE340"/>
    <mergeCell ref="AF340:AF340"/>
    <mergeCell ref="A341:A341"/>
    <mergeCell ref="B341:B341"/>
    <mergeCell ref="C341:C341"/>
    <mergeCell ref="F341:F341"/>
    <mergeCell ref="G341:G341"/>
    <mergeCell ref="H341:H341"/>
    <mergeCell ref="M341:M341"/>
    <mergeCell ref="N341:N341"/>
    <mergeCell ref="O341:O341"/>
    <mergeCell ref="P341:P341"/>
    <mergeCell ref="Q341:Q341"/>
    <mergeCell ref="R341:R341"/>
    <mergeCell ref="S341:S341"/>
    <mergeCell ref="X341:X341"/>
    <mergeCell ref="Y341:Y341"/>
    <mergeCell ref="Z341:Z341"/>
    <mergeCell ref="AA341:AA341"/>
    <mergeCell ref="AB341:AB341"/>
    <mergeCell ref="AC341:AC341"/>
    <mergeCell ref="AD341:AD341"/>
    <mergeCell ref="AE341:AE341"/>
    <mergeCell ref="AF341:AF341"/>
    <mergeCell ref="A342:A342"/>
    <mergeCell ref="B342:B342"/>
    <mergeCell ref="C342:C342"/>
    <mergeCell ref="F342:F342"/>
    <mergeCell ref="G342:G342"/>
    <mergeCell ref="H342:H342"/>
    <mergeCell ref="M342:M342"/>
    <mergeCell ref="N342:N342"/>
    <mergeCell ref="O342:O342"/>
    <mergeCell ref="P342:P342"/>
    <mergeCell ref="Q342:Q342"/>
    <mergeCell ref="R342:R342"/>
    <mergeCell ref="S342:S342"/>
    <mergeCell ref="X342:X342"/>
    <mergeCell ref="Y342:Y342"/>
    <mergeCell ref="Z342:Z342"/>
    <mergeCell ref="AA342:AA342"/>
    <mergeCell ref="AB342:AB342"/>
    <mergeCell ref="AC342:AC342"/>
    <mergeCell ref="AD342:AD342"/>
    <mergeCell ref="AE342:AE342"/>
    <mergeCell ref="AF342:AF342"/>
    <mergeCell ref="A343:A343"/>
    <mergeCell ref="B343:B343"/>
    <mergeCell ref="C343:C343"/>
    <mergeCell ref="F343:F343"/>
    <mergeCell ref="G343:G343"/>
    <mergeCell ref="H343:H343"/>
    <mergeCell ref="M343:M343"/>
    <mergeCell ref="N343:N343"/>
    <mergeCell ref="O343:O343"/>
    <mergeCell ref="P343:P343"/>
    <mergeCell ref="Q343:Q343"/>
    <mergeCell ref="R343:R343"/>
    <mergeCell ref="S343:S343"/>
    <mergeCell ref="X343:X343"/>
    <mergeCell ref="Y343:Y343"/>
    <mergeCell ref="Z343:Z343"/>
    <mergeCell ref="AA343:AA343"/>
    <mergeCell ref="AB343:AB343"/>
    <mergeCell ref="AC343:AC343"/>
    <mergeCell ref="AD343:AD343"/>
    <mergeCell ref="AE343:AE343"/>
    <mergeCell ref="AF343:AF343"/>
    <mergeCell ref="A344:A344"/>
    <mergeCell ref="B344:B344"/>
    <mergeCell ref="C344:C344"/>
    <mergeCell ref="F344:F344"/>
    <mergeCell ref="G344:G344"/>
    <mergeCell ref="H344:H344"/>
    <mergeCell ref="M344:M344"/>
    <mergeCell ref="N344:N344"/>
    <mergeCell ref="O344:O344"/>
    <mergeCell ref="P344:P344"/>
    <mergeCell ref="Q344:Q344"/>
    <mergeCell ref="R344:R344"/>
    <mergeCell ref="S344:S344"/>
    <mergeCell ref="X344:X344"/>
    <mergeCell ref="Y344:Y344"/>
    <mergeCell ref="Z344:Z344"/>
    <mergeCell ref="AA344:AA344"/>
    <mergeCell ref="AB344:AB344"/>
    <mergeCell ref="AC344:AC344"/>
    <mergeCell ref="AD344:AD344"/>
    <mergeCell ref="AE344:AE344"/>
    <mergeCell ref="AF344:AF344"/>
    <mergeCell ref="A345:A345"/>
    <mergeCell ref="B345:B345"/>
    <mergeCell ref="C345:C345"/>
    <mergeCell ref="F345:F345"/>
    <mergeCell ref="G345:G345"/>
    <mergeCell ref="H345:H345"/>
    <mergeCell ref="M345:M345"/>
    <mergeCell ref="N345:N345"/>
    <mergeCell ref="O345:O345"/>
    <mergeCell ref="P345:P345"/>
    <mergeCell ref="Q345:Q345"/>
    <mergeCell ref="R345:R345"/>
    <mergeCell ref="S345:S345"/>
    <mergeCell ref="X345:X345"/>
    <mergeCell ref="Y345:Y345"/>
    <mergeCell ref="Z345:Z345"/>
    <mergeCell ref="AA345:AA345"/>
    <mergeCell ref="AB345:AB345"/>
    <mergeCell ref="AC345:AC345"/>
    <mergeCell ref="AD345:AD345"/>
    <mergeCell ref="AE345:AE345"/>
    <mergeCell ref="AF345:AF345"/>
    <mergeCell ref="A346:A346"/>
    <mergeCell ref="B346:B346"/>
    <mergeCell ref="C346:C346"/>
    <mergeCell ref="F346:F346"/>
    <mergeCell ref="G346:G346"/>
    <mergeCell ref="H346:H346"/>
    <mergeCell ref="M346:M346"/>
    <mergeCell ref="N346:N346"/>
    <mergeCell ref="O346:O346"/>
    <mergeCell ref="P346:P346"/>
    <mergeCell ref="Q346:Q346"/>
    <mergeCell ref="R346:R346"/>
    <mergeCell ref="S346:S346"/>
    <mergeCell ref="X346:X346"/>
    <mergeCell ref="Y346:Y346"/>
    <mergeCell ref="Z346:Z346"/>
    <mergeCell ref="AA346:AA346"/>
    <mergeCell ref="AB346:AB346"/>
    <mergeCell ref="AC346:AC346"/>
    <mergeCell ref="AD346:AD346"/>
    <mergeCell ref="AE346:AE346"/>
    <mergeCell ref="AF346:AF346"/>
    <mergeCell ref="A347:A347"/>
    <mergeCell ref="B347:B347"/>
    <mergeCell ref="C347:C347"/>
    <mergeCell ref="F347:F347"/>
    <mergeCell ref="G347:G347"/>
    <mergeCell ref="H347:H347"/>
    <mergeCell ref="M347:M347"/>
    <mergeCell ref="N347:N347"/>
    <mergeCell ref="O347:O347"/>
    <mergeCell ref="P347:P347"/>
    <mergeCell ref="Q347:Q347"/>
    <mergeCell ref="R347:R347"/>
    <mergeCell ref="S347:S347"/>
    <mergeCell ref="X347:X347"/>
    <mergeCell ref="Y347:Y347"/>
    <mergeCell ref="Z347:Z347"/>
    <mergeCell ref="AA347:AA347"/>
    <mergeCell ref="AB347:AB347"/>
    <mergeCell ref="AC347:AC347"/>
    <mergeCell ref="AD347:AD347"/>
    <mergeCell ref="AE347:AE347"/>
    <mergeCell ref="AF347:AF347"/>
    <mergeCell ref="A348:A348"/>
    <mergeCell ref="B348:B348"/>
    <mergeCell ref="C348:C348"/>
    <mergeCell ref="F348:F348"/>
    <mergeCell ref="G348:G348"/>
    <mergeCell ref="H348:H348"/>
    <mergeCell ref="M348:M348"/>
    <mergeCell ref="N348:N348"/>
    <mergeCell ref="O348:O348"/>
    <mergeCell ref="P348:P348"/>
    <mergeCell ref="Q348:Q348"/>
    <mergeCell ref="R348:R348"/>
    <mergeCell ref="S348:S348"/>
    <mergeCell ref="X348:X348"/>
    <mergeCell ref="Y348:Y348"/>
    <mergeCell ref="Z348:Z348"/>
    <mergeCell ref="AA348:AA348"/>
    <mergeCell ref="AB348:AB348"/>
    <mergeCell ref="AC348:AC348"/>
    <mergeCell ref="AD348:AD348"/>
    <mergeCell ref="AE348:AE348"/>
    <mergeCell ref="AF348:AF348"/>
    <mergeCell ref="A349:A349"/>
    <mergeCell ref="B349:B349"/>
    <mergeCell ref="C349:C349"/>
    <mergeCell ref="F349:F349"/>
    <mergeCell ref="G349:G349"/>
    <mergeCell ref="H349:H349"/>
    <mergeCell ref="M349:M349"/>
    <mergeCell ref="N349:N349"/>
    <mergeCell ref="O349:O349"/>
    <mergeCell ref="P349:P349"/>
    <mergeCell ref="Q349:Q349"/>
    <mergeCell ref="R349:R349"/>
    <mergeCell ref="S349:S349"/>
    <mergeCell ref="X349:X349"/>
    <mergeCell ref="Y349:Y349"/>
    <mergeCell ref="Z349:Z349"/>
    <mergeCell ref="AA349:AA349"/>
    <mergeCell ref="AB349:AB349"/>
    <mergeCell ref="AC349:AC349"/>
    <mergeCell ref="AD349:AD349"/>
    <mergeCell ref="AE349:AE349"/>
    <mergeCell ref="AF349:AF349"/>
    <mergeCell ref="A350:A350"/>
    <mergeCell ref="B350:B350"/>
    <mergeCell ref="C350:C350"/>
    <mergeCell ref="F350:F350"/>
    <mergeCell ref="G350:G350"/>
    <mergeCell ref="H350:H350"/>
    <mergeCell ref="M350:M350"/>
    <mergeCell ref="N350:N350"/>
    <mergeCell ref="O350:O350"/>
    <mergeCell ref="P350:P350"/>
    <mergeCell ref="Q350:Q350"/>
    <mergeCell ref="R350:R350"/>
    <mergeCell ref="S350:S350"/>
    <mergeCell ref="X350:X350"/>
    <mergeCell ref="Y350:Y350"/>
    <mergeCell ref="Z350:Z350"/>
    <mergeCell ref="AA350:AA350"/>
    <mergeCell ref="AB350:AB350"/>
    <mergeCell ref="AC350:AC350"/>
    <mergeCell ref="AD350:AD350"/>
    <mergeCell ref="AE350:AE350"/>
    <mergeCell ref="AF350:AF350"/>
    <mergeCell ref="A351:A351"/>
    <mergeCell ref="B351:B351"/>
    <mergeCell ref="C351:C351"/>
    <mergeCell ref="F351:F351"/>
    <mergeCell ref="G351:G351"/>
    <mergeCell ref="H351:H351"/>
    <mergeCell ref="M351:M351"/>
    <mergeCell ref="N351:N351"/>
    <mergeCell ref="O351:O351"/>
    <mergeCell ref="P351:P351"/>
    <mergeCell ref="Q351:Q351"/>
    <mergeCell ref="R351:R351"/>
    <mergeCell ref="S351:S351"/>
    <mergeCell ref="X351:X351"/>
    <mergeCell ref="Y351:Y351"/>
    <mergeCell ref="Z351:Z351"/>
    <mergeCell ref="AA351:AA351"/>
    <mergeCell ref="AB351:AB351"/>
    <mergeCell ref="AC351:AC351"/>
    <mergeCell ref="AD351:AD351"/>
    <mergeCell ref="AE351:AE351"/>
    <mergeCell ref="AF351:AF351"/>
    <mergeCell ref="A352:A352"/>
    <mergeCell ref="B352:B352"/>
    <mergeCell ref="C352:C352"/>
    <mergeCell ref="F352:F352"/>
    <mergeCell ref="G352:G352"/>
    <mergeCell ref="H352:H352"/>
    <mergeCell ref="M352:M352"/>
    <mergeCell ref="N352:N352"/>
    <mergeCell ref="O352:O352"/>
    <mergeCell ref="P352:P352"/>
    <mergeCell ref="Q352:Q352"/>
    <mergeCell ref="R352:R352"/>
    <mergeCell ref="S352:S352"/>
    <mergeCell ref="X352:X352"/>
    <mergeCell ref="Y352:Y352"/>
    <mergeCell ref="Z352:Z352"/>
    <mergeCell ref="AA352:AA352"/>
    <mergeCell ref="AB352:AB352"/>
    <mergeCell ref="AC352:AC352"/>
    <mergeCell ref="AD352:AD352"/>
    <mergeCell ref="AE352:AE352"/>
    <mergeCell ref="AF352:AF352"/>
    <mergeCell ref="A353:A353"/>
    <mergeCell ref="B353:B353"/>
    <mergeCell ref="C353:C353"/>
    <mergeCell ref="F353:F353"/>
    <mergeCell ref="G353:G353"/>
    <mergeCell ref="H353:H353"/>
    <mergeCell ref="M353:M353"/>
    <mergeCell ref="N353:N353"/>
    <mergeCell ref="O353:O353"/>
    <mergeCell ref="P353:P353"/>
    <mergeCell ref="Q353:Q353"/>
    <mergeCell ref="R353:R353"/>
    <mergeCell ref="S353:S353"/>
    <mergeCell ref="X353:X353"/>
    <mergeCell ref="Y353:Y353"/>
    <mergeCell ref="Z353:Z353"/>
    <mergeCell ref="AA353:AA353"/>
    <mergeCell ref="AB353:AB353"/>
    <mergeCell ref="AC353:AC353"/>
    <mergeCell ref="AD353:AD353"/>
    <mergeCell ref="AE353:AE353"/>
    <mergeCell ref="AF353:AF353"/>
    <mergeCell ref="A354:A354"/>
    <mergeCell ref="B354:B354"/>
    <mergeCell ref="C354:C354"/>
    <mergeCell ref="F354:F354"/>
    <mergeCell ref="G354:G354"/>
    <mergeCell ref="H354:H354"/>
    <mergeCell ref="M354:M354"/>
    <mergeCell ref="N354:N354"/>
    <mergeCell ref="O354:O354"/>
    <mergeCell ref="P354:P354"/>
    <mergeCell ref="Q354:Q354"/>
    <mergeCell ref="R354:R354"/>
    <mergeCell ref="S354:S354"/>
    <mergeCell ref="X354:X354"/>
    <mergeCell ref="Y354:Y354"/>
    <mergeCell ref="Z354:Z354"/>
    <mergeCell ref="AA354:AA354"/>
    <mergeCell ref="AB354:AB354"/>
    <mergeCell ref="AC354:AC354"/>
    <mergeCell ref="AD354:AD354"/>
    <mergeCell ref="AE354:AE354"/>
    <mergeCell ref="AF354:AF354"/>
    <mergeCell ref="A355:A355"/>
    <mergeCell ref="B355:B355"/>
    <mergeCell ref="C355:C355"/>
    <mergeCell ref="F355:F355"/>
    <mergeCell ref="G355:G355"/>
    <mergeCell ref="H355:H355"/>
    <mergeCell ref="M355:M355"/>
    <mergeCell ref="N355:N355"/>
    <mergeCell ref="O355:O355"/>
    <mergeCell ref="P355:P355"/>
    <mergeCell ref="Q355:Q355"/>
    <mergeCell ref="R355:R355"/>
    <mergeCell ref="S355:S355"/>
    <mergeCell ref="X355:X355"/>
    <mergeCell ref="Y355:Y355"/>
    <mergeCell ref="Z355:Z355"/>
    <mergeCell ref="AA355:AA355"/>
    <mergeCell ref="AB355:AB355"/>
    <mergeCell ref="AC355:AC355"/>
    <mergeCell ref="AD355:AD355"/>
    <mergeCell ref="AE355:AE355"/>
    <mergeCell ref="AF355:AF355"/>
    <mergeCell ref="A356:A356"/>
    <mergeCell ref="B356:B356"/>
    <mergeCell ref="C356:C356"/>
    <mergeCell ref="F356:F356"/>
    <mergeCell ref="G356:G356"/>
    <mergeCell ref="H356:H356"/>
    <mergeCell ref="M356:M356"/>
    <mergeCell ref="N356:N356"/>
    <mergeCell ref="O356:O356"/>
    <mergeCell ref="P356:P356"/>
    <mergeCell ref="Q356:Q356"/>
    <mergeCell ref="R356:R356"/>
    <mergeCell ref="S356:S356"/>
    <mergeCell ref="X356:X356"/>
    <mergeCell ref="Y356:Y356"/>
    <mergeCell ref="Z356:Z356"/>
    <mergeCell ref="AA356:AA356"/>
    <mergeCell ref="AB356:AB356"/>
    <mergeCell ref="AC356:AC356"/>
    <mergeCell ref="AD356:AD356"/>
    <mergeCell ref="AE356:AE356"/>
    <mergeCell ref="AF356:AF356"/>
    <mergeCell ref="A357:A357"/>
    <mergeCell ref="B357:B357"/>
    <mergeCell ref="C357:C357"/>
    <mergeCell ref="F357:F357"/>
    <mergeCell ref="G357:G357"/>
    <mergeCell ref="H357:H357"/>
    <mergeCell ref="M357:M357"/>
    <mergeCell ref="N357:N357"/>
    <mergeCell ref="O357:O357"/>
    <mergeCell ref="P357:P357"/>
    <mergeCell ref="Q357:Q357"/>
    <mergeCell ref="R357:R357"/>
    <mergeCell ref="S357:S357"/>
    <mergeCell ref="X357:X357"/>
    <mergeCell ref="Y357:Y357"/>
    <mergeCell ref="Z357:Z357"/>
    <mergeCell ref="AA357:AA357"/>
    <mergeCell ref="AB357:AB357"/>
    <mergeCell ref="AC357:AC357"/>
    <mergeCell ref="AD357:AD357"/>
    <mergeCell ref="AE357:AE357"/>
    <mergeCell ref="AF357:AF357"/>
    <mergeCell ref="A358:A358"/>
    <mergeCell ref="B358:B358"/>
    <mergeCell ref="C358:C358"/>
    <mergeCell ref="F358:F358"/>
    <mergeCell ref="G358:G358"/>
    <mergeCell ref="H358:H358"/>
    <mergeCell ref="M358:M358"/>
    <mergeCell ref="N358:N358"/>
    <mergeCell ref="O358:O358"/>
    <mergeCell ref="P358:P358"/>
    <mergeCell ref="Q358:Q358"/>
    <mergeCell ref="R358:R358"/>
    <mergeCell ref="S358:S358"/>
    <mergeCell ref="X358:X358"/>
    <mergeCell ref="Y358:Y358"/>
    <mergeCell ref="Z358:Z358"/>
    <mergeCell ref="AA358:AA358"/>
    <mergeCell ref="AB358:AB358"/>
    <mergeCell ref="AC358:AC358"/>
    <mergeCell ref="AD358:AD358"/>
    <mergeCell ref="AE358:AE358"/>
    <mergeCell ref="AF358:AF358"/>
    <mergeCell ref="A359:A359"/>
    <mergeCell ref="B359:B359"/>
    <mergeCell ref="C359:C359"/>
    <mergeCell ref="F359:F359"/>
    <mergeCell ref="G359:G359"/>
    <mergeCell ref="H359:H359"/>
    <mergeCell ref="M359:M359"/>
    <mergeCell ref="N359:N359"/>
    <mergeCell ref="O359:O359"/>
    <mergeCell ref="P359:P359"/>
    <mergeCell ref="Q359:Q359"/>
    <mergeCell ref="R359:R359"/>
    <mergeCell ref="S359:S359"/>
    <mergeCell ref="X359:X359"/>
    <mergeCell ref="Y359:Y359"/>
    <mergeCell ref="Z359:Z359"/>
    <mergeCell ref="AA359:AA359"/>
    <mergeCell ref="AB359:AB359"/>
    <mergeCell ref="AC359:AC359"/>
    <mergeCell ref="AD359:AD359"/>
    <mergeCell ref="AE359:AE359"/>
    <mergeCell ref="AF359:AF359"/>
    <mergeCell ref="A360:A360"/>
    <mergeCell ref="B360:B360"/>
    <mergeCell ref="C360:C360"/>
    <mergeCell ref="F360:F360"/>
    <mergeCell ref="G360:G360"/>
    <mergeCell ref="H360:H360"/>
    <mergeCell ref="M360:M360"/>
    <mergeCell ref="N360:N360"/>
    <mergeCell ref="O360:O360"/>
    <mergeCell ref="P360:P360"/>
    <mergeCell ref="Q360:Q360"/>
    <mergeCell ref="R360:R360"/>
    <mergeCell ref="S360:S360"/>
    <mergeCell ref="X360:X360"/>
    <mergeCell ref="Y360:Y360"/>
    <mergeCell ref="Z360:Z360"/>
    <mergeCell ref="AA360:AA360"/>
    <mergeCell ref="AB360:AB360"/>
    <mergeCell ref="AC360:AC360"/>
    <mergeCell ref="AD360:AD360"/>
    <mergeCell ref="AE360:AE360"/>
    <mergeCell ref="AF360:AF360"/>
    <mergeCell ref="A361:A361"/>
    <mergeCell ref="B361:B361"/>
    <mergeCell ref="C361:C361"/>
    <mergeCell ref="F361:F361"/>
    <mergeCell ref="G361:G361"/>
    <mergeCell ref="H361:H361"/>
    <mergeCell ref="M361:M361"/>
    <mergeCell ref="N361:N361"/>
    <mergeCell ref="O361:O361"/>
    <mergeCell ref="P361:P361"/>
    <mergeCell ref="Q361:Q361"/>
    <mergeCell ref="R361:R361"/>
    <mergeCell ref="S361:S361"/>
    <mergeCell ref="X361:X361"/>
    <mergeCell ref="Y361:Y361"/>
    <mergeCell ref="Z361:Z361"/>
    <mergeCell ref="AA361:AA361"/>
    <mergeCell ref="AB361:AB361"/>
    <mergeCell ref="AC361:AC361"/>
    <mergeCell ref="AD361:AD361"/>
    <mergeCell ref="AE361:AE361"/>
    <mergeCell ref="AF361:AF361"/>
    <mergeCell ref="A362:A362"/>
    <mergeCell ref="B362:B362"/>
    <mergeCell ref="C362:C362"/>
    <mergeCell ref="F362:F362"/>
    <mergeCell ref="G362:G362"/>
    <mergeCell ref="H362:H362"/>
    <mergeCell ref="M362:M362"/>
    <mergeCell ref="N362:N362"/>
    <mergeCell ref="O362:O362"/>
    <mergeCell ref="P362:P362"/>
    <mergeCell ref="Q362:Q362"/>
    <mergeCell ref="R362:R362"/>
    <mergeCell ref="S362:S362"/>
    <mergeCell ref="X362:X362"/>
    <mergeCell ref="Y362:Y362"/>
    <mergeCell ref="Z362:Z362"/>
    <mergeCell ref="AA362:AA362"/>
    <mergeCell ref="AB362:AB362"/>
    <mergeCell ref="AC362:AC362"/>
    <mergeCell ref="AD362:AD362"/>
    <mergeCell ref="AE362:AE362"/>
    <mergeCell ref="AF362:AF362"/>
    <mergeCell ref="A363:A363"/>
    <mergeCell ref="B363:B363"/>
    <mergeCell ref="C363:C363"/>
    <mergeCell ref="F363:F363"/>
    <mergeCell ref="G363:G363"/>
    <mergeCell ref="H363:H363"/>
    <mergeCell ref="M363:M363"/>
    <mergeCell ref="N363:N363"/>
    <mergeCell ref="O363:O363"/>
    <mergeCell ref="P363:P363"/>
    <mergeCell ref="Q363:Q363"/>
    <mergeCell ref="R363:R363"/>
    <mergeCell ref="S363:S363"/>
    <mergeCell ref="X363:X363"/>
    <mergeCell ref="Y363:Y363"/>
    <mergeCell ref="Z363:Z363"/>
    <mergeCell ref="AA363:AA363"/>
    <mergeCell ref="AB363:AB363"/>
    <mergeCell ref="AC363:AC363"/>
    <mergeCell ref="AD363:AD363"/>
    <mergeCell ref="AE363:AE363"/>
    <mergeCell ref="AF363:AF363"/>
    <mergeCell ref="A364:A364"/>
    <mergeCell ref="B364:B364"/>
    <mergeCell ref="C364:C364"/>
    <mergeCell ref="F364:F364"/>
    <mergeCell ref="G364:G364"/>
    <mergeCell ref="H364:H364"/>
    <mergeCell ref="M364:M364"/>
    <mergeCell ref="N364:N364"/>
    <mergeCell ref="O364:O364"/>
    <mergeCell ref="P364:P364"/>
    <mergeCell ref="Q364:Q364"/>
    <mergeCell ref="R364:R364"/>
    <mergeCell ref="S364:S364"/>
    <mergeCell ref="X364:X364"/>
    <mergeCell ref="Y364:Y364"/>
    <mergeCell ref="Z364:Z364"/>
    <mergeCell ref="AA364:AA364"/>
    <mergeCell ref="AB364:AB364"/>
    <mergeCell ref="AC364:AC364"/>
    <mergeCell ref="AD364:AD364"/>
    <mergeCell ref="AE364:AE364"/>
    <mergeCell ref="AF364:AF364"/>
    <mergeCell ref="A365:A365"/>
    <mergeCell ref="B365:B365"/>
    <mergeCell ref="C365:C365"/>
    <mergeCell ref="F365:F365"/>
    <mergeCell ref="G365:G365"/>
    <mergeCell ref="H365:H365"/>
    <mergeCell ref="M365:M365"/>
    <mergeCell ref="N365:N365"/>
    <mergeCell ref="O365:O365"/>
    <mergeCell ref="P365:P365"/>
    <mergeCell ref="Q365:Q365"/>
    <mergeCell ref="R365:R365"/>
    <mergeCell ref="S365:S365"/>
    <mergeCell ref="X365:X365"/>
    <mergeCell ref="Y365:Y365"/>
    <mergeCell ref="Z365:Z365"/>
    <mergeCell ref="AA365:AA365"/>
    <mergeCell ref="AB365:AB365"/>
    <mergeCell ref="AC365:AC365"/>
    <mergeCell ref="AD365:AD365"/>
    <mergeCell ref="AE365:AE365"/>
    <mergeCell ref="AF365:AF365"/>
    <mergeCell ref="A366:A366"/>
    <mergeCell ref="B366:B366"/>
    <mergeCell ref="C366:C366"/>
    <mergeCell ref="F366:F366"/>
    <mergeCell ref="G366:G366"/>
    <mergeCell ref="H366:H366"/>
    <mergeCell ref="M366:M366"/>
    <mergeCell ref="N366:N366"/>
    <mergeCell ref="O366:O366"/>
    <mergeCell ref="P366:P366"/>
    <mergeCell ref="Q366:Q366"/>
    <mergeCell ref="R366:R366"/>
    <mergeCell ref="S366:S366"/>
    <mergeCell ref="X366:X366"/>
    <mergeCell ref="Y366:Y366"/>
    <mergeCell ref="Z366:Z366"/>
    <mergeCell ref="AA366:AA366"/>
    <mergeCell ref="AB366:AB366"/>
    <mergeCell ref="AC366:AC366"/>
    <mergeCell ref="AD366:AD366"/>
    <mergeCell ref="AE366:AE366"/>
    <mergeCell ref="AF366:AF366"/>
    <mergeCell ref="A367:A367"/>
    <mergeCell ref="B367:B367"/>
    <mergeCell ref="C367:C367"/>
    <mergeCell ref="F367:F367"/>
    <mergeCell ref="G367:G367"/>
    <mergeCell ref="H367:H367"/>
    <mergeCell ref="M367:M367"/>
    <mergeCell ref="N367:N367"/>
    <mergeCell ref="O367:O367"/>
    <mergeCell ref="P367:P367"/>
    <mergeCell ref="Q367:Q367"/>
    <mergeCell ref="R367:R367"/>
    <mergeCell ref="S367:S367"/>
    <mergeCell ref="X367:X367"/>
    <mergeCell ref="Y367:Y367"/>
    <mergeCell ref="Z367:Z367"/>
    <mergeCell ref="AA367:AA367"/>
    <mergeCell ref="AB367:AB367"/>
    <mergeCell ref="AC367:AC367"/>
    <mergeCell ref="AD367:AD367"/>
    <mergeCell ref="AE367:AE367"/>
    <mergeCell ref="AF367:AF367"/>
    <mergeCell ref="A368:A368"/>
    <mergeCell ref="B368:B368"/>
    <mergeCell ref="C368:C368"/>
    <mergeCell ref="F368:F368"/>
    <mergeCell ref="G368:G368"/>
    <mergeCell ref="H368:H368"/>
    <mergeCell ref="M368:M368"/>
    <mergeCell ref="N368:N368"/>
    <mergeCell ref="O368:O368"/>
    <mergeCell ref="P368:P368"/>
    <mergeCell ref="Q368:Q368"/>
    <mergeCell ref="R368:R368"/>
    <mergeCell ref="S368:S368"/>
    <mergeCell ref="X368:X368"/>
    <mergeCell ref="Y368:Y368"/>
    <mergeCell ref="Z368:Z368"/>
    <mergeCell ref="AA368:AA368"/>
    <mergeCell ref="AB368:AB368"/>
    <mergeCell ref="AC368:AC368"/>
    <mergeCell ref="AD368:AD368"/>
    <mergeCell ref="AE368:AE368"/>
    <mergeCell ref="AF368:AF368"/>
    <mergeCell ref="A369:A369"/>
    <mergeCell ref="B369:B369"/>
    <mergeCell ref="C369:C369"/>
    <mergeCell ref="F369:F369"/>
    <mergeCell ref="G369:G369"/>
    <mergeCell ref="H369:H369"/>
    <mergeCell ref="M369:M369"/>
    <mergeCell ref="N369:N369"/>
    <mergeCell ref="O369:O369"/>
    <mergeCell ref="P369:P369"/>
    <mergeCell ref="Q369:Q369"/>
    <mergeCell ref="R369:R369"/>
    <mergeCell ref="S369:S369"/>
    <mergeCell ref="X369:X369"/>
    <mergeCell ref="Y369:Y369"/>
    <mergeCell ref="Z369:Z369"/>
    <mergeCell ref="AA369:AA369"/>
    <mergeCell ref="AB369:AB369"/>
    <mergeCell ref="AC369:AC369"/>
    <mergeCell ref="AD369:AD369"/>
    <mergeCell ref="AE369:AE369"/>
    <mergeCell ref="AF369:AF369"/>
    <mergeCell ref="A370:A370"/>
    <mergeCell ref="B370:B370"/>
    <mergeCell ref="C370:C370"/>
    <mergeCell ref="F370:F370"/>
    <mergeCell ref="G370:G370"/>
    <mergeCell ref="H370:H370"/>
    <mergeCell ref="M370:M370"/>
    <mergeCell ref="N370:N370"/>
    <mergeCell ref="O370:O370"/>
    <mergeCell ref="P370:P370"/>
    <mergeCell ref="Q370:Q370"/>
    <mergeCell ref="R370:R370"/>
    <mergeCell ref="S370:S370"/>
    <mergeCell ref="X370:X370"/>
    <mergeCell ref="Y370:Y370"/>
    <mergeCell ref="Z370:Z370"/>
    <mergeCell ref="AA370:AA370"/>
    <mergeCell ref="AB370:AB370"/>
    <mergeCell ref="AC370:AC370"/>
    <mergeCell ref="AD370:AD370"/>
    <mergeCell ref="AE370:AE370"/>
    <mergeCell ref="AF370:AF370"/>
    <mergeCell ref="A371:A371"/>
    <mergeCell ref="B371:B371"/>
    <mergeCell ref="C371:C371"/>
    <mergeCell ref="F371:F371"/>
    <mergeCell ref="G371:G371"/>
    <mergeCell ref="H371:H371"/>
    <mergeCell ref="M371:M371"/>
    <mergeCell ref="N371:N371"/>
    <mergeCell ref="O371:O371"/>
    <mergeCell ref="P371:P371"/>
    <mergeCell ref="Q371:Q371"/>
    <mergeCell ref="R371:R371"/>
    <mergeCell ref="S371:S371"/>
    <mergeCell ref="X371:X371"/>
    <mergeCell ref="Y371:Y371"/>
    <mergeCell ref="Z371:Z371"/>
    <mergeCell ref="AA371:AA371"/>
    <mergeCell ref="AB371:AB371"/>
    <mergeCell ref="AC371:AC371"/>
    <mergeCell ref="AD371:AD371"/>
    <mergeCell ref="AE371:AE371"/>
    <mergeCell ref="AF371:AF371"/>
    <mergeCell ref="A372:A372"/>
    <mergeCell ref="B372:B372"/>
    <mergeCell ref="C372:C372"/>
    <mergeCell ref="F372:F372"/>
    <mergeCell ref="G372:G372"/>
    <mergeCell ref="H372:H372"/>
    <mergeCell ref="M372:M372"/>
    <mergeCell ref="N372:N372"/>
    <mergeCell ref="O372:O372"/>
    <mergeCell ref="P372:P372"/>
    <mergeCell ref="Q372:Q372"/>
    <mergeCell ref="R372:R372"/>
    <mergeCell ref="S372:S372"/>
    <mergeCell ref="X372:X372"/>
    <mergeCell ref="Y372:Y372"/>
    <mergeCell ref="Z372:Z372"/>
    <mergeCell ref="AA372:AA372"/>
    <mergeCell ref="AB372:AB372"/>
    <mergeCell ref="AC372:AC372"/>
    <mergeCell ref="AD372:AD372"/>
    <mergeCell ref="AE372:AE372"/>
    <mergeCell ref="AF372:AF372"/>
    <mergeCell ref="A373:A373"/>
    <mergeCell ref="B373:B373"/>
    <mergeCell ref="C373:C373"/>
    <mergeCell ref="F373:F373"/>
    <mergeCell ref="G373:G373"/>
    <mergeCell ref="H373:H373"/>
    <mergeCell ref="M373:M373"/>
    <mergeCell ref="N373:N373"/>
    <mergeCell ref="O373:O373"/>
    <mergeCell ref="P373:P373"/>
    <mergeCell ref="Q373:Q373"/>
    <mergeCell ref="R373:R373"/>
    <mergeCell ref="S373:S373"/>
    <mergeCell ref="X373:X373"/>
    <mergeCell ref="Y373:Y373"/>
    <mergeCell ref="Z373:Z373"/>
    <mergeCell ref="AA373:AA373"/>
    <mergeCell ref="AB373:AB373"/>
    <mergeCell ref="AC373:AC373"/>
    <mergeCell ref="AD373:AD373"/>
    <mergeCell ref="AE373:AE373"/>
    <mergeCell ref="AF373:AF373"/>
    <mergeCell ref="A374:A374"/>
    <mergeCell ref="B374:B374"/>
    <mergeCell ref="C374:C374"/>
    <mergeCell ref="F374:F374"/>
    <mergeCell ref="G374:G374"/>
    <mergeCell ref="H374:H374"/>
    <mergeCell ref="M374:M374"/>
    <mergeCell ref="N374:N374"/>
    <mergeCell ref="O374:O374"/>
    <mergeCell ref="P374:P374"/>
    <mergeCell ref="Q374:Q374"/>
    <mergeCell ref="R374:R374"/>
    <mergeCell ref="S374:S374"/>
    <mergeCell ref="X374:X374"/>
    <mergeCell ref="Y374:Y374"/>
    <mergeCell ref="Z374:Z374"/>
    <mergeCell ref="AA374:AA374"/>
    <mergeCell ref="AB374:AB374"/>
    <mergeCell ref="AC374:AC374"/>
    <mergeCell ref="AD374:AD374"/>
    <mergeCell ref="AE374:AE374"/>
    <mergeCell ref="AF374:AF374"/>
    <mergeCell ref="A375:A375"/>
    <mergeCell ref="B375:B375"/>
    <mergeCell ref="C375:C375"/>
    <mergeCell ref="F375:F375"/>
    <mergeCell ref="G375:G375"/>
    <mergeCell ref="H375:H375"/>
    <mergeCell ref="M375:M375"/>
    <mergeCell ref="N375:N375"/>
    <mergeCell ref="O375:O375"/>
    <mergeCell ref="P375:P375"/>
    <mergeCell ref="Q375:Q375"/>
    <mergeCell ref="R375:R375"/>
    <mergeCell ref="S375:S375"/>
    <mergeCell ref="X375:X375"/>
    <mergeCell ref="Y375:Y375"/>
    <mergeCell ref="Z375:Z375"/>
    <mergeCell ref="AA375:AA375"/>
    <mergeCell ref="AB375:AB375"/>
    <mergeCell ref="AC375:AC375"/>
    <mergeCell ref="AD375:AD375"/>
    <mergeCell ref="AE375:AE375"/>
    <mergeCell ref="AF375:AF375"/>
    <mergeCell ref="A376:A376"/>
    <mergeCell ref="B376:B376"/>
    <mergeCell ref="C376:C376"/>
    <mergeCell ref="F376:F376"/>
    <mergeCell ref="G376:G376"/>
    <mergeCell ref="H376:H376"/>
    <mergeCell ref="M376:M376"/>
    <mergeCell ref="N376:N376"/>
    <mergeCell ref="O376:O376"/>
    <mergeCell ref="P376:P376"/>
    <mergeCell ref="Q376:Q376"/>
    <mergeCell ref="R376:R376"/>
    <mergeCell ref="S376:S376"/>
    <mergeCell ref="X376:X376"/>
    <mergeCell ref="Y376:Y376"/>
    <mergeCell ref="Z376:Z376"/>
    <mergeCell ref="AA376:AA376"/>
    <mergeCell ref="AB376:AB376"/>
    <mergeCell ref="AC376:AC376"/>
    <mergeCell ref="AD376:AD376"/>
    <mergeCell ref="AE376:AE376"/>
    <mergeCell ref="AF376:AF376"/>
    <mergeCell ref="A377:A377"/>
    <mergeCell ref="B377:B377"/>
    <mergeCell ref="C377:C377"/>
    <mergeCell ref="F377:F377"/>
    <mergeCell ref="G377:G377"/>
    <mergeCell ref="H377:H377"/>
    <mergeCell ref="M377:M377"/>
    <mergeCell ref="N377:N377"/>
    <mergeCell ref="O377:O377"/>
    <mergeCell ref="P377:P377"/>
    <mergeCell ref="Q377:Q377"/>
    <mergeCell ref="R377:R377"/>
    <mergeCell ref="S377:S377"/>
    <mergeCell ref="X377:X377"/>
    <mergeCell ref="Y377:Y377"/>
    <mergeCell ref="Z377:Z377"/>
    <mergeCell ref="AA377:AA377"/>
    <mergeCell ref="AB377:AB377"/>
    <mergeCell ref="AC377:AC377"/>
    <mergeCell ref="AD377:AD377"/>
    <mergeCell ref="AE377:AE377"/>
    <mergeCell ref="AF377:AF377"/>
    <mergeCell ref="A378:A378"/>
    <mergeCell ref="B378:B378"/>
    <mergeCell ref="C378:C378"/>
    <mergeCell ref="F378:F378"/>
    <mergeCell ref="G378:G378"/>
    <mergeCell ref="H378:H378"/>
    <mergeCell ref="M378:M378"/>
    <mergeCell ref="N378:N378"/>
    <mergeCell ref="O378:O378"/>
    <mergeCell ref="P378:P378"/>
    <mergeCell ref="Q378:Q378"/>
    <mergeCell ref="R378:R378"/>
    <mergeCell ref="S378:S378"/>
    <mergeCell ref="X378:X378"/>
    <mergeCell ref="Y378:Y378"/>
    <mergeCell ref="Z378:Z378"/>
    <mergeCell ref="AA378:AA378"/>
    <mergeCell ref="AB378:AB378"/>
    <mergeCell ref="AC378:AC378"/>
    <mergeCell ref="AD378:AD378"/>
    <mergeCell ref="AE378:AE378"/>
    <mergeCell ref="AF378:AF378"/>
    <mergeCell ref="A379:A379"/>
    <mergeCell ref="B379:B379"/>
    <mergeCell ref="C379:C379"/>
    <mergeCell ref="F379:F379"/>
    <mergeCell ref="G379:G379"/>
    <mergeCell ref="H379:H379"/>
    <mergeCell ref="M379:M379"/>
    <mergeCell ref="N379:N379"/>
    <mergeCell ref="O379:O379"/>
    <mergeCell ref="P379:P379"/>
    <mergeCell ref="Q379:Q379"/>
    <mergeCell ref="R379:R379"/>
    <mergeCell ref="S379:S379"/>
    <mergeCell ref="X379:X379"/>
    <mergeCell ref="Y379:Y379"/>
    <mergeCell ref="Z379:Z379"/>
    <mergeCell ref="AA379:AA379"/>
    <mergeCell ref="AB379:AB379"/>
    <mergeCell ref="AC379:AC379"/>
    <mergeCell ref="AD379:AD379"/>
    <mergeCell ref="AE379:AE379"/>
    <mergeCell ref="AF379:AF379"/>
    <mergeCell ref="A380:A380"/>
    <mergeCell ref="B380:B380"/>
    <mergeCell ref="C380:C380"/>
    <mergeCell ref="F380:F380"/>
    <mergeCell ref="G380:G380"/>
    <mergeCell ref="H380:H380"/>
    <mergeCell ref="M380:M380"/>
    <mergeCell ref="N380:N380"/>
    <mergeCell ref="O380:O380"/>
    <mergeCell ref="P380:P380"/>
    <mergeCell ref="Q380:Q380"/>
    <mergeCell ref="R380:R380"/>
    <mergeCell ref="S380:S380"/>
    <mergeCell ref="X380:X380"/>
    <mergeCell ref="Y380:Y380"/>
    <mergeCell ref="Z380:Z380"/>
    <mergeCell ref="AA380:AA380"/>
    <mergeCell ref="AB380:AB380"/>
    <mergeCell ref="AC380:AC380"/>
    <mergeCell ref="AD380:AD380"/>
    <mergeCell ref="AE380:AE380"/>
    <mergeCell ref="AF380:AF380"/>
    <mergeCell ref="A381:A381"/>
    <mergeCell ref="B381:B381"/>
    <mergeCell ref="C381:C381"/>
    <mergeCell ref="F381:F381"/>
    <mergeCell ref="G381:G381"/>
    <mergeCell ref="H381:H381"/>
    <mergeCell ref="M381:M381"/>
    <mergeCell ref="N381:N381"/>
    <mergeCell ref="O381:O381"/>
    <mergeCell ref="P381:P381"/>
    <mergeCell ref="Q381:Q381"/>
    <mergeCell ref="R381:R381"/>
    <mergeCell ref="S381:S381"/>
    <mergeCell ref="X381:X381"/>
    <mergeCell ref="Y381:Y381"/>
    <mergeCell ref="Z381:Z381"/>
    <mergeCell ref="AA381:AA381"/>
    <mergeCell ref="AB381:AB381"/>
    <mergeCell ref="AC381:AC381"/>
    <mergeCell ref="AD381:AD381"/>
    <mergeCell ref="AE381:AE381"/>
    <mergeCell ref="AF381:AF381"/>
    <mergeCell ref="A382:A382"/>
    <mergeCell ref="B382:B382"/>
    <mergeCell ref="C382:C382"/>
    <mergeCell ref="F382:F382"/>
    <mergeCell ref="G382:G382"/>
    <mergeCell ref="H382:H382"/>
    <mergeCell ref="M382:M382"/>
    <mergeCell ref="N382:N382"/>
    <mergeCell ref="O382:O382"/>
    <mergeCell ref="P382:P382"/>
    <mergeCell ref="Q382:Q382"/>
    <mergeCell ref="R382:R382"/>
    <mergeCell ref="S382:S382"/>
    <mergeCell ref="X382:X382"/>
    <mergeCell ref="Y382:Y382"/>
    <mergeCell ref="Z382:Z382"/>
    <mergeCell ref="AA382:AA382"/>
    <mergeCell ref="AB382:AB382"/>
    <mergeCell ref="AC382:AC382"/>
    <mergeCell ref="AD382:AD382"/>
    <mergeCell ref="AE382:AE382"/>
    <mergeCell ref="AF382:AF382"/>
    <mergeCell ref="A383:A383"/>
    <mergeCell ref="B383:B383"/>
    <mergeCell ref="C383:C383"/>
    <mergeCell ref="F383:F383"/>
    <mergeCell ref="G383:G383"/>
    <mergeCell ref="H383:H383"/>
    <mergeCell ref="M383:M383"/>
    <mergeCell ref="N383:N383"/>
    <mergeCell ref="O383:O383"/>
    <mergeCell ref="P383:P383"/>
    <mergeCell ref="Q383:Q383"/>
    <mergeCell ref="R383:R383"/>
    <mergeCell ref="S383:S383"/>
    <mergeCell ref="X383:X383"/>
    <mergeCell ref="Y383:Y383"/>
    <mergeCell ref="Z383:Z383"/>
    <mergeCell ref="AA383:AA383"/>
    <mergeCell ref="AB383:AB383"/>
    <mergeCell ref="AC383:AC383"/>
    <mergeCell ref="AD383:AD383"/>
    <mergeCell ref="AE383:AE383"/>
    <mergeCell ref="AF383:AF383"/>
    <mergeCell ref="A384:A384"/>
    <mergeCell ref="B384:B384"/>
    <mergeCell ref="C384:C384"/>
    <mergeCell ref="F384:F384"/>
    <mergeCell ref="G384:G384"/>
    <mergeCell ref="H384:H384"/>
    <mergeCell ref="M384:M384"/>
    <mergeCell ref="N384:N384"/>
    <mergeCell ref="O384:O384"/>
    <mergeCell ref="P384:P384"/>
    <mergeCell ref="Q384:Q384"/>
    <mergeCell ref="R384:R384"/>
    <mergeCell ref="S384:S384"/>
    <mergeCell ref="X384:X384"/>
    <mergeCell ref="Y384:Y384"/>
    <mergeCell ref="Z384:Z384"/>
    <mergeCell ref="AA384:AA384"/>
    <mergeCell ref="AB384:AB384"/>
    <mergeCell ref="AC384:AC384"/>
    <mergeCell ref="AD384:AD384"/>
    <mergeCell ref="AE384:AE384"/>
    <mergeCell ref="AF384:AF384"/>
    <mergeCell ref="A385:A385"/>
    <mergeCell ref="B385:B385"/>
    <mergeCell ref="C385:C385"/>
    <mergeCell ref="F385:F385"/>
    <mergeCell ref="G385:G385"/>
    <mergeCell ref="H385:H385"/>
    <mergeCell ref="M385:M385"/>
    <mergeCell ref="N385:N385"/>
    <mergeCell ref="O385:O385"/>
    <mergeCell ref="P385:P385"/>
    <mergeCell ref="Q385:Q385"/>
    <mergeCell ref="R385:R385"/>
    <mergeCell ref="S385:S385"/>
    <mergeCell ref="X385:X385"/>
    <mergeCell ref="Y385:Y385"/>
    <mergeCell ref="Z385:Z385"/>
    <mergeCell ref="AA385:AA385"/>
    <mergeCell ref="AB385:AB385"/>
    <mergeCell ref="AC385:AC385"/>
    <mergeCell ref="AD385:AD385"/>
    <mergeCell ref="AE385:AE385"/>
    <mergeCell ref="AF385:AF385"/>
    <mergeCell ref="A386:A386"/>
    <mergeCell ref="B386:B386"/>
    <mergeCell ref="C386:C386"/>
    <mergeCell ref="F386:F386"/>
    <mergeCell ref="G386:G386"/>
    <mergeCell ref="H386:H386"/>
    <mergeCell ref="M386:M386"/>
    <mergeCell ref="N386:N386"/>
    <mergeCell ref="O386:O386"/>
    <mergeCell ref="P386:P386"/>
    <mergeCell ref="Q386:Q386"/>
    <mergeCell ref="R386:R386"/>
    <mergeCell ref="S386:S386"/>
    <mergeCell ref="X386:X386"/>
    <mergeCell ref="Y386:Y386"/>
    <mergeCell ref="Z386:Z386"/>
    <mergeCell ref="AA386:AA386"/>
    <mergeCell ref="AB386:AB386"/>
    <mergeCell ref="AC386:AC386"/>
    <mergeCell ref="AD386:AD386"/>
    <mergeCell ref="AE386:AE386"/>
    <mergeCell ref="AF386:AF386"/>
    <mergeCell ref="A387:A387"/>
    <mergeCell ref="B387:B387"/>
    <mergeCell ref="C387:C387"/>
    <mergeCell ref="F387:F387"/>
    <mergeCell ref="G387:G387"/>
    <mergeCell ref="H387:H387"/>
    <mergeCell ref="M387:M387"/>
    <mergeCell ref="N387:N387"/>
    <mergeCell ref="O387:O387"/>
    <mergeCell ref="P387:P387"/>
    <mergeCell ref="Q387:Q387"/>
    <mergeCell ref="R387:R387"/>
    <mergeCell ref="S387:S387"/>
    <mergeCell ref="X387:X387"/>
    <mergeCell ref="Y387:Y387"/>
    <mergeCell ref="Z387:Z387"/>
    <mergeCell ref="AA387:AA387"/>
    <mergeCell ref="AB387:AB387"/>
    <mergeCell ref="AC387:AC387"/>
    <mergeCell ref="AD387:AD387"/>
    <mergeCell ref="AE387:AE387"/>
    <mergeCell ref="AF387:AF387"/>
    <mergeCell ref="A388:A388"/>
    <mergeCell ref="B388:B388"/>
    <mergeCell ref="C388:C388"/>
    <mergeCell ref="F388:F388"/>
    <mergeCell ref="G388:G388"/>
    <mergeCell ref="H388:H388"/>
    <mergeCell ref="M388:M388"/>
    <mergeCell ref="N388:N388"/>
    <mergeCell ref="O388:O388"/>
    <mergeCell ref="P388:P388"/>
    <mergeCell ref="Q388:Q388"/>
    <mergeCell ref="R388:R388"/>
    <mergeCell ref="S388:S388"/>
    <mergeCell ref="X388:X388"/>
    <mergeCell ref="Y388:Y388"/>
    <mergeCell ref="Z388:Z388"/>
    <mergeCell ref="AA388:AA388"/>
    <mergeCell ref="AB388:AB388"/>
    <mergeCell ref="AC388:AC388"/>
    <mergeCell ref="AD388:AD388"/>
    <mergeCell ref="AE388:AE388"/>
    <mergeCell ref="AF388:AF388"/>
    <mergeCell ref="A389:A389"/>
    <mergeCell ref="B389:B389"/>
    <mergeCell ref="C389:C389"/>
    <mergeCell ref="F389:F389"/>
    <mergeCell ref="G389:G389"/>
    <mergeCell ref="H389:H389"/>
    <mergeCell ref="M389:M389"/>
    <mergeCell ref="N389:N389"/>
    <mergeCell ref="O389:O389"/>
    <mergeCell ref="P389:P389"/>
    <mergeCell ref="Q389:Q389"/>
    <mergeCell ref="R389:R389"/>
    <mergeCell ref="S389:S389"/>
    <mergeCell ref="X389:X389"/>
    <mergeCell ref="Y389:Y389"/>
    <mergeCell ref="Z389:Z389"/>
    <mergeCell ref="AA389:AA389"/>
    <mergeCell ref="AB389:AB389"/>
    <mergeCell ref="AC389:AC389"/>
    <mergeCell ref="AD389:AD389"/>
    <mergeCell ref="AE389:AE389"/>
    <mergeCell ref="AF389:AF389"/>
    <mergeCell ref="A390:A390"/>
    <mergeCell ref="B390:B390"/>
    <mergeCell ref="C390:C390"/>
    <mergeCell ref="F390:F390"/>
    <mergeCell ref="G390:G390"/>
    <mergeCell ref="H390:H390"/>
    <mergeCell ref="M390:M390"/>
    <mergeCell ref="N390:N390"/>
    <mergeCell ref="O390:O390"/>
    <mergeCell ref="P390:P390"/>
    <mergeCell ref="Q390:Q390"/>
    <mergeCell ref="R390:R390"/>
    <mergeCell ref="S390:S390"/>
    <mergeCell ref="X390:X390"/>
    <mergeCell ref="Y390:Y390"/>
    <mergeCell ref="Z390:Z390"/>
    <mergeCell ref="AA390:AA390"/>
    <mergeCell ref="AB390:AB390"/>
    <mergeCell ref="AC390:AC390"/>
    <mergeCell ref="AD390:AD390"/>
    <mergeCell ref="AE390:AE390"/>
    <mergeCell ref="AF390:AF390"/>
    <mergeCell ref="A391:A391"/>
    <mergeCell ref="B391:B391"/>
    <mergeCell ref="C391:C391"/>
    <mergeCell ref="F391:F391"/>
    <mergeCell ref="G391:G391"/>
    <mergeCell ref="H391:H391"/>
    <mergeCell ref="M391:M391"/>
    <mergeCell ref="N391:N391"/>
    <mergeCell ref="O391:O391"/>
    <mergeCell ref="P391:P391"/>
    <mergeCell ref="Q391:Q391"/>
    <mergeCell ref="R391:R391"/>
    <mergeCell ref="S391:S391"/>
    <mergeCell ref="X391:X391"/>
    <mergeCell ref="Y391:Y391"/>
    <mergeCell ref="Z391:Z391"/>
    <mergeCell ref="AA391:AA391"/>
    <mergeCell ref="AB391:AB391"/>
    <mergeCell ref="AC391:AC391"/>
    <mergeCell ref="AD391:AD391"/>
    <mergeCell ref="AE391:AE391"/>
    <mergeCell ref="AF391:AF391"/>
    <mergeCell ref="A392:A392"/>
    <mergeCell ref="B392:B392"/>
    <mergeCell ref="C392:C392"/>
    <mergeCell ref="F392:F392"/>
    <mergeCell ref="G392:G392"/>
    <mergeCell ref="H392:H392"/>
    <mergeCell ref="M392:M392"/>
    <mergeCell ref="N392:N392"/>
    <mergeCell ref="O392:O392"/>
    <mergeCell ref="P392:P392"/>
    <mergeCell ref="Q392:Q392"/>
    <mergeCell ref="R392:R392"/>
    <mergeCell ref="S392:S392"/>
    <mergeCell ref="X392:X392"/>
    <mergeCell ref="Y392:Y392"/>
    <mergeCell ref="Z392:Z392"/>
    <mergeCell ref="AA392:AA392"/>
    <mergeCell ref="AB392:AB392"/>
    <mergeCell ref="AC392:AC392"/>
    <mergeCell ref="AD392:AD392"/>
    <mergeCell ref="AE392:AE392"/>
    <mergeCell ref="AF392:AF392"/>
    <mergeCell ref="A393:A393"/>
    <mergeCell ref="B393:B393"/>
    <mergeCell ref="C393:C393"/>
    <mergeCell ref="F393:F393"/>
    <mergeCell ref="G393:G393"/>
    <mergeCell ref="H393:H393"/>
    <mergeCell ref="M393:M393"/>
    <mergeCell ref="N393:N393"/>
    <mergeCell ref="O393:O393"/>
    <mergeCell ref="P393:P393"/>
    <mergeCell ref="Q393:Q393"/>
    <mergeCell ref="R393:R393"/>
    <mergeCell ref="S393:S393"/>
    <mergeCell ref="X393:X393"/>
    <mergeCell ref="Y393:Y393"/>
    <mergeCell ref="Z393:Z393"/>
    <mergeCell ref="AA393:AA393"/>
    <mergeCell ref="AB393:AB393"/>
    <mergeCell ref="AC393:AC393"/>
    <mergeCell ref="AD393:AD393"/>
    <mergeCell ref="AE393:AE393"/>
    <mergeCell ref="AF393:AF393"/>
    <mergeCell ref="A394:A394"/>
    <mergeCell ref="B394:B394"/>
    <mergeCell ref="C394:C394"/>
    <mergeCell ref="F394:F394"/>
    <mergeCell ref="G394:G394"/>
    <mergeCell ref="H394:H394"/>
    <mergeCell ref="M394:M394"/>
    <mergeCell ref="N394:N394"/>
    <mergeCell ref="O394:O394"/>
    <mergeCell ref="P394:P394"/>
    <mergeCell ref="Q394:Q394"/>
    <mergeCell ref="R394:R394"/>
    <mergeCell ref="S394:S394"/>
    <mergeCell ref="X394:X394"/>
    <mergeCell ref="Y394:Y394"/>
    <mergeCell ref="Z394:Z394"/>
    <mergeCell ref="AA394:AA394"/>
    <mergeCell ref="AB394:AB394"/>
    <mergeCell ref="AC394:AC394"/>
    <mergeCell ref="AD394:AD394"/>
    <mergeCell ref="AE394:AE394"/>
    <mergeCell ref="AF394:AF394"/>
    <mergeCell ref="A395:A395"/>
    <mergeCell ref="B395:B395"/>
    <mergeCell ref="C395:C395"/>
    <mergeCell ref="F395:F395"/>
    <mergeCell ref="G395:G395"/>
    <mergeCell ref="H395:H395"/>
    <mergeCell ref="M395:M395"/>
    <mergeCell ref="N395:N395"/>
    <mergeCell ref="O395:O395"/>
    <mergeCell ref="P395:P395"/>
    <mergeCell ref="Q395:Q395"/>
    <mergeCell ref="R395:R395"/>
    <mergeCell ref="S395:S395"/>
    <mergeCell ref="X395:X395"/>
    <mergeCell ref="Y395:Y395"/>
    <mergeCell ref="Z395:Z395"/>
    <mergeCell ref="AA395:AA395"/>
    <mergeCell ref="AB395:AB395"/>
    <mergeCell ref="AC395:AC395"/>
    <mergeCell ref="AD395:AD395"/>
    <mergeCell ref="AE395:AE395"/>
    <mergeCell ref="AF395:AF395"/>
    <mergeCell ref="A396:A396"/>
    <mergeCell ref="B396:B396"/>
    <mergeCell ref="C396:C396"/>
    <mergeCell ref="F396:F396"/>
    <mergeCell ref="G396:G396"/>
    <mergeCell ref="H396:H396"/>
    <mergeCell ref="M396:M396"/>
    <mergeCell ref="N396:N396"/>
    <mergeCell ref="O396:O396"/>
    <mergeCell ref="P396:P396"/>
    <mergeCell ref="Q396:Q396"/>
    <mergeCell ref="R396:R396"/>
    <mergeCell ref="S396:S396"/>
    <mergeCell ref="X396:X396"/>
    <mergeCell ref="Y396:Y396"/>
    <mergeCell ref="Z396:Z396"/>
    <mergeCell ref="AA396:AA396"/>
    <mergeCell ref="AB396:AB396"/>
    <mergeCell ref="AC396:AC396"/>
    <mergeCell ref="AD396:AD396"/>
    <mergeCell ref="AE396:AE396"/>
    <mergeCell ref="AF396:AF396"/>
    <mergeCell ref="A397:A397"/>
    <mergeCell ref="B397:B397"/>
    <mergeCell ref="C397:C397"/>
    <mergeCell ref="F397:F397"/>
    <mergeCell ref="G397:G397"/>
    <mergeCell ref="H397:H397"/>
    <mergeCell ref="M397:M397"/>
    <mergeCell ref="N397:N397"/>
    <mergeCell ref="O397:O397"/>
    <mergeCell ref="P397:P397"/>
    <mergeCell ref="Q397:Q397"/>
    <mergeCell ref="R397:R397"/>
    <mergeCell ref="S397:S397"/>
    <mergeCell ref="X397:X397"/>
    <mergeCell ref="Y397:Y397"/>
    <mergeCell ref="Z397:Z397"/>
    <mergeCell ref="AA397:AA397"/>
    <mergeCell ref="AB397:AB397"/>
    <mergeCell ref="AC397:AC397"/>
    <mergeCell ref="AD397:AD397"/>
    <mergeCell ref="AE397:AE397"/>
    <mergeCell ref="AF397:AF397"/>
    <mergeCell ref="A398:A398"/>
    <mergeCell ref="B398:B398"/>
    <mergeCell ref="C398:C398"/>
    <mergeCell ref="F398:F398"/>
    <mergeCell ref="G398:G398"/>
    <mergeCell ref="H398:H398"/>
    <mergeCell ref="M398:M398"/>
    <mergeCell ref="N398:N398"/>
    <mergeCell ref="O398:O398"/>
    <mergeCell ref="P398:P398"/>
    <mergeCell ref="Q398:Q398"/>
    <mergeCell ref="R398:R398"/>
    <mergeCell ref="S398:S398"/>
    <mergeCell ref="X398:X398"/>
    <mergeCell ref="Y398:Y398"/>
    <mergeCell ref="Z398:Z398"/>
    <mergeCell ref="AA398:AA398"/>
    <mergeCell ref="AB398:AB398"/>
    <mergeCell ref="AC398:AC398"/>
    <mergeCell ref="AD398:AD398"/>
    <mergeCell ref="AE398:AE398"/>
    <mergeCell ref="AF398:AF398"/>
    <mergeCell ref="A399:A399"/>
    <mergeCell ref="B399:B399"/>
    <mergeCell ref="C399:C399"/>
    <mergeCell ref="F399:F399"/>
    <mergeCell ref="G399:G399"/>
    <mergeCell ref="H399:H399"/>
    <mergeCell ref="M399:M399"/>
    <mergeCell ref="N399:N399"/>
    <mergeCell ref="O399:O399"/>
    <mergeCell ref="P399:P399"/>
    <mergeCell ref="Q399:Q399"/>
    <mergeCell ref="R399:R399"/>
    <mergeCell ref="S399:S399"/>
    <mergeCell ref="X399:X399"/>
    <mergeCell ref="Y399:Y399"/>
    <mergeCell ref="Z399:Z399"/>
    <mergeCell ref="AA399:AA399"/>
    <mergeCell ref="AB399:AB399"/>
    <mergeCell ref="AC399:AC399"/>
    <mergeCell ref="AD399:AD399"/>
    <mergeCell ref="AE399:AE399"/>
    <mergeCell ref="AF399:AF399"/>
    <mergeCell ref="A400:A400"/>
    <mergeCell ref="B400:B400"/>
    <mergeCell ref="C400:C400"/>
    <mergeCell ref="F400:F400"/>
    <mergeCell ref="G400:G400"/>
    <mergeCell ref="H400:H400"/>
    <mergeCell ref="M400:M400"/>
    <mergeCell ref="N400:N400"/>
    <mergeCell ref="O400:O400"/>
    <mergeCell ref="P400:P400"/>
    <mergeCell ref="Q400:Q400"/>
    <mergeCell ref="R400:R400"/>
    <mergeCell ref="S400:S400"/>
    <mergeCell ref="X400:X400"/>
    <mergeCell ref="Y400:Y400"/>
    <mergeCell ref="Z400:Z400"/>
    <mergeCell ref="AA400:AA400"/>
    <mergeCell ref="AB400:AB400"/>
    <mergeCell ref="AC400:AC400"/>
    <mergeCell ref="AD400:AD400"/>
    <mergeCell ref="AE400:AE400"/>
    <mergeCell ref="AF400:AF400"/>
    <mergeCell ref="A401:A401"/>
    <mergeCell ref="B401:B401"/>
    <mergeCell ref="C401:C401"/>
    <mergeCell ref="F401:F401"/>
    <mergeCell ref="G401:G401"/>
    <mergeCell ref="H401:H401"/>
    <mergeCell ref="M401:M401"/>
    <mergeCell ref="N401:N401"/>
    <mergeCell ref="O401:O401"/>
    <mergeCell ref="P401:P401"/>
    <mergeCell ref="Q401:Q401"/>
    <mergeCell ref="R401:R401"/>
    <mergeCell ref="S401:S401"/>
    <mergeCell ref="X401:X401"/>
    <mergeCell ref="Y401:Y401"/>
    <mergeCell ref="Z401:Z401"/>
    <mergeCell ref="AA401:AA401"/>
    <mergeCell ref="AB401:AB401"/>
    <mergeCell ref="AC401:AC401"/>
    <mergeCell ref="AD401:AD401"/>
    <mergeCell ref="AE401:AE401"/>
    <mergeCell ref="AF401:AF401"/>
    <mergeCell ref="A402:A402"/>
    <mergeCell ref="B402:B402"/>
    <mergeCell ref="C402:C402"/>
    <mergeCell ref="F402:F402"/>
    <mergeCell ref="G402:G402"/>
    <mergeCell ref="H402:H402"/>
    <mergeCell ref="M402:M402"/>
    <mergeCell ref="N402:N402"/>
    <mergeCell ref="O402:O402"/>
    <mergeCell ref="P402:P402"/>
    <mergeCell ref="Q402:Q402"/>
    <mergeCell ref="R402:R402"/>
    <mergeCell ref="S402:S402"/>
    <mergeCell ref="X402:X402"/>
    <mergeCell ref="Y402:Y402"/>
    <mergeCell ref="Z402:Z402"/>
    <mergeCell ref="AA402:AA402"/>
    <mergeCell ref="AB402:AB402"/>
    <mergeCell ref="AC402:AC402"/>
    <mergeCell ref="AD402:AD402"/>
    <mergeCell ref="AE402:AE402"/>
    <mergeCell ref="AF402:AF402"/>
    <mergeCell ref="A403:A403"/>
    <mergeCell ref="B403:B403"/>
    <mergeCell ref="C403:C403"/>
    <mergeCell ref="F403:F403"/>
    <mergeCell ref="G403:G403"/>
    <mergeCell ref="H403:H403"/>
    <mergeCell ref="M403:M403"/>
    <mergeCell ref="N403:N403"/>
    <mergeCell ref="O403:O403"/>
    <mergeCell ref="P403:P403"/>
    <mergeCell ref="Q403:Q403"/>
    <mergeCell ref="R403:R403"/>
    <mergeCell ref="S403:S403"/>
    <mergeCell ref="X403:X403"/>
    <mergeCell ref="Y403:Y403"/>
    <mergeCell ref="Z403:Z403"/>
    <mergeCell ref="AA403:AA403"/>
    <mergeCell ref="AB403:AB403"/>
    <mergeCell ref="AC403:AC403"/>
    <mergeCell ref="AD403:AD403"/>
    <mergeCell ref="AE403:AE403"/>
    <mergeCell ref="AF403:AF403"/>
    <mergeCell ref="A404:A404"/>
    <mergeCell ref="B404:B404"/>
    <mergeCell ref="C404:C404"/>
    <mergeCell ref="F404:F404"/>
    <mergeCell ref="G404:G404"/>
    <mergeCell ref="H404:H404"/>
    <mergeCell ref="M404:M404"/>
    <mergeCell ref="N404:N404"/>
    <mergeCell ref="O404:O404"/>
    <mergeCell ref="P404:P404"/>
    <mergeCell ref="Q404:Q404"/>
    <mergeCell ref="R404:R404"/>
    <mergeCell ref="S404:S404"/>
    <mergeCell ref="X404:X404"/>
    <mergeCell ref="Y404:Y404"/>
    <mergeCell ref="Z404:Z404"/>
    <mergeCell ref="AA404:AA404"/>
    <mergeCell ref="AB404:AB404"/>
    <mergeCell ref="AC404:AC404"/>
    <mergeCell ref="AD404:AD404"/>
    <mergeCell ref="AE404:AE404"/>
    <mergeCell ref="AF404:AF404"/>
    <mergeCell ref="A405:A405"/>
    <mergeCell ref="B405:B405"/>
    <mergeCell ref="C405:C405"/>
    <mergeCell ref="F405:F405"/>
    <mergeCell ref="G405:G405"/>
    <mergeCell ref="H405:H405"/>
    <mergeCell ref="M405:M405"/>
    <mergeCell ref="N405:N405"/>
    <mergeCell ref="O405:O405"/>
    <mergeCell ref="P405:P405"/>
    <mergeCell ref="Q405:Q405"/>
    <mergeCell ref="R405:R405"/>
    <mergeCell ref="S405:S405"/>
    <mergeCell ref="X405:X405"/>
    <mergeCell ref="Y405:Y405"/>
    <mergeCell ref="Z405:Z405"/>
    <mergeCell ref="AA405:AA405"/>
    <mergeCell ref="AB405:AB405"/>
    <mergeCell ref="AC405:AC405"/>
    <mergeCell ref="AD405:AD405"/>
    <mergeCell ref="AE405:AE405"/>
    <mergeCell ref="AF405:AF405"/>
    <mergeCell ref="A406:A406"/>
    <mergeCell ref="B406:B406"/>
    <mergeCell ref="C406:C406"/>
    <mergeCell ref="F406:F406"/>
    <mergeCell ref="G406:G406"/>
    <mergeCell ref="H406:H406"/>
    <mergeCell ref="M406:M406"/>
    <mergeCell ref="N406:N406"/>
    <mergeCell ref="O406:O406"/>
    <mergeCell ref="P406:P406"/>
    <mergeCell ref="Q406:Q406"/>
    <mergeCell ref="R406:R406"/>
    <mergeCell ref="S406:S406"/>
    <mergeCell ref="X406:X406"/>
    <mergeCell ref="Y406:Y406"/>
    <mergeCell ref="Z406:Z406"/>
    <mergeCell ref="AA406:AA406"/>
    <mergeCell ref="AB406:AB406"/>
    <mergeCell ref="AC406:AC406"/>
    <mergeCell ref="AD406:AD406"/>
    <mergeCell ref="AE406:AE406"/>
    <mergeCell ref="AF406:AF406"/>
    <mergeCell ref="A407:A407"/>
    <mergeCell ref="B407:B407"/>
    <mergeCell ref="C407:C407"/>
    <mergeCell ref="F407:F407"/>
    <mergeCell ref="G407:G407"/>
    <mergeCell ref="H407:H407"/>
    <mergeCell ref="M407:M407"/>
    <mergeCell ref="N407:N407"/>
    <mergeCell ref="O407:O407"/>
    <mergeCell ref="P407:P407"/>
    <mergeCell ref="Q407:Q407"/>
    <mergeCell ref="R407:R407"/>
    <mergeCell ref="S407:S407"/>
    <mergeCell ref="X407:X407"/>
    <mergeCell ref="Y407:Y407"/>
    <mergeCell ref="Z407:Z407"/>
    <mergeCell ref="AA407:AA407"/>
    <mergeCell ref="AB407:AB407"/>
    <mergeCell ref="AC407:AC407"/>
    <mergeCell ref="AD407:AD407"/>
    <mergeCell ref="AE407:AE407"/>
    <mergeCell ref="AF407:AF407"/>
    <mergeCell ref="A408:A408"/>
    <mergeCell ref="B408:B408"/>
    <mergeCell ref="C408:C408"/>
    <mergeCell ref="F408:F408"/>
    <mergeCell ref="G408:G408"/>
    <mergeCell ref="H408:H408"/>
    <mergeCell ref="M408:M408"/>
    <mergeCell ref="N408:N408"/>
    <mergeCell ref="O408:O408"/>
    <mergeCell ref="P408:P408"/>
    <mergeCell ref="Q408:Q408"/>
    <mergeCell ref="R408:R408"/>
    <mergeCell ref="S408:S408"/>
    <mergeCell ref="X408:X408"/>
    <mergeCell ref="Y408:Y408"/>
    <mergeCell ref="Z408:Z408"/>
    <mergeCell ref="AA408:AA408"/>
    <mergeCell ref="AB408:AB408"/>
    <mergeCell ref="AC408:AC408"/>
    <mergeCell ref="AD408:AD408"/>
    <mergeCell ref="AE408:AE408"/>
    <mergeCell ref="AF408:AF408"/>
    <mergeCell ref="A409:A409"/>
    <mergeCell ref="B409:B409"/>
    <mergeCell ref="C409:C409"/>
    <mergeCell ref="F409:F409"/>
    <mergeCell ref="G409:G409"/>
    <mergeCell ref="H409:H409"/>
    <mergeCell ref="M409:M409"/>
    <mergeCell ref="N409:N409"/>
    <mergeCell ref="O409:O409"/>
    <mergeCell ref="P409:P409"/>
    <mergeCell ref="Q409:Q409"/>
    <mergeCell ref="R409:R409"/>
    <mergeCell ref="S409:S409"/>
    <mergeCell ref="X409:X409"/>
    <mergeCell ref="Y409:Y409"/>
    <mergeCell ref="Z409:Z409"/>
    <mergeCell ref="AA409:AA409"/>
    <mergeCell ref="AB409:AB409"/>
    <mergeCell ref="AC409:AC409"/>
    <mergeCell ref="AD409:AD409"/>
    <mergeCell ref="AE409:AE409"/>
    <mergeCell ref="AF409:AF409"/>
    <mergeCell ref="A410:A410"/>
    <mergeCell ref="B410:B410"/>
    <mergeCell ref="C410:C410"/>
    <mergeCell ref="F410:F410"/>
    <mergeCell ref="G410:G410"/>
    <mergeCell ref="H410:H410"/>
    <mergeCell ref="M410:M410"/>
    <mergeCell ref="N410:N410"/>
    <mergeCell ref="O410:O410"/>
    <mergeCell ref="P410:P410"/>
    <mergeCell ref="Q410:Q410"/>
    <mergeCell ref="R410:R410"/>
    <mergeCell ref="S410:S410"/>
    <mergeCell ref="X410:X410"/>
    <mergeCell ref="Y410:Y410"/>
    <mergeCell ref="Z410:Z410"/>
    <mergeCell ref="AA410:AA410"/>
    <mergeCell ref="AB410:AB410"/>
    <mergeCell ref="AC410:AC410"/>
    <mergeCell ref="AD410:AD410"/>
    <mergeCell ref="AE410:AE410"/>
    <mergeCell ref="AF410:AF410"/>
    <mergeCell ref="A411:A411"/>
    <mergeCell ref="B411:B411"/>
    <mergeCell ref="C411:C411"/>
    <mergeCell ref="F411:F411"/>
    <mergeCell ref="G411:G411"/>
    <mergeCell ref="H411:H411"/>
    <mergeCell ref="M411:M411"/>
    <mergeCell ref="N411:N411"/>
    <mergeCell ref="O411:O411"/>
    <mergeCell ref="P411:P411"/>
    <mergeCell ref="Q411:Q411"/>
    <mergeCell ref="R411:R411"/>
    <mergeCell ref="S411:S411"/>
    <mergeCell ref="X411:X411"/>
    <mergeCell ref="Y411:Y411"/>
    <mergeCell ref="Z411:Z411"/>
    <mergeCell ref="AA411:AA411"/>
    <mergeCell ref="AB411:AB411"/>
    <mergeCell ref="AC411:AC411"/>
    <mergeCell ref="AD411:AD411"/>
    <mergeCell ref="AE411:AE411"/>
    <mergeCell ref="AF411:AF411"/>
    <mergeCell ref="A412:A412"/>
    <mergeCell ref="B412:B412"/>
    <mergeCell ref="C412:C412"/>
    <mergeCell ref="F412:F412"/>
    <mergeCell ref="G412:G412"/>
    <mergeCell ref="H412:H412"/>
    <mergeCell ref="M412:M412"/>
    <mergeCell ref="N412:N412"/>
    <mergeCell ref="O412:O412"/>
    <mergeCell ref="P412:P412"/>
    <mergeCell ref="Q412:Q412"/>
    <mergeCell ref="R412:R412"/>
    <mergeCell ref="S412:S412"/>
    <mergeCell ref="X412:X412"/>
    <mergeCell ref="Y412:Y412"/>
    <mergeCell ref="Z412:Z412"/>
    <mergeCell ref="AA412:AA412"/>
    <mergeCell ref="AB412:AB412"/>
    <mergeCell ref="AC412:AC412"/>
    <mergeCell ref="AD412:AD412"/>
    <mergeCell ref="AE412:AE412"/>
    <mergeCell ref="AF412:AF412"/>
    <mergeCell ref="A413:A413"/>
    <mergeCell ref="B413:B413"/>
    <mergeCell ref="C413:C413"/>
    <mergeCell ref="F413:F413"/>
    <mergeCell ref="G413:G413"/>
    <mergeCell ref="H413:H413"/>
    <mergeCell ref="M413:M413"/>
    <mergeCell ref="N413:N413"/>
    <mergeCell ref="O413:O413"/>
    <mergeCell ref="P413:P413"/>
    <mergeCell ref="Q413:Q413"/>
    <mergeCell ref="R413:R413"/>
    <mergeCell ref="S413:S413"/>
    <mergeCell ref="X413:X413"/>
    <mergeCell ref="Y413:Y413"/>
    <mergeCell ref="Z413:Z413"/>
    <mergeCell ref="AA413:AA413"/>
    <mergeCell ref="AB413:AB413"/>
    <mergeCell ref="AC413:AC413"/>
    <mergeCell ref="AD413:AD413"/>
    <mergeCell ref="AE413:AE413"/>
    <mergeCell ref="AF413:AF413"/>
    <mergeCell ref="A414:A414"/>
    <mergeCell ref="B414:B414"/>
    <mergeCell ref="C414:C414"/>
    <mergeCell ref="F414:F414"/>
    <mergeCell ref="G414:G414"/>
    <mergeCell ref="H414:H414"/>
    <mergeCell ref="M414:M414"/>
    <mergeCell ref="N414:N414"/>
    <mergeCell ref="O414:O414"/>
    <mergeCell ref="P414:P414"/>
    <mergeCell ref="Q414:Q414"/>
    <mergeCell ref="R414:R414"/>
    <mergeCell ref="S414:S414"/>
    <mergeCell ref="X414:X414"/>
    <mergeCell ref="Y414:Y414"/>
    <mergeCell ref="Z414:Z414"/>
    <mergeCell ref="AA414:AA414"/>
    <mergeCell ref="AB414:AB414"/>
    <mergeCell ref="AC414:AC414"/>
    <mergeCell ref="AD414:AD414"/>
    <mergeCell ref="AE414:AE414"/>
    <mergeCell ref="AF414:AF414"/>
    <mergeCell ref="A415:A415"/>
    <mergeCell ref="B415:B415"/>
    <mergeCell ref="C415:C415"/>
    <mergeCell ref="F415:F415"/>
    <mergeCell ref="G415:G415"/>
    <mergeCell ref="H415:H415"/>
    <mergeCell ref="M415:M415"/>
    <mergeCell ref="N415:N415"/>
    <mergeCell ref="O415:O415"/>
    <mergeCell ref="P415:P415"/>
    <mergeCell ref="Q415:Q415"/>
    <mergeCell ref="R415:R415"/>
    <mergeCell ref="S415:S415"/>
    <mergeCell ref="X415:X415"/>
    <mergeCell ref="Y415:Y415"/>
    <mergeCell ref="Z415:Z415"/>
    <mergeCell ref="AA415:AA415"/>
    <mergeCell ref="AB415:AB415"/>
    <mergeCell ref="AC415:AC415"/>
    <mergeCell ref="AD415:AD415"/>
    <mergeCell ref="AE415:AE415"/>
    <mergeCell ref="AF415:AF415"/>
    <mergeCell ref="A416:A416"/>
    <mergeCell ref="B416:B416"/>
    <mergeCell ref="C416:C416"/>
    <mergeCell ref="F416:F416"/>
    <mergeCell ref="G416:G416"/>
    <mergeCell ref="H416:H416"/>
    <mergeCell ref="M416:M416"/>
    <mergeCell ref="N416:N416"/>
    <mergeCell ref="O416:O416"/>
    <mergeCell ref="P416:P416"/>
    <mergeCell ref="Q416:Q416"/>
    <mergeCell ref="R416:R416"/>
    <mergeCell ref="S416:S416"/>
    <mergeCell ref="X416:X416"/>
    <mergeCell ref="Y416:Y416"/>
    <mergeCell ref="Z416:Z416"/>
    <mergeCell ref="AA416:AA416"/>
    <mergeCell ref="AB416:AB416"/>
    <mergeCell ref="AC416:AC416"/>
    <mergeCell ref="AD416:AD416"/>
    <mergeCell ref="AE416:AE416"/>
    <mergeCell ref="AF416:AF416"/>
    <mergeCell ref="A417:A417"/>
    <mergeCell ref="B417:B417"/>
    <mergeCell ref="C417:C417"/>
    <mergeCell ref="F417:F417"/>
    <mergeCell ref="G417:G417"/>
    <mergeCell ref="H417:H417"/>
    <mergeCell ref="M417:M417"/>
    <mergeCell ref="N417:N417"/>
    <mergeCell ref="O417:O417"/>
    <mergeCell ref="P417:P417"/>
    <mergeCell ref="Q417:Q417"/>
    <mergeCell ref="R417:R417"/>
    <mergeCell ref="S417:S417"/>
    <mergeCell ref="X417:X417"/>
    <mergeCell ref="Y417:Y417"/>
    <mergeCell ref="Z417:Z417"/>
    <mergeCell ref="AA417:AA417"/>
    <mergeCell ref="AB417:AB417"/>
    <mergeCell ref="AC417:AC417"/>
    <mergeCell ref="AD417:AD417"/>
    <mergeCell ref="AE417:AE417"/>
    <mergeCell ref="AF417:AF417"/>
    <mergeCell ref="A418:A418"/>
    <mergeCell ref="B418:B418"/>
    <mergeCell ref="C418:C418"/>
    <mergeCell ref="F418:F418"/>
    <mergeCell ref="G418:G418"/>
    <mergeCell ref="H418:H418"/>
    <mergeCell ref="M418:M418"/>
    <mergeCell ref="N418:N418"/>
    <mergeCell ref="O418:O418"/>
    <mergeCell ref="P418:P418"/>
    <mergeCell ref="Q418:Q418"/>
    <mergeCell ref="R418:R418"/>
    <mergeCell ref="S418:S418"/>
    <mergeCell ref="X418:X418"/>
    <mergeCell ref="Y418:Y418"/>
    <mergeCell ref="Z418:Z418"/>
    <mergeCell ref="AA418:AA418"/>
    <mergeCell ref="AB418:AB418"/>
    <mergeCell ref="AC418:AC418"/>
    <mergeCell ref="AD418:AD418"/>
    <mergeCell ref="AE418:AE418"/>
    <mergeCell ref="AF418:AF418"/>
    <mergeCell ref="A419:A419"/>
    <mergeCell ref="B419:B419"/>
    <mergeCell ref="C419:C419"/>
    <mergeCell ref="F419:F419"/>
    <mergeCell ref="G419:G419"/>
    <mergeCell ref="H419:H419"/>
    <mergeCell ref="M419:M419"/>
    <mergeCell ref="N419:N419"/>
    <mergeCell ref="O419:O419"/>
    <mergeCell ref="P419:P419"/>
    <mergeCell ref="Q419:Q419"/>
    <mergeCell ref="R419:R419"/>
    <mergeCell ref="S419:S419"/>
    <mergeCell ref="X419:X419"/>
    <mergeCell ref="Y419:Y419"/>
    <mergeCell ref="Z419:Z419"/>
    <mergeCell ref="AA419:AA419"/>
    <mergeCell ref="AB419:AB419"/>
    <mergeCell ref="AC419:AC419"/>
    <mergeCell ref="AD419:AD419"/>
    <mergeCell ref="AE419:AE419"/>
    <mergeCell ref="AF419:AF419"/>
    <mergeCell ref="A420:A420"/>
    <mergeCell ref="B420:B420"/>
    <mergeCell ref="C420:C420"/>
    <mergeCell ref="F420:F420"/>
    <mergeCell ref="G420:G420"/>
    <mergeCell ref="H420:H420"/>
    <mergeCell ref="M420:M420"/>
    <mergeCell ref="N420:N420"/>
    <mergeCell ref="O420:O420"/>
    <mergeCell ref="P420:P420"/>
    <mergeCell ref="Q420:Q420"/>
    <mergeCell ref="R420:R420"/>
    <mergeCell ref="S420:S420"/>
    <mergeCell ref="X420:X420"/>
    <mergeCell ref="Y420:Y420"/>
    <mergeCell ref="Z420:Z420"/>
    <mergeCell ref="AA420:AA420"/>
    <mergeCell ref="AB420:AB420"/>
    <mergeCell ref="AC420:AC420"/>
    <mergeCell ref="AD420:AD420"/>
    <mergeCell ref="AE420:AE420"/>
    <mergeCell ref="AF420:AF420"/>
    <mergeCell ref="A421:A421"/>
    <mergeCell ref="B421:B421"/>
    <mergeCell ref="C421:C421"/>
    <mergeCell ref="F421:F421"/>
    <mergeCell ref="G421:G421"/>
    <mergeCell ref="H421:H421"/>
    <mergeCell ref="M421:M421"/>
    <mergeCell ref="N421:N421"/>
    <mergeCell ref="O421:O421"/>
    <mergeCell ref="P421:P421"/>
    <mergeCell ref="Q421:Q421"/>
    <mergeCell ref="R421:R421"/>
    <mergeCell ref="S421:S421"/>
    <mergeCell ref="X421:X421"/>
    <mergeCell ref="Y421:Y421"/>
    <mergeCell ref="Z421:Z421"/>
    <mergeCell ref="AA421:AA421"/>
    <mergeCell ref="AB421:AB421"/>
    <mergeCell ref="AC421:AC421"/>
    <mergeCell ref="AD421:AD421"/>
    <mergeCell ref="AE421:AE421"/>
    <mergeCell ref="AF421:AF421"/>
    <mergeCell ref="A422:A422"/>
    <mergeCell ref="B422:B422"/>
    <mergeCell ref="C422:C422"/>
    <mergeCell ref="F422:F422"/>
    <mergeCell ref="G422:G422"/>
    <mergeCell ref="H422:H422"/>
    <mergeCell ref="M422:M422"/>
    <mergeCell ref="N422:N422"/>
    <mergeCell ref="O422:O422"/>
    <mergeCell ref="P422:P422"/>
    <mergeCell ref="Q422:Q422"/>
    <mergeCell ref="R422:R422"/>
    <mergeCell ref="S422:S422"/>
    <mergeCell ref="X422:X422"/>
    <mergeCell ref="Y422:Y422"/>
    <mergeCell ref="Z422:Z422"/>
    <mergeCell ref="AA422:AA422"/>
    <mergeCell ref="AB422:AB422"/>
    <mergeCell ref="AC422:AC422"/>
    <mergeCell ref="AD422:AD422"/>
    <mergeCell ref="AE422:AE422"/>
    <mergeCell ref="AF422:AF422"/>
    <mergeCell ref="A423:A423"/>
    <mergeCell ref="B423:B423"/>
    <mergeCell ref="C423:C423"/>
    <mergeCell ref="F423:F423"/>
    <mergeCell ref="G423:G423"/>
    <mergeCell ref="H423:H423"/>
    <mergeCell ref="M423:M423"/>
    <mergeCell ref="N423:N423"/>
    <mergeCell ref="O423:O423"/>
    <mergeCell ref="P423:P423"/>
    <mergeCell ref="Q423:Q423"/>
    <mergeCell ref="R423:R423"/>
    <mergeCell ref="S423:S423"/>
    <mergeCell ref="X423:X423"/>
    <mergeCell ref="Y423:Y423"/>
    <mergeCell ref="Z423:Z423"/>
    <mergeCell ref="AA423:AA423"/>
    <mergeCell ref="AB423:AB423"/>
    <mergeCell ref="AC423:AC423"/>
    <mergeCell ref="AD423:AD423"/>
    <mergeCell ref="AE423:AE423"/>
    <mergeCell ref="AF423:AF423"/>
    <mergeCell ref="A424:A424"/>
    <mergeCell ref="B424:B424"/>
    <mergeCell ref="C424:C424"/>
    <mergeCell ref="F424:F424"/>
    <mergeCell ref="G424:G424"/>
    <mergeCell ref="H424:H424"/>
    <mergeCell ref="M424:M424"/>
    <mergeCell ref="N424:N424"/>
    <mergeCell ref="O424:O424"/>
    <mergeCell ref="P424:P424"/>
    <mergeCell ref="Q424:Q424"/>
    <mergeCell ref="R424:R424"/>
    <mergeCell ref="S424:S424"/>
    <mergeCell ref="X424:X424"/>
    <mergeCell ref="Y424:Y424"/>
    <mergeCell ref="Z424:Z424"/>
    <mergeCell ref="AA424:AA424"/>
    <mergeCell ref="AB424:AB424"/>
    <mergeCell ref="AC424:AC424"/>
    <mergeCell ref="AD424:AD424"/>
    <mergeCell ref="AE424:AE424"/>
    <mergeCell ref="AF424:AF424"/>
    <mergeCell ref="A425:A425"/>
    <mergeCell ref="B425:B425"/>
    <mergeCell ref="C425:C425"/>
    <mergeCell ref="F425:F425"/>
    <mergeCell ref="G425:G425"/>
    <mergeCell ref="H425:H425"/>
    <mergeCell ref="M425:M425"/>
    <mergeCell ref="N425:N425"/>
    <mergeCell ref="O425:O425"/>
    <mergeCell ref="P425:P425"/>
    <mergeCell ref="Q425:Q425"/>
    <mergeCell ref="R425:R425"/>
    <mergeCell ref="S425:S425"/>
    <mergeCell ref="X425:X425"/>
    <mergeCell ref="Y425:Y425"/>
    <mergeCell ref="Z425:Z425"/>
    <mergeCell ref="AA425:AA425"/>
    <mergeCell ref="AB425:AB425"/>
    <mergeCell ref="AC425:AC425"/>
    <mergeCell ref="AD425:AD425"/>
    <mergeCell ref="AE425:AE425"/>
    <mergeCell ref="AF425:AF425"/>
    <mergeCell ref="A426:A426"/>
    <mergeCell ref="B426:B426"/>
    <mergeCell ref="C426:C426"/>
    <mergeCell ref="F426:F426"/>
    <mergeCell ref="G426:G426"/>
    <mergeCell ref="H426:H426"/>
    <mergeCell ref="M426:M426"/>
    <mergeCell ref="N426:N426"/>
    <mergeCell ref="O426:O426"/>
    <mergeCell ref="P426:P426"/>
    <mergeCell ref="Q426:Q426"/>
    <mergeCell ref="R426:R426"/>
    <mergeCell ref="S426:S426"/>
    <mergeCell ref="X426:X426"/>
    <mergeCell ref="Y426:Y426"/>
    <mergeCell ref="Z426:Z426"/>
    <mergeCell ref="AA426:AA426"/>
    <mergeCell ref="AB426:AB426"/>
    <mergeCell ref="AC426:AC426"/>
    <mergeCell ref="AD426:AD426"/>
    <mergeCell ref="AE426:AE426"/>
    <mergeCell ref="AF426:AF426"/>
    <mergeCell ref="A427:A427"/>
    <mergeCell ref="B427:B427"/>
    <mergeCell ref="C427:C427"/>
    <mergeCell ref="F427:F427"/>
    <mergeCell ref="G427:G427"/>
    <mergeCell ref="H427:H427"/>
    <mergeCell ref="M427:M427"/>
    <mergeCell ref="N427:N427"/>
    <mergeCell ref="O427:O427"/>
    <mergeCell ref="P427:P427"/>
    <mergeCell ref="Q427:Q427"/>
    <mergeCell ref="R427:R427"/>
    <mergeCell ref="S427:S427"/>
    <mergeCell ref="X427:X427"/>
    <mergeCell ref="Y427:Y427"/>
    <mergeCell ref="Z427:Z427"/>
    <mergeCell ref="AA427:AA427"/>
    <mergeCell ref="AB427:AB427"/>
    <mergeCell ref="AC427:AC427"/>
    <mergeCell ref="AD427:AD427"/>
    <mergeCell ref="AE427:AE427"/>
    <mergeCell ref="AF427:AF427"/>
    <mergeCell ref="A428:A428"/>
    <mergeCell ref="B428:B428"/>
    <mergeCell ref="C428:C428"/>
    <mergeCell ref="F428:F428"/>
    <mergeCell ref="G428:G428"/>
    <mergeCell ref="H428:H428"/>
    <mergeCell ref="M428:M428"/>
    <mergeCell ref="N428:N428"/>
    <mergeCell ref="O428:O428"/>
    <mergeCell ref="P428:P428"/>
    <mergeCell ref="Q428:Q428"/>
    <mergeCell ref="R428:R428"/>
    <mergeCell ref="S428:S428"/>
    <mergeCell ref="X428:X428"/>
    <mergeCell ref="Y428:Y428"/>
    <mergeCell ref="Z428:Z428"/>
    <mergeCell ref="AA428:AA428"/>
    <mergeCell ref="AB428:AB428"/>
    <mergeCell ref="AC428:AC428"/>
    <mergeCell ref="AD428:AD428"/>
    <mergeCell ref="AE428:AE428"/>
    <mergeCell ref="AF428:AF428"/>
    <mergeCell ref="A429:A429"/>
    <mergeCell ref="B429:B429"/>
    <mergeCell ref="C429:C429"/>
    <mergeCell ref="F429:F429"/>
    <mergeCell ref="G429:G429"/>
    <mergeCell ref="H429:H429"/>
    <mergeCell ref="M429:M429"/>
    <mergeCell ref="N429:N429"/>
    <mergeCell ref="O429:O429"/>
    <mergeCell ref="P429:P429"/>
    <mergeCell ref="Q429:Q429"/>
    <mergeCell ref="R429:R429"/>
    <mergeCell ref="S429:S429"/>
    <mergeCell ref="X429:X429"/>
    <mergeCell ref="Y429:Y429"/>
    <mergeCell ref="Z429:Z429"/>
    <mergeCell ref="AA429:AA429"/>
    <mergeCell ref="AB429:AB429"/>
    <mergeCell ref="AC429:AC429"/>
    <mergeCell ref="AD429:AD429"/>
    <mergeCell ref="AE429:AE429"/>
    <mergeCell ref="AF429:AF429"/>
    <mergeCell ref="A430:A430"/>
    <mergeCell ref="B430:B430"/>
    <mergeCell ref="C430:C430"/>
    <mergeCell ref="F430:F430"/>
    <mergeCell ref="G430:G430"/>
    <mergeCell ref="H430:H430"/>
    <mergeCell ref="M430:M430"/>
    <mergeCell ref="N430:N430"/>
    <mergeCell ref="O430:O430"/>
    <mergeCell ref="P430:P430"/>
    <mergeCell ref="Q430:Q430"/>
    <mergeCell ref="R430:R430"/>
    <mergeCell ref="S430:S430"/>
    <mergeCell ref="X430:X430"/>
    <mergeCell ref="Y430:Y430"/>
    <mergeCell ref="Z430:Z430"/>
    <mergeCell ref="AA430:AA430"/>
    <mergeCell ref="AB430:AB430"/>
    <mergeCell ref="AC430:AC430"/>
    <mergeCell ref="AD430:AD430"/>
    <mergeCell ref="AE430:AE430"/>
    <mergeCell ref="AF430:AF430"/>
    <mergeCell ref="A431:A431"/>
    <mergeCell ref="B431:B431"/>
    <mergeCell ref="C431:C431"/>
    <mergeCell ref="F431:F431"/>
    <mergeCell ref="G431:G431"/>
    <mergeCell ref="H431:H431"/>
    <mergeCell ref="M431:M431"/>
    <mergeCell ref="N431:N431"/>
    <mergeCell ref="O431:O431"/>
    <mergeCell ref="P431:P431"/>
    <mergeCell ref="Q431:Q431"/>
    <mergeCell ref="R431:R431"/>
    <mergeCell ref="S431:S431"/>
    <mergeCell ref="X431:X431"/>
    <mergeCell ref="Y431:Y431"/>
    <mergeCell ref="Z431:Z431"/>
    <mergeCell ref="AA431:AA431"/>
    <mergeCell ref="AB431:AB431"/>
    <mergeCell ref="AC431:AC431"/>
    <mergeCell ref="AD431:AD431"/>
    <mergeCell ref="AE431:AE431"/>
    <mergeCell ref="AF431:AF431"/>
    <mergeCell ref="A432:A432"/>
    <mergeCell ref="B432:B432"/>
    <mergeCell ref="C432:C432"/>
    <mergeCell ref="F432:F432"/>
    <mergeCell ref="G432:G432"/>
    <mergeCell ref="H432:H432"/>
    <mergeCell ref="M432:M432"/>
    <mergeCell ref="N432:N432"/>
    <mergeCell ref="O432:O432"/>
    <mergeCell ref="P432:P432"/>
    <mergeCell ref="Q432:Q432"/>
    <mergeCell ref="R432:R432"/>
    <mergeCell ref="S432:S432"/>
    <mergeCell ref="X432:X432"/>
    <mergeCell ref="Y432:Y432"/>
    <mergeCell ref="Z432:Z432"/>
    <mergeCell ref="AA432:AA432"/>
    <mergeCell ref="AB432:AB432"/>
    <mergeCell ref="AC432:AC432"/>
    <mergeCell ref="AD432:AD432"/>
    <mergeCell ref="AE432:AE432"/>
    <mergeCell ref="AF432:AF432"/>
    <mergeCell ref="A433:A433"/>
    <mergeCell ref="B433:B433"/>
    <mergeCell ref="C433:C433"/>
    <mergeCell ref="F433:F433"/>
    <mergeCell ref="G433:G433"/>
    <mergeCell ref="H433:H433"/>
    <mergeCell ref="M433:M433"/>
    <mergeCell ref="N433:N433"/>
    <mergeCell ref="O433:O433"/>
    <mergeCell ref="P433:P433"/>
    <mergeCell ref="Q433:Q433"/>
    <mergeCell ref="R433:R433"/>
    <mergeCell ref="S433:S433"/>
    <mergeCell ref="X433:X433"/>
    <mergeCell ref="Y433:Y433"/>
    <mergeCell ref="Z433:Z433"/>
    <mergeCell ref="AA433:AA433"/>
    <mergeCell ref="AB433:AB433"/>
    <mergeCell ref="AC433:AC433"/>
    <mergeCell ref="AD433:AD433"/>
    <mergeCell ref="AE433:AE433"/>
    <mergeCell ref="AF433:AF433"/>
    <mergeCell ref="A434:A434"/>
    <mergeCell ref="B434:B434"/>
    <mergeCell ref="C434:C434"/>
    <mergeCell ref="F434:F434"/>
    <mergeCell ref="G434:G434"/>
    <mergeCell ref="H434:H434"/>
    <mergeCell ref="M434:M434"/>
    <mergeCell ref="N434:N434"/>
    <mergeCell ref="O434:O434"/>
    <mergeCell ref="P434:P434"/>
    <mergeCell ref="Q434:Q434"/>
    <mergeCell ref="R434:R434"/>
    <mergeCell ref="S434:S434"/>
    <mergeCell ref="X434:X434"/>
    <mergeCell ref="Y434:Y434"/>
    <mergeCell ref="Z434:Z434"/>
    <mergeCell ref="AA434:AA434"/>
    <mergeCell ref="AB434:AB434"/>
    <mergeCell ref="AC434:AC434"/>
    <mergeCell ref="AD434:AD434"/>
    <mergeCell ref="AE434:AE434"/>
    <mergeCell ref="AF434:AF434"/>
    <mergeCell ref="A435:A435"/>
    <mergeCell ref="B435:B435"/>
    <mergeCell ref="C435:C435"/>
    <mergeCell ref="F435:F435"/>
    <mergeCell ref="G435:G435"/>
    <mergeCell ref="H435:H435"/>
    <mergeCell ref="M435:M435"/>
    <mergeCell ref="N435:N435"/>
    <mergeCell ref="O435:O435"/>
    <mergeCell ref="P435:P435"/>
    <mergeCell ref="Q435:Q435"/>
    <mergeCell ref="R435:R435"/>
    <mergeCell ref="S435:S435"/>
    <mergeCell ref="X435:X435"/>
    <mergeCell ref="Y435:Y435"/>
    <mergeCell ref="Z435:Z435"/>
    <mergeCell ref="AA435:AA435"/>
    <mergeCell ref="AB435:AB435"/>
    <mergeCell ref="AC435:AC435"/>
    <mergeCell ref="AD435:AD435"/>
    <mergeCell ref="AE435:AE435"/>
    <mergeCell ref="AF435:AF435"/>
    <mergeCell ref="A436:A436"/>
    <mergeCell ref="B436:B436"/>
    <mergeCell ref="C436:C436"/>
    <mergeCell ref="F436:F436"/>
    <mergeCell ref="G436:G436"/>
    <mergeCell ref="H436:H436"/>
    <mergeCell ref="M436:M436"/>
    <mergeCell ref="N436:N436"/>
    <mergeCell ref="O436:O436"/>
    <mergeCell ref="P436:P436"/>
    <mergeCell ref="Q436:Q436"/>
    <mergeCell ref="R436:R436"/>
    <mergeCell ref="S436:S436"/>
    <mergeCell ref="X436:X436"/>
    <mergeCell ref="Y436:Y436"/>
    <mergeCell ref="Z436:Z436"/>
    <mergeCell ref="AA436:AA436"/>
    <mergeCell ref="AB436:AB436"/>
    <mergeCell ref="AC436:AC436"/>
    <mergeCell ref="AD436:AD436"/>
    <mergeCell ref="AE436:AE436"/>
    <mergeCell ref="AF436:AF436"/>
    <mergeCell ref="A437:A437"/>
    <mergeCell ref="B437:B437"/>
    <mergeCell ref="C437:C437"/>
    <mergeCell ref="F437:F437"/>
    <mergeCell ref="G437:G437"/>
    <mergeCell ref="H437:H437"/>
    <mergeCell ref="M437:M437"/>
    <mergeCell ref="N437:N437"/>
    <mergeCell ref="O437:O437"/>
    <mergeCell ref="P437:P437"/>
    <mergeCell ref="Q437:Q437"/>
    <mergeCell ref="R437:R437"/>
    <mergeCell ref="S437:S437"/>
    <mergeCell ref="X437:X437"/>
    <mergeCell ref="Y437:Y437"/>
    <mergeCell ref="Z437:Z437"/>
    <mergeCell ref="AA437:AA437"/>
    <mergeCell ref="AB437:AB437"/>
    <mergeCell ref="AC437:AC437"/>
    <mergeCell ref="AD437:AD437"/>
    <mergeCell ref="AE437:AE437"/>
    <mergeCell ref="AF437:AF437"/>
    <mergeCell ref="A438:A438"/>
    <mergeCell ref="B438:B438"/>
    <mergeCell ref="C438:C438"/>
    <mergeCell ref="F438:F438"/>
    <mergeCell ref="G438:G438"/>
    <mergeCell ref="H438:H438"/>
    <mergeCell ref="M438:M438"/>
    <mergeCell ref="N438:N438"/>
    <mergeCell ref="O438:O438"/>
    <mergeCell ref="P438:P438"/>
    <mergeCell ref="Q438:Q438"/>
    <mergeCell ref="R438:R438"/>
    <mergeCell ref="S438:S438"/>
    <mergeCell ref="X438:X438"/>
    <mergeCell ref="Y438:Y438"/>
    <mergeCell ref="Z438:Z438"/>
    <mergeCell ref="AA438:AA438"/>
    <mergeCell ref="AB438:AB438"/>
    <mergeCell ref="AC438:AC438"/>
    <mergeCell ref="AD438:AD438"/>
    <mergeCell ref="AE438:AE438"/>
    <mergeCell ref="AF438:AF438"/>
    <mergeCell ref="A439:A439"/>
    <mergeCell ref="B439:B439"/>
    <mergeCell ref="C439:C439"/>
    <mergeCell ref="F439:F439"/>
    <mergeCell ref="G439:G439"/>
    <mergeCell ref="H439:H439"/>
    <mergeCell ref="M439:M439"/>
    <mergeCell ref="N439:N439"/>
    <mergeCell ref="O439:O439"/>
    <mergeCell ref="P439:P439"/>
    <mergeCell ref="Q439:Q439"/>
    <mergeCell ref="R439:R439"/>
    <mergeCell ref="S439:S439"/>
    <mergeCell ref="X439:X439"/>
    <mergeCell ref="Y439:Y439"/>
    <mergeCell ref="Z439:Z439"/>
    <mergeCell ref="AA439:AA439"/>
    <mergeCell ref="AB439:AB439"/>
    <mergeCell ref="AC439:AC439"/>
    <mergeCell ref="AD439:AD439"/>
    <mergeCell ref="AE439:AE439"/>
    <mergeCell ref="AF439:AF439"/>
    <mergeCell ref="A440:A440"/>
    <mergeCell ref="B440:B440"/>
    <mergeCell ref="C440:C440"/>
    <mergeCell ref="F440:F440"/>
    <mergeCell ref="G440:G440"/>
    <mergeCell ref="H440:H440"/>
    <mergeCell ref="M440:M440"/>
    <mergeCell ref="N440:N440"/>
    <mergeCell ref="O440:O440"/>
    <mergeCell ref="P440:P440"/>
    <mergeCell ref="Q440:Q440"/>
    <mergeCell ref="R440:R440"/>
    <mergeCell ref="S440:S440"/>
    <mergeCell ref="X440:X440"/>
    <mergeCell ref="Y440:Y440"/>
    <mergeCell ref="Z440:Z440"/>
    <mergeCell ref="AA440:AA440"/>
    <mergeCell ref="AB440:AB440"/>
    <mergeCell ref="AC440:AC440"/>
    <mergeCell ref="AD440:AD440"/>
    <mergeCell ref="AE440:AE440"/>
    <mergeCell ref="AF440:AF440"/>
    <mergeCell ref="A441:A441"/>
    <mergeCell ref="B441:B441"/>
    <mergeCell ref="C441:C441"/>
    <mergeCell ref="F441:F441"/>
    <mergeCell ref="G441:G441"/>
    <mergeCell ref="H441:H441"/>
    <mergeCell ref="M441:M441"/>
    <mergeCell ref="N441:N441"/>
    <mergeCell ref="O441:O441"/>
    <mergeCell ref="P441:P441"/>
    <mergeCell ref="Q441:Q441"/>
    <mergeCell ref="R441:R441"/>
    <mergeCell ref="S441:S441"/>
    <mergeCell ref="X441:X441"/>
    <mergeCell ref="Y441:Y441"/>
    <mergeCell ref="Z441:Z441"/>
    <mergeCell ref="AA441:AA441"/>
    <mergeCell ref="AB441:AB441"/>
    <mergeCell ref="AC441:AC441"/>
    <mergeCell ref="AD441:AD441"/>
    <mergeCell ref="AE441:AE441"/>
    <mergeCell ref="AF441:AF441"/>
    <mergeCell ref="A442:A442"/>
    <mergeCell ref="B442:B442"/>
    <mergeCell ref="C442:C442"/>
    <mergeCell ref="F442:F442"/>
    <mergeCell ref="G442:G442"/>
    <mergeCell ref="H442:H442"/>
    <mergeCell ref="M442:M442"/>
    <mergeCell ref="N442:N442"/>
    <mergeCell ref="O442:O442"/>
    <mergeCell ref="P442:P442"/>
    <mergeCell ref="Q442:Q442"/>
    <mergeCell ref="R442:R442"/>
    <mergeCell ref="S442:S442"/>
    <mergeCell ref="X442:X442"/>
    <mergeCell ref="Y442:Y442"/>
    <mergeCell ref="Z442:Z442"/>
    <mergeCell ref="AA442:AA442"/>
    <mergeCell ref="AB442:AB442"/>
    <mergeCell ref="AC442:AC442"/>
    <mergeCell ref="AD442:AD442"/>
    <mergeCell ref="AE442:AE442"/>
    <mergeCell ref="AF442:AF442"/>
    <mergeCell ref="A443:A443"/>
    <mergeCell ref="B443:B443"/>
    <mergeCell ref="C443:C443"/>
    <mergeCell ref="F443:F443"/>
    <mergeCell ref="G443:G443"/>
    <mergeCell ref="H443:H443"/>
    <mergeCell ref="M443:M443"/>
    <mergeCell ref="N443:N443"/>
    <mergeCell ref="O443:O443"/>
    <mergeCell ref="P443:P443"/>
    <mergeCell ref="Q443:Q443"/>
    <mergeCell ref="R443:R443"/>
    <mergeCell ref="S443:S443"/>
    <mergeCell ref="X443:X443"/>
    <mergeCell ref="Y443:Y443"/>
    <mergeCell ref="Z443:Z443"/>
    <mergeCell ref="AA443:AA443"/>
    <mergeCell ref="AB443:AB443"/>
    <mergeCell ref="AC443:AC443"/>
    <mergeCell ref="AD443:AD443"/>
    <mergeCell ref="AE443:AE443"/>
    <mergeCell ref="AF443:AF443"/>
    <mergeCell ref="A444:A444"/>
    <mergeCell ref="B444:B444"/>
    <mergeCell ref="C444:C444"/>
    <mergeCell ref="F444:F444"/>
    <mergeCell ref="G444:G444"/>
    <mergeCell ref="H444:H444"/>
    <mergeCell ref="M444:M444"/>
    <mergeCell ref="N444:N444"/>
    <mergeCell ref="O444:O444"/>
    <mergeCell ref="P444:P444"/>
    <mergeCell ref="Q444:Q444"/>
    <mergeCell ref="R444:R444"/>
    <mergeCell ref="S444:S444"/>
    <mergeCell ref="X444:X444"/>
    <mergeCell ref="Y444:Y444"/>
    <mergeCell ref="Z444:Z444"/>
    <mergeCell ref="AA444:AA444"/>
    <mergeCell ref="AB444:AB444"/>
    <mergeCell ref="AC444:AC444"/>
    <mergeCell ref="AD444:AD444"/>
    <mergeCell ref="AE444:AE444"/>
    <mergeCell ref="AF444:AF444"/>
    <mergeCell ref="A445:A445"/>
    <mergeCell ref="B445:B445"/>
    <mergeCell ref="C445:C445"/>
    <mergeCell ref="F445:F445"/>
    <mergeCell ref="G445:G445"/>
    <mergeCell ref="H445:H445"/>
    <mergeCell ref="M445:M445"/>
    <mergeCell ref="N445:N445"/>
    <mergeCell ref="O445:O445"/>
    <mergeCell ref="P445:P445"/>
    <mergeCell ref="Q445:Q445"/>
    <mergeCell ref="R445:R445"/>
    <mergeCell ref="S445:S445"/>
    <mergeCell ref="X445:X445"/>
    <mergeCell ref="Y445:Y445"/>
    <mergeCell ref="Z445:Z445"/>
    <mergeCell ref="AA445:AA445"/>
    <mergeCell ref="AB445:AB445"/>
    <mergeCell ref="AC445:AC445"/>
    <mergeCell ref="AD445:AD445"/>
    <mergeCell ref="AE445:AE445"/>
    <mergeCell ref="AF445:AF445"/>
    <mergeCell ref="A446:A446"/>
    <mergeCell ref="B446:B446"/>
    <mergeCell ref="C446:C446"/>
    <mergeCell ref="F446:F446"/>
    <mergeCell ref="G446:G446"/>
    <mergeCell ref="H446:H446"/>
    <mergeCell ref="M446:M446"/>
    <mergeCell ref="N446:N446"/>
    <mergeCell ref="O446:O446"/>
    <mergeCell ref="P446:P446"/>
    <mergeCell ref="Q446:Q446"/>
    <mergeCell ref="R446:R446"/>
    <mergeCell ref="S446:S446"/>
    <mergeCell ref="X446:X446"/>
    <mergeCell ref="Y446:Y446"/>
    <mergeCell ref="Z446:Z446"/>
    <mergeCell ref="AA446:AA446"/>
    <mergeCell ref="AB446:AB446"/>
    <mergeCell ref="AC446:AC446"/>
    <mergeCell ref="AD446:AD446"/>
    <mergeCell ref="AE446:AE446"/>
    <mergeCell ref="AF446:AF446"/>
    <mergeCell ref="A447:A447"/>
    <mergeCell ref="B447:B447"/>
    <mergeCell ref="C447:C447"/>
    <mergeCell ref="F447:F447"/>
    <mergeCell ref="G447:G447"/>
    <mergeCell ref="H447:H447"/>
    <mergeCell ref="M447:M447"/>
    <mergeCell ref="N447:N447"/>
    <mergeCell ref="O447:O447"/>
    <mergeCell ref="P447:P447"/>
    <mergeCell ref="Q447:Q447"/>
    <mergeCell ref="R447:R447"/>
    <mergeCell ref="S447:S447"/>
    <mergeCell ref="X447:X447"/>
    <mergeCell ref="Y447:Y447"/>
    <mergeCell ref="Z447:Z447"/>
    <mergeCell ref="AA447:AA447"/>
    <mergeCell ref="AB447:AB447"/>
    <mergeCell ref="AC447:AC447"/>
    <mergeCell ref="AD447:AD447"/>
    <mergeCell ref="AE447:AE447"/>
    <mergeCell ref="AF447:AF447"/>
    <mergeCell ref="A448:A448"/>
    <mergeCell ref="B448:B448"/>
    <mergeCell ref="C448:C448"/>
    <mergeCell ref="F448:F448"/>
    <mergeCell ref="G448:G448"/>
    <mergeCell ref="H448:H448"/>
    <mergeCell ref="M448:M448"/>
    <mergeCell ref="N448:N448"/>
    <mergeCell ref="O448:O448"/>
    <mergeCell ref="P448:P448"/>
    <mergeCell ref="Q448:Q448"/>
    <mergeCell ref="R448:R448"/>
    <mergeCell ref="S448:S448"/>
    <mergeCell ref="X448:X448"/>
    <mergeCell ref="Y448:Y448"/>
    <mergeCell ref="Z448:Z448"/>
    <mergeCell ref="AA448:AA448"/>
    <mergeCell ref="AB448:AB448"/>
    <mergeCell ref="AC448:AC448"/>
    <mergeCell ref="AD448:AD448"/>
    <mergeCell ref="AE448:AE448"/>
    <mergeCell ref="AF448:AF448"/>
    <mergeCell ref="A449:A449"/>
    <mergeCell ref="B449:B449"/>
    <mergeCell ref="C449:C449"/>
    <mergeCell ref="F449:F449"/>
    <mergeCell ref="G449:G449"/>
    <mergeCell ref="H449:H449"/>
    <mergeCell ref="M449:M449"/>
    <mergeCell ref="N449:N449"/>
    <mergeCell ref="O449:O449"/>
    <mergeCell ref="P449:P449"/>
    <mergeCell ref="Q449:Q449"/>
    <mergeCell ref="R449:R449"/>
    <mergeCell ref="S449:S449"/>
    <mergeCell ref="X449:X449"/>
    <mergeCell ref="Y449:Y449"/>
    <mergeCell ref="Z449:Z449"/>
    <mergeCell ref="AA449:AA449"/>
    <mergeCell ref="AB449:AB449"/>
    <mergeCell ref="AC449:AC449"/>
    <mergeCell ref="AD449:AD449"/>
    <mergeCell ref="AE449:AE449"/>
    <mergeCell ref="AF449:AF449"/>
    <mergeCell ref="A450:A450"/>
    <mergeCell ref="B450:B450"/>
    <mergeCell ref="C450:C450"/>
    <mergeCell ref="F450:F450"/>
    <mergeCell ref="G450:G450"/>
    <mergeCell ref="H450:H450"/>
    <mergeCell ref="M450:M450"/>
    <mergeCell ref="N450:N450"/>
    <mergeCell ref="O450:O450"/>
    <mergeCell ref="P450:P450"/>
    <mergeCell ref="Q450:Q450"/>
    <mergeCell ref="R450:R450"/>
    <mergeCell ref="S450:S450"/>
    <mergeCell ref="X450:X450"/>
    <mergeCell ref="Y450:Y450"/>
    <mergeCell ref="Z450:Z450"/>
    <mergeCell ref="AA450:AA450"/>
    <mergeCell ref="AB450:AB450"/>
    <mergeCell ref="AC450:AC450"/>
    <mergeCell ref="AD450:AD450"/>
    <mergeCell ref="AE450:AE450"/>
    <mergeCell ref="AF450:AF450"/>
    <mergeCell ref="A451:A451"/>
    <mergeCell ref="B451:B451"/>
    <mergeCell ref="C451:C451"/>
    <mergeCell ref="F451:F451"/>
    <mergeCell ref="G451:G451"/>
    <mergeCell ref="H451:H451"/>
    <mergeCell ref="M451:M451"/>
    <mergeCell ref="N451:N451"/>
    <mergeCell ref="O451:O451"/>
    <mergeCell ref="P451:P451"/>
    <mergeCell ref="Q451:Q451"/>
    <mergeCell ref="R451:R451"/>
    <mergeCell ref="S451:S451"/>
    <mergeCell ref="X451:X451"/>
    <mergeCell ref="Y451:Y451"/>
    <mergeCell ref="Z451:Z451"/>
    <mergeCell ref="AA451:AA451"/>
    <mergeCell ref="AB451:AB451"/>
    <mergeCell ref="AC451:AC451"/>
    <mergeCell ref="AD451:AD451"/>
    <mergeCell ref="AE451:AE451"/>
    <mergeCell ref="AF451:AF451"/>
    <mergeCell ref="A452:A452"/>
    <mergeCell ref="B452:B452"/>
    <mergeCell ref="C452:C452"/>
    <mergeCell ref="F452:F452"/>
    <mergeCell ref="G452:G452"/>
    <mergeCell ref="H452:H452"/>
    <mergeCell ref="M452:M452"/>
    <mergeCell ref="N452:N452"/>
    <mergeCell ref="O452:O452"/>
    <mergeCell ref="P452:P452"/>
    <mergeCell ref="Q452:Q452"/>
    <mergeCell ref="R452:R452"/>
    <mergeCell ref="S452:S452"/>
    <mergeCell ref="X452:X452"/>
    <mergeCell ref="Y452:Y452"/>
    <mergeCell ref="Z452:Z452"/>
    <mergeCell ref="AA452:AA452"/>
    <mergeCell ref="AB452:AB452"/>
    <mergeCell ref="AC452:AC452"/>
    <mergeCell ref="AD452:AD452"/>
    <mergeCell ref="AE452:AE452"/>
    <mergeCell ref="AF452:AF452"/>
    <mergeCell ref="A453:A453"/>
    <mergeCell ref="B453:B453"/>
    <mergeCell ref="C453:C453"/>
    <mergeCell ref="F453:F453"/>
    <mergeCell ref="G453:G453"/>
    <mergeCell ref="H453:H453"/>
    <mergeCell ref="M453:M453"/>
    <mergeCell ref="N453:N453"/>
    <mergeCell ref="O453:O453"/>
    <mergeCell ref="P453:P453"/>
    <mergeCell ref="Q453:Q453"/>
    <mergeCell ref="R453:R453"/>
    <mergeCell ref="S453:S453"/>
    <mergeCell ref="X453:X453"/>
    <mergeCell ref="Y453:Y453"/>
    <mergeCell ref="Z453:Z453"/>
    <mergeCell ref="AA453:AA453"/>
    <mergeCell ref="AB453:AB453"/>
    <mergeCell ref="AC453:AC453"/>
    <mergeCell ref="AD453:AD453"/>
    <mergeCell ref="AE453:AE453"/>
    <mergeCell ref="AF453:AF453"/>
    <mergeCell ref="A454:A454"/>
    <mergeCell ref="B454:B454"/>
    <mergeCell ref="C454:C454"/>
    <mergeCell ref="F454:F454"/>
    <mergeCell ref="G454:G454"/>
    <mergeCell ref="H454:H454"/>
    <mergeCell ref="M454:M454"/>
    <mergeCell ref="N454:N454"/>
    <mergeCell ref="O454:O454"/>
    <mergeCell ref="P454:P454"/>
    <mergeCell ref="Q454:Q454"/>
    <mergeCell ref="R454:R454"/>
    <mergeCell ref="S454:S454"/>
    <mergeCell ref="X454:X454"/>
    <mergeCell ref="Y454:Y454"/>
    <mergeCell ref="Z454:Z454"/>
    <mergeCell ref="AA454:AA454"/>
    <mergeCell ref="AB454:AB454"/>
    <mergeCell ref="AC454:AC454"/>
    <mergeCell ref="AD454:AD454"/>
    <mergeCell ref="AE454:AE454"/>
    <mergeCell ref="AF454:AF454"/>
    <mergeCell ref="A455:A455"/>
    <mergeCell ref="B455:B455"/>
    <mergeCell ref="C455:C455"/>
    <mergeCell ref="F455:F455"/>
    <mergeCell ref="G455:G455"/>
    <mergeCell ref="H455:H455"/>
    <mergeCell ref="M455:M455"/>
    <mergeCell ref="N455:N455"/>
    <mergeCell ref="O455:O455"/>
    <mergeCell ref="P455:P455"/>
    <mergeCell ref="Q455:Q455"/>
    <mergeCell ref="R455:R455"/>
    <mergeCell ref="S455:S455"/>
    <mergeCell ref="X455:X455"/>
    <mergeCell ref="Y455:Y455"/>
    <mergeCell ref="Z455:Z455"/>
    <mergeCell ref="AA455:AA455"/>
    <mergeCell ref="AB455:AB455"/>
    <mergeCell ref="AC455:AC455"/>
    <mergeCell ref="AD455:AD455"/>
    <mergeCell ref="AE455:AE455"/>
    <mergeCell ref="AF455:AF455"/>
    <mergeCell ref="A456:A456"/>
    <mergeCell ref="B456:B456"/>
    <mergeCell ref="C456:C456"/>
    <mergeCell ref="F456:F456"/>
    <mergeCell ref="G456:G456"/>
    <mergeCell ref="H456:H456"/>
    <mergeCell ref="M456:M456"/>
    <mergeCell ref="N456:N456"/>
    <mergeCell ref="O456:O456"/>
    <mergeCell ref="P456:P456"/>
    <mergeCell ref="Q456:Q456"/>
    <mergeCell ref="R456:R456"/>
    <mergeCell ref="S456:S456"/>
    <mergeCell ref="X456:X456"/>
    <mergeCell ref="Y456:Y456"/>
    <mergeCell ref="Z456:Z456"/>
    <mergeCell ref="AA456:AA456"/>
    <mergeCell ref="AB456:AB456"/>
    <mergeCell ref="AC456:AC456"/>
    <mergeCell ref="AD456:AD456"/>
    <mergeCell ref="AE456:AE456"/>
    <mergeCell ref="AF456:AF456"/>
    <mergeCell ref="A457:A457"/>
    <mergeCell ref="B457:B457"/>
    <mergeCell ref="C457:C457"/>
    <mergeCell ref="F457:F457"/>
    <mergeCell ref="G457:G457"/>
    <mergeCell ref="H457:H457"/>
    <mergeCell ref="M457:M457"/>
    <mergeCell ref="N457:N457"/>
    <mergeCell ref="O457:O457"/>
    <mergeCell ref="P457:P457"/>
    <mergeCell ref="Q457:Q457"/>
    <mergeCell ref="R457:R457"/>
    <mergeCell ref="S457:S457"/>
    <mergeCell ref="X457:X457"/>
    <mergeCell ref="Y457:Y457"/>
    <mergeCell ref="Z457:Z457"/>
    <mergeCell ref="AA457:AA457"/>
    <mergeCell ref="AB457:AB457"/>
    <mergeCell ref="AC457:AC457"/>
    <mergeCell ref="AD457:AD457"/>
    <mergeCell ref="AE457:AE457"/>
    <mergeCell ref="AF457:AF457"/>
    <mergeCell ref="A458:A458"/>
    <mergeCell ref="B458:B458"/>
    <mergeCell ref="C458:C458"/>
    <mergeCell ref="F458:F458"/>
    <mergeCell ref="G458:G458"/>
    <mergeCell ref="H458:H458"/>
    <mergeCell ref="M458:M458"/>
    <mergeCell ref="N458:N458"/>
    <mergeCell ref="O458:O458"/>
    <mergeCell ref="P458:P458"/>
    <mergeCell ref="Q458:Q458"/>
    <mergeCell ref="R458:R458"/>
    <mergeCell ref="S458:S458"/>
    <mergeCell ref="X458:X458"/>
    <mergeCell ref="Y458:Y458"/>
    <mergeCell ref="Z458:Z458"/>
    <mergeCell ref="AA458:AA458"/>
    <mergeCell ref="AB458:AB458"/>
    <mergeCell ref="AC458:AC458"/>
    <mergeCell ref="AD458:AD458"/>
    <mergeCell ref="AE458:AE458"/>
    <mergeCell ref="AF458:AF458"/>
    <mergeCell ref="A459:A459"/>
    <mergeCell ref="B459:B459"/>
    <mergeCell ref="C459:C459"/>
    <mergeCell ref="F459:F459"/>
    <mergeCell ref="G459:G459"/>
    <mergeCell ref="H459:H459"/>
    <mergeCell ref="M459:M459"/>
    <mergeCell ref="N459:N459"/>
    <mergeCell ref="O459:O459"/>
    <mergeCell ref="P459:P459"/>
    <mergeCell ref="Q459:Q459"/>
    <mergeCell ref="R459:R459"/>
    <mergeCell ref="S459:S459"/>
    <mergeCell ref="X459:X459"/>
    <mergeCell ref="Y459:Y459"/>
    <mergeCell ref="Z459:Z459"/>
    <mergeCell ref="AA459:AA459"/>
    <mergeCell ref="AB459:AB459"/>
    <mergeCell ref="AC459:AC459"/>
    <mergeCell ref="AD459:AD459"/>
    <mergeCell ref="AE459:AE459"/>
    <mergeCell ref="AF459:AF459"/>
    <mergeCell ref="A460:A460"/>
    <mergeCell ref="B460:B460"/>
    <mergeCell ref="C460:C460"/>
    <mergeCell ref="F460:F460"/>
    <mergeCell ref="G460:G460"/>
    <mergeCell ref="H460:H460"/>
    <mergeCell ref="M460:M460"/>
    <mergeCell ref="N460:N460"/>
    <mergeCell ref="O460:O460"/>
    <mergeCell ref="P460:P460"/>
    <mergeCell ref="Q460:Q460"/>
    <mergeCell ref="R460:R460"/>
    <mergeCell ref="S460:S460"/>
    <mergeCell ref="X460:X460"/>
    <mergeCell ref="Y460:Y460"/>
    <mergeCell ref="Z460:Z460"/>
    <mergeCell ref="AA460:AA460"/>
    <mergeCell ref="AB460:AB460"/>
    <mergeCell ref="AC460:AC460"/>
    <mergeCell ref="AD460:AD460"/>
    <mergeCell ref="AE460:AE460"/>
    <mergeCell ref="AF460:AF460"/>
    <mergeCell ref="A461:A461"/>
    <mergeCell ref="B461:B461"/>
    <mergeCell ref="C461:C461"/>
    <mergeCell ref="F461:F461"/>
    <mergeCell ref="G461:G461"/>
    <mergeCell ref="H461:H461"/>
    <mergeCell ref="M461:M461"/>
    <mergeCell ref="N461:N461"/>
    <mergeCell ref="O461:O461"/>
    <mergeCell ref="P461:P461"/>
    <mergeCell ref="Q461:Q461"/>
    <mergeCell ref="R461:R461"/>
    <mergeCell ref="S461:S461"/>
    <mergeCell ref="X461:X461"/>
    <mergeCell ref="Y461:Y461"/>
    <mergeCell ref="Z461:Z461"/>
    <mergeCell ref="AA461:AA461"/>
    <mergeCell ref="AB461:AB461"/>
    <mergeCell ref="AC461:AC461"/>
    <mergeCell ref="AD461:AD461"/>
    <mergeCell ref="AE461:AE461"/>
    <mergeCell ref="AF461:AF461"/>
    <mergeCell ref="A462:A462"/>
    <mergeCell ref="B462:B462"/>
    <mergeCell ref="C462:C462"/>
    <mergeCell ref="F462:F462"/>
    <mergeCell ref="G462:G462"/>
    <mergeCell ref="H462:H462"/>
    <mergeCell ref="M462:M462"/>
    <mergeCell ref="N462:N462"/>
    <mergeCell ref="O462:O462"/>
    <mergeCell ref="P462:P462"/>
    <mergeCell ref="Q462:Q462"/>
    <mergeCell ref="R462:R462"/>
    <mergeCell ref="S462:S462"/>
    <mergeCell ref="X462:X462"/>
    <mergeCell ref="Y462:Y462"/>
    <mergeCell ref="Z462:Z462"/>
    <mergeCell ref="AA462:AA462"/>
    <mergeCell ref="AB462:AB462"/>
    <mergeCell ref="AC462:AC462"/>
    <mergeCell ref="AD462:AD462"/>
    <mergeCell ref="AE462:AE462"/>
    <mergeCell ref="AF462:AF462"/>
    <mergeCell ref="A463:A463"/>
    <mergeCell ref="B463:B463"/>
    <mergeCell ref="C463:C463"/>
    <mergeCell ref="F463:F463"/>
    <mergeCell ref="G463:G463"/>
    <mergeCell ref="H463:H463"/>
    <mergeCell ref="M463:M463"/>
    <mergeCell ref="N463:N463"/>
    <mergeCell ref="O463:O463"/>
    <mergeCell ref="P463:P463"/>
    <mergeCell ref="Q463:Q463"/>
    <mergeCell ref="R463:R463"/>
    <mergeCell ref="S463:S463"/>
    <mergeCell ref="X463:X463"/>
    <mergeCell ref="Y463:Y463"/>
    <mergeCell ref="Z463:Z463"/>
    <mergeCell ref="AA463:AA463"/>
    <mergeCell ref="AB463:AB463"/>
    <mergeCell ref="AC463:AC463"/>
    <mergeCell ref="AD463:AD463"/>
    <mergeCell ref="AE463:AE463"/>
    <mergeCell ref="AF463:AF463"/>
    <mergeCell ref="A464:A464"/>
    <mergeCell ref="B464:B464"/>
    <mergeCell ref="C464:C464"/>
    <mergeCell ref="F464:F464"/>
    <mergeCell ref="G464:G464"/>
    <mergeCell ref="H464:H464"/>
    <mergeCell ref="M464:M464"/>
    <mergeCell ref="N464:N464"/>
    <mergeCell ref="O464:O464"/>
    <mergeCell ref="P464:P464"/>
    <mergeCell ref="Q464:Q464"/>
    <mergeCell ref="R464:R464"/>
    <mergeCell ref="S464:S464"/>
    <mergeCell ref="X464:X464"/>
    <mergeCell ref="Y464:Y464"/>
    <mergeCell ref="Z464:Z464"/>
    <mergeCell ref="AA464:AA464"/>
    <mergeCell ref="AB464:AB464"/>
    <mergeCell ref="AC464:AC464"/>
    <mergeCell ref="AD464:AD464"/>
    <mergeCell ref="AE464:AE464"/>
    <mergeCell ref="AF464:AF464"/>
    <mergeCell ref="A465:A465"/>
    <mergeCell ref="B465:B465"/>
    <mergeCell ref="C465:C465"/>
    <mergeCell ref="F465:F465"/>
    <mergeCell ref="G465:G465"/>
    <mergeCell ref="H465:H465"/>
    <mergeCell ref="M465:M465"/>
    <mergeCell ref="N465:N465"/>
    <mergeCell ref="O465:O465"/>
    <mergeCell ref="P465:P465"/>
    <mergeCell ref="Q465:Q465"/>
    <mergeCell ref="R465:R465"/>
    <mergeCell ref="S465:S465"/>
    <mergeCell ref="X465:X465"/>
    <mergeCell ref="Y465:Y465"/>
    <mergeCell ref="Z465:Z465"/>
    <mergeCell ref="AA465:AA465"/>
    <mergeCell ref="AB465:AB465"/>
    <mergeCell ref="AC465:AC465"/>
    <mergeCell ref="AD465:AD465"/>
    <mergeCell ref="AE465:AE465"/>
    <mergeCell ref="AF465:AF465"/>
    <mergeCell ref="A466:A466"/>
    <mergeCell ref="B466:B466"/>
    <mergeCell ref="C466:C466"/>
    <mergeCell ref="F466:F466"/>
    <mergeCell ref="G466:G466"/>
    <mergeCell ref="H466:H466"/>
    <mergeCell ref="M466:M466"/>
    <mergeCell ref="N466:N466"/>
    <mergeCell ref="O466:O466"/>
    <mergeCell ref="P466:P466"/>
    <mergeCell ref="Q466:Q466"/>
    <mergeCell ref="R466:R466"/>
    <mergeCell ref="S466:S466"/>
    <mergeCell ref="X466:X466"/>
    <mergeCell ref="Y466:Y466"/>
    <mergeCell ref="Z466:Z466"/>
    <mergeCell ref="AA466:AA466"/>
    <mergeCell ref="AB466:AB466"/>
    <mergeCell ref="AC466:AC466"/>
    <mergeCell ref="AD466:AD466"/>
    <mergeCell ref="AE466:AE466"/>
    <mergeCell ref="AF466:AF466"/>
    <mergeCell ref="A467:A467"/>
    <mergeCell ref="B467:B467"/>
    <mergeCell ref="C467:C467"/>
    <mergeCell ref="F467:F467"/>
    <mergeCell ref="G467:G467"/>
    <mergeCell ref="H467:H467"/>
    <mergeCell ref="M467:M467"/>
    <mergeCell ref="N467:N467"/>
    <mergeCell ref="O467:O467"/>
    <mergeCell ref="P467:P467"/>
    <mergeCell ref="Q467:Q467"/>
    <mergeCell ref="R467:R467"/>
    <mergeCell ref="S467:S467"/>
    <mergeCell ref="X467:X467"/>
    <mergeCell ref="Y467:Y467"/>
    <mergeCell ref="Z467:Z467"/>
    <mergeCell ref="AA467:AA467"/>
    <mergeCell ref="AB467:AB467"/>
    <mergeCell ref="AC467:AC467"/>
    <mergeCell ref="AD467:AD467"/>
    <mergeCell ref="AE467:AE467"/>
    <mergeCell ref="AF467:AF467"/>
    <mergeCell ref="A468:A468"/>
    <mergeCell ref="B468:B468"/>
    <mergeCell ref="C468:C468"/>
    <mergeCell ref="F468:F468"/>
    <mergeCell ref="G468:G468"/>
    <mergeCell ref="H468:H468"/>
    <mergeCell ref="M468:M468"/>
    <mergeCell ref="N468:N468"/>
    <mergeCell ref="O468:O468"/>
    <mergeCell ref="P468:P468"/>
    <mergeCell ref="Q468:Q468"/>
    <mergeCell ref="R468:R468"/>
    <mergeCell ref="S468:S468"/>
    <mergeCell ref="X468:X468"/>
    <mergeCell ref="Y468:Y468"/>
    <mergeCell ref="Z468:Z468"/>
    <mergeCell ref="AA468:AA468"/>
    <mergeCell ref="AB468:AB468"/>
    <mergeCell ref="AC468:AC468"/>
    <mergeCell ref="AD468:AD468"/>
    <mergeCell ref="AE468:AE468"/>
    <mergeCell ref="AF468:AF468"/>
    <mergeCell ref="A469:A469"/>
    <mergeCell ref="B469:B469"/>
    <mergeCell ref="C469:C469"/>
    <mergeCell ref="F469:F469"/>
    <mergeCell ref="G469:G469"/>
    <mergeCell ref="H469:H469"/>
    <mergeCell ref="M469:M469"/>
    <mergeCell ref="N469:N469"/>
    <mergeCell ref="O469:O469"/>
    <mergeCell ref="P469:P469"/>
    <mergeCell ref="Q469:Q469"/>
    <mergeCell ref="R469:R469"/>
    <mergeCell ref="S469:S469"/>
    <mergeCell ref="X469:X469"/>
    <mergeCell ref="Y469:Y469"/>
    <mergeCell ref="Z469:Z469"/>
    <mergeCell ref="AA469:AA469"/>
    <mergeCell ref="AB469:AB469"/>
    <mergeCell ref="AC469:AC469"/>
    <mergeCell ref="AD469:AD469"/>
    <mergeCell ref="AE469:AE469"/>
    <mergeCell ref="AF469:AF469"/>
    <mergeCell ref="A470:A470"/>
    <mergeCell ref="B470:B470"/>
    <mergeCell ref="C470:C470"/>
    <mergeCell ref="F470:F470"/>
    <mergeCell ref="G470:G470"/>
    <mergeCell ref="H470:H470"/>
    <mergeCell ref="M470:M470"/>
    <mergeCell ref="N470:N470"/>
    <mergeCell ref="O470:O470"/>
    <mergeCell ref="P470:P470"/>
    <mergeCell ref="Q470:Q470"/>
    <mergeCell ref="R470:R470"/>
    <mergeCell ref="S470:S470"/>
    <mergeCell ref="X470:X470"/>
    <mergeCell ref="Y470:Y470"/>
    <mergeCell ref="Z470:Z470"/>
    <mergeCell ref="AA470:AA470"/>
    <mergeCell ref="AB470:AB470"/>
    <mergeCell ref="AC470:AC470"/>
    <mergeCell ref="AD470:AD470"/>
    <mergeCell ref="AE470:AE470"/>
    <mergeCell ref="AF470:AF470"/>
    <mergeCell ref="A471:A471"/>
    <mergeCell ref="B471:B471"/>
    <mergeCell ref="C471:C471"/>
    <mergeCell ref="F471:F471"/>
    <mergeCell ref="G471:G471"/>
    <mergeCell ref="H471:H471"/>
    <mergeCell ref="M471:M471"/>
    <mergeCell ref="N471:N471"/>
    <mergeCell ref="O471:O471"/>
    <mergeCell ref="P471:P471"/>
    <mergeCell ref="Q471:Q471"/>
    <mergeCell ref="R471:R471"/>
    <mergeCell ref="S471:S471"/>
    <mergeCell ref="X471:X471"/>
    <mergeCell ref="Y471:Y471"/>
    <mergeCell ref="Z471:Z471"/>
    <mergeCell ref="AA471:AA471"/>
    <mergeCell ref="AB471:AB471"/>
    <mergeCell ref="AC471:AC471"/>
    <mergeCell ref="AD471:AD471"/>
    <mergeCell ref="AE471:AE471"/>
    <mergeCell ref="AF471:AF471"/>
    <mergeCell ref="A472:A472"/>
    <mergeCell ref="B472:B472"/>
    <mergeCell ref="C472:C472"/>
    <mergeCell ref="F472:F472"/>
    <mergeCell ref="G472:G472"/>
    <mergeCell ref="H472:H472"/>
    <mergeCell ref="M472:M472"/>
    <mergeCell ref="N472:N472"/>
    <mergeCell ref="O472:O472"/>
    <mergeCell ref="P472:P472"/>
    <mergeCell ref="Q472:Q472"/>
    <mergeCell ref="R472:R472"/>
    <mergeCell ref="S472:S472"/>
    <mergeCell ref="X472:X472"/>
    <mergeCell ref="Y472:Y472"/>
    <mergeCell ref="Z472:Z472"/>
    <mergeCell ref="AA472:AA472"/>
    <mergeCell ref="AB472:AB472"/>
    <mergeCell ref="AC472:AC472"/>
    <mergeCell ref="AD472:AD472"/>
    <mergeCell ref="AE472:AE472"/>
    <mergeCell ref="AF472:AF472"/>
    <mergeCell ref="A473:A473"/>
    <mergeCell ref="B473:B473"/>
    <mergeCell ref="C473:C473"/>
    <mergeCell ref="F473:F473"/>
    <mergeCell ref="G473:G473"/>
    <mergeCell ref="H473:H473"/>
    <mergeCell ref="M473:M473"/>
    <mergeCell ref="N473:N473"/>
    <mergeCell ref="O473:O473"/>
    <mergeCell ref="P473:P473"/>
    <mergeCell ref="Q473:Q473"/>
    <mergeCell ref="R473:R473"/>
    <mergeCell ref="S473:S473"/>
    <mergeCell ref="X473:X473"/>
    <mergeCell ref="Y473:Y473"/>
    <mergeCell ref="Z473:Z473"/>
    <mergeCell ref="AA473:AA473"/>
    <mergeCell ref="AB473:AB473"/>
    <mergeCell ref="AC473:AC473"/>
    <mergeCell ref="AD473:AD473"/>
    <mergeCell ref="AE473:AE473"/>
    <mergeCell ref="AF473:AF473"/>
    <mergeCell ref="A474:A474"/>
    <mergeCell ref="B474:B474"/>
    <mergeCell ref="C474:C474"/>
    <mergeCell ref="F474:F474"/>
    <mergeCell ref="G474:G474"/>
    <mergeCell ref="H474:H474"/>
    <mergeCell ref="M474:M474"/>
    <mergeCell ref="N474:N474"/>
    <mergeCell ref="O474:O474"/>
    <mergeCell ref="P474:P474"/>
    <mergeCell ref="Q474:Q474"/>
    <mergeCell ref="R474:R474"/>
    <mergeCell ref="S474:S474"/>
    <mergeCell ref="X474:X474"/>
    <mergeCell ref="Y474:Y474"/>
    <mergeCell ref="Z474:Z474"/>
    <mergeCell ref="AA474:AA474"/>
    <mergeCell ref="AB474:AB474"/>
    <mergeCell ref="AC474:AC474"/>
    <mergeCell ref="AD474:AD474"/>
    <mergeCell ref="AE474:AE474"/>
    <mergeCell ref="AF474:AF474"/>
    <mergeCell ref="A475:A475"/>
    <mergeCell ref="B475:B475"/>
    <mergeCell ref="C475:C475"/>
    <mergeCell ref="F475:F475"/>
    <mergeCell ref="G475:G475"/>
    <mergeCell ref="H475:H475"/>
    <mergeCell ref="M475:M475"/>
    <mergeCell ref="N475:N475"/>
    <mergeCell ref="O475:O475"/>
    <mergeCell ref="P475:P475"/>
    <mergeCell ref="Q475:Q475"/>
    <mergeCell ref="R475:R475"/>
    <mergeCell ref="S475:S475"/>
    <mergeCell ref="X475:X475"/>
    <mergeCell ref="Y475:Y475"/>
    <mergeCell ref="Z475:Z475"/>
    <mergeCell ref="AA475:AA475"/>
    <mergeCell ref="AB475:AB475"/>
    <mergeCell ref="AC475:AC475"/>
    <mergeCell ref="AD475:AD475"/>
    <mergeCell ref="AE475:AE475"/>
    <mergeCell ref="AF475:AF475"/>
    <mergeCell ref="A476:A476"/>
    <mergeCell ref="B476:B476"/>
    <mergeCell ref="C476:C476"/>
    <mergeCell ref="F476:F476"/>
    <mergeCell ref="G476:G476"/>
    <mergeCell ref="H476:H476"/>
    <mergeCell ref="M476:M476"/>
    <mergeCell ref="N476:N476"/>
    <mergeCell ref="O476:O476"/>
    <mergeCell ref="P476:P476"/>
    <mergeCell ref="Q476:Q476"/>
    <mergeCell ref="R476:R476"/>
    <mergeCell ref="S476:S476"/>
    <mergeCell ref="X476:X476"/>
    <mergeCell ref="Y476:Y476"/>
    <mergeCell ref="Z476:Z476"/>
    <mergeCell ref="AA476:AA476"/>
    <mergeCell ref="AB476:AB476"/>
    <mergeCell ref="AC476:AC476"/>
    <mergeCell ref="AD476:AD476"/>
    <mergeCell ref="AE476:AE476"/>
    <mergeCell ref="AF476:AF476"/>
    <mergeCell ref="A477:A477"/>
    <mergeCell ref="B477:B477"/>
    <mergeCell ref="C477:C477"/>
    <mergeCell ref="F477:F477"/>
    <mergeCell ref="G477:G477"/>
    <mergeCell ref="H477:H477"/>
    <mergeCell ref="M477:M477"/>
    <mergeCell ref="N477:N477"/>
    <mergeCell ref="O477:O477"/>
    <mergeCell ref="P477:P477"/>
    <mergeCell ref="Q477:Q477"/>
    <mergeCell ref="R477:R477"/>
    <mergeCell ref="S477:S477"/>
    <mergeCell ref="X477:X477"/>
    <mergeCell ref="Y477:Y477"/>
    <mergeCell ref="Z477:Z477"/>
    <mergeCell ref="AA477:AA477"/>
    <mergeCell ref="AB477:AB477"/>
    <mergeCell ref="AC477:AC477"/>
    <mergeCell ref="AD477:AD477"/>
    <mergeCell ref="AE477:AE477"/>
    <mergeCell ref="AF477:AF477"/>
    <mergeCell ref="A478:A478"/>
    <mergeCell ref="B478:B478"/>
    <mergeCell ref="C478:C478"/>
    <mergeCell ref="F478:F478"/>
    <mergeCell ref="G478:G478"/>
    <mergeCell ref="H478:H478"/>
    <mergeCell ref="M478:M478"/>
    <mergeCell ref="N478:N478"/>
    <mergeCell ref="O478:O478"/>
    <mergeCell ref="P478:P478"/>
    <mergeCell ref="Q478:Q478"/>
    <mergeCell ref="R478:R478"/>
    <mergeCell ref="S478:S478"/>
    <mergeCell ref="X478:X478"/>
    <mergeCell ref="Y478:Y478"/>
    <mergeCell ref="Z478:Z478"/>
    <mergeCell ref="AA478:AA478"/>
    <mergeCell ref="AB478:AB478"/>
    <mergeCell ref="AC478:AC478"/>
    <mergeCell ref="AD478:AD478"/>
    <mergeCell ref="AE478:AE478"/>
    <mergeCell ref="AF478:AF478"/>
    <mergeCell ref="A479:A479"/>
    <mergeCell ref="B479:B479"/>
    <mergeCell ref="C479:C479"/>
    <mergeCell ref="F479:F479"/>
    <mergeCell ref="G479:G479"/>
    <mergeCell ref="H479:H479"/>
    <mergeCell ref="M479:M479"/>
    <mergeCell ref="N479:N479"/>
    <mergeCell ref="O479:O479"/>
    <mergeCell ref="P479:P479"/>
    <mergeCell ref="Q479:Q479"/>
    <mergeCell ref="R479:R479"/>
    <mergeCell ref="S479:S479"/>
    <mergeCell ref="X479:X479"/>
    <mergeCell ref="Y479:Y479"/>
    <mergeCell ref="Z479:Z479"/>
    <mergeCell ref="AA479:AA479"/>
    <mergeCell ref="AB479:AB479"/>
    <mergeCell ref="AC479:AC479"/>
    <mergeCell ref="AD479:AD479"/>
    <mergeCell ref="AE479:AE479"/>
    <mergeCell ref="AF479:AF479"/>
    <mergeCell ref="A480:A480"/>
    <mergeCell ref="B480:B480"/>
    <mergeCell ref="C480:C480"/>
    <mergeCell ref="F480:F480"/>
    <mergeCell ref="G480:G480"/>
    <mergeCell ref="H480:H480"/>
    <mergeCell ref="M480:M480"/>
    <mergeCell ref="N480:N480"/>
    <mergeCell ref="O480:O480"/>
    <mergeCell ref="P480:P480"/>
    <mergeCell ref="Q480:Q480"/>
    <mergeCell ref="R480:R480"/>
    <mergeCell ref="S480:S480"/>
    <mergeCell ref="X480:X480"/>
    <mergeCell ref="Y480:Y480"/>
    <mergeCell ref="Z480:Z480"/>
    <mergeCell ref="AA480:AA480"/>
    <mergeCell ref="AB480:AB480"/>
    <mergeCell ref="AC480:AC480"/>
    <mergeCell ref="AD480:AD480"/>
    <mergeCell ref="AE480:AE480"/>
    <mergeCell ref="AF480:AF480"/>
    <mergeCell ref="A481:A481"/>
    <mergeCell ref="B481:B481"/>
    <mergeCell ref="C481:C481"/>
    <mergeCell ref="F481:F481"/>
    <mergeCell ref="G481:G481"/>
    <mergeCell ref="H481:H481"/>
    <mergeCell ref="M481:M481"/>
    <mergeCell ref="N481:N481"/>
    <mergeCell ref="O481:O481"/>
    <mergeCell ref="P481:P481"/>
    <mergeCell ref="Q481:Q481"/>
    <mergeCell ref="R481:R481"/>
    <mergeCell ref="S481:S481"/>
    <mergeCell ref="X481:X481"/>
    <mergeCell ref="Y481:Y481"/>
    <mergeCell ref="Z481:Z481"/>
    <mergeCell ref="AA481:AA481"/>
    <mergeCell ref="AB481:AB481"/>
    <mergeCell ref="AC481:AC481"/>
    <mergeCell ref="AD481:AD481"/>
    <mergeCell ref="AE481:AE481"/>
    <mergeCell ref="AF481:AF481"/>
    <mergeCell ref="A482:A482"/>
    <mergeCell ref="B482:B482"/>
    <mergeCell ref="C482:C482"/>
    <mergeCell ref="F482:F482"/>
    <mergeCell ref="G482:G482"/>
    <mergeCell ref="H482:H482"/>
    <mergeCell ref="M482:M482"/>
    <mergeCell ref="N482:N482"/>
    <mergeCell ref="O482:O482"/>
    <mergeCell ref="P482:P482"/>
    <mergeCell ref="Q482:Q482"/>
    <mergeCell ref="R482:R482"/>
    <mergeCell ref="S482:S482"/>
    <mergeCell ref="X482:X482"/>
    <mergeCell ref="Y482:Y482"/>
    <mergeCell ref="Z482:Z482"/>
    <mergeCell ref="AA482:AA482"/>
    <mergeCell ref="AB482:AB482"/>
    <mergeCell ref="AC482:AC482"/>
    <mergeCell ref="AD482:AD482"/>
    <mergeCell ref="AE482:AE482"/>
    <mergeCell ref="AF482:AF482"/>
    <mergeCell ref="A483:A483"/>
    <mergeCell ref="B483:B483"/>
    <mergeCell ref="C483:C483"/>
    <mergeCell ref="F483:F483"/>
    <mergeCell ref="G483:G483"/>
    <mergeCell ref="H483:H483"/>
    <mergeCell ref="M483:M483"/>
    <mergeCell ref="N483:N483"/>
    <mergeCell ref="O483:O483"/>
    <mergeCell ref="P483:P483"/>
    <mergeCell ref="Q483:Q483"/>
    <mergeCell ref="R483:R483"/>
    <mergeCell ref="S483:S483"/>
    <mergeCell ref="X483:X483"/>
    <mergeCell ref="Y483:Y483"/>
    <mergeCell ref="Z483:Z483"/>
    <mergeCell ref="AA483:AA483"/>
    <mergeCell ref="AB483:AB483"/>
    <mergeCell ref="AC483:AC483"/>
    <mergeCell ref="AD483:AD483"/>
    <mergeCell ref="AE483:AE483"/>
    <mergeCell ref="AF483:AF483"/>
    <mergeCell ref="A484:A484"/>
    <mergeCell ref="B484:B484"/>
    <mergeCell ref="C484:C484"/>
    <mergeCell ref="F484:F484"/>
    <mergeCell ref="G484:G484"/>
    <mergeCell ref="H484:H484"/>
    <mergeCell ref="M484:M484"/>
    <mergeCell ref="N484:N484"/>
    <mergeCell ref="O484:O484"/>
    <mergeCell ref="P484:P484"/>
    <mergeCell ref="Q484:Q484"/>
    <mergeCell ref="R484:R484"/>
    <mergeCell ref="S484:S484"/>
    <mergeCell ref="X484:X484"/>
    <mergeCell ref="Y484:Y484"/>
    <mergeCell ref="Z484:Z484"/>
    <mergeCell ref="AA484:AA484"/>
    <mergeCell ref="AB484:AB484"/>
    <mergeCell ref="AC484:AC484"/>
    <mergeCell ref="AD484:AD484"/>
    <mergeCell ref="AE484:AE484"/>
    <mergeCell ref="AF484:AF484"/>
    <mergeCell ref="A485:A485"/>
    <mergeCell ref="B485:B485"/>
    <mergeCell ref="C485:C485"/>
    <mergeCell ref="F485:F485"/>
    <mergeCell ref="G485:G485"/>
    <mergeCell ref="H485:H485"/>
    <mergeCell ref="M485:M485"/>
    <mergeCell ref="N485:N485"/>
    <mergeCell ref="O485:O485"/>
    <mergeCell ref="P485:P485"/>
    <mergeCell ref="Q485:Q485"/>
    <mergeCell ref="R485:R485"/>
    <mergeCell ref="S485:S485"/>
    <mergeCell ref="X485:X485"/>
    <mergeCell ref="Y485:Y485"/>
    <mergeCell ref="Z485:Z485"/>
    <mergeCell ref="AA485:AA485"/>
    <mergeCell ref="AB485:AB485"/>
    <mergeCell ref="AC485:AC485"/>
    <mergeCell ref="AD485:AD485"/>
    <mergeCell ref="AE485:AE485"/>
    <mergeCell ref="AF485:AF485"/>
    <mergeCell ref="A486:A486"/>
    <mergeCell ref="B486:B486"/>
    <mergeCell ref="C486:C486"/>
    <mergeCell ref="F486:F486"/>
    <mergeCell ref="G486:G486"/>
    <mergeCell ref="H486:H486"/>
    <mergeCell ref="M486:M486"/>
    <mergeCell ref="N486:N486"/>
    <mergeCell ref="O486:O486"/>
    <mergeCell ref="P486:P486"/>
    <mergeCell ref="Q486:Q486"/>
    <mergeCell ref="R486:R486"/>
    <mergeCell ref="S486:S486"/>
    <mergeCell ref="X486:X486"/>
    <mergeCell ref="Y486:Y486"/>
    <mergeCell ref="Z486:Z486"/>
    <mergeCell ref="AA486:AA486"/>
    <mergeCell ref="AB486:AB486"/>
    <mergeCell ref="AC486:AC486"/>
    <mergeCell ref="AD486:AD486"/>
    <mergeCell ref="AE486:AE486"/>
    <mergeCell ref="AF486:AF486"/>
    <mergeCell ref="A487:A487"/>
    <mergeCell ref="B487:B487"/>
    <mergeCell ref="C487:C487"/>
    <mergeCell ref="F487:F487"/>
    <mergeCell ref="G487:G487"/>
    <mergeCell ref="H487:H487"/>
    <mergeCell ref="M487:M487"/>
    <mergeCell ref="N487:N487"/>
    <mergeCell ref="O487:O487"/>
    <mergeCell ref="P487:P487"/>
    <mergeCell ref="Q487:Q487"/>
    <mergeCell ref="R487:R487"/>
    <mergeCell ref="S487:S487"/>
    <mergeCell ref="X487:X487"/>
    <mergeCell ref="Y487:Y487"/>
    <mergeCell ref="Z487:Z487"/>
    <mergeCell ref="AA487:AA487"/>
    <mergeCell ref="AB487:AB487"/>
    <mergeCell ref="AC487:AC487"/>
    <mergeCell ref="AD487:AD487"/>
    <mergeCell ref="AE487:AE487"/>
    <mergeCell ref="AF487:AF487"/>
    <mergeCell ref="A488:A488"/>
    <mergeCell ref="B488:B488"/>
    <mergeCell ref="C488:C488"/>
    <mergeCell ref="F488:F488"/>
    <mergeCell ref="G488:G488"/>
    <mergeCell ref="H488:H488"/>
    <mergeCell ref="M488:M488"/>
    <mergeCell ref="N488:N488"/>
    <mergeCell ref="O488:O488"/>
    <mergeCell ref="P488:P488"/>
    <mergeCell ref="Q488:Q488"/>
    <mergeCell ref="R488:R488"/>
    <mergeCell ref="S488:S488"/>
    <mergeCell ref="X488:X488"/>
    <mergeCell ref="Y488:Y488"/>
    <mergeCell ref="Z488:Z488"/>
    <mergeCell ref="AA488:AA488"/>
    <mergeCell ref="AB488:AB488"/>
    <mergeCell ref="AC488:AC488"/>
    <mergeCell ref="AD488:AD488"/>
    <mergeCell ref="AE488:AE488"/>
    <mergeCell ref="AF488:AF488"/>
    <mergeCell ref="A489:A489"/>
    <mergeCell ref="B489:B489"/>
    <mergeCell ref="C489:C489"/>
    <mergeCell ref="F489:F489"/>
    <mergeCell ref="G489:G489"/>
    <mergeCell ref="H489:H489"/>
    <mergeCell ref="M489:M489"/>
    <mergeCell ref="N489:N489"/>
    <mergeCell ref="O489:O489"/>
    <mergeCell ref="P489:P489"/>
    <mergeCell ref="Q489:Q489"/>
    <mergeCell ref="R489:R489"/>
    <mergeCell ref="S489:S489"/>
    <mergeCell ref="X489:X489"/>
    <mergeCell ref="Y489:Y489"/>
    <mergeCell ref="Z489:Z489"/>
    <mergeCell ref="AA489:AA489"/>
    <mergeCell ref="AB489:AB489"/>
    <mergeCell ref="AC489:AC489"/>
    <mergeCell ref="AD489:AD489"/>
    <mergeCell ref="AE489:AE489"/>
    <mergeCell ref="AF489:AF489"/>
    <mergeCell ref="A490:A490"/>
    <mergeCell ref="B490:B490"/>
    <mergeCell ref="C490:C490"/>
    <mergeCell ref="F490:F490"/>
    <mergeCell ref="G490:G490"/>
    <mergeCell ref="H490:H490"/>
    <mergeCell ref="M490:M490"/>
    <mergeCell ref="N490:N490"/>
    <mergeCell ref="O490:O490"/>
    <mergeCell ref="P490:P490"/>
    <mergeCell ref="Q490:Q490"/>
    <mergeCell ref="R490:R490"/>
    <mergeCell ref="S490:S490"/>
    <mergeCell ref="X490:X490"/>
    <mergeCell ref="Y490:Y490"/>
    <mergeCell ref="Z490:Z490"/>
    <mergeCell ref="AA490:AA490"/>
    <mergeCell ref="AB490:AB490"/>
    <mergeCell ref="AC490:AC490"/>
    <mergeCell ref="AD490:AD490"/>
    <mergeCell ref="AE490:AE490"/>
    <mergeCell ref="AF490:AF490"/>
    <mergeCell ref="A491:A491"/>
    <mergeCell ref="B491:B491"/>
    <mergeCell ref="C491:C491"/>
    <mergeCell ref="F491:F491"/>
    <mergeCell ref="G491:G491"/>
    <mergeCell ref="H491:H491"/>
    <mergeCell ref="M491:M491"/>
    <mergeCell ref="N491:N491"/>
    <mergeCell ref="O491:O491"/>
    <mergeCell ref="P491:P491"/>
    <mergeCell ref="Q491:Q491"/>
    <mergeCell ref="R491:R491"/>
    <mergeCell ref="S491:S491"/>
    <mergeCell ref="X491:X491"/>
    <mergeCell ref="Y491:Y491"/>
    <mergeCell ref="Z491:Z491"/>
    <mergeCell ref="AA491:AA491"/>
    <mergeCell ref="AB491:AB491"/>
    <mergeCell ref="AC491:AC491"/>
    <mergeCell ref="AD491:AD491"/>
    <mergeCell ref="AE491:AE491"/>
    <mergeCell ref="AF491:AF491"/>
    <mergeCell ref="A492:A492"/>
    <mergeCell ref="B492:B492"/>
    <mergeCell ref="C492:C492"/>
    <mergeCell ref="F492:F492"/>
    <mergeCell ref="G492:G492"/>
    <mergeCell ref="H492:H492"/>
    <mergeCell ref="M492:M492"/>
    <mergeCell ref="N492:N492"/>
    <mergeCell ref="O492:O492"/>
    <mergeCell ref="P492:P492"/>
    <mergeCell ref="Q492:Q492"/>
    <mergeCell ref="R492:R492"/>
    <mergeCell ref="S492:S492"/>
    <mergeCell ref="X492:X492"/>
    <mergeCell ref="Y492:Y492"/>
    <mergeCell ref="Z492:Z492"/>
    <mergeCell ref="AA492:AA492"/>
    <mergeCell ref="AB492:AB492"/>
    <mergeCell ref="AC492:AC492"/>
    <mergeCell ref="AD492:AD492"/>
    <mergeCell ref="AE492:AE492"/>
    <mergeCell ref="AF492:AF492"/>
    <mergeCell ref="A493:A493"/>
    <mergeCell ref="B493:B493"/>
    <mergeCell ref="C493:C493"/>
    <mergeCell ref="F493:F493"/>
    <mergeCell ref="G493:G493"/>
    <mergeCell ref="H493:H493"/>
    <mergeCell ref="M493:M493"/>
    <mergeCell ref="N493:N493"/>
    <mergeCell ref="O493:O493"/>
    <mergeCell ref="P493:P493"/>
    <mergeCell ref="Q493:Q493"/>
    <mergeCell ref="R493:R493"/>
    <mergeCell ref="S493:S493"/>
    <mergeCell ref="X493:X493"/>
    <mergeCell ref="Y493:Y493"/>
    <mergeCell ref="Z493:Z493"/>
    <mergeCell ref="AA493:AA493"/>
    <mergeCell ref="AB493:AB493"/>
    <mergeCell ref="AC493:AC493"/>
    <mergeCell ref="AD493:AD493"/>
    <mergeCell ref="AE493:AE493"/>
    <mergeCell ref="AF493:AF493"/>
    <mergeCell ref="A494:A494"/>
    <mergeCell ref="B494:B494"/>
    <mergeCell ref="C494:C494"/>
    <mergeCell ref="F494:F494"/>
    <mergeCell ref="G494:G494"/>
    <mergeCell ref="H494:H494"/>
    <mergeCell ref="M494:M494"/>
    <mergeCell ref="N494:N494"/>
    <mergeCell ref="O494:O494"/>
    <mergeCell ref="P494:P494"/>
    <mergeCell ref="Q494:Q494"/>
    <mergeCell ref="R494:R494"/>
    <mergeCell ref="S494:S494"/>
    <mergeCell ref="X494:X494"/>
    <mergeCell ref="Y494:Y494"/>
    <mergeCell ref="Z494:Z494"/>
    <mergeCell ref="AA494:AA494"/>
    <mergeCell ref="AB494:AB494"/>
    <mergeCell ref="AC494:AC494"/>
    <mergeCell ref="AD494:AD494"/>
    <mergeCell ref="AE494:AE494"/>
    <mergeCell ref="AF494:AF494"/>
    <mergeCell ref="A495:A495"/>
    <mergeCell ref="B495:B495"/>
    <mergeCell ref="C495:C495"/>
    <mergeCell ref="F495:F495"/>
    <mergeCell ref="G495:G495"/>
    <mergeCell ref="H495:H495"/>
    <mergeCell ref="M495:M495"/>
    <mergeCell ref="N495:N495"/>
    <mergeCell ref="O495:O495"/>
    <mergeCell ref="P495:P495"/>
    <mergeCell ref="Q495:Q495"/>
    <mergeCell ref="R495:R495"/>
    <mergeCell ref="S495:S495"/>
    <mergeCell ref="X495:X495"/>
    <mergeCell ref="Y495:Y495"/>
    <mergeCell ref="Z495:Z495"/>
    <mergeCell ref="AA495:AA495"/>
    <mergeCell ref="AB495:AB495"/>
    <mergeCell ref="AC495:AC495"/>
    <mergeCell ref="AD495:AD495"/>
    <mergeCell ref="AE495:AE495"/>
    <mergeCell ref="AF495:AF495"/>
    <mergeCell ref="A496:A496"/>
    <mergeCell ref="B496:B496"/>
    <mergeCell ref="C496:C496"/>
    <mergeCell ref="F496:F496"/>
    <mergeCell ref="G496:G496"/>
    <mergeCell ref="H496:H496"/>
    <mergeCell ref="M496:M496"/>
    <mergeCell ref="N496:N496"/>
    <mergeCell ref="O496:O496"/>
    <mergeCell ref="P496:P496"/>
    <mergeCell ref="Q496:Q496"/>
    <mergeCell ref="R496:R496"/>
    <mergeCell ref="S496:S496"/>
    <mergeCell ref="X496:X496"/>
    <mergeCell ref="Y496:Y496"/>
    <mergeCell ref="Z496:Z496"/>
    <mergeCell ref="AA496:AA496"/>
    <mergeCell ref="AB496:AB496"/>
    <mergeCell ref="AC496:AC496"/>
    <mergeCell ref="AD496:AD496"/>
    <mergeCell ref="AE496:AE496"/>
    <mergeCell ref="AF496:AF496"/>
    <mergeCell ref="A497:A497"/>
    <mergeCell ref="B497:B497"/>
    <mergeCell ref="C497:C497"/>
    <mergeCell ref="F497:F497"/>
    <mergeCell ref="G497:G497"/>
    <mergeCell ref="H497:H497"/>
    <mergeCell ref="M497:M497"/>
    <mergeCell ref="N497:N497"/>
    <mergeCell ref="O497:O497"/>
    <mergeCell ref="P497:P497"/>
    <mergeCell ref="Q497:Q497"/>
    <mergeCell ref="R497:R497"/>
    <mergeCell ref="S497:S497"/>
    <mergeCell ref="X497:X497"/>
    <mergeCell ref="Y497:Y497"/>
    <mergeCell ref="Z497:Z497"/>
    <mergeCell ref="AA497:AA497"/>
    <mergeCell ref="AB497:AB497"/>
    <mergeCell ref="AC497:AC497"/>
    <mergeCell ref="AD497:AD497"/>
    <mergeCell ref="AE497:AE497"/>
    <mergeCell ref="AF497:AF497"/>
    <mergeCell ref="A498:A498"/>
    <mergeCell ref="B498:B498"/>
    <mergeCell ref="C498:C498"/>
    <mergeCell ref="F498:F498"/>
    <mergeCell ref="G498:G498"/>
    <mergeCell ref="H498:H498"/>
    <mergeCell ref="M498:M498"/>
    <mergeCell ref="N498:N498"/>
    <mergeCell ref="O498:O498"/>
    <mergeCell ref="P498:P498"/>
    <mergeCell ref="Q498:Q498"/>
    <mergeCell ref="R498:R498"/>
    <mergeCell ref="S498:S498"/>
    <mergeCell ref="X498:X498"/>
    <mergeCell ref="Y498:Y498"/>
    <mergeCell ref="Z498:Z498"/>
    <mergeCell ref="AA498:AA498"/>
    <mergeCell ref="AB498:AB498"/>
    <mergeCell ref="AC498:AC498"/>
    <mergeCell ref="AD498:AD498"/>
    <mergeCell ref="AE498:AE498"/>
    <mergeCell ref="AF498:AF498"/>
    <mergeCell ref="A499:A499"/>
    <mergeCell ref="B499:B499"/>
    <mergeCell ref="C499:C499"/>
    <mergeCell ref="F499:F499"/>
    <mergeCell ref="G499:G499"/>
    <mergeCell ref="H499:H499"/>
    <mergeCell ref="M499:M499"/>
    <mergeCell ref="N499:N499"/>
    <mergeCell ref="O499:O499"/>
    <mergeCell ref="P499:P499"/>
    <mergeCell ref="Q499:Q499"/>
    <mergeCell ref="R499:R499"/>
    <mergeCell ref="S499:S499"/>
    <mergeCell ref="X499:X499"/>
    <mergeCell ref="Y499:Y499"/>
    <mergeCell ref="Z499:Z499"/>
    <mergeCell ref="AA499:AA499"/>
    <mergeCell ref="AB499:AB499"/>
    <mergeCell ref="AC499:AC499"/>
    <mergeCell ref="AD499:AD499"/>
    <mergeCell ref="AE499:AE499"/>
    <mergeCell ref="AF499:AF499"/>
    <mergeCell ref="A500:A500"/>
    <mergeCell ref="B500:B500"/>
    <mergeCell ref="C500:C500"/>
    <mergeCell ref="F500:F500"/>
    <mergeCell ref="G500:G500"/>
    <mergeCell ref="H500:H500"/>
    <mergeCell ref="M500:M500"/>
    <mergeCell ref="N500:N500"/>
    <mergeCell ref="O500:O500"/>
    <mergeCell ref="P500:P500"/>
    <mergeCell ref="Q500:Q500"/>
    <mergeCell ref="R500:R500"/>
    <mergeCell ref="S500:S500"/>
    <mergeCell ref="X500:X500"/>
    <mergeCell ref="Y500:Y500"/>
    <mergeCell ref="Z500:Z500"/>
    <mergeCell ref="AA500:AA500"/>
    <mergeCell ref="AB500:AB500"/>
    <mergeCell ref="AC500:AC500"/>
    <mergeCell ref="AD500:AD500"/>
    <mergeCell ref="AE500:AE500"/>
    <mergeCell ref="AF500:AF500"/>
    <mergeCell ref="A501:A501"/>
    <mergeCell ref="B501:B501"/>
    <mergeCell ref="C501:C501"/>
    <mergeCell ref="F501:F501"/>
    <mergeCell ref="G501:G501"/>
    <mergeCell ref="H501:H501"/>
    <mergeCell ref="M501:M501"/>
    <mergeCell ref="N501:N501"/>
    <mergeCell ref="O501:O501"/>
    <mergeCell ref="P501:P501"/>
    <mergeCell ref="Q501:Q501"/>
    <mergeCell ref="R501:R501"/>
    <mergeCell ref="S501:S501"/>
    <mergeCell ref="X501:X501"/>
    <mergeCell ref="Y501:Y501"/>
    <mergeCell ref="Z501:Z501"/>
    <mergeCell ref="AA501:AA501"/>
    <mergeCell ref="AB501:AB501"/>
    <mergeCell ref="AC501:AC501"/>
    <mergeCell ref="AD501:AD501"/>
    <mergeCell ref="AE501:AE501"/>
    <mergeCell ref="AF501:AF501"/>
    <mergeCell ref="A502:A502"/>
    <mergeCell ref="B502:B502"/>
    <mergeCell ref="C502:C502"/>
    <mergeCell ref="F502:F502"/>
    <mergeCell ref="G502:G502"/>
    <mergeCell ref="H502:H502"/>
    <mergeCell ref="M502:M502"/>
    <mergeCell ref="N502:N502"/>
    <mergeCell ref="O502:O502"/>
    <mergeCell ref="P502:P502"/>
    <mergeCell ref="Q502:Q502"/>
    <mergeCell ref="R502:R502"/>
    <mergeCell ref="S502:S502"/>
    <mergeCell ref="X502:X502"/>
    <mergeCell ref="Y502:Y502"/>
    <mergeCell ref="Z502:Z502"/>
    <mergeCell ref="AA502:AA502"/>
    <mergeCell ref="AB502:AB502"/>
    <mergeCell ref="AC502:AC502"/>
    <mergeCell ref="AD502:AD502"/>
    <mergeCell ref="AE502:AE502"/>
    <mergeCell ref="AF502:AF502"/>
    <mergeCell ref="A503:A503"/>
    <mergeCell ref="B503:B503"/>
    <mergeCell ref="C503:C503"/>
    <mergeCell ref="F503:F503"/>
    <mergeCell ref="G503:G503"/>
    <mergeCell ref="H503:H503"/>
    <mergeCell ref="M503:M503"/>
    <mergeCell ref="N503:N503"/>
    <mergeCell ref="O503:O503"/>
    <mergeCell ref="P503:P503"/>
    <mergeCell ref="Q503:Q503"/>
    <mergeCell ref="R503:R503"/>
    <mergeCell ref="S503:S503"/>
    <mergeCell ref="X503:X503"/>
    <mergeCell ref="Y503:Y503"/>
    <mergeCell ref="Z503:Z503"/>
    <mergeCell ref="AA503:AA503"/>
    <mergeCell ref="AB503:AB503"/>
    <mergeCell ref="AC503:AC503"/>
    <mergeCell ref="AD503:AD503"/>
    <mergeCell ref="AE503:AE503"/>
    <mergeCell ref="AF503:AF503"/>
    <mergeCell ref="A504:A504"/>
    <mergeCell ref="B504:B504"/>
    <mergeCell ref="C504:C504"/>
    <mergeCell ref="F504:F504"/>
    <mergeCell ref="G504:G504"/>
    <mergeCell ref="H504:H504"/>
    <mergeCell ref="M504:M504"/>
    <mergeCell ref="N504:N504"/>
    <mergeCell ref="O504:O504"/>
    <mergeCell ref="P504:P504"/>
    <mergeCell ref="Q504:Q504"/>
    <mergeCell ref="R504:R504"/>
    <mergeCell ref="S504:S504"/>
    <mergeCell ref="X504:X504"/>
    <mergeCell ref="Y504:Y504"/>
    <mergeCell ref="Z504:Z504"/>
    <mergeCell ref="AA504:AA504"/>
    <mergeCell ref="AB504:AB504"/>
    <mergeCell ref="AC504:AC504"/>
    <mergeCell ref="AD504:AD504"/>
    <mergeCell ref="AE504:AE504"/>
    <mergeCell ref="AF504:AF504"/>
    <mergeCell ref="A505:A505"/>
    <mergeCell ref="B505:B505"/>
    <mergeCell ref="C505:C505"/>
    <mergeCell ref="F505:F505"/>
    <mergeCell ref="G505:G505"/>
    <mergeCell ref="H505:H505"/>
    <mergeCell ref="M505:M505"/>
    <mergeCell ref="N505:N505"/>
    <mergeCell ref="O505:O505"/>
    <mergeCell ref="P505:P505"/>
    <mergeCell ref="Q505:Q505"/>
    <mergeCell ref="R505:R505"/>
    <mergeCell ref="S505:S505"/>
    <mergeCell ref="X505:X505"/>
    <mergeCell ref="Y505:Y505"/>
    <mergeCell ref="Z505:Z505"/>
    <mergeCell ref="AA505:AA505"/>
    <mergeCell ref="AB505:AB505"/>
    <mergeCell ref="AC505:AC505"/>
    <mergeCell ref="AD505:AD505"/>
    <mergeCell ref="AE505:AE505"/>
    <mergeCell ref="AF505:AF505"/>
    <mergeCell ref="A506:A506"/>
    <mergeCell ref="B506:B506"/>
    <mergeCell ref="C506:C506"/>
    <mergeCell ref="F506:F506"/>
    <mergeCell ref="G506:G506"/>
    <mergeCell ref="H506:H506"/>
    <mergeCell ref="M506:M506"/>
    <mergeCell ref="N506:N506"/>
    <mergeCell ref="O506:O506"/>
    <mergeCell ref="P506:P506"/>
    <mergeCell ref="Q506:Q506"/>
    <mergeCell ref="R506:R506"/>
    <mergeCell ref="S506:S506"/>
    <mergeCell ref="X506:X506"/>
    <mergeCell ref="Y506:Y506"/>
    <mergeCell ref="Z506:Z506"/>
    <mergeCell ref="AA506:AA506"/>
    <mergeCell ref="AB506:AB506"/>
    <mergeCell ref="AC506:AC506"/>
    <mergeCell ref="AD506:AD506"/>
    <mergeCell ref="AE506:AE506"/>
    <mergeCell ref="AF506:AF506"/>
    <mergeCell ref="A507:A507"/>
    <mergeCell ref="B507:B507"/>
    <mergeCell ref="C507:C507"/>
    <mergeCell ref="F507:F507"/>
    <mergeCell ref="G507:G507"/>
    <mergeCell ref="H507:H507"/>
    <mergeCell ref="M507:M507"/>
    <mergeCell ref="N507:N507"/>
    <mergeCell ref="O507:O507"/>
    <mergeCell ref="P507:P507"/>
    <mergeCell ref="Q507:Q507"/>
    <mergeCell ref="R507:R507"/>
    <mergeCell ref="S507:S507"/>
    <mergeCell ref="X507:X507"/>
    <mergeCell ref="Y507:Y507"/>
    <mergeCell ref="Z507:Z507"/>
    <mergeCell ref="AA507:AA507"/>
    <mergeCell ref="AB507:AB507"/>
    <mergeCell ref="AC507:AC507"/>
    <mergeCell ref="AD507:AD507"/>
    <mergeCell ref="AE507:AE507"/>
    <mergeCell ref="AF507:AF507"/>
    <mergeCell ref="A508:A508"/>
    <mergeCell ref="B508:B508"/>
    <mergeCell ref="C508:C508"/>
    <mergeCell ref="F508:F508"/>
    <mergeCell ref="G508:G508"/>
    <mergeCell ref="H508:H508"/>
    <mergeCell ref="M508:M508"/>
    <mergeCell ref="N508:N508"/>
    <mergeCell ref="O508:O508"/>
    <mergeCell ref="P508:P508"/>
    <mergeCell ref="Q508:Q508"/>
    <mergeCell ref="R508:R508"/>
    <mergeCell ref="S508:S508"/>
    <mergeCell ref="X508:X508"/>
    <mergeCell ref="Y508:Y508"/>
    <mergeCell ref="Z508:Z508"/>
    <mergeCell ref="AA508:AA508"/>
    <mergeCell ref="AB508:AB508"/>
    <mergeCell ref="AC508:AC508"/>
    <mergeCell ref="AD508:AD508"/>
    <mergeCell ref="AE508:AE508"/>
    <mergeCell ref="AF508:AF508"/>
    <mergeCell ref="A509:A509"/>
    <mergeCell ref="B509:B509"/>
    <mergeCell ref="C509:C509"/>
    <mergeCell ref="F509:F509"/>
    <mergeCell ref="G509:G509"/>
    <mergeCell ref="H509:H509"/>
    <mergeCell ref="M509:M509"/>
    <mergeCell ref="N509:N509"/>
    <mergeCell ref="O509:O509"/>
    <mergeCell ref="P509:P509"/>
    <mergeCell ref="Q509:Q509"/>
    <mergeCell ref="R509:R509"/>
    <mergeCell ref="S509:S509"/>
    <mergeCell ref="X509:X509"/>
    <mergeCell ref="Y509:Y509"/>
    <mergeCell ref="Z509:Z509"/>
    <mergeCell ref="AA509:AA509"/>
    <mergeCell ref="AB509:AB509"/>
    <mergeCell ref="AC509:AC509"/>
    <mergeCell ref="AD509:AD509"/>
    <mergeCell ref="AE509:AE509"/>
    <mergeCell ref="AF509:AF509"/>
    <mergeCell ref="A510:A510"/>
    <mergeCell ref="B510:B510"/>
    <mergeCell ref="C510:C510"/>
    <mergeCell ref="F510:F510"/>
    <mergeCell ref="G510:G510"/>
    <mergeCell ref="H510:H510"/>
    <mergeCell ref="M510:M510"/>
    <mergeCell ref="N510:N510"/>
    <mergeCell ref="O510:O510"/>
    <mergeCell ref="P510:P510"/>
    <mergeCell ref="Q510:Q510"/>
    <mergeCell ref="R510:R510"/>
    <mergeCell ref="S510:S510"/>
    <mergeCell ref="X510:X510"/>
    <mergeCell ref="Y510:Y510"/>
    <mergeCell ref="Z510:Z510"/>
    <mergeCell ref="AA510:AA510"/>
    <mergeCell ref="AB510:AB510"/>
    <mergeCell ref="AC510:AC510"/>
    <mergeCell ref="AD510:AD510"/>
    <mergeCell ref="AE510:AE510"/>
    <mergeCell ref="AF510:AF510"/>
    <mergeCell ref="A511:A511"/>
    <mergeCell ref="B511:B511"/>
    <mergeCell ref="C511:C511"/>
    <mergeCell ref="F511:F511"/>
    <mergeCell ref="G511:G511"/>
    <mergeCell ref="H511:H511"/>
    <mergeCell ref="M511:M511"/>
    <mergeCell ref="N511:N511"/>
    <mergeCell ref="O511:O511"/>
    <mergeCell ref="P511:P511"/>
    <mergeCell ref="Q511:Q511"/>
    <mergeCell ref="R511:R511"/>
    <mergeCell ref="S511:S511"/>
    <mergeCell ref="X511:X511"/>
    <mergeCell ref="Y511:Y511"/>
    <mergeCell ref="Z511:Z511"/>
    <mergeCell ref="AA511:AA511"/>
    <mergeCell ref="AB511:AB511"/>
    <mergeCell ref="AC511:AC511"/>
    <mergeCell ref="AD511:AD511"/>
    <mergeCell ref="AE511:AE511"/>
    <mergeCell ref="AF511:AF511"/>
    <mergeCell ref="A512:A512"/>
    <mergeCell ref="B512:B512"/>
    <mergeCell ref="C512:C512"/>
    <mergeCell ref="F512:F512"/>
    <mergeCell ref="G512:G512"/>
    <mergeCell ref="H512:H512"/>
    <mergeCell ref="M512:M512"/>
    <mergeCell ref="N512:N512"/>
    <mergeCell ref="O512:O512"/>
    <mergeCell ref="P512:P512"/>
    <mergeCell ref="Q512:Q512"/>
    <mergeCell ref="R512:R512"/>
    <mergeCell ref="S512:S512"/>
    <mergeCell ref="X512:X512"/>
    <mergeCell ref="Y512:Y512"/>
    <mergeCell ref="Z512:Z512"/>
    <mergeCell ref="AA512:AA512"/>
    <mergeCell ref="AB512:AB512"/>
    <mergeCell ref="AC512:AC512"/>
    <mergeCell ref="AD512:AD512"/>
    <mergeCell ref="AE512:AE512"/>
    <mergeCell ref="AF512:AF512"/>
    <mergeCell ref="A513:A513"/>
    <mergeCell ref="B513:B513"/>
    <mergeCell ref="C513:C513"/>
    <mergeCell ref="F513:F513"/>
    <mergeCell ref="G513:G513"/>
    <mergeCell ref="H513:H513"/>
    <mergeCell ref="M513:M513"/>
    <mergeCell ref="N513:N513"/>
    <mergeCell ref="O513:O513"/>
    <mergeCell ref="P513:P513"/>
    <mergeCell ref="Q513:Q513"/>
    <mergeCell ref="R513:R513"/>
    <mergeCell ref="S513:S513"/>
    <mergeCell ref="X513:X513"/>
    <mergeCell ref="Y513:Y513"/>
    <mergeCell ref="Z513:Z513"/>
    <mergeCell ref="AA513:AA513"/>
    <mergeCell ref="AB513:AB513"/>
    <mergeCell ref="AC513:AC513"/>
    <mergeCell ref="AD513:AD513"/>
    <mergeCell ref="AE513:AE513"/>
    <mergeCell ref="AF513:AF513"/>
    <mergeCell ref="A514:A514"/>
    <mergeCell ref="B514:B514"/>
    <mergeCell ref="C514:C514"/>
    <mergeCell ref="F514:F514"/>
    <mergeCell ref="G514:G514"/>
    <mergeCell ref="H514:H514"/>
    <mergeCell ref="M514:M514"/>
    <mergeCell ref="N514:N514"/>
    <mergeCell ref="O514:O514"/>
    <mergeCell ref="P514:P514"/>
    <mergeCell ref="Q514:Q514"/>
    <mergeCell ref="R514:R514"/>
    <mergeCell ref="S514:S514"/>
    <mergeCell ref="X514:X514"/>
    <mergeCell ref="Y514:Y514"/>
    <mergeCell ref="Z514:Z514"/>
    <mergeCell ref="AA514:AA514"/>
    <mergeCell ref="AB514:AB514"/>
    <mergeCell ref="AC514:AC514"/>
    <mergeCell ref="AD514:AD514"/>
    <mergeCell ref="AE514:AE514"/>
    <mergeCell ref="AF514:AF514"/>
    <mergeCell ref="A515:A515"/>
    <mergeCell ref="B515:B515"/>
    <mergeCell ref="C515:C515"/>
    <mergeCell ref="F515:F515"/>
    <mergeCell ref="G515:G515"/>
    <mergeCell ref="H515:H515"/>
    <mergeCell ref="M515:M515"/>
    <mergeCell ref="N515:N515"/>
    <mergeCell ref="O515:O515"/>
    <mergeCell ref="P515:P515"/>
    <mergeCell ref="Q515:Q515"/>
    <mergeCell ref="R515:R515"/>
    <mergeCell ref="S515:S515"/>
    <mergeCell ref="X515:X515"/>
    <mergeCell ref="Y515:Y515"/>
    <mergeCell ref="Z515:Z515"/>
    <mergeCell ref="AA515:AA515"/>
    <mergeCell ref="AB515:AB515"/>
    <mergeCell ref="AC515:AC515"/>
    <mergeCell ref="AD515:AD515"/>
    <mergeCell ref="AE515:AE515"/>
    <mergeCell ref="AF515:AF515"/>
    <mergeCell ref="A516:A516"/>
    <mergeCell ref="B516:B516"/>
    <mergeCell ref="C516:C516"/>
    <mergeCell ref="F516:F516"/>
    <mergeCell ref="G516:G516"/>
    <mergeCell ref="H516:H516"/>
    <mergeCell ref="M516:M516"/>
    <mergeCell ref="N516:N516"/>
    <mergeCell ref="O516:O516"/>
    <mergeCell ref="P516:P516"/>
    <mergeCell ref="Q516:Q516"/>
    <mergeCell ref="R516:R516"/>
    <mergeCell ref="S516:S516"/>
    <mergeCell ref="X516:X516"/>
    <mergeCell ref="Y516:Y516"/>
    <mergeCell ref="Z516:Z516"/>
    <mergeCell ref="AA516:AA516"/>
    <mergeCell ref="AB516:AB516"/>
    <mergeCell ref="AC516:AC516"/>
    <mergeCell ref="AD516:AD516"/>
    <mergeCell ref="AE516:AE516"/>
    <mergeCell ref="AF516:AF516"/>
    <mergeCell ref="A517:A517"/>
    <mergeCell ref="B517:B517"/>
    <mergeCell ref="C517:C517"/>
    <mergeCell ref="F517:F517"/>
    <mergeCell ref="G517:G517"/>
    <mergeCell ref="H517:H517"/>
    <mergeCell ref="M517:M517"/>
    <mergeCell ref="N517:N517"/>
    <mergeCell ref="O517:O517"/>
    <mergeCell ref="P517:P517"/>
    <mergeCell ref="Q517:Q517"/>
    <mergeCell ref="R517:R517"/>
    <mergeCell ref="S517:S517"/>
    <mergeCell ref="X517:X517"/>
    <mergeCell ref="Y517:Y517"/>
    <mergeCell ref="Z517:Z517"/>
    <mergeCell ref="AA517:AA517"/>
    <mergeCell ref="AB517:AB517"/>
    <mergeCell ref="AC517:AC517"/>
    <mergeCell ref="AD517:AD517"/>
    <mergeCell ref="AE517:AE517"/>
    <mergeCell ref="AF517:AF517"/>
    <mergeCell ref="A518:A518"/>
    <mergeCell ref="B518:B518"/>
    <mergeCell ref="C518:C518"/>
    <mergeCell ref="F518:F518"/>
    <mergeCell ref="G518:G518"/>
    <mergeCell ref="H518:H518"/>
    <mergeCell ref="M518:M518"/>
    <mergeCell ref="N518:N518"/>
    <mergeCell ref="O518:O518"/>
    <mergeCell ref="P518:P518"/>
    <mergeCell ref="Q518:Q518"/>
    <mergeCell ref="R518:R518"/>
    <mergeCell ref="S518:S518"/>
    <mergeCell ref="X518:X518"/>
    <mergeCell ref="Y518:Y518"/>
    <mergeCell ref="Z518:Z518"/>
    <mergeCell ref="AA518:AA518"/>
    <mergeCell ref="AB518:AB518"/>
    <mergeCell ref="AC518:AC518"/>
    <mergeCell ref="AD518:AD518"/>
    <mergeCell ref="AE518:AE518"/>
    <mergeCell ref="AF518:AF518"/>
    <mergeCell ref="A519:A519"/>
    <mergeCell ref="B519:B519"/>
    <mergeCell ref="C519:C519"/>
    <mergeCell ref="F519:F519"/>
    <mergeCell ref="G519:G519"/>
    <mergeCell ref="H519:H519"/>
    <mergeCell ref="M519:M519"/>
    <mergeCell ref="N519:N519"/>
    <mergeCell ref="O519:O519"/>
    <mergeCell ref="P519:P519"/>
    <mergeCell ref="Q519:Q519"/>
    <mergeCell ref="R519:R519"/>
    <mergeCell ref="S519:S519"/>
    <mergeCell ref="X519:X519"/>
    <mergeCell ref="Y519:Y519"/>
    <mergeCell ref="Z519:Z519"/>
    <mergeCell ref="AA519:AA519"/>
    <mergeCell ref="AB519:AB519"/>
    <mergeCell ref="AC519:AC519"/>
    <mergeCell ref="AD519:AD519"/>
    <mergeCell ref="AE519:AE519"/>
    <mergeCell ref="AF519:AF519"/>
    <mergeCell ref="A520:A520"/>
    <mergeCell ref="B520:B520"/>
    <mergeCell ref="C520:C520"/>
    <mergeCell ref="F520:F520"/>
    <mergeCell ref="G520:G520"/>
    <mergeCell ref="H520:H520"/>
    <mergeCell ref="M520:M520"/>
    <mergeCell ref="N520:N520"/>
    <mergeCell ref="O520:O520"/>
    <mergeCell ref="P520:P520"/>
    <mergeCell ref="Q520:Q520"/>
    <mergeCell ref="R520:R520"/>
    <mergeCell ref="S520:S520"/>
    <mergeCell ref="X520:X520"/>
    <mergeCell ref="Y520:Y520"/>
    <mergeCell ref="Z520:Z520"/>
    <mergeCell ref="AA520:AA520"/>
    <mergeCell ref="AB520:AB520"/>
    <mergeCell ref="AC520:AC520"/>
    <mergeCell ref="AD520:AD520"/>
    <mergeCell ref="AE520:AE520"/>
    <mergeCell ref="AF520:AF520"/>
    <mergeCell ref="A521:A521"/>
    <mergeCell ref="B521:B521"/>
    <mergeCell ref="C521:C521"/>
    <mergeCell ref="F521:F521"/>
    <mergeCell ref="G521:G521"/>
    <mergeCell ref="H521:H521"/>
    <mergeCell ref="M521:M521"/>
    <mergeCell ref="N521:N521"/>
    <mergeCell ref="O521:O521"/>
    <mergeCell ref="P521:P521"/>
    <mergeCell ref="Q521:Q521"/>
    <mergeCell ref="R521:R521"/>
    <mergeCell ref="S521:S521"/>
    <mergeCell ref="X521:X521"/>
    <mergeCell ref="Y521:Y521"/>
    <mergeCell ref="Z521:Z521"/>
    <mergeCell ref="AA521:AA521"/>
    <mergeCell ref="AB521:AB521"/>
    <mergeCell ref="AC521:AC521"/>
    <mergeCell ref="AD521:AD521"/>
    <mergeCell ref="AE521:AE521"/>
    <mergeCell ref="AF521:AF521"/>
    <mergeCell ref="A522:A522"/>
    <mergeCell ref="B522:B522"/>
    <mergeCell ref="C522:C522"/>
    <mergeCell ref="F522:F522"/>
    <mergeCell ref="G522:G522"/>
    <mergeCell ref="H522:H522"/>
    <mergeCell ref="M522:M522"/>
    <mergeCell ref="N522:N522"/>
    <mergeCell ref="O522:O522"/>
    <mergeCell ref="P522:P522"/>
    <mergeCell ref="Q522:Q522"/>
    <mergeCell ref="R522:R522"/>
    <mergeCell ref="S522:S522"/>
    <mergeCell ref="X522:X522"/>
    <mergeCell ref="Y522:Y522"/>
    <mergeCell ref="Z522:Z522"/>
    <mergeCell ref="AA522:AA522"/>
    <mergeCell ref="AB522:AB522"/>
    <mergeCell ref="AC522:AC522"/>
    <mergeCell ref="AD522:AD522"/>
    <mergeCell ref="AE522:AE522"/>
    <mergeCell ref="AF522:AF522"/>
    <mergeCell ref="A523:A523"/>
    <mergeCell ref="B523:B523"/>
    <mergeCell ref="C523:C523"/>
    <mergeCell ref="F523:F523"/>
    <mergeCell ref="G523:G523"/>
    <mergeCell ref="H523:H523"/>
    <mergeCell ref="M523:M523"/>
    <mergeCell ref="N523:N523"/>
    <mergeCell ref="O523:O523"/>
    <mergeCell ref="P523:P523"/>
    <mergeCell ref="Q523:Q523"/>
    <mergeCell ref="R523:R523"/>
    <mergeCell ref="S523:S523"/>
    <mergeCell ref="X523:X523"/>
    <mergeCell ref="Y523:Y523"/>
    <mergeCell ref="Z523:Z523"/>
    <mergeCell ref="AA523:AA523"/>
    <mergeCell ref="AB523:AB523"/>
    <mergeCell ref="AC523:AC523"/>
    <mergeCell ref="AD523:AD523"/>
    <mergeCell ref="AE523:AE523"/>
    <mergeCell ref="AF523:AF523"/>
    <mergeCell ref="A524:A524"/>
    <mergeCell ref="B524:B524"/>
    <mergeCell ref="C524:C524"/>
    <mergeCell ref="F524:F524"/>
    <mergeCell ref="G524:G524"/>
    <mergeCell ref="H524:H524"/>
    <mergeCell ref="M524:M524"/>
    <mergeCell ref="N524:N524"/>
    <mergeCell ref="O524:O524"/>
    <mergeCell ref="P524:P524"/>
    <mergeCell ref="Q524:Q524"/>
    <mergeCell ref="R524:R524"/>
    <mergeCell ref="S524:S524"/>
    <mergeCell ref="X524:X524"/>
    <mergeCell ref="Y524:Y524"/>
    <mergeCell ref="Z524:Z524"/>
    <mergeCell ref="AA524:AA524"/>
    <mergeCell ref="AB524:AB524"/>
    <mergeCell ref="AC524:AC524"/>
    <mergeCell ref="AD524:AD524"/>
    <mergeCell ref="AE524:AE524"/>
    <mergeCell ref="AF524:AF524"/>
    <mergeCell ref="A525:A525"/>
    <mergeCell ref="B525:B525"/>
    <mergeCell ref="C525:C525"/>
    <mergeCell ref="F525:F525"/>
    <mergeCell ref="G525:G525"/>
    <mergeCell ref="H525:H525"/>
    <mergeCell ref="M525:M525"/>
    <mergeCell ref="N525:N525"/>
    <mergeCell ref="O525:O525"/>
    <mergeCell ref="P525:P525"/>
    <mergeCell ref="Q525:Q525"/>
    <mergeCell ref="R525:R525"/>
    <mergeCell ref="S525:S525"/>
    <mergeCell ref="X525:X525"/>
    <mergeCell ref="Y525:Y525"/>
    <mergeCell ref="Z525:Z525"/>
    <mergeCell ref="AA525:AA525"/>
    <mergeCell ref="AB525:AB525"/>
    <mergeCell ref="AC525:AC525"/>
    <mergeCell ref="AD525:AD525"/>
    <mergeCell ref="AE525:AE525"/>
    <mergeCell ref="AF525:AF525"/>
    <mergeCell ref="A526:A526"/>
    <mergeCell ref="B526:B526"/>
    <mergeCell ref="C526:C526"/>
    <mergeCell ref="F526:F526"/>
    <mergeCell ref="G526:G526"/>
    <mergeCell ref="H526:H526"/>
    <mergeCell ref="M526:M526"/>
    <mergeCell ref="N526:N526"/>
    <mergeCell ref="O526:O526"/>
    <mergeCell ref="P526:P526"/>
    <mergeCell ref="Q526:Q526"/>
    <mergeCell ref="R526:R526"/>
    <mergeCell ref="S526:S526"/>
    <mergeCell ref="X526:X526"/>
    <mergeCell ref="Y526:Y526"/>
    <mergeCell ref="Z526:Z526"/>
    <mergeCell ref="AA526:AA526"/>
    <mergeCell ref="AB526:AB526"/>
    <mergeCell ref="AC526:AC526"/>
    <mergeCell ref="AD526:AD526"/>
    <mergeCell ref="AE526:AE526"/>
    <mergeCell ref="AF526:AF526"/>
    <mergeCell ref="A527:A527"/>
    <mergeCell ref="B527:B527"/>
    <mergeCell ref="C527:C527"/>
    <mergeCell ref="F527:F527"/>
    <mergeCell ref="G527:G527"/>
    <mergeCell ref="H527:H527"/>
    <mergeCell ref="M527:M527"/>
    <mergeCell ref="N527:N527"/>
    <mergeCell ref="O527:O527"/>
    <mergeCell ref="P527:P527"/>
    <mergeCell ref="Q527:Q527"/>
    <mergeCell ref="R527:R527"/>
    <mergeCell ref="S527:S527"/>
    <mergeCell ref="X527:X527"/>
    <mergeCell ref="Y527:Y527"/>
    <mergeCell ref="Z527:Z527"/>
    <mergeCell ref="AA527:AA527"/>
    <mergeCell ref="AB527:AB527"/>
    <mergeCell ref="AC527:AC527"/>
    <mergeCell ref="AD527:AD527"/>
    <mergeCell ref="AE527:AE527"/>
    <mergeCell ref="AF527:AF527"/>
    <mergeCell ref="A528:A528"/>
    <mergeCell ref="B528:B528"/>
    <mergeCell ref="C528:C528"/>
    <mergeCell ref="F528:F528"/>
    <mergeCell ref="G528:G528"/>
    <mergeCell ref="H528:H528"/>
    <mergeCell ref="M528:M528"/>
    <mergeCell ref="N528:N528"/>
    <mergeCell ref="O528:O528"/>
    <mergeCell ref="P528:P528"/>
    <mergeCell ref="Q528:Q528"/>
    <mergeCell ref="R528:R528"/>
    <mergeCell ref="S528:S528"/>
    <mergeCell ref="X528:X528"/>
    <mergeCell ref="Y528:Y528"/>
    <mergeCell ref="Z528:Z528"/>
    <mergeCell ref="AA528:AA528"/>
    <mergeCell ref="AB528:AB528"/>
    <mergeCell ref="AC528:AC528"/>
    <mergeCell ref="AD528:AD528"/>
    <mergeCell ref="AE528:AE528"/>
    <mergeCell ref="AF528:AF528"/>
    <mergeCell ref="A529:A529"/>
    <mergeCell ref="B529:B529"/>
    <mergeCell ref="C529:C529"/>
    <mergeCell ref="F529:F529"/>
    <mergeCell ref="G529:G529"/>
    <mergeCell ref="H529:H529"/>
    <mergeCell ref="M529:M529"/>
    <mergeCell ref="N529:N529"/>
    <mergeCell ref="O529:O529"/>
    <mergeCell ref="P529:P529"/>
    <mergeCell ref="Q529:Q529"/>
    <mergeCell ref="R529:R529"/>
    <mergeCell ref="S529:S529"/>
    <mergeCell ref="X529:X529"/>
    <mergeCell ref="Y529:Y529"/>
    <mergeCell ref="Z529:Z529"/>
    <mergeCell ref="AA529:AA529"/>
    <mergeCell ref="AB529:AB529"/>
    <mergeCell ref="AC529:AC529"/>
    <mergeCell ref="AD529:AD529"/>
    <mergeCell ref="AE529:AE529"/>
    <mergeCell ref="AF529:AF529"/>
    <mergeCell ref="A530:A530"/>
    <mergeCell ref="B530:B530"/>
    <mergeCell ref="C530:C530"/>
    <mergeCell ref="F530:F530"/>
    <mergeCell ref="G530:G530"/>
    <mergeCell ref="H530:H530"/>
    <mergeCell ref="M530:M530"/>
    <mergeCell ref="N530:N530"/>
    <mergeCell ref="O530:O530"/>
    <mergeCell ref="P530:P530"/>
    <mergeCell ref="Q530:Q530"/>
    <mergeCell ref="R530:R530"/>
    <mergeCell ref="S530:S530"/>
    <mergeCell ref="X530:X530"/>
    <mergeCell ref="Y530:Y530"/>
    <mergeCell ref="Z530:Z530"/>
    <mergeCell ref="AA530:AA530"/>
    <mergeCell ref="AB530:AB530"/>
    <mergeCell ref="AC530:AC530"/>
    <mergeCell ref="AD530:AD530"/>
    <mergeCell ref="AE530:AE530"/>
    <mergeCell ref="AF530:AF530"/>
    <mergeCell ref="A531:A531"/>
    <mergeCell ref="B531:B531"/>
    <mergeCell ref="C531:C531"/>
    <mergeCell ref="F531:F531"/>
    <mergeCell ref="G531:G531"/>
    <mergeCell ref="H531:H531"/>
    <mergeCell ref="M531:M531"/>
    <mergeCell ref="N531:N531"/>
    <mergeCell ref="O531:O531"/>
    <mergeCell ref="P531:P531"/>
    <mergeCell ref="Q531:Q531"/>
    <mergeCell ref="R531:R531"/>
    <mergeCell ref="S531:S531"/>
    <mergeCell ref="X531:X531"/>
    <mergeCell ref="Y531:Y531"/>
    <mergeCell ref="Z531:Z531"/>
    <mergeCell ref="AA531:AA531"/>
    <mergeCell ref="AB531:AB531"/>
    <mergeCell ref="AC531:AC531"/>
    <mergeCell ref="AD531:AD531"/>
    <mergeCell ref="AE531:AE531"/>
    <mergeCell ref="AF531:AF531"/>
    <mergeCell ref="A532:A532"/>
    <mergeCell ref="B532:B532"/>
    <mergeCell ref="C532:C532"/>
    <mergeCell ref="F532:F532"/>
    <mergeCell ref="G532:G532"/>
    <mergeCell ref="H532:H532"/>
    <mergeCell ref="M532:M532"/>
    <mergeCell ref="N532:N532"/>
    <mergeCell ref="O532:O532"/>
    <mergeCell ref="P532:P532"/>
    <mergeCell ref="Q532:Q532"/>
    <mergeCell ref="R532:R532"/>
    <mergeCell ref="S532:S532"/>
    <mergeCell ref="X532:X532"/>
    <mergeCell ref="Y532:Y532"/>
    <mergeCell ref="Z532:Z532"/>
    <mergeCell ref="AA532:AA532"/>
    <mergeCell ref="AB532:AB532"/>
    <mergeCell ref="AC532:AC532"/>
    <mergeCell ref="AD532:AD532"/>
    <mergeCell ref="AE532:AE532"/>
    <mergeCell ref="AF532:AF532"/>
    <mergeCell ref="A533:A533"/>
    <mergeCell ref="B533:B533"/>
    <mergeCell ref="C533:C533"/>
    <mergeCell ref="F533:F533"/>
    <mergeCell ref="G533:G533"/>
    <mergeCell ref="H533:H533"/>
    <mergeCell ref="M533:M533"/>
    <mergeCell ref="N533:N533"/>
    <mergeCell ref="O533:O533"/>
    <mergeCell ref="P533:P533"/>
    <mergeCell ref="Q533:Q533"/>
    <mergeCell ref="R533:R533"/>
    <mergeCell ref="S533:S533"/>
    <mergeCell ref="X533:X533"/>
    <mergeCell ref="Y533:Y533"/>
    <mergeCell ref="Z533:Z533"/>
    <mergeCell ref="AA533:AA533"/>
    <mergeCell ref="AB533:AB533"/>
    <mergeCell ref="AC533:AC533"/>
    <mergeCell ref="AD533:AD533"/>
    <mergeCell ref="AE533:AE533"/>
    <mergeCell ref="AF533:AF533"/>
    <mergeCell ref="A534:A534"/>
    <mergeCell ref="B534:B534"/>
    <mergeCell ref="C534:C534"/>
    <mergeCell ref="F534:F534"/>
    <mergeCell ref="G534:G534"/>
    <mergeCell ref="H534:H534"/>
    <mergeCell ref="M534:M534"/>
    <mergeCell ref="N534:N534"/>
    <mergeCell ref="O534:O534"/>
    <mergeCell ref="P534:P534"/>
    <mergeCell ref="Q534:Q534"/>
    <mergeCell ref="R534:R534"/>
    <mergeCell ref="S534:S534"/>
    <mergeCell ref="X534:X534"/>
    <mergeCell ref="Y534:Y534"/>
    <mergeCell ref="Z534:Z534"/>
    <mergeCell ref="AA534:AA534"/>
    <mergeCell ref="AB534:AB534"/>
    <mergeCell ref="AC534:AC534"/>
    <mergeCell ref="AD534:AD534"/>
    <mergeCell ref="AE534:AE534"/>
    <mergeCell ref="AF534:AF534"/>
    <mergeCell ref="A535:A535"/>
    <mergeCell ref="B535:B535"/>
    <mergeCell ref="C535:C535"/>
    <mergeCell ref="F535:F535"/>
    <mergeCell ref="G535:G535"/>
    <mergeCell ref="H535:H535"/>
    <mergeCell ref="M535:M535"/>
    <mergeCell ref="N535:N535"/>
    <mergeCell ref="O535:O535"/>
    <mergeCell ref="P535:P535"/>
    <mergeCell ref="Q535:Q535"/>
    <mergeCell ref="R535:R535"/>
    <mergeCell ref="S535:S535"/>
    <mergeCell ref="X535:X535"/>
    <mergeCell ref="Y535:Y535"/>
    <mergeCell ref="Z535:Z535"/>
    <mergeCell ref="AA535:AA535"/>
    <mergeCell ref="AB535:AB535"/>
    <mergeCell ref="AC535:AC535"/>
    <mergeCell ref="AD535:AD535"/>
    <mergeCell ref="AE535:AE535"/>
    <mergeCell ref="AF535:AF535"/>
    <mergeCell ref="A536:A536"/>
    <mergeCell ref="B536:B536"/>
    <mergeCell ref="C536:C536"/>
    <mergeCell ref="F536:F536"/>
    <mergeCell ref="G536:G536"/>
    <mergeCell ref="H536:H536"/>
    <mergeCell ref="M536:M536"/>
    <mergeCell ref="N536:N536"/>
    <mergeCell ref="O536:O536"/>
    <mergeCell ref="P536:P536"/>
    <mergeCell ref="Q536:Q536"/>
    <mergeCell ref="R536:R536"/>
    <mergeCell ref="S536:S536"/>
    <mergeCell ref="X536:X536"/>
    <mergeCell ref="Y536:Y536"/>
    <mergeCell ref="Z536:Z536"/>
    <mergeCell ref="AA536:AA536"/>
    <mergeCell ref="AB536:AB536"/>
    <mergeCell ref="AC536:AC536"/>
    <mergeCell ref="AD536:AD536"/>
    <mergeCell ref="AE536:AE536"/>
    <mergeCell ref="AF536:AF536"/>
    <mergeCell ref="A537:A537"/>
    <mergeCell ref="B537:B537"/>
    <mergeCell ref="C537:C537"/>
    <mergeCell ref="F537:F537"/>
    <mergeCell ref="G537:G537"/>
    <mergeCell ref="H537:H537"/>
    <mergeCell ref="M537:M537"/>
    <mergeCell ref="N537:N537"/>
    <mergeCell ref="O537:O537"/>
    <mergeCell ref="P537:P537"/>
    <mergeCell ref="Q537:Q537"/>
    <mergeCell ref="R537:R537"/>
    <mergeCell ref="S537:S537"/>
    <mergeCell ref="X537:X537"/>
    <mergeCell ref="Y537:Y537"/>
    <mergeCell ref="Z537:Z537"/>
    <mergeCell ref="AA537:AA537"/>
    <mergeCell ref="AB537:AB537"/>
    <mergeCell ref="AC537:AC537"/>
    <mergeCell ref="AD537:AD537"/>
    <mergeCell ref="AE537:AE537"/>
    <mergeCell ref="AF537:AF537"/>
    <mergeCell ref="A538:A538"/>
    <mergeCell ref="B538:B538"/>
    <mergeCell ref="C538:C538"/>
    <mergeCell ref="F538:F538"/>
    <mergeCell ref="G538:G538"/>
    <mergeCell ref="H538:H538"/>
    <mergeCell ref="M538:M538"/>
    <mergeCell ref="N538:N538"/>
    <mergeCell ref="O538:O538"/>
    <mergeCell ref="P538:P538"/>
    <mergeCell ref="Q538:Q538"/>
    <mergeCell ref="R538:R538"/>
    <mergeCell ref="S538:S538"/>
    <mergeCell ref="X538:X538"/>
    <mergeCell ref="Y538:Y538"/>
    <mergeCell ref="Z538:Z538"/>
    <mergeCell ref="AA538:AA538"/>
    <mergeCell ref="AB538:AB538"/>
    <mergeCell ref="AC538:AC538"/>
    <mergeCell ref="AD538:AD538"/>
    <mergeCell ref="AE538:AE538"/>
    <mergeCell ref="AF538:AF538"/>
    <mergeCell ref="A539:A539"/>
    <mergeCell ref="B539:B539"/>
    <mergeCell ref="C539:C539"/>
    <mergeCell ref="F539:F539"/>
    <mergeCell ref="G539:G539"/>
    <mergeCell ref="H539:H539"/>
    <mergeCell ref="M539:M539"/>
    <mergeCell ref="N539:N539"/>
    <mergeCell ref="O539:O539"/>
    <mergeCell ref="P539:P539"/>
    <mergeCell ref="Q539:Q539"/>
    <mergeCell ref="R539:R539"/>
    <mergeCell ref="S539:S539"/>
    <mergeCell ref="X539:X539"/>
    <mergeCell ref="Y539:Y539"/>
    <mergeCell ref="Z539:Z539"/>
    <mergeCell ref="AA539:AA539"/>
    <mergeCell ref="AB539:AB539"/>
    <mergeCell ref="AC539:AC539"/>
    <mergeCell ref="AD539:AD539"/>
    <mergeCell ref="AE539:AE539"/>
    <mergeCell ref="AF539:AF539"/>
    <mergeCell ref="A540:A540"/>
    <mergeCell ref="B540:B540"/>
    <mergeCell ref="C540:C540"/>
    <mergeCell ref="F540:F540"/>
    <mergeCell ref="G540:G540"/>
    <mergeCell ref="H540:H540"/>
    <mergeCell ref="M540:M540"/>
    <mergeCell ref="N540:N540"/>
    <mergeCell ref="O540:O540"/>
    <mergeCell ref="P540:P540"/>
    <mergeCell ref="Q540:Q540"/>
    <mergeCell ref="R540:R540"/>
    <mergeCell ref="S540:S540"/>
    <mergeCell ref="X540:X540"/>
    <mergeCell ref="Y540:Y540"/>
    <mergeCell ref="Z540:Z540"/>
    <mergeCell ref="AA540:AA540"/>
    <mergeCell ref="AB540:AB540"/>
    <mergeCell ref="AC540:AC540"/>
    <mergeCell ref="AD540:AD540"/>
    <mergeCell ref="AE540:AE540"/>
    <mergeCell ref="AF540:AF540"/>
    <mergeCell ref="A541:A541"/>
    <mergeCell ref="B541:B541"/>
    <mergeCell ref="C541:C541"/>
    <mergeCell ref="F541:F541"/>
    <mergeCell ref="G541:G541"/>
    <mergeCell ref="H541:H541"/>
    <mergeCell ref="M541:M541"/>
    <mergeCell ref="N541:N541"/>
    <mergeCell ref="O541:O541"/>
    <mergeCell ref="P541:P541"/>
    <mergeCell ref="Q541:Q541"/>
    <mergeCell ref="R541:R541"/>
    <mergeCell ref="S541:S541"/>
    <mergeCell ref="X541:X541"/>
    <mergeCell ref="Y541:Y541"/>
    <mergeCell ref="Z541:Z541"/>
    <mergeCell ref="AA541:AA541"/>
    <mergeCell ref="AB541:AB541"/>
    <mergeCell ref="AC541:AC541"/>
    <mergeCell ref="AD541:AD541"/>
    <mergeCell ref="AE541:AE541"/>
    <mergeCell ref="AF541:AF541"/>
    <mergeCell ref="A542:A542"/>
    <mergeCell ref="B542:B542"/>
    <mergeCell ref="C542:C542"/>
    <mergeCell ref="F542:F542"/>
    <mergeCell ref="G542:G542"/>
    <mergeCell ref="H542:H542"/>
    <mergeCell ref="M542:M542"/>
    <mergeCell ref="N542:N542"/>
    <mergeCell ref="O542:O542"/>
    <mergeCell ref="P542:P542"/>
    <mergeCell ref="Q542:Q542"/>
    <mergeCell ref="R542:R542"/>
    <mergeCell ref="S542:S542"/>
    <mergeCell ref="X542:X542"/>
    <mergeCell ref="Y542:Y542"/>
    <mergeCell ref="Z542:Z542"/>
    <mergeCell ref="AA542:AA542"/>
    <mergeCell ref="AB542:AB542"/>
    <mergeCell ref="AC542:AC542"/>
    <mergeCell ref="AD542:AD542"/>
    <mergeCell ref="AE542:AE542"/>
    <mergeCell ref="AF542:AF542"/>
    <mergeCell ref="A543:A543"/>
    <mergeCell ref="B543:B543"/>
    <mergeCell ref="C543:C543"/>
    <mergeCell ref="F543:F543"/>
    <mergeCell ref="G543:G543"/>
    <mergeCell ref="H543:H543"/>
    <mergeCell ref="M543:M543"/>
    <mergeCell ref="N543:N543"/>
    <mergeCell ref="O543:O543"/>
    <mergeCell ref="P543:P543"/>
    <mergeCell ref="Q543:Q543"/>
    <mergeCell ref="R543:R543"/>
    <mergeCell ref="S543:S543"/>
    <mergeCell ref="X543:X543"/>
    <mergeCell ref="Y543:Y543"/>
    <mergeCell ref="Z543:Z543"/>
    <mergeCell ref="AA543:AA543"/>
    <mergeCell ref="AB543:AB543"/>
    <mergeCell ref="AC543:AC543"/>
    <mergeCell ref="AD543:AD543"/>
    <mergeCell ref="AE543:AE543"/>
    <mergeCell ref="AF543:AF543"/>
    <mergeCell ref="A544:A544"/>
    <mergeCell ref="B544:B544"/>
    <mergeCell ref="C544:C544"/>
    <mergeCell ref="F544:F544"/>
    <mergeCell ref="G544:G544"/>
    <mergeCell ref="H544:H544"/>
    <mergeCell ref="M544:M544"/>
    <mergeCell ref="N544:N544"/>
    <mergeCell ref="O544:O544"/>
    <mergeCell ref="P544:P544"/>
    <mergeCell ref="Q544:Q544"/>
    <mergeCell ref="R544:R544"/>
    <mergeCell ref="S544:S544"/>
    <mergeCell ref="X544:X544"/>
    <mergeCell ref="Y544:Y544"/>
    <mergeCell ref="Z544:Z544"/>
    <mergeCell ref="AA544:AA544"/>
    <mergeCell ref="AB544:AB544"/>
    <mergeCell ref="AC544:AC544"/>
    <mergeCell ref="AD544:AD544"/>
    <mergeCell ref="AE544:AE544"/>
    <mergeCell ref="AF544:AF544"/>
    <mergeCell ref="A545:A545"/>
    <mergeCell ref="B545:B545"/>
    <mergeCell ref="C545:C545"/>
    <mergeCell ref="F545:F545"/>
    <mergeCell ref="G545:G545"/>
    <mergeCell ref="H545:H545"/>
    <mergeCell ref="M545:M545"/>
    <mergeCell ref="N545:N545"/>
    <mergeCell ref="O545:O545"/>
    <mergeCell ref="P545:P545"/>
    <mergeCell ref="Q545:Q545"/>
    <mergeCell ref="R545:R545"/>
    <mergeCell ref="S545:S545"/>
    <mergeCell ref="X545:X545"/>
    <mergeCell ref="Y545:Y545"/>
    <mergeCell ref="Z545:Z545"/>
    <mergeCell ref="AA545:AA545"/>
    <mergeCell ref="AB545:AB545"/>
    <mergeCell ref="AC545:AC545"/>
    <mergeCell ref="AD545:AD545"/>
    <mergeCell ref="AE545:AE545"/>
    <mergeCell ref="AF545:AF545"/>
    <mergeCell ref="A546:A546"/>
    <mergeCell ref="B546:B546"/>
    <mergeCell ref="C546:C546"/>
    <mergeCell ref="F546:F546"/>
    <mergeCell ref="G546:G546"/>
    <mergeCell ref="H546:H546"/>
    <mergeCell ref="M546:M546"/>
    <mergeCell ref="N546:N546"/>
    <mergeCell ref="O546:O546"/>
    <mergeCell ref="P546:P546"/>
    <mergeCell ref="Q546:Q546"/>
    <mergeCell ref="R546:R546"/>
    <mergeCell ref="S546:S546"/>
    <mergeCell ref="X546:X546"/>
    <mergeCell ref="Y546:Y546"/>
    <mergeCell ref="Z546:Z546"/>
    <mergeCell ref="AA546:AA546"/>
    <mergeCell ref="AB546:AB546"/>
    <mergeCell ref="AC546:AC546"/>
    <mergeCell ref="AD546:AD546"/>
    <mergeCell ref="AE546:AE546"/>
    <mergeCell ref="AF546:AF546"/>
    <mergeCell ref="A547:A547"/>
    <mergeCell ref="B547:B547"/>
    <mergeCell ref="C547:C547"/>
    <mergeCell ref="F547:F547"/>
    <mergeCell ref="G547:G547"/>
    <mergeCell ref="H547:H547"/>
    <mergeCell ref="M547:M547"/>
    <mergeCell ref="N547:N547"/>
    <mergeCell ref="O547:O547"/>
    <mergeCell ref="P547:P547"/>
    <mergeCell ref="Q547:Q547"/>
    <mergeCell ref="R547:R547"/>
    <mergeCell ref="S547:S547"/>
    <mergeCell ref="X547:X547"/>
    <mergeCell ref="Y547:Y547"/>
    <mergeCell ref="Z547:Z547"/>
    <mergeCell ref="AA547:AA547"/>
    <mergeCell ref="AB547:AB547"/>
    <mergeCell ref="AC547:AC547"/>
    <mergeCell ref="AD547:AD547"/>
    <mergeCell ref="AE547:AE547"/>
    <mergeCell ref="AF547:AF547"/>
    <mergeCell ref="A548:A548"/>
    <mergeCell ref="B548:B548"/>
    <mergeCell ref="C548:C548"/>
    <mergeCell ref="F548:F548"/>
    <mergeCell ref="G548:G548"/>
    <mergeCell ref="H548:H548"/>
    <mergeCell ref="M548:M548"/>
    <mergeCell ref="N548:N548"/>
    <mergeCell ref="O548:O548"/>
    <mergeCell ref="P548:P548"/>
    <mergeCell ref="Q548:Q548"/>
    <mergeCell ref="R548:R548"/>
    <mergeCell ref="S548:S548"/>
    <mergeCell ref="X548:X548"/>
    <mergeCell ref="Y548:Y548"/>
    <mergeCell ref="Z548:Z548"/>
    <mergeCell ref="AA548:AA548"/>
    <mergeCell ref="AB548:AB548"/>
    <mergeCell ref="AC548:AC548"/>
    <mergeCell ref="AD548:AD548"/>
    <mergeCell ref="AE548:AE548"/>
    <mergeCell ref="AF548:AF548"/>
    <mergeCell ref="A549:A549"/>
    <mergeCell ref="B549:B549"/>
    <mergeCell ref="C549:C549"/>
    <mergeCell ref="F549:F549"/>
    <mergeCell ref="G549:G549"/>
    <mergeCell ref="H549:H549"/>
    <mergeCell ref="M549:M549"/>
    <mergeCell ref="N549:N549"/>
    <mergeCell ref="O549:O549"/>
    <mergeCell ref="P549:P549"/>
    <mergeCell ref="Q549:Q549"/>
    <mergeCell ref="R549:R549"/>
    <mergeCell ref="S549:S549"/>
    <mergeCell ref="X549:X549"/>
    <mergeCell ref="Y549:Y549"/>
    <mergeCell ref="Z549:Z549"/>
    <mergeCell ref="AA549:AA549"/>
    <mergeCell ref="AB549:AB549"/>
    <mergeCell ref="AC549:AC549"/>
    <mergeCell ref="AD549:AD549"/>
    <mergeCell ref="AE549:AE549"/>
    <mergeCell ref="AF549:AF549"/>
    <mergeCell ref="A550:A550"/>
    <mergeCell ref="B550:B550"/>
    <mergeCell ref="C550:C550"/>
    <mergeCell ref="F550:F550"/>
    <mergeCell ref="G550:G550"/>
    <mergeCell ref="H550:H550"/>
    <mergeCell ref="M550:M550"/>
    <mergeCell ref="N550:N550"/>
    <mergeCell ref="O550:O550"/>
    <mergeCell ref="P550:P550"/>
    <mergeCell ref="Q550:Q550"/>
    <mergeCell ref="R550:R550"/>
    <mergeCell ref="S550:S550"/>
    <mergeCell ref="X550:X550"/>
    <mergeCell ref="Y550:Y550"/>
    <mergeCell ref="Z550:Z550"/>
    <mergeCell ref="AA550:AA550"/>
    <mergeCell ref="AB550:AB550"/>
    <mergeCell ref="AC550:AC550"/>
    <mergeCell ref="AD550:AD550"/>
    <mergeCell ref="AE550:AE550"/>
    <mergeCell ref="AF550:AF550"/>
    <mergeCell ref="A551:A551"/>
    <mergeCell ref="B551:B551"/>
    <mergeCell ref="C551:C551"/>
    <mergeCell ref="F551:F551"/>
    <mergeCell ref="G551:G551"/>
    <mergeCell ref="H551:H551"/>
    <mergeCell ref="M551:M551"/>
    <mergeCell ref="N551:N551"/>
    <mergeCell ref="O551:O551"/>
    <mergeCell ref="P551:P551"/>
    <mergeCell ref="Q551:Q551"/>
    <mergeCell ref="R551:R551"/>
    <mergeCell ref="S551:S551"/>
    <mergeCell ref="X551:X551"/>
    <mergeCell ref="Y551:Y551"/>
    <mergeCell ref="Z551:Z551"/>
    <mergeCell ref="AA551:AA551"/>
    <mergeCell ref="AB551:AB551"/>
    <mergeCell ref="AC551:AC551"/>
    <mergeCell ref="AD551:AD551"/>
    <mergeCell ref="AE551:AE551"/>
    <mergeCell ref="AF551:AF551"/>
    <mergeCell ref="A552:A552"/>
    <mergeCell ref="B552:B552"/>
    <mergeCell ref="C552:C552"/>
    <mergeCell ref="F552:F552"/>
    <mergeCell ref="G552:G552"/>
    <mergeCell ref="H552:H552"/>
    <mergeCell ref="M552:M552"/>
    <mergeCell ref="N552:N552"/>
    <mergeCell ref="O552:O552"/>
    <mergeCell ref="P552:P552"/>
    <mergeCell ref="Q552:Q552"/>
    <mergeCell ref="R552:R552"/>
    <mergeCell ref="S552:S552"/>
    <mergeCell ref="X552:X552"/>
    <mergeCell ref="Y552:Y552"/>
    <mergeCell ref="Z552:Z552"/>
    <mergeCell ref="AA552:AA552"/>
    <mergeCell ref="AB552:AB552"/>
    <mergeCell ref="AC552:AC552"/>
    <mergeCell ref="AD552:AD552"/>
    <mergeCell ref="AE552:AE552"/>
    <mergeCell ref="AF552:AF552"/>
    <mergeCell ref="A553:A553"/>
    <mergeCell ref="B553:B553"/>
    <mergeCell ref="C553:C553"/>
    <mergeCell ref="F553:F553"/>
    <mergeCell ref="G553:G553"/>
    <mergeCell ref="H553:H553"/>
    <mergeCell ref="M553:M553"/>
    <mergeCell ref="N553:N553"/>
    <mergeCell ref="O553:O553"/>
    <mergeCell ref="P553:P553"/>
    <mergeCell ref="Q553:Q553"/>
    <mergeCell ref="R553:R553"/>
    <mergeCell ref="S553:S553"/>
    <mergeCell ref="X553:X553"/>
    <mergeCell ref="Y553:Y553"/>
    <mergeCell ref="Z553:Z553"/>
    <mergeCell ref="AA553:AA553"/>
    <mergeCell ref="AB553:AB553"/>
    <mergeCell ref="AC553:AC553"/>
    <mergeCell ref="AD553:AD553"/>
    <mergeCell ref="AE553:AE553"/>
    <mergeCell ref="AF553:AF553"/>
    <mergeCell ref="A554:A554"/>
    <mergeCell ref="B554:B554"/>
    <mergeCell ref="C554:C554"/>
    <mergeCell ref="F554:F554"/>
    <mergeCell ref="G554:G554"/>
    <mergeCell ref="H554:H554"/>
    <mergeCell ref="M554:M554"/>
    <mergeCell ref="N554:N554"/>
    <mergeCell ref="O554:O554"/>
    <mergeCell ref="P554:P554"/>
    <mergeCell ref="Q554:Q554"/>
    <mergeCell ref="R554:R554"/>
    <mergeCell ref="S554:S554"/>
    <mergeCell ref="X554:X554"/>
    <mergeCell ref="Y554:Y554"/>
    <mergeCell ref="Z554:Z554"/>
    <mergeCell ref="AA554:AA554"/>
    <mergeCell ref="AB554:AB554"/>
    <mergeCell ref="AC554:AC554"/>
    <mergeCell ref="AD554:AD554"/>
    <mergeCell ref="AE554:AE554"/>
    <mergeCell ref="AF554:AF554"/>
    <mergeCell ref="A555:A555"/>
    <mergeCell ref="B555:B555"/>
    <mergeCell ref="C555:C555"/>
    <mergeCell ref="F555:F555"/>
    <mergeCell ref="G555:G555"/>
    <mergeCell ref="H555:H555"/>
    <mergeCell ref="M555:M555"/>
    <mergeCell ref="N555:N555"/>
    <mergeCell ref="O555:O555"/>
    <mergeCell ref="P555:P555"/>
    <mergeCell ref="Q555:Q555"/>
    <mergeCell ref="R555:R555"/>
    <mergeCell ref="S555:S555"/>
    <mergeCell ref="X555:X555"/>
    <mergeCell ref="Y555:Y555"/>
    <mergeCell ref="Z555:Z555"/>
    <mergeCell ref="AA555:AA555"/>
    <mergeCell ref="AB555:AB555"/>
    <mergeCell ref="AC555:AC555"/>
    <mergeCell ref="AD555:AD555"/>
    <mergeCell ref="AE555:AE555"/>
    <mergeCell ref="AF555:AF555"/>
    <mergeCell ref="A556:A556"/>
    <mergeCell ref="B556:B556"/>
    <mergeCell ref="C556:C556"/>
    <mergeCell ref="F556:F556"/>
    <mergeCell ref="G556:G556"/>
    <mergeCell ref="H556:H556"/>
    <mergeCell ref="M556:M556"/>
    <mergeCell ref="N556:N556"/>
    <mergeCell ref="O556:O556"/>
    <mergeCell ref="P556:P556"/>
    <mergeCell ref="Q556:Q556"/>
    <mergeCell ref="R556:R556"/>
    <mergeCell ref="S556:S556"/>
    <mergeCell ref="X556:X556"/>
    <mergeCell ref="Y556:Y556"/>
    <mergeCell ref="Z556:Z556"/>
    <mergeCell ref="AA556:AA556"/>
    <mergeCell ref="AB556:AB556"/>
    <mergeCell ref="AC556:AC556"/>
    <mergeCell ref="AD556:AD556"/>
    <mergeCell ref="AE556:AE556"/>
    <mergeCell ref="AF556:AF556"/>
    <mergeCell ref="A557:A557"/>
    <mergeCell ref="B557:B557"/>
    <mergeCell ref="C557:C557"/>
    <mergeCell ref="F557:F557"/>
    <mergeCell ref="G557:G557"/>
    <mergeCell ref="H557:H557"/>
    <mergeCell ref="M557:M557"/>
    <mergeCell ref="N557:N557"/>
    <mergeCell ref="O557:O557"/>
    <mergeCell ref="P557:P557"/>
    <mergeCell ref="Q557:Q557"/>
    <mergeCell ref="R557:R557"/>
    <mergeCell ref="S557:S557"/>
    <mergeCell ref="X557:X557"/>
    <mergeCell ref="Y557:Y557"/>
    <mergeCell ref="Z557:Z557"/>
    <mergeCell ref="AA557:AA557"/>
    <mergeCell ref="AB557:AB557"/>
    <mergeCell ref="AC557:AC557"/>
    <mergeCell ref="AD557:AD557"/>
    <mergeCell ref="AE557:AE557"/>
    <mergeCell ref="AF557:AF557"/>
    <mergeCell ref="A558:A558"/>
    <mergeCell ref="B558:B558"/>
    <mergeCell ref="C558:C558"/>
    <mergeCell ref="F558:F558"/>
    <mergeCell ref="G558:G558"/>
    <mergeCell ref="H558:H558"/>
    <mergeCell ref="M558:M558"/>
    <mergeCell ref="N558:N558"/>
    <mergeCell ref="O558:O558"/>
    <mergeCell ref="P558:P558"/>
    <mergeCell ref="Q558:Q558"/>
    <mergeCell ref="R558:R558"/>
    <mergeCell ref="S558:S558"/>
    <mergeCell ref="X558:X558"/>
    <mergeCell ref="Y558:Y558"/>
    <mergeCell ref="Z558:Z558"/>
    <mergeCell ref="AA558:AA558"/>
    <mergeCell ref="AB558:AB558"/>
    <mergeCell ref="AC558:AC558"/>
    <mergeCell ref="AD558:AD558"/>
    <mergeCell ref="AE558:AE558"/>
    <mergeCell ref="AF558:AF558"/>
    <mergeCell ref="A559:A559"/>
    <mergeCell ref="B559:B559"/>
    <mergeCell ref="C559:C559"/>
    <mergeCell ref="F559:F559"/>
    <mergeCell ref="G559:G559"/>
    <mergeCell ref="H559:H559"/>
    <mergeCell ref="M559:M559"/>
    <mergeCell ref="N559:N559"/>
    <mergeCell ref="O559:O559"/>
    <mergeCell ref="P559:P559"/>
    <mergeCell ref="Q559:Q559"/>
    <mergeCell ref="R559:R559"/>
    <mergeCell ref="S559:S559"/>
    <mergeCell ref="X559:X559"/>
    <mergeCell ref="Y559:Y559"/>
    <mergeCell ref="Z559:Z559"/>
    <mergeCell ref="AA559:AA559"/>
    <mergeCell ref="AB559:AB559"/>
    <mergeCell ref="AC559:AC559"/>
    <mergeCell ref="AD559:AD559"/>
    <mergeCell ref="AE559:AE559"/>
    <mergeCell ref="AF559:AF559"/>
    <mergeCell ref="A560:A560"/>
    <mergeCell ref="B560:B560"/>
    <mergeCell ref="C560:C560"/>
    <mergeCell ref="F560:F560"/>
    <mergeCell ref="G560:G560"/>
    <mergeCell ref="H560:H560"/>
    <mergeCell ref="M560:M560"/>
    <mergeCell ref="N560:N560"/>
    <mergeCell ref="O560:O560"/>
    <mergeCell ref="P560:P560"/>
    <mergeCell ref="Q560:Q560"/>
    <mergeCell ref="R560:R560"/>
    <mergeCell ref="S560:S560"/>
    <mergeCell ref="X560:X560"/>
    <mergeCell ref="Y560:Y560"/>
    <mergeCell ref="Z560:Z560"/>
    <mergeCell ref="AA560:AA560"/>
    <mergeCell ref="AB560:AB560"/>
    <mergeCell ref="AC560:AC560"/>
    <mergeCell ref="AD560:AD560"/>
    <mergeCell ref="AE560:AE560"/>
    <mergeCell ref="AF560:AF560"/>
    <mergeCell ref="A561:A561"/>
    <mergeCell ref="B561:B561"/>
    <mergeCell ref="C561:C561"/>
    <mergeCell ref="F561:F561"/>
    <mergeCell ref="G561:G561"/>
    <mergeCell ref="H561:H561"/>
    <mergeCell ref="M561:M561"/>
    <mergeCell ref="N561:N561"/>
    <mergeCell ref="O561:O561"/>
    <mergeCell ref="P561:P561"/>
    <mergeCell ref="Q561:Q561"/>
    <mergeCell ref="R561:R561"/>
    <mergeCell ref="S561:S561"/>
    <mergeCell ref="X561:X561"/>
    <mergeCell ref="Y561:Y561"/>
    <mergeCell ref="Z561:Z561"/>
    <mergeCell ref="AA561:AA561"/>
    <mergeCell ref="AB561:AB561"/>
    <mergeCell ref="AC561:AC561"/>
    <mergeCell ref="AD561:AD561"/>
    <mergeCell ref="AE561:AE561"/>
    <mergeCell ref="AF561:AF561"/>
    <mergeCell ref="A562:A562"/>
    <mergeCell ref="B562:B562"/>
    <mergeCell ref="C562:C562"/>
    <mergeCell ref="F562:F562"/>
    <mergeCell ref="G562:G562"/>
    <mergeCell ref="H562:H562"/>
    <mergeCell ref="M562:M562"/>
    <mergeCell ref="N562:N562"/>
    <mergeCell ref="O562:O562"/>
    <mergeCell ref="P562:P562"/>
    <mergeCell ref="Q562:Q562"/>
    <mergeCell ref="R562:R562"/>
    <mergeCell ref="S562:S562"/>
    <mergeCell ref="X562:X562"/>
    <mergeCell ref="Y562:Y562"/>
    <mergeCell ref="Z562:Z562"/>
    <mergeCell ref="AA562:AA562"/>
    <mergeCell ref="AB562:AB562"/>
    <mergeCell ref="AC562:AC562"/>
    <mergeCell ref="AD562:AD562"/>
    <mergeCell ref="AE562:AE562"/>
    <mergeCell ref="AF562:AF562"/>
    <mergeCell ref="A563:A563"/>
    <mergeCell ref="B563:B563"/>
    <mergeCell ref="C563:C563"/>
    <mergeCell ref="F563:F563"/>
    <mergeCell ref="G563:G563"/>
    <mergeCell ref="H563:H563"/>
    <mergeCell ref="M563:M563"/>
    <mergeCell ref="N563:N563"/>
    <mergeCell ref="O563:O563"/>
    <mergeCell ref="P563:P563"/>
    <mergeCell ref="Q563:Q563"/>
    <mergeCell ref="R563:R563"/>
    <mergeCell ref="S563:S563"/>
    <mergeCell ref="X563:X563"/>
    <mergeCell ref="Y563:Y563"/>
    <mergeCell ref="Z563:Z563"/>
    <mergeCell ref="AA563:AA563"/>
    <mergeCell ref="AB563:AB563"/>
    <mergeCell ref="AC563:AC563"/>
    <mergeCell ref="AD563:AD563"/>
    <mergeCell ref="AE563:AE563"/>
    <mergeCell ref="AF563:AF563"/>
    <mergeCell ref="A564:A564"/>
    <mergeCell ref="B564:B564"/>
    <mergeCell ref="C564:C564"/>
    <mergeCell ref="F564:F564"/>
    <mergeCell ref="G564:G564"/>
    <mergeCell ref="H564:H564"/>
    <mergeCell ref="M564:M564"/>
    <mergeCell ref="N564:N564"/>
    <mergeCell ref="O564:O564"/>
    <mergeCell ref="P564:P564"/>
    <mergeCell ref="Q564:Q564"/>
    <mergeCell ref="R564:R564"/>
    <mergeCell ref="S564:S564"/>
    <mergeCell ref="X564:X564"/>
    <mergeCell ref="Y564:Y564"/>
    <mergeCell ref="Z564:Z564"/>
    <mergeCell ref="AA564:AA564"/>
    <mergeCell ref="AB564:AB564"/>
    <mergeCell ref="AC564:AC564"/>
    <mergeCell ref="AD564:AD564"/>
    <mergeCell ref="AE564:AE564"/>
    <mergeCell ref="AF564:AF564"/>
    <mergeCell ref="A565:A565"/>
    <mergeCell ref="B565:B565"/>
    <mergeCell ref="C565:C565"/>
    <mergeCell ref="F565:F565"/>
    <mergeCell ref="G565:G565"/>
    <mergeCell ref="H565:H565"/>
    <mergeCell ref="M565:M565"/>
    <mergeCell ref="N565:N565"/>
    <mergeCell ref="O565:O565"/>
    <mergeCell ref="P565:P565"/>
    <mergeCell ref="Q565:Q565"/>
    <mergeCell ref="R565:R565"/>
    <mergeCell ref="S565:S565"/>
    <mergeCell ref="X565:X565"/>
    <mergeCell ref="Y565:Y565"/>
    <mergeCell ref="Z565:Z565"/>
    <mergeCell ref="AA565:AA565"/>
    <mergeCell ref="AB565:AB565"/>
    <mergeCell ref="AC565:AC565"/>
    <mergeCell ref="AD565:AD565"/>
    <mergeCell ref="AE565:AE565"/>
    <mergeCell ref="AF565:AF565"/>
    <mergeCell ref="A566:A566"/>
    <mergeCell ref="B566:B566"/>
    <mergeCell ref="C566:C566"/>
    <mergeCell ref="F566:F566"/>
    <mergeCell ref="G566:G566"/>
    <mergeCell ref="H566:H566"/>
    <mergeCell ref="M566:M566"/>
    <mergeCell ref="N566:N566"/>
    <mergeCell ref="O566:O566"/>
    <mergeCell ref="P566:P566"/>
    <mergeCell ref="Q566:Q566"/>
    <mergeCell ref="R566:R566"/>
    <mergeCell ref="S566:S566"/>
    <mergeCell ref="X566:X566"/>
    <mergeCell ref="Y566:Y566"/>
    <mergeCell ref="Z566:Z566"/>
    <mergeCell ref="AA566:AA566"/>
    <mergeCell ref="AB566:AB566"/>
    <mergeCell ref="AC566:AC566"/>
    <mergeCell ref="AD566:AD566"/>
    <mergeCell ref="AE566:AE566"/>
    <mergeCell ref="AF566:AF566"/>
    <mergeCell ref="A567:A567"/>
    <mergeCell ref="B567:B567"/>
    <mergeCell ref="C567:C567"/>
    <mergeCell ref="F567:F567"/>
    <mergeCell ref="G567:G567"/>
    <mergeCell ref="H567:H567"/>
    <mergeCell ref="M567:M567"/>
    <mergeCell ref="N567:N567"/>
    <mergeCell ref="O567:O567"/>
    <mergeCell ref="P567:P567"/>
    <mergeCell ref="Q567:Q567"/>
    <mergeCell ref="R567:R567"/>
    <mergeCell ref="S567:S567"/>
    <mergeCell ref="X567:X567"/>
    <mergeCell ref="Y567:Y567"/>
    <mergeCell ref="Z567:Z567"/>
    <mergeCell ref="AA567:AA567"/>
    <mergeCell ref="AB567:AB567"/>
    <mergeCell ref="AC567:AC567"/>
    <mergeCell ref="AD567:AD567"/>
    <mergeCell ref="AE567:AE567"/>
    <mergeCell ref="AF567:AF567"/>
    <mergeCell ref="A568:A568"/>
    <mergeCell ref="B568:B568"/>
    <mergeCell ref="C568:C568"/>
    <mergeCell ref="F568:F568"/>
    <mergeCell ref="G568:G568"/>
    <mergeCell ref="H568:H568"/>
    <mergeCell ref="M568:M568"/>
    <mergeCell ref="N568:N568"/>
    <mergeCell ref="O568:O568"/>
    <mergeCell ref="P568:P568"/>
    <mergeCell ref="Q568:Q568"/>
    <mergeCell ref="R568:R568"/>
    <mergeCell ref="S568:S568"/>
    <mergeCell ref="X568:X568"/>
    <mergeCell ref="Y568:Y568"/>
    <mergeCell ref="Z568:Z568"/>
    <mergeCell ref="AA568:AA568"/>
    <mergeCell ref="AB568:AB568"/>
    <mergeCell ref="AC568:AC568"/>
    <mergeCell ref="AD568:AD568"/>
    <mergeCell ref="AE568:AE568"/>
    <mergeCell ref="AF568:AF568"/>
    <mergeCell ref="A569:A569"/>
    <mergeCell ref="B569:B569"/>
    <mergeCell ref="C569:C569"/>
    <mergeCell ref="F569:F569"/>
    <mergeCell ref="G569:G569"/>
    <mergeCell ref="H569:H569"/>
    <mergeCell ref="M569:M569"/>
    <mergeCell ref="N569:N569"/>
    <mergeCell ref="O569:O569"/>
    <mergeCell ref="P569:P569"/>
    <mergeCell ref="Q569:Q569"/>
    <mergeCell ref="R569:R569"/>
    <mergeCell ref="S569:S569"/>
    <mergeCell ref="X569:X569"/>
    <mergeCell ref="Y569:Y569"/>
    <mergeCell ref="Z569:Z569"/>
    <mergeCell ref="AA569:AA569"/>
    <mergeCell ref="AB569:AB569"/>
    <mergeCell ref="AC569:AC569"/>
    <mergeCell ref="AD569:AD569"/>
    <mergeCell ref="AE569:AE569"/>
    <mergeCell ref="AF569:AF569"/>
    <mergeCell ref="A570:A570"/>
    <mergeCell ref="B570:B570"/>
    <mergeCell ref="C570:C570"/>
    <mergeCell ref="F570:F570"/>
    <mergeCell ref="G570:G570"/>
    <mergeCell ref="H570:H570"/>
    <mergeCell ref="M570:M570"/>
    <mergeCell ref="N570:N570"/>
    <mergeCell ref="O570:O570"/>
    <mergeCell ref="P570:P570"/>
    <mergeCell ref="Q570:Q570"/>
    <mergeCell ref="R570:R570"/>
    <mergeCell ref="S570:S570"/>
    <mergeCell ref="X570:X570"/>
    <mergeCell ref="Y570:Y570"/>
    <mergeCell ref="Z570:Z570"/>
    <mergeCell ref="AA570:AA570"/>
    <mergeCell ref="AB570:AB570"/>
    <mergeCell ref="AC570:AC570"/>
    <mergeCell ref="AD570:AD570"/>
    <mergeCell ref="AE570:AE570"/>
    <mergeCell ref="AF570:AF570"/>
    <mergeCell ref="A571:A571"/>
    <mergeCell ref="B571:B571"/>
    <mergeCell ref="C571:C571"/>
    <mergeCell ref="F571:F571"/>
    <mergeCell ref="G571:G571"/>
    <mergeCell ref="H571:H571"/>
    <mergeCell ref="M571:M571"/>
    <mergeCell ref="N571:N571"/>
    <mergeCell ref="O571:O571"/>
    <mergeCell ref="P571:P571"/>
    <mergeCell ref="Q571:Q571"/>
    <mergeCell ref="R571:R571"/>
    <mergeCell ref="S571:S571"/>
    <mergeCell ref="X571:X571"/>
    <mergeCell ref="Y571:Y571"/>
    <mergeCell ref="Z571:Z571"/>
    <mergeCell ref="AA571:AA571"/>
    <mergeCell ref="AB571:AB571"/>
    <mergeCell ref="AC571:AC571"/>
    <mergeCell ref="AD571:AD571"/>
    <mergeCell ref="AE571:AE571"/>
    <mergeCell ref="AF571:AF571"/>
    <mergeCell ref="A572:A572"/>
    <mergeCell ref="B572:B572"/>
    <mergeCell ref="C572:C572"/>
    <mergeCell ref="F572:F572"/>
    <mergeCell ref="G572:G572"/>
    <mergeCell ref="H572:H572"/>
    <mergeCell ref="M572:M572"/>
    <mergeCell ref="N572:N572"/>
    <mergeCell ref="O572:O572"/>
    <mergeCell ref="P572:P572"/>
    <mergeCell ref="Q572:Q572"/>
    <mergeCell ref="R572:R572"/>
    <mergeCell ref="S572:S572"/>
    <mergeCell ref="X572:X572"/>
    <mergeCell ref="Y572:Y572"/>
    <mergeCell ref="Z572:Z572"/>
    <mergeCell ref="AA572:AA572"/>
    <mergeCell ref="AB572:AB572"/>
    <mergeCell ref="AC572:AC572"/>
    <mergeCell ref="AD572:AD572"/>
    <mergeCell ref="AE572:AE572"/>
    <mergeCell ref="AF572:AF572"/>
    <mergeCell ref="A573:A573"/>
    <mergeCell ref="B573:B573"/>
    <mergeCell ref="C573:C573"/>
    <mergeCell ref="F573:F573"/>
    <mergeCell ref="G573:G573"/>
    <mergeCell ref="H573:H573"/>
    <mergeCell ref="M573:M573"/>
    <mergeCell ref="N573:N573"/>
    <mergeCell ref="O573:O573"/>
    <mergeCell ref="P573:P573"/>
    <mergeCell ref="Q573:Q573"/>
    <mergeCell ref="R573:R573"/>
    <mergeCell ref="S573:S573"/>
    <mergeCell ref="X573:X573"/>
    <mergeCell ref="Y573:Y573"/>
    <mergeCell ref="Z573:Z573"/>
    <mergeCell ref="AA573:AA573"/>
    <mergeCell ref="AB573:AB573"/>
    <mergeCell ref="AC573:AC573"/>
    <mergeCell ref="AD573:AD573"/>
    <mergeCell ref="AE573:AE573"/>
    <mergeCell ref="AF573:AF573"/>
    <mergeCell ref="A574:A574"/>
    <mergeCell ref="B574:B574"/>
    <mergeCell ref="C574:C574"/>
    <mergeCell ref="F574:F574"/>
    <mergeCell ref="G574:G574"/>
    <mergeCell ref="H574:H574"/>
    <mergeCell ref="M574:M574"/>
    <mergeCell ref="N574:N574"/>
    <mergeCell ref="O574:O574"/>
    <mergeCell ref="P574:P574"/>
    <mergeCell ref="Q574:Q574"/>
    <mergeCell ref="R574:R574"/>
    <mergeCell ref="S574:S574"/>
    <mergeCell ref="X574:X574"/>
    <mergeCell ref="Y574:Y574"/>
    <mergeCell ref="Z574:Z574"/>
    <mergeCell ref="AA574:AA574"/>
    <mergeCell ref="AB574:AB574"/>
    <mergeCell ref="AC574:AC574"/>
    <mergeCell ref="AD574:AD574"/>
    <mergeCell ref="AE574:AE574"/>
    <mergeCell ref="AF574:AF574"/>
    <mergeCell ref="A575:A575"/>
    <mergeCell ref="B575:B575"/>
    <mergeCell ref="C575:C575"/>
    <mergeCell ref="F575:F575"/>
    <mergeCell ref="G575:G575"/>
    <mergeCell ref="H575:H575"/>
    <mergeCell ref="M575:M575"/>
    <mergeCell ref="N575:N575"/>
    <mergeCell ref="O575:O575"/>
    <mergeCell ref="P575:P575"/>
    <mergeCell ref="Q575:Q575"/>
    <mergeCell ref="R575:R575"/>
    <mergeCell ref="S575:S575"/>
    <mergeCell ref="X575:X575"/>
    <mergeCell ref="Y575:Y575"/>
    <mergeCell ref="Z575:Z575"/>
    <mergeCell ref="AA575:AA575"/>
    <mergeCell ref="AB575:AB575"/>
    <mergeCell ref="AC575:AC575"/>
    <mergeCell ref="AD575:AD575"/>
    <mergeCell ref="AE575:AE575"/>
    <mergeCell ref="AF575:AF575"/>
    <mergeCell ref="A576:A576"/>
    <mergeCell ref="B576:B576"/>
    <mergeCell ref="C576:C576"/>
    <mergeCell ref="F576:F576"/>
    <mergeCell ref="G576:G576"/>
    <mergeCell ref="H576:H576"/>
    <mergeCell ref="M576:M576"/>
    <mergeCell ref="N576:N576"/>
    <mergeCell ref="O576:O576"/>
    <mergeCell ref="P576:P576"/>
    <mergeCell ref="Q576:Q576"/>
    <mergeCell ref="R576:R576"/>
    <mergeCell ref="S576:S576"/>
    <mergeCell ref="X576:X576"/>
    <mergeCell ref="Y576:Y576"/>
    <mergeCell ref="Z576:Z576"/>
    <mergeCell ref="AA576:AA576"/>
    <mergeCell ref="AB576:AB576"/>
    <mergeCell ref="AC576:AC576"/>
    <mergeCell ref="AD576:AD576"/>
    <mergeCell ref="AE576:AE576"/>
    <mergeCell ref="AF576:AF576"/>
    <mergeCell ref="A577:A577"/>
    <mergeCell ref="B577:B577"/>
    <mergeCell ref="C577:C577"/>
    <mergeCell ref="F577:F577"/>
    <mergeCell ref="G577:G577"/>
    <mergeCell ref="H577:H577"/>
    <mergeCell ref="M577:M577"/>
    <mergeCell ref="N577:N577"/>
    <mergeCell ref="O577:O577"/>
    <mergeCell ref="P577:P577"/>
    <mergeCell ref="Q577:Q577"/>
    <mergeCell ref="R577:R577"/>
    <mergeCell ref="S577:S577"/>
    <mergeCell ref="X577:X577"/>
    <mergeCell ref="Y577:Y577"/>
    <mergeCell ref="Z577:Z577"/>
    <mergeCell ref="AA577:AA577"/>
    <mergeCell ref="AB577:AB577"/>
    <mergeCell ref="AC577:AC577"/>
    <mergeCell ref="AD577:AD577"/>
    <mergeCell ref="AE577:AE577"/>
    <mergeCell ref="AF577:AF577"/>
    <mergeCell ref="A578:A578"/>
    <mergeCell ref="B578:B578"/>
    <mergeCell ref="C578:C578"/>
    <mergeCell ref="F578:F578"/>
    <mergeCell ref="G578:G578"/>
    <mergeCell ref="H578:H578"/>
    <mergeCell ref="M578:M578"/>
    <mergeCell ref="N578:N578"/>
    <mergeCell ref="O578:O578"/>
    <mergeCell ref="P578:P578"/>
    <mergeCell ref="Q578:Q578"/>
    <mergeCell ref="R578:R578"/>
    <mergeCell ref="S578:S578"/>
    <mergeCell ref="X578:X578"/>
    <mergeCell ref="Y578:Y578"/>
    <mergeCell ref="Z578:Z578"/>
    <mergeCell ref="AA578:AA578"/>
    <mergeCell ref="AB578:AB578"/>
    <mergeCell ref="AC578:AC578"/>
    <mergeCell ref="AD578:AD578"/>
    <mergeCell ref="AE578:AE578"/>
    <mergeCell ref="AF578:AF578"/>
    <mergeCell ref="A579:A579"/>
    <mergeCell ref="B579:B579"/>
    <mergeCell ref="C579:C579"/>
    <mergeCell ref="F579:F579"/>
    <mergeCell ref="G579:G579"/>
    <mergeCell ref="H579:H579"/>
    <mergeCell ref="M579:M579"/>
    <mergeCell ref="N579:N579"/>
    <mergeCell ref="O579:O579"/>
    <mergeCell ref="P579:P579"/>
    <mergeCell ref="Q579:Q579"/>
    <mergeCell ref="R579:R579"/>
    <mergeCell ref="S579:S579"/>
    <mergeCell ref="X579:X579"/>
    <mergeCell ref="Y579:Y579"/>
    <mergeCell ref="Z579:Z579"/>
    <mergeCell ref="AA579:AA579"/>
    <mergeCell ref="AB579:AB579"/>
    <mergeCell ref="AC579:AC579"/>
    <mergeCell ref="AD579:AD579"/>
    <mergeCell ref="AE579:AE579"/>
    <mergeCell ref="AF579:AF579"/>
    <mergeCell ref="A580:A580"/>
    <mergeCell ref="B580:B580"/>
    <mergeCell ref="C580:C580"/>
    <mergeCell ref="F580:F580"/>
    <mergeCell ref="G580:G580"/>
    <mergeCell ref="H580:H580"/>
    <mergeCell ref="M580:M580"/>
    <mergeCell ref="N580:N580"/>
    <mergeCell ref="O580:O580"/>
    <mergeCell ref="P580:P580"/>
    <mergeCell ref="Q580:Q580"/>
    <mergeCell ref="R580:R580"/>
    <mergeCell ref="S580:S580"/>
    <mergeCell ref="X580:X580"/>
    <mergeCell ref="Y580:Y580"/>
    <mergeCell ref="Z580:Z580"/>
    <mergeCell ref="AA580:AA580"/>
    <mergeCell ref="AB580:AB580"/>
    <mergeCell ref="AC580:AC580"/>
    <mergeCell ref="AD580:AD580"/>
    <mergeCell ref="AE580:AE580"/>
    <mergeCell ref="AF580:AF580"/>
    <mergeCell ref="A581:A581"/>
    <mergeCell ref="B581:B581"/>
    <mergeCell ref="C581:C581"/>
    <mergeCell ref="F581:F581"/>
    <mergeCell ref="G581:G581"/>
    <mergeCell ref="H581:H581"/>
    <mergeCell ref="M581:M581"/>
    <mergeCell ref="N581:N581"/>
    <mergeCell ref="O581:O581"/>
    <mergeCell ref="P581:P581"/>
    <mergeCell ref="Q581:Q581"/>
    <mergeCell ref="R581:R581"/>
    <mergeCell ref="S581:S581"/>
    <mergeCell ref="X581:X581"/>
    <mergeCell ref="Y581:Y581"/>
    <mergeCell ref="Z581:Z581"/>
    <mergeCell ref="AA581:AA581"/>
    <mergeCell ref="AB581:AB581"/>
    <mergeCell ref="AC581:AC581"/>
    <mergeCell ref="AD581:AD581"/>
    <mergeCell ref="AE581:AE581"/>
    <mergeCell ref="AF581:AF581"/>
    <mergeCell ref="A582:A582"/>
    <mergeCell ref="B582:B582"/>
    <mergeCell ref="C582:C582"/>
    <mergeCell ref="F582:F582"/>
    <mergeCell ref="G582:G582"/>
    <mergeCell ref="H582:H582"/>
    <mergeCell ref="M582:M582"/>
    <mergeCell ref="N582:N582"/>
    <mergeCell ref="O582:O582"/>
    <mergeCell ref="P582:P582"/>
    <mergeCell ref="Q582:Q582"/>
    <mergeCell ref="R582:R582"/>
    <mergeCell ref="S582:S582"/>
    <mergeCell ref="X582:X582"/>
    <mergeCell ref="Y582:Y582"/>
    <mergeCell ref="Z582:Z582"/>
    <mergeCell ref="AA582:AA582"/>
    <mergeCell ref="AB582:AB582"/>
    <mergeCell ref="AC582:AC582"/>
    <mergeCell ref="AD582:AD582"/>
    <mergeCell ref="AE582:AE582"/>
    <mergeCell ref="AF582:AF582"/>
    <mergeCell ref="A583:A583"/>
    <mergeCell ref="B583:B583"/>
    <mergeCell ref="C583:C583"/>
    <mergeCell ref="F583:F583"/>
    <mergeCell ref="G583:G583"/>
    <mergeCell ref="H583:H583"/>
    <mergeCell ref="M583:M583"/>
    <mergeCell ref="N583:N583"/>
    <mergeCell ref="O583:O583"/>
    <mergeCell ref="P583:P583"/>
    <mergeCell ref="Q583:Q583"/>
    <mergeCell ref="R583:R583"/>
    <mergeCell ref="S583:S583"/>
    <mergeCell ref="X583:X583"/>
    <mergeCell ref="Y583:Y583"/>
    <mergeCell ref="Z583:Z583"/>
    <mergeCell ref="AA583:AA583"/>
    <mergeCell ref="AB583:AB583"/>
    <mergeCell ref="AC583:AC583"/>
    <mergeCell ref="AD583:AD583"/>
    <mergeCell ref="AE583:AE583"/>
    <mergeCell ref="AF583:AF583"/>
    <mergeCell ref="A584:A584"/>
    <mergeCell ref="B584:B584"/>
    <mergeCell ref="C584:C584"/>
    <mergeCell ref="F584:F584"/>
    <mergeCell ref="G584:G584"/>
    <mergeCell ref="H584:H584"/>
    <mergeCell ref="M584:M584"/>
    <mergeCell ref="N584:N584"/>
    <mergeCell ref="O584:O584"/>
    <mergeCell ref="P584:P584"/>
    <mergeCell ref="Q584:Q584"/>
    <mergeCell ref="R584:R584"/>
    <mergeCell ref="S584:S584"/>
    <mergeCell ref="X584:X584"/>
    <mergeCell ref="Y584:Y584"/>
    <mergeCell ref="Z584:Z584"/>
    <mergeCell ref="AA584:AA584"/>
    <mergeCell ref="AB584:AB584"/>
    <mergeCell ref="AC584:AC584"/>
    <mergeCell ref="AD584:AD584"/>
    <mergeCell ref="AE584:AE584"/>
    <mergeCell ref="AF584:AF584"/>
    <mergeCell ref="A585:A585"/>
    <mergeCell ref="B585:B585"/>
    <mergeCell ref="C585:C585"/>
    <mergeCell ref="F585:F585"/>
    <mergeCell ref="G585:G585"/>
    <mergeCell ref="H585:H585"/>
    <mergeCell ref="M585:M585"/>
    <mergeCell ref="N585:N585"/>
    <mergeCell ref="O585:O585"/>
    <mergeCell ref="P585:P585"/>
    <mergeCell ref="Q585:Q585"/>
    <mergeCell ref="R585:R585"/>
    <mergeCell ref="S585:S585"/>
    <mergeCell ref="X585:X585"/>
    <mergeCell ref="Y585:Y585"/>
    <mergeCell ref="Z585:Z585"/>
    <mergeCell ref="AA585:AA585"/>
    <mergeCell ref="AB585:AB585"/>
    <mergeCell ref="AC585:AC585"/>
    <mergeCell ref="AD585:AD585"/>
    <mergeCell ref="AE585:AE585"/>
    <mergeCell ref="AF585:AF585"/>
    <mergeCell ref="A586:A586"/>
    <mergeCell ref="B586:B586"/>
    <mergeCell ref="C586:C586"/>
    <mergeCell ref="F586:F586"/>
    <mergeCell ref="G586:G586"/>
    <mergeCell ref="H586:H586"/>
    <mergeCell ref="M586:M586"/>
    <mergeCell ref="N586:N586"/>
    <mergeCell ref="O586:O586"/>
    <mergeCell ref="P586:P586"/>
    <mergeCell ref="Q586:Q586"/>
    <mergeCell ref="R586:R586"/>
    <mergeCell ref="S586:S586"/>
    <mergeCell ref="X586:X586"/>
    <mergeCell ref="Y586:Y586"/>
    <mergeCell ref="Z586:Z586"/>
    <mergeCell ref="AA586:AA586"/>
    <mergeCell ref="AB586:AB586"/>
    <mergeCell ref="AC586:AC586"/>
    <mergeCell ref="AD586:AD586"/>
    <mergeCell ref="AE586:AE586"/>
    <mergeCell ref="AF586:AF586"/>
    <mergeCell ref="A587:A587"/>
    <mergeCell ref="B587:B587"/>
    <mergeCell ref="C587:C587"/>
    <mergeCell ref="F587:F587"/>
    <mergeCell ref="G587:G587"/>
    <mergeCell ref="H587:H587"/>
    <mergeCell ref="M587:M587"/>
    <mergeCell ref="N587:N587"/>
    <mergeCell ref="O587:O587"/>
    <mergeCell ref="P587:P587"/>
    <mergeCell ref="Q587:Q587"/>
    <mergeCell ref="R587:R587"/>
    <mergeCell ref="S587:S587"/>
    <mergeCell ref="X587:X587"/>
    <mergeCell ref="Y587:Y587"/>
    <mergeCell ref="Z587:Z587"/>
    <mergeCell ref="AA587:AA587"/>
    <mergeCell ref="AB587:AB587"/>
    <mergeCell ref="AC587:AC587"/>
    <mergeCell ref="AD587:AD587"/>
    <mergeCell ref="AE587:AE587"/>
    <mergeCell ref="AF587:AF587"/>
    <mergeCell ref="A588:A588"/>
    <mergeCell ref="B588:B588"/>
    <mergeCell ref="C588:C588"/>
    <mergeCell ref="F588:F588"/>
    <mergeCell ref="G588:G588"/>
    <mergeCell ref="H588:H588"/>
    <mergeCell ref="M588:M588"/>
    <mergeCell ref="N588:N588"/>
    <mergeCell ref="O588:O588"/>
    <mergeCell ref="P588:P588"/>
    <mergeCell ref="Q588:Q588"/>
    <mergeCell ref="R588:R588"/>
    <mergeCell ref="S588:S588"/>
    <mergeCell ref="X588:X588"/>
    <mergeCell ref="Y588:Y588"/>
    <mergeCell ref="Z588:Z588"/>
    <mergeCell ref="AA588:AA588"/>
    <mergeCell ref="AB588:AB588"/>
    <mergeCell ref="AC588:AC588"/>
    <mergeCell ref="AD588:AD588"/>
    <mergeCell ref="AE588:AE588"/>
    <mergeCell ref="AF588:AF588"/>
    <mergeCell ref="A589:A589"/>
    <mergeCell ref="B589:B589"/>
    <mergeCell ref="C589:C589"/>
    <mergeCell ref="F589:F589"/>
    <mergeCell ref="G589:G589"/>
    <mergeCell ref="H589:H589"/>
    <mergeCell ref="M589:M589"/>
    <mergeCell ref="N589:N589"/>
    <mergeCell ref="O589:O589"/>
    <mergeCell ref="P589:P589"/>
    <mergeCell ref="Q589:Q589"/>
    <mergeCell ref="R589:R589"/>
    <mergeCell ref="S589:S589"/>
    <mergeCell ref="X589:X589"/>
    <mergeCell ref="Y589:Y589"/>
    <mergeCell ref="Z589:Z589"/>
    <mergeCell ref="AA589:AA589"/>
    <mergeCell ref="AB589:AB589"/>
    <mergeCell ref="AC589:AC589"/>
    <mergeCell ref="AD589:AD589"/>
    <mergeCell ref="AE589:AE589"/>
    <mergeCell ref="AF589:AF589"/>
    <mergeCell ref="A590:A590"/>
    <mergeCell ref="B590:B590"/>
    <mergeCell ref="C590:C590"/>
    <mergeCell ref="F590:F590"/>
    <mergeCell ref="G590:G590"/>
    <mergeCell ref="H590:H590"/>
    <mergeCell ref="M590:M590"/>
    <mergeCell ref="N590:N590"/>
    <mergeCell ref="O590:O590"/>
    <mergeCell ref="P590:P590"/>
    <mergeCell ref="Q590:Q590"/>
    <mergeCell ref="R590:R590"/>
    <mergeCell ref="S590:S590"/>
    <mergeCell ref="X590:X590"/>
    <mergeCell ref="Y590:Y590"/>
    <mergeCell ref="Z590:Z590"/>
    <mergeCell ref="AA590:AA590"/>
    <mergeCell ref="AB590:AB590"/>
    <mergeCell ref="AC590:AC590"/>
    <mergeCell ref="AD590:AD590"/>
    <mergeCell ref="AE590:AE590"/>
    <mergeCell ref="AF590:AF590"/>
    <mergeCell ref="A591:A591"/>
    <mergeCell ref="B591:B591"/>
    <mergeCell ref="C591:C591"/>
    <mergeCell ref="F591:F591"/>
    <mergeCell ref="G591:G591"/>
    <mergeCell ref="H591:H591"/>
    <mergeCell ref="M591:M591"/>
    <mergeCell ref="N591:N591"/>
    <mergeCell ref="O591:O591"/>
    <mergeCell ref="P591:P591"/>
    <mergeCell ref="Q591:Q591"/>
    <mergeCell ref="R591:R591"/>
    <mergeCell ref="S591:S591"/>
    <mergeCell ref="X591:X591"/>
    <mergeCell ref="Y591:Y591"/>
    <mergeCell ref="Z591:Z591"/>
    <mergeCell ref="AA591:AA591"/>
    <mergeCell ref="AB591:AB591"/>
    <mergeCell ref="AC591:AC591"/>
    <mergeCell ref="AD591:AD591"/>
    <mergeCell ref="AE591:AE591"/>
    <mergeCell ref="AF591:AF591"/>
    <mergeCell ref="A592:A592"/>
    <mergeCell ref="B592:B592"/>
    <mergeCell ref="C592:C592"/>
    <mergeCell ref="F592:F592"/>
    <mergeCell ref="G592:G592"/>
    <mergeCell ref="H592:H592"/>
    <mergeCell ref="M592:M592"/>
    <mergeCell ref="N592:N592"/>
    <mergeCell ref="O592:O592"/>
    <mergeCell ref="P592:P592"/>
    <mergeCell ref="Q592:Q592"/>
    <mergeCell ref="R592:R592"/>
    <mergeCell ref="S592:S592"/>
    <mergeCell ref="X592:X592"/>
    <mergeCell ref="Y592:Y592"/>
    <mergeCell ref="Z592:Z592"/>
    <mergeCell ref="AA592:AA592"/>
    <mergeCell ref="AB592:AB592"/>
    <mergeCell ref="AC592:AC592"/>
    <mergeCell ref="AD592:AD592"/>
    <mergeCell ref="AE592:AE592"/>
    <mergeCell ref="AF592:AF592"/>
    <mergeCell ref="A593:A593"/>
    <mergeCell ref="B593:B593"/>
    <mergeCell ref="C593:C593"/>
    <mergeCell ref="F593:F593"/>
    <mergeCell ref="G593:G593"/>
    <mergeCell ref="H593:H593"/>
    <mergeCell ref="M593:M593"/>
    <mergeCell ref="N593:N593"/>
    <mergeCell ref="O593:O593"/>
    <mergeCell ref="P593:P593"/>
    <mergeCell ref="Q593:Q593"/>
    <mergeCell ref="R593:R593"/>
    <mergeCell ref="S593:S593"/>
    <mergeCell ref="X593:X593"/>
    <mergeCell ref="Y593:Y593"/>
    <mergeCell ref="Z593:Z593"/>
    <mergeCell ref="AA593:AA593"/>
    <mergeCell ref="AB593:AB593"/>
    <mergeCell ref="AC593:AC593"/>
    <mergeCell ref="AD593:AD593"/>
    <mergeCell ref="AE593:AE593"/>
    <mergeCell ref="AF593:AF593"/>
    <mergeCell ref="A594:A594"/>
    <mergeCell ref="B594:B594"/>
    <mergeCell ref="C594:C594"/>
    <mergeCell ref="F594:F594"/>
    <mergeCell ref="G594:G594"/>
    <mergeCell ref="H594:H594"/>
    <mergeCell ref="M594:M594"/>
    <mergeCell ref="N594:N594"/>
    <mergeCell ref="O594:O594"/>
    <mergeCell ref="P594:P594"/>
    <mergeCell ref="Q594:Q594"/>
    <mergeCell ref="R594:R594"/>
    <mergeCell ref="S594:S594"/>
    <mergeCell ref="X594:X594"/>
    <mergeCell ref="Y594:Y594"/>
    <mergeCell ref="Z594:Z594"/>
    <mergeCell ref="AA594:AA594"/>
    <mergeCell ref="AB594:AB594"/>
    <mergeCell ref="AC594:AC594"/>
    <mergeCell ref="AD594:AD594"/>
    <mergeCell ref="AE594:AE594"/>
    <mergeCell ref="AF594:AF594"/>
    <mergeCell ref="A595:A595"/>
    <mergeCell ref="B595:B595"/>
    <mergeCell ref="C595:C595"/>
    <mergeCell ref="F595:F595"/>
    <mergeCell ref="G595:G595"/>
    <mergeCell ref="H595:H595"/>
    <mergeCell ref="M595:M595"/>
    <mergeCell ref="N595:N595"/>
    <mergeCell ref="O595:O595"/>
    <mergeCell ref="P595:P595"/>
    <mergeCell ref="Q595:Q595"/>
    <mergeCell ref="R595:R595"/>
    <mergeCell ref="S595:S595"/>
    <mergeCell ref="X595:X595"/>
    <mergeCell ref="Y595:Y595"/>
    <mergeCell ref="Z595:Z595"/>
    <mergeCell ref="AA595:AA595"/>
    <mergeCell ref="AB595:AB595"/>
    <mergeCell ref="AC595:AC595"/>
    <mergeCell ref="AD595:AD595"/>
    <mergeCell ref="AE595:AE595"/>
    <mergeCell ref="AF595:AF595"/>
    <mergeCell ref="A596:A596"/>
    <mergeCell ref="B596:B596"/>
    <mergeCell ref="C596:C596"/>
    <mergeCell ref="F596:F596"/>
    <mergeCell ref="G596:G596"/>
    <mergeCell ref="H596:H596"/>
    <mergeCell ref="M596:M596"/>
    <mergeCell ref="N596:N596"/>
    <mergeCell ref="O596:O596"/>
    <mergeCell ref="P596:P596"/>
    <mergeCell ref="Q596:Q596"/>
    <mergeCell ref="R596:R596"/>
    <mergeCell ref="S596:S596"/>
    <mergeCell ref="X596:X596"/>
    <mergeCell ref="Y596:Y596"/>
    <mergeCell ref="Z596:Z596"/>
    <mergeCell ref="AA596:AA596"/>
    <mergeCell ref="AB596:AB596"/>
    <mergeCell ref="AC596:AC596"/>
    <mergeCell ref="AD596:AD596"/>
    <mergeCell ref="AE596:AE596"/>
    <mergeCell ref="AF596:AF596"/>
    <mergeCell ref="A597:A597"/>
    <mergeCell ref="B597:B597"/>
    <mergeCell ref="C597:C597"/>
    <mergeCell ref="F597:F597"/>
    <mergeCell ref="G597:G597"/>
    <mergeCell ref="H597:H597"/>
    <mergeCell ref="M597:M597"/>
    <mergeCell ref="N597:N597"/>
    <mergeCell ref="O597:O597"/>
    <mergeCell ref="P597:P597"/>
    <mergeCell ref="Q597:Q597"/>
    <mergeCell ref="R597:R597"/>
    <mergeCell ref="S597:S597"/>
    <mergeCell ref="X597:X597"/>
    <mergeCell ref="Y597:Y597"/>
    <mergeCell ref="Z597:Z597"/>
    <mergeCell ref="AA597:AA597"/>
    <mergeCell ref="AB597:AB597"/>
    <mergeCell ref="AC597:AC597"/>
    <mergeCell ref="AD597:AD597"/>
    <mergeCell ref="AE597:AE597"/>
    <mergeCell ref="AF597:AF597"/>
    <mergeCell ref="A598:A598"/>
    <mergeCell ref="B598:B598"/>
    <mergeCell ref="C598:C598"/>
    <mergeCell ref="F598:F598"/>
    <mergeCell ref="G598:G598"/>
    <mergeCell ref="H598:H598"/>
    <mergeCell ref="M598:M598"/>
    <mergeCell ref="N598:N598"/>
    <mergeCell ref="O598:O598"/>
    <mergeCell ref="P598:P598"/>
    <mergeCell ref="Q598:Q598"/>
    <mergeCell ref="R598:R598"/>
    <mergeCell ref="S598:S598"/>
    <mergeCell ref="X598:X598"/>
    <mergeCell ref="Y598:Y598"/>
    <mergeCell ref="Z598:Z598"/>
    <mergeCell ref="AA598:AA598"/>
    <mergeCell ref="AB598:AB598"/>
    <mergeCell ref="AC598:AC598"/>
    <mergeCell ref="AD598:AD598"/>
    <mergeCell ref="AE598:AE598"/>
    <mergeCell ref="AF598:AF598"/>
    <mergeCell ref="A599:A599"/>
    <mergeCell ref="B599:B599"/>
    <mergeCell ref="C599:C599"/>
    <mergeCell ref="F599:F599"/>
    <mergeCell ref="G599:G599"/>
    <mergeCell ref="H599:H599"/>
    <mergeCell ref="M599:M599"/>
    <mergeCell ref="N599:N599"/>
    <mergeCell ref="O599:O599"/>
    <mergeCell ref="P599:P599"/>
    <mergeCell ref="Q599:Q599"/>
    <mergeCell ref="R599:R599"/>
    <mergeCell ref="S599:S599"/>
    <mergeCell ref="X599:X599"/>
    <mergeCell ref="Y599:Y599"/>
    <mergeCell ref="Z599:Z599"/>
    <mergeCell ref="AA599:AA599"/>
    <mergeCell ref="AB599:AB599"/>
    <mergeCell ref="AC599:AC599"/>
    <mergeCell ref="AD599:AD599"/>
    <mergeCell ref="AE599:AE599"/>
    <mergeCell ref="AF599:AF599"/>
    <mergeCell ref="A600:A600"/>
    <mergeCell ref="B600:B600"/>
    <mergeCell ref="C600:C600"/>
    <mergeCell ref="F600:F600"/>
    <mergeCell ref="G600:G600"/>
    <mergeCell ref="H600:H600"/>
    <mergeCell ref="M600:M600"/>
    <mergeCell ref="N600:N600"/>
    <mergeCell ref="O600:O600"/>
    <mergeCell ref="P600:P600"/>
    <mergeCell ref="Q600:Q600"/>
    <mergeCell ref="R600:R600"/>
    <mergeCell ref="S600:S600"/>
    <mergeCell ref="X600:X600"/>
    <mergeCell ref="Y600:Y600"/>
    <mergeCell ref="Z600:Z600"/>
    <mergeCell ref="AA600:AA600"/>
    <mergeCell ref="AB600:AB600"/>
    <mergeCell ref="AC600:AC600"/>
    <mergeCell ref="AD600:AD600"/>
    <mergeCell ref="AE600:AE600"/>
    <mergeCell ref="AF600:AF600"/>
    <mergeCell ref="A601:A601"/>
    <mergeCell ref="B601:B601"/>
    <mergeCell ref="C601:C601"/>
    <mergeCell ref="F601:F601"/>
    <mergeCell ref="G601:G601"/>
    <mergeCell ref="H601:H601"/>
    <mergeCell ref="M601:M601"/>
    <mergeCell ref="N601:N601"/>
    <mergeCell ref="O601:O601"/>
    <mergeCell ref="P601:P601"/>
    <mergeCell ref="Q601:Q601"/>
    <mergeCell ref="R601:R601"/>
    <mergeCell ref="S601:S601"/>
    <mergeCell ref="X601:X601"/>
    <mergeCell ref="Y601:Y601"/>
    <mergeCell ref="Z601:Z601"/>
    <mergeCell ref="AA601:AA601"/>
    <mergeCell ref="AB601:AB601"/>
    <mergeCell ref="AC601:AC601"/>
    <mergeCell ref="AD601:AD601"/>
    <mergeCell ref="AE601:AE601"/>
    <mergeCell ref="AF601:AF601"/>
    <mergeCell ref="A602:A602"/>
    <mergeCell ref="B602:B602"/>
    <mergeCell ref="C602:C602"/>
    <mergeCell ref="F602:F602"/>
    <mergeCell ref="G602:G602"/>
    <mergeCell ref="H602:H602"/>
    <mergeCell ref="M602:M602"/>
    <mergeCell ref="N602:N602"/>
    <mergeCell ref="O602:O602"/>
    <mergeCell ref="P602:P602"/>
    <mergeCell ref="Q602:Q602"/>
    <mergeCell ref="R602:R602"/>
    <mergeCell ref="S602:S602"/>
    <mergeCell ref="X602:X602"/>
    <mergeCell ref="Y602:Y602"/>
    <mergeCell ref="Z602:Z602"/>
    <mergeCell ref="AA602:AA602"/>
    <mergeCell ref="AB602:AB602"/>
    <mergeCell ref="AC602:AC602"/>
    <mergeCell ref="AD602:AD602"/>
    <mergeCell ref="AE602:AE602"/>
    <mergeCell ref="AF602:AF602"/>
    <mergeCell ref="A603:A603"/>
    <mergeCell ref="B603:B603"/>
    <mergeCell ref="C603:C603"/>
    <mergeCell ref="F603:F603"/>
    <mergeCell ref="G603:G603"/>
    <mergeCell ref="H603:H603"/>
    <mergeCell ref="M603:M603"/>
    <mergeCell ref="N603:N603"/>
    <mergeCell ref="O603:O603"/>
    <mergeCell ref="P603:P603"/>
    <mergeCell ref="Q603:Q603"/>
    <mergeCell ref="R603:R603"/>
    <mergeCell ref="S603:S603"/>
    <mergeCell ref="X603:X603"/>
    <mergeCell ref="Y603:Y603"/>
    <mergeCell ref="Z603:Z603"/>
    <mergeCell ref="AA603:AA603"/>
    <mergeCell ref="AB603:AB603"/>
    <mergeCell ref="AC603:AC603"/>
    <mergeCell ref="AD603:AD603"/>
    <mergeCell ref="AE603:AE603"/>
    <mergeCell ref="AF603:AF603"/>
    <mergeCell ref="A604:A604"/>
    <mergeCell ref="B604:B604"/>
    <mergeCell ref="C604:C604"/>
    <mergeCell ref="F604:F604"/>
    <mergeCell ref="G604:G604"/>
    <mergeCell ref="H604:H604"/>
    <mergeCell ref="M604:M604"/>
    <mergeCell ref="N604:N604"/>
    <mergeCell ref="O604:O604"/>
    <mergeCell ref="P604:P604"/>
    <mergeCell ref="Q604:Q604"/>
    <mergeCell ref="R604:R604"/>
    <mergeCell ref="S604:S604"/>
    <mergeCell ref="X604:X604"/>
    <mergeCell ref="Y604:Y604"/>
    <mergeCell ref="Z604:Z604"/>
    <mergeCell ref="AA604:AA604"/>
    <mergeCell ref="AB604:AB604"/>
    <mergeCell ref="AC604:AC604"/>
    <mergeCell ref="AD604:AD604"/>
    <mergeCell ref="AE604:AE604"/>
    <mergeCell ref="AF604:AF604"/>
    <mergeCell ref="A605:A605"/>
    <mergeCell ref="B605:B605"/>
    <mergeCell ref="C605:C605"/>
    <mergeCell ref="F605:F605"/>
    <mergeCell ref="G605:G605"/>
    <mergeCell ref="H605:H605"/>
    <mergeCell ref="M605:M605"/>
    <mergeCell ref="N605:N605"/>
    <mergeCell ref="O605:O605"/>
    <mergeCell ref="P605:P605"/>
    <mergeCell ref="Q605:Q605"/>
    <mergeCell ref="R605:R605"/>
    <mergeCell ref="S605:S605"/>
    <mergeCell ref="X605:X605"/>
    <mergeCell ref="Y605:Y605"/>
    <mergeCell ref="Z605:Z605"/>
    <mergeCell ref="AA605:AA605"/>
    <mergeCell ref="AB605:AB605"/>
    <mergeCell ref="AC605:AC605"/>
    <mergeCell ref="AD605:AD605"/>
    <mergeCell ref="AE605:AE605"/>
    <mergeCell ref="AF605:AF605"/>
    <mergeCell ref="A606:A606"/>
    <mergeCell ref="B606:B606"/>
    <mergeCell ref="C606:C606"/>
    <mergeCell ref="F606:F606"/>
    <mergeCell ref="G606:G606"/>
    <mergeCell ref="H606:H606"/>
    <mergeCell ref="M606:M606"/>
    <mergeCell ref="N606:N606"/>
    <mergeCell ref="O606:O606"/>
    <mergeCell ref="P606:P606"/>
    <mergeCell ref="Q606:Q606"/>
    <mergeCell ref="R606:R606"/>
    <mergeCell ref="S606:S606"/>
    <mergeCell ref="X606:X606"/>
    <mergeCell ref="Y606:Y606"/>
    <mergeCell ref="Z606:Z606"/>
    <mergeCell ref="AA606:AA606"/>
    <mergeCell ref="AB606:AB606"/>
    <mergeCell ref="AC606:AC606"/>
    <mergeCell ref="AD606:AD606"/>
    <mergeCell ref="AE606:AE606"/>
    <mergeCell ref="AF606:AF606"/>
    <mergeCell ref="A607:A607"/>
    <mergeCell ref="B607:B607"/>
    <mergeCell ref="C607:C607"/>
    <mergeCell ref="F607:F607"/>
    <mergeCell ref="G607:G607"/>
    <mergeCell ref="H607:H607"/>
    <mergeCell ref="M607:M607"/>
    <mergeCell ref="N607:N607"/>
    <mergeCell ref="O607:O607"/>
    <mergeCell ref="P607:P607"/>
    <mergeCell ref="Q607:Q607"/>
    <mergeCell ref="R607:R607"/>
    <mergeCell ref="S607:S607"/>
    <mergeCell ref="X607:X607"/>
    <mergeCell ref="Y607:Y607"/>
    <mergeCell ref="Z607:Z607"/>
    <mergeCell ref="AA607:AA607"/>
    <mergeCell ref="AB607:AB607"/>
    <mergeCell ref="AC607:AC607"/>
    <mergeCell ref="AD607:AD607"/>
    <mergeCell ref="AE607:AE607"/>
    <mergeCell ref="AF607:AF607"/>
    <mergeCell ref="A608:A608"/>
    <mergeCell ref="B608:B608"/>
    <mergeCell ref="C608:C608"/>
    <mergeCell ref="F608:F608"/>
    <mergeCell ref="G608:G608"/>
    <mergeCell ref="H608:H608"/>
    <mergeCell ref="M608:M608"/>
    <mergeCell ref="N608:N608"/>
    <mergeCell ref="O608:O608"/>
    <mergeCell ref="P608:P608"/>
    <mergeCell ref="Q608:Q608"/>
    <mergeCell ref="R608:R608"/>
    <mergeCell ref="S608:S608"/>
    <mergeCell ref="X608:X608"/>
    <mergeCell ref="Y608:Y608"/>
    <mergeCell ref="Z608:Z608"/>
    <mergeCell ref="AA608:AA608"/>
    <mergeCell ref="AB608:AB608"/>
    <mergeCell ref="AC608:AC608"/>
    <mergeCell ref="AD608:AD608"/>
    <mergeCell ref="AE608:AE608"/>
    <mergeCell ref="AF608:AF608"/>
    <mergeCell ref="A609:A609"/>
    <mergeCell ref="B609:B609"/>
    <mergeCell ref="C609:C609"/>
    <mergeCell ref="F609:F609"/>
    <mergeCell ref="G609:G609"/>
    <mergeCell ref="H609:H609"/>
    <mergeCell ref="M609:M609"/>
    <mergeCell ref="N609:N609"/>
    <mergeCell ref="O609:O609"/>
    <mergeCell ref="P609:P609"/>
    <mergeCell ref="Q609:Q609"/>
    <mergeCell ref="R609:R609"/>
    <mergeCell ref="S609:S609"/>
    <mergeCell ref="X609:X609"/>
    <mergeCell ref="Y609:Y609"/>
    <mergeCell ref="Z609:Z609"/>
    <mergeCell ref="AA609:AA609"/>
    <mergeCell ref="AB609:AB609"/>
    <mergeCell ref="AC609:AC609"/>
    <mergeCell ref="AD609:AD609"/>
    <mergeCell ref="AE609:AE609"/>
    <mergeCell ref="AF609:AF609"/>
    <mergeCell ref="A610:A610"/>
    <mergeCell ref="B610:B610"/>
    <mergeCell ref="C610:C610"/>
    <mergeCell ref="F610:F610"/>
    <mergeCell ref="G610:G610"/>
    <mergeCell ref="H610:H610"/>
    <mergeCell ref="M610:M610"/>
    <mergeCell ref="N610:N610"/>
    <mergeCell ref="O610:O610"/>
    <mergeCell ref="P610:P610"/>
    <mergeCell ref="Q610:Q610"/>
    <mergeCell ref="R610:R610"/>
    <mergeCell ref="S610:S610"/>
    <mergeCell ref="X610:X610"/>
    <mergeCell ref="Y610:Y610"/>
    <mergeCell ref="Z610:Z610"/>
    <mergeCell ref="AA610:AA610"/>
    <mergeCell ref="AB610:AB610"/>
    <mergeCell ref="AC610:AC610"/>
    <mergeCell ref="AD610:AD610"/>
    <mergeCell ref="AE610:AE610"/>
    <mergeCell ref="AF610:AF610"/>
    <mergeCell ref="A611:A611"/>
    <mergeCell ref="B611:B611"/>
    <mergeCell ref="C611:C611"/>
    <mergeCell ref="F611:F611"/>
    <mergeCell ref="G611:G611"/>
    <mergeCell ref="H611:H611"/>
    <mergeCell ref="M611:M611"/>
    <mergeCell ref="N611:N611"/>
    <mergeCell ref="O611:O611"/>
    <mergeCell ref="P611:P611"/>
    <mergeCell ref="Q611:Q611"/>
    <mergeCell ref="R611:R611"/>
    <mergeCell ref="S611:S611"/>
    <mergeCell ref="X611:X611"/>
    <mergeCell ref="Y611:Y611"/>
    <mergeCell ref="Z611:Z611"/>
    <mergeCell ref="AA611:AA611"/>
    <mergeCell ref="AB611:AB611"/>
    <mergeCell ref="AC611:AC611"/>
    <mergeCell ref="AD611:AD611"/>
    <mergeCell ref="AE611:AE611"/>
    <mergeCell ref="AF611:AF611"/>
    <mergeCell ref="A612:A612"/>
    <mergeCell ref="B612:B612"/>
    <mergeCell ref="C612:C612"/>
    <mergeCell ref="F612:F612"/>
    <mergeCell ref="G612:G612"/>
    <mergeCell ref="H612:H612"/>
    <mergeCell ref="M612:M612"/>
    <mergeCell ref="N612:N612"/>
    <mergeCell ref="O612:O612"/>
    <mergeCell ref="P612:P612"/>
    <mergeCell ref="Q612:Q612"/>
    <mergeCell ref="R612:R612"/>
    <mergeCell ref="S612:S612"/>
    <mergeCell ref="X612:X612"/>
    <mergeCell ref="Y612:Y612"/>
    <mergeCell ref="Z612:Z612"/>
    <mergeCell ref="AA612:AA612"/>
    <mergeCell ref="AB612:AB612"/>
    <mergeCell ref="AC612:AC612"/>
    <mergeCell ref="AD612:AD612"/>
    <mergeCell ref="AE612:AE612"/>
    <mergeCell ref="AF612:AF612"/>
    <mergeCell ref="A613:A613"/>
    <mergeCell ref="B613:B613"/>
    <mergeCell ref="C613:C613"/>
    <mergeCell ref="F613:F613"/>
    <mergeCell ref="G613:G613"/>
    <mergeCell ref="H613:H613"/>
    <mergeCell ref="M613:M613"/>
    <mergeCell ref="N613:N613"/>
    <mergeCell ref="O613:O613"/>
    <mergeCell ref="P613:P613"/>
    <mergeCell ref="Q613:Q613"/>
    <mergeCell ref="R613:R613"/>
    <mergeCell ref="S613:S613"/>
    <mergeCell ref="X613:X613"/>
    <mergeCell ref="Y613:Y613"/>
    <mergeCell ref="Z613:Z613"/>
    <mergeCell ref="AA613:AA613"/>
    <mergeCell ref="AB613:AB613"/>
    <mergeCell ref="AC613:AC613"/>
    <mergeCell ref="AD613:AD613"/>
    <mergeCell ref="AE613:AE613"/>
    <mergeCell ref="AF613:AF613"/>
    <mergeCell ref="A614:A614"/>
    <mergeCell ref="B614:B614"/>
    <mergeCell ref="C614:C614"/>
    <mergeCell ref="F614:F614"/>
    <mergeCell ref="G614:G614"/>
    <mergeCell ref="H614:H614"/>
    <mergeCell ref="M614:M614"/>
    <mergeCell ref="N614:N614"/>
    <mergeCell ref="O614:O614"/>
    <mergeCell ref="P614:P614"/>
    <mergeCell ref="Q614:Q614"/>
    <mergeCell ref="R614:R614"/>
    <mergeCell ref="S614:S614"/>
    <mergeCell ref="X614:X614"/>
    <mergeCell ref="Y614:Y614"/>
    <mergeCell ref="Z614:Z614"/>
    <mergeCell ref="AA614:AA614"/>
    <mergeCell ref="AB614:AB614"/>
    <mergeCell ref="AC614:AC614"/>
    <mergeCell ref="AD614:AD614"/>
    <mergeCell ref="AE614:AE614"/>
    <mergeCell ref="AF614:AF614"/>
    <mergeCell ref="A615:A615"/>
    <mergeCell ref="B615:B615"/>
    <mergeCell ref="C615:C615"/>
    <mergeCell ref="F615:F615"/>
    <mergeCell ref="G615:G615"/>
    <mergeCell ref="H615:H615"/>
    <mergeCell ref="M615:M615"/>
    <mergeCell ref="N615:N615"/>
    <mergeCell ref="O615:O615"/>
    <mergeCell ref="P615:P615"/>
    <mergeCell ref="Q615:Q615"/>
    <mergeCell ref="R615:R615"/>
    <mergeCell ref="S615:S615"/>
    <mergeCell ref="X615:X615"/>
    <mergeCell ref="Y615:Y615"/>
    <mergeCell ref="Z615:Z615"/>
    <mergeCell ref="AA615:AA615"/>
    <mergeCell ref="AB615:AB615"/>
    <mergeCell ref="AC615:AC615"/>
    <mergeCell ref="AD615:AD615"/>
    <mergeCell ref="AE615:AE615"/>
    <mergeCell ref="AF615:AF615"/>
    <mergeCell ref="A616:A616"/>
    <mergeCell ref="B616:B616"/>
    <mergeCell ref="C616:C616"/>
    <mergeCell ref="F616:F616"/>
    <mergeCell ref="G616:G616"/>
    <mergeCell ref="H616:H616"/>
    <mergeCell ref="M616:M616"/>
    <mergeCell ref="N616:N616"/>
    <mergeCell ref="O616:O616"/>
    <mergeCell ref="P616:P616"/>
    <mergeCell ref="Q616:Q616"/>
    <mergeCell ref="R616:R616"/>
    <mergeCell ref="S616:S616"/>
    <mergeCell ref="X616:X616"/>
    <mergeCell ref="Y616:Y616"/>
    <mergeCell ref="Z616:Z616"/>
    <mergeCell ref="AA616:AA616"/>
    <mergeCell ref="AB616:AB616"/>
    <mergeCell ref="AC616:AC616"/>
    <mergeCell ref="AD616:AD616"/>
    <mergeCell ref="AE616:AE616"/>
    <mergeCell ref="AF616:AF616"/>
    <mergeCell ref="A617:A617"/>
    <mergeCell ref="B617:B617"/>
    <mergeCell ref="C617:C617"/>
    <mergeCell ref="F617:F617"/>
    <mergeCell ref="G617:G617"/>
    <mergeCell ref="H617:H617"/>
    <mergeCell ref="M617:M617"/>
    <mergeCell ref="N617:N617"/>
    <mergeCell ref="O617:O617"/>
    <mergeCell ref="P617:P617"/>
    <mergeCell ref="Q617:Q617"/>
    <mergeCell ref="R617:R617"/>
    <mergeCell ref="S617:S617"/>
    <mergeCell ref="X617:X617"/>
    <mergeCell ref="Y617:Y617"/>
    <mergeCell ref="Z617:Z617"/>
    <mergeCell ref="AA617:AA617"/>
    <mergeCell ref="AB617:AB617"/>
    <mergeCell ref="AC617:AC617"/>
    <mergeCell ref="AD617:AD617"/>
    <mergeCell ref="AE617:AE617"/>
    <mergeCell ref="AF617:AF617"/>
    <mergeCell ref="A618:A618"/>
    <mergeCell ref="B618:B618"/>
    <mergeCell ref="C618:C618"/>
    <mergeCell ref="F618:F618"/>
    <mergeCell ref="G618:G618"/>
    <mergeCell ref="H618:H618"/>
    <mergeCell ref="M618:M618"/>
    <mergeCell ref="N618:N618"/>
    <mergeCell ref="O618:O618"/>
    <mergeCell ref="P618:P618"/>
    <mergeCell ref="Q618:Q618"/>
    <mergeCell ref="R618:R618"/>
    <mergeCell ref="S618:S618"/>
    <mergeCell ref="X618:X618"/>
    <mergeCell ref="Y618:Y618"/>
    <mergeCell ref="Z618:Z618"/>
    <mergeCell ref="AA618:AA618"/>
    <mergeCell ref="AB618:AB618"/>
    <mergeCell ref="AC618:AC618"/>
    <mergeCell ref="AD618:AD618"/>
    <mergeCell ref="AE618:AE618"/>
    <mergeCell ref="AF618:AF618"/>
    <mergeCell ref="A619:A619"/>
    <mergeCell ref="B619:B619"/>
    <mergeCell ref="C619:C619"/>
    <mergeCell ref="F619:F619"/>
    <mergeCell ref="G619:G619"/>
    <mergeCell ref="H619:H619"/>
    <mergeCell ref="M619:M619"/>
    <mergeCell ref="N619:N619"/>
    <mergeCell ref="O619:O619"/>
    <mergeCell ref="P619:P619"/>
    <mergeCell ref="Q619:Q619"/>
    <mergeCell ref="R619:R619"/>
    <mergeCell ref="S619:S619"/>
    <mergeCell ref="X619:X619"/>
    <mergeCell ref="Y619:Y619"/>
    <mergeCell ref="Z619:Z619"/>
    <mergeCell ref="AA619:AA619"/>
    <mergeCell ref="AB619:AB619"/>
    <mergeCell ref="AC619:AC619"/>
    <mergeCell ref="AD619:AD619"/>
    <mergeCell ref="AE619:AE619"/>
    <mergeCell ref="AF619:AF619"/>
    <mergeCell ref="A620:A620"/>
    <mergeCell ref="B620:B620"/>
    <mergeCell ref="C620:C620"/>
    <mergeCell ref="F620:F620"/>
    <mergeCell ref="G620:G620"/>
    <mergeCell ref="H620:H620"/>
    <mergeCell ref="M620:M620"/>
    <mergeCell ref="N620:N620"/>
    <mergeCell ref="O620:O620"/>
    <mergeCell ref="P620:P620"/>
    <mergeCell ref="Q620:Q620"/>
    <mergeCell ref="R620:R620"/>
    <mergeCell ref="S620:S620"/>
    <mergeCell ref="X620:X620"/>
    <mergeCell ref="Y620:Y620"/>
    <mergeCell ref="Z620:Z620"/>
    <mergeCell ref="AA620:AA620"/>
    <mergeCell ref="AB620:AB620"/>
    <mergeCell ref="AC620:AC620"/>
    <mergeCell ref="AD620:AD620"/>
    <mergeCell ref="AE620:AE620"/>
    <mergeCell ref="AF620:AF620"/>
    <mergeCell ref="A621:A621"/>
    <mergeCell ref="B621:B621"/>
    <mergeCell ref="C621:C621"/>
    <mergeCell ref="F621:F621"/>
    <mergeCell ref="G621:G621"/>
    <mergeCell ref="H621:H621"/>
    <mergeCell ref="M621:M621"/>
    <mergeCell ref="N621:N621"/>
    <mergeCell ref="O621:O621"/>
    <mergeCell ref="P621:P621"/>
    <mergeCell ref="Q621:Q621"/>
    <mergeCell ref="R621:R621"/>
    <mergeCell ref="S621:S621"/>
    <mergeCell ref="X621:X621"/>
    <mergeCell ref="Y621:Y621"/>
    <mergeCell ref="Z621:Z621"/>
    <mergeCell ref="AA621:AA621"/>
    <mergeCell ref="AB621:AB621"/>
    <mergeCell ref="AC621:AC621"/>
    <mergeCell ref="AD621:AD621"/>
    <mergeCell ref="AE621:AE621"/>
    <mergeCell ref="AF621:AF621"/>
    <mergeCell ref="A622:A622"/>
    <mergeCell ref="B622:B622"/>
    <mergeCell ref="C622:C622"/>
    <mergeCell ref="F622:F622"/>
    <mergeCell ref="G622:G622"/>
    <mergeCell ref="H622:H622"/>
    <mergeCell ref="M622:M622"/>
    <mergeCell ref="N622:N622"/>
    <mergeCell ref="O622:O622"/>
    <mergeCell ref="P622:P622"/>
    <mergeCell ref="Q622:Q622"/>
    <mergeCell ref="R622:R622"/>
    <mergeCell ref="S622:S622"/>
    <mergeCell ref="X622:X622"/>
    <mergeCell ref="Y622:Y622"/>
    <mergeCell ref="Z622:Z622"/>
    <mergeCell ref="AA622:AA622"/>
    <mergeCell ref="AB622:AB622"/>
    <mergeCell ref="AC622:AC622"/>
    <mergeCell ref="AD622:AD622"/>
    <mergeCell ref="AE622:AE622"/>
    <mergeCell ref="AF622:AF622"/>
    <mergeCell ref="A623:A623"/>
    <mergeCell ref="B623:B623"/>
    <mergeCell ref="C623:C623"/>
    <mergeCell ref="F623:F623"/>
    <mergeCell ref="G623:G623"/>
    <mergeCell ref="H623:H623"/>
    <mergeCell ref="M623:M623"/>
    <mergeCell ref="N623:N623"/>
    <mergeCell ref="O623:O623"/>
    <mergeCell ref="P623:P623"/>
    <mergeCell ref="Q623:Q623"/>
    <mergeCell ref="R623:R623"/>
    <mergeCell ref="S623:S623"/>
    <mergeCell ref="X623:X623"/>
    <mergeCell ref="Y623:Y623"/>
    <mergeCell ref="Z623:Z623"/>
    <mergeCell ref="AA623:AA623"/>
    <mergeCell ref="AB623:AB623"/>
    <mergeCell ref="AC623:AC623"/>
    <mergeCell ref="AD623:AD623"/>
    <mergeCell ref="AE623:AE623"/>
    <mergeCell ref="AF623:AF623"/>
    <mergeCell ref="A624:A624"/>
    <mergeCell ref="B624:B624"/>
    <mergeCell ref="C624:C624"/>
    <mergeCell ref="F624:F624"/>
    <mergeCell ref="G624:G624"/>
    <mergeCell ref="H624:H624"/>
    <mergeCell ref="M624:M624"/>
    <mergeCell ref="N624:N624"/>
    <mergeCell ref="O624:O624"/>
    <mergeCell ref="P624:P624"/>
    <mergeCell ref="Q624:Q624"/>
    <mergeCell ref="R624:R624"/>
    <mergeCell ref="S624:S624"/>
    <mergeCell ref="X624:X624"/>
    <mergeCell ref="Y624:Y624"/>
    <mergeCell ref="Z624:Z624"/>
    <mergeCell ref="AA624:AA624"/>
    <mergeCell ref="AB624:AB624"/>
    <mergeCell ref="AC624:AC624"/>
    <mergeCell ref="AD624:AD624"/>
    <mergeCell ref="AE624:AE624"/>
    <mergeCell ref="AF624:AF624"/>
    <mergeCell ref="A625:A625"/>
    <mergeCell ref="B625:B625"/>
    <mergeCell ref="C625:C625"/>
    <mergeCell ref="F625:F625"/>
    <mergeCell ref="G625:G625"/>
    <mergeCell ref="H625:H625"/>
    <mergeCell ref="M625:M625"/>
    <mergeCell ref="N625:N625"/>
    <mergeCell ref="O625:O625"/>
    <mergeCell ref="P625:P625"/>
    <mergeCell ref="Q625:Q625"/>
    <mergeCell ref="R625:R625"/>
    <mergeCell ref="S625:S625"/>
    <mergeCell ref="X625:X625"/>
    <mergeCell ref="Y625:Y625"/>
    <mergeCell ref="Z625:Z625"/>
    <mergeCell ref="AA625:AA625"/>
    <mergeCell ref="AB625:AB625"/>
    <mergeCell ref="AC625:AC625"/>
    <mergeCell ref="AD625:AD625"/>
    <mergeCell ref="AE625:AE625"/>
    <mergeCell ref="AF625:AF625"/>
    <mergeCell ref="A626:A626"/>
    <mergeCell ref="B626:B626"/>
    <mergeCell ref="C626:C626"/>
    <mergeCell ref="F626:F626"/>
    <mergeCell ref="G626:G626"/>
    <mergeCell ref="H626:H626"/>
    <mergeCell ref="M626:M626"/>
    <mergeCell ref="N626:N626"/>
    <mergeCell ref="O626:O626"/>
    <mergeCell ref="P626:P626"/>
    <mergeCell ref="Q626:Q626"/>
    <mergeCell ref="R626:R626"/>
    <mergeCell ref="S626:S626"/>
    <mergeCell ref="X626:X626"/>
    <mergeCell ref="Y626:Y626"/>
    <mergeCell ref="Z626:Z626"/>
    <mergeCell ref="AA626:AA626"/>
    <mergeCell ref="AB626:AB626"/>
    <mergeCell ref="AC626:AC626"/>
    <mergeCell ref="AD626:AD626"/>
    <mergeCell ref="AE626:AE626"/>
    <mergeCell ref="AF626:AF626"/>
    <mergeCell ref="A627:A627"/>
    <mergeCell ref="B627:B627"/>
    <mergeCell ref="C627:C627"/>
    <mergeCell ref="F627:F627"/>
    <mergeCell ref="G627:G627"/>
    <mergeCell ref="H627:H627"/>
    <mergeCell ref="M627:M627"/>
    <mergeCell ref="N627:N627"/>
    <mergeCell ref="O627:O627"/>
    <mergeCell ref="P627:P627"/>
    <mergeCell ref="Q627:Q627"/>
    <mergeCell ref="R627:R627"/>
    <mergeCell ref="S627:S627"/>
    <mergeCell ref="X627:X627"/>
    <mergeCell ref="Y627:Y627"/>
    <mergeCell ref="Z627:Z627"/>
    <mergeCell ref="AA627:AA627"/>
    <mergeCell ref="AB627:AB627"/>
    <mergeCell ref="AC627:AC627"/>
    <mergeCell ref="AD627:AD627"/>
    <mergeCell ref="AE627:AE627"/>
    <mergeCell ref="AF627:AF627"/>
    <mergeCell ref="A628:A628"/>
    <mergeCell ref="B628:B628"/>
    <mergeCell ref="C628:C628"/>
    <mergeCell ref="F628:F628"/>
    <mergeCell ref="G628:G628"/>
    <mergeCell ref="H628:H628"/>
    <mergeCell ref="M628:M628"/>
    <mergeCell ref="N628:N628"/>
    <mergeCell ref="O628:O628"/>
    <mergeCell ref="P628:P628"/>
    <mergeCell ref="Q628:Q628"/>
    <mergeCell ref="R628:R628"/>
    <mergeCell ref="S628:S628"/>
    <mergeCell ref="X628:X628"/>
    <mergeCell ref="Y628:Y628"/>
    <mergeCell ref="Z628:Z628"/>
    <mergeCell ref="AA628:AA628"/>
    <mergeCell ref="AB628:AB628"/>
    <mergeCell ref="AC628:AC628"/>
    <mergeCell ref="AD628:AD628"/>
    <mergeCell ref="AE628:AE628"/>
    <mergeCell ref="AF628:AF628"/>
    <mergeCell ref="A629:A629"/>
    <mergeCell ref="B629:B629"/>
    <mergeCell ref="C629:C629"/>
    <mergeCell ref="F629:F629"/>
    <mergeCell ref="G629:G629"/>
    <mergeCell ref="H629:H629"/>
    <mergeCell ref="M629:M629"/>
    <mergeCell ref="N629:N629"/>
    <mergeCell ref="O629:O629"/>
    <mergeCell ref="P629:P629"/>
    <mergeCell ref="Q629:Q629"/>
    <mergeCell ref="R629:R629"/>
    <mergeCell ref="S629:S629"/>
    <mergeCell ref="X629:X629"/>
    <mergeCell ref="Y629:Y629"/>
    <mergeCell ref="Z629:Z629"/>
    <mergeCell ref="AA629:AA629"/>
    <mergeCell ref="AB629:AB629"/>
    <mergeCell ref="AC629:AC629"/>
    <mergeCell ref="AD629:AD629"/>
    <mergeCell ref="AE629:AE629"/>
    <mergeCell ref="AF629:AF629"/>
    <mergeCell ref="A630:A630"/>
    <mergeCell ref="B630:B630"/>
    <mergeCell ref="C630:C630"/>
    <mergeCell ref="F630:F630"/>
    <mergeCell ref="G630:G630"/>
    <mergeCell ref="H630:H630"/>
    <mergeCell ref="M630:M630"/>
    <mergeCell ref="N630:N630"/>
    <mergeCell ref="O630:O630"/>
    <mergeCell ref="P630:P630"/>
    <mergeCell ref="Q630:Q630"/>
    <mergeCell ref="R630:R630"/>
    <mergeCell ref="S630:S630"/>
    <mergeCell ref="X630:X630"/>
    <mergeCell ref="Y630:Y630"/>
    <mergeCell ref="Z630:Z630"/>
    <mergeCell ref="AA630:AA630"/>
    <mergeCell ref="AB630:AB630"/>
    <mergeCell ref="AC630:AC630"/>
    <mergeCell ref="AD630:AD630"/>
    <mergeCell ref="AE630:AE630"/>
    <mergeCell ref="AF630:AF630"/>
    <mergeCell ref="A631:A631"/>
    <mergeCell ref="B631:B631"/>
    <mergeCell ref="C631:C631"/>
    <mergeCell ref="F631:F631"/>
    <mergeCell ref="G631:G631"/>
    <mergeCell ref="H631:H631"/>
    <mergeCell ref="M631:M631"/>
    <mergeCell ref="N631:N631"/>
    <mergeCell ref="O631:O631"/>
    <mergeCell ref="P631:P631"/>
    <mergeCell ref="Q631:Q631"/>
    <mergeCell ref="R631:R631"/>
    <mergeCell ref="S631:S631"/>
    <mergeCell ref="X631:X631"/>
    <mergeCell ref="Y631:Y631"/>
    <mergeCell ref="Z631:Z631"/>
    <mergeCell ref="AA631:AA631"/>
    <mergeCell ref="AB631:AB631"/>
    <mergeCell ref="AC631:AC631"/>
    <mergeCell ref="AD631:AD631"/>
    <mergeCell ref="AE631:AE631"/>
    <mergeCell ref="AF631:AF631"/>
    <mergeCell ref="A632:A632"/>
    <mergeCell ref="B632:B632"/>
    <mergeCell ref="C632:C632"/>
    <mergeCell ref="F632:F632"/>
    <mergeCell ref="G632:G632"/>
    <mergeCell ref="H632:H632"/>
    <mergeCell ref="M632:M632"/>
    <mergeCell ref="N632:N632"/>
    <mergeCell ref="O632:O632"/>
    <mergeCell ref="P632:P632"/>
    <mergeCell ref="Q632:Q632"/>
    <mergeCell ref="R632:R632"/>
    <mergeCell ref="S632:S632"/>
    <mergeCell ref="X632:X632"/>
    <mergeCell ref="Y632:Y632"/>
    <mergeCell ref="Z632:Z632"/>
    <mergeCell ref="AA632:AA632"/>
    <mergeCell ref="AB632:AB632"/>
    <mergeCell ref="AC632:AC632"/>
    <mergeCell ref="AD632:AD632"/>
    <mergeCell ref="AE632:AE632"/>
    <mergeCell ref="AF632:AF632"/>
    <mergeCell ref="A633:A633"/>
    <mergeCell ref="B633:B633"/>
    <mergeCell ref="C633:C633"/>
    <mergeCell ref="F633:F633"/>
    <mergeCell ref="G633:G633"/>
    <mergeCell ref="H633:H633"/>
    <mergeCell ref="M633:M633"/>
    <mergeCell ref="N633:N633"/>
    <mergeCell ref="O633:O633"/>
    <mergeCell ref="P633:P633"/>
    <mergeCell ref="Q633:Q633"/>
    <mergeCell ref="R633:R633"/>
    <mergeCell ref="S633:S633"/>
    <mergeCell ref="X633:X633"/>
    <mergeCell ref="Y633:Y633"/>
    <mergeCell ref="Z633:Z633"/>
    <mergeCell ref="AA633:AA633"/>
    <mergeCell ref="AB633:AB633"/>
    <mergeCell ref="AC633:AC633"/>
    <mergeCell ref="AD633:AD633"/>
    <mergeCell ref="AE633:AE633"/>
    <mergeCell ref="AF633:AF633"/>
    <mergeCell ref="A634:A634"/>
    <mergeCell ref="B634:B634"/>
    <mergeCell ref="C634:C634"/>
    <mergeCell ref="F634:F634"/>
    <mergeCell ref="G634:G634"/>
    <mergeCell ref="H634:H634"/>
    <mergeCell ref="M634:M634"/>
    <mergeCell ref="N634:N634"/>
    <mergeCell ref="O634:O634"/>
    <mergeCell ref="P634:P634"/>
    <mergeCell ref="Q634:Q634"/>
    <mergeCell ref="R634:R634"/>
    <mergeCell ref="S634:S634"/>
    <mergeCell ref="X634:X634"/>
    <mergeCell ref="Y634:Y634"/>
    <mergeCell ref="Z634:Z634"/>
    <mergeCell ref="AA634:AA634"/>
    <mergeCell ref="AB634:AB634"/>
    <mergeCell ref="AC634:AC634"/>
    <mergeCell ref="AD634:AD634"/>
    <mergeCell ref="AE634:AE634"/>
    <mergeCell ref="AF634:AF634"/>
    <mergeCell ref="A635:A635"/>
    <mergeCell ref="B635:B635"/>
    <mergeCell ref="C635:C635"/>
    <mergeCell ref="F635:F635"/>
    <mergeCell ref="G635:G635"/>
    <mergeCell ref="H635:H635"/>
    <mergeCell ref="M635:M635"/>
    <mergeCell ref="N635:N635"/>
    <mergeCell ref="O635:O635"/>
    <mergeCell ref="P635:P635"/>
    <mergeCell ref="Q635:Q635"/>
    <mergeCell ref="R635:R635"/>
    <mergeCell ref="S635:S635"/>
    <mergeCell ref="X635:X635"/>
    <mergeCell ref="Y635:Y635"/>
    <mergeCell ref="Z635:Z635"/>
    <mergeCell ref="AA635:AA635"/>
    <mergeCell ref="AB635:AB635"/>
    <mergeCell ref="AC635:AC635"/>
    <mergeCell ref="AD635:AD635"/>
    <mergeCell ref="AE635:AE635"/>
    <mergeCell ref="AF635:AF635"/>
    <mergeCell ref="A636:A636"/>
    <mergeCell ref="B636:B636"/>
    <mergeCell ref="C636:C636"/>
    <mergeCell ref="F636:F636"/>
    <mergeCell ref="G636:G636"/>
    <mergeCell ref="H636:H636"/>
    <mergeCell ref="M636:M636"/>
    <mergeCell ref="N636:N636"/>
    <mergeCell ref="O636:O636"/>
    <mergeCell ref="P636:P636"/>
    <mergeCell ref="Q636:Q636"/>
    <mergeCell ref="R636:R636"/>
    <mergeCell ref="S636:S636"/>
    <mergeCell ref="X636:X636"/>
    <mergeCell ref="Y636:Y636"/>
    <mergeCell ref="Z636:Z636"/>
    <mergeCell ref="AA636:AA636"/>
    <mergeCell ref="AB636:AB636"/>
    <mergeCell ref="AC636:AC636"/>
    <mergeCell ref="AD636:AD636"/>
    <mergeCell ref="AE636:AE636"/>
    <mergeCell ref="AF636:AF636"/>
    <mergeCell ref="A637:A637"/>
    <mergeCell ref="B637:B637"/>
    <mergeCell ref="C637:C637"/>
    <mergeCell ref="F637:F637"/>
    <mergeCell ref="G637:G637"/>
    <mergeCell ref="H637:H637"/>
    <mergeCell ref="M637:M637"/>
    <mergeCell ref="N637:N637"/>
    <mergeCell ref="O637:O637"/>
    <mergeCell ref="P637:P637"/>
    <mergeCell ref="Q637:Q637"/>
    <mergeCell ref="R637:R637"/>
    <mergeCell ref="S637:S637"/>
    <mergeCell ref="X637:X637"/>
    <mergeCell ref="Y637:Y637"/>
    <mergeCell ref="Z637:Z637"/>
    <mergeCell ref="AA637:AA637"/>
    <mergeCell ref="AB637:AB637"/>
    <mergeCell ref="AC637:AC637"/>
    <mergeCell ref="AD637:AD637"/>
    <mergeCell ref="AE637:AE637"/>
    <mergeCell ref="AF637:AF637"/>
    <mergeCell ref="A638:A638"/>
    <mergeCell ref="B638:B638"/>
    <mergeCell ref="C638:C638"/>
    <mergeCell ref="F638:F638"/>
    <mergeCell ref="G638:G638"/>
    <mergeCell ref="H638:H638"/>
    <mergeCell ref="M638:M638"/>
    <mergeCell ref="N638:N638"/>
    <mergeCell ref="O638:O638"/>
    <mergeCell ref="P638:P638"/>
    <mergeCell ref="Q638:Q638"/>
    <mergeCell ref="R638:R638"/>
    <mergeCell ref="S638:S638"/>
    <mergeCell ref="X638:X638"/>
    <mergeCell ref="Y638:Y638"/>
    <mergeCell ref="Z638:Z638"/>
    <mergeCell ref="AA638:AA638"/>
    <mergeCell ref="AB638:AB638"/>
    <mergeCell ref="AC638:AC638"/>
    <mergeCell ref="AD638:AD638"/>
    <mergeCell ref="AE638:AE638"/>
    <mergeCell ref="AF638:AF638"/>
    <mergeCell ref="A639:A639"/>
    <mergeCell ref="B639:B639"/>
    <mergeCell ref="C639:C639"/>
    <mergeCell ref="F639:F639"/>
    <mergeCell ref="G639:G639"/>
    <mergeCell ref="H639:H639"/>
    <mergeCell ref="M639:M639"/>
    <mergeCell ref="N639:N639"/>
    <mergeCell ref="O639:O639"/>
    <mergeCell ref="P639:P639"/>
    <mergeCell ref="Q639:Q639"/>
    <mergeCell ref="R639:R639"/>
    <mergeCell ref="S639:S639"/>
    <mergeCell ref="X639:X639"/>
    <mergeCell ref="Y639:Y639"/>
    <mergeCell ref="Z639:Z639"/>
    <mergeCell ref="AA639:AA639"/>
    <mergeCell ref="AB639:AB639"/>
    <mergeCell ref="AC639:AC639"/>
    <mergeCell ref="AD639:AD639"/>
    <mergeCell ref="AE639:AE639"/>
    <mergeCell ref="AF639:AF639"/>
    <mergeCell ref="A640:A640"/>
    <mergeCell ref="B640:B640"/>
    <mergeCell ref="C640:C640"/>
    <mergeCell ref="F640:F640"/>
    <mergeCell ref="G640:G640"/>
    <mergeCell ref="H640:H640"/>
    <mergeCell ref="M640:M640"/>
    <mergeCell ref="N640:N640"/>
    <mergeCell ref="O640:O640"/>
    <mergeCell ref="P640:P640"/>
    <mergeCell ref="Q640:Q640"/>
    <mergeCell ref="R640:R640"/>
    <mergeCell ref="S640:S640"/>
    <mergeCell ref="X640:X640"/>
    <mergeCell ref="Y640:Y640"/>
    <mergeCell ref="Z640:Z640"/>
    <mergeCell ref="AA640:AA640"/>
    <mergeCell ref="AB640:AB640"/>
    <mergeCell ref="AC640:AC640"/>
    <mergeCell ref="AD640:AD640"/>
    <mergeCell ref="AE640:AE640"/>
    <mergeCell ref="AF640:AF640"/>
    <mergeCell ref="A641:A641"/>
    <mergeCell ref="B641:B641"/>
    <mergeCell ref="C641:C641"/>
    <mergeCell ref="F641:F641"/>
    <mergeCell ref="G641:G641"/>
    <mergeCell ref="H641:H641"/>
    <mergeCell ref="M641:M641"/>
    <mergeCell ref="N641:N641"/>
    <mergeCell ref="O641:O641"/>
    <mergeCell ref="P641:P641"/>
    <mergeCell ref="Q641:Q641"/>
    <mergeCell ref="R641:R641"/>
    <mergeCell ref="S641:S641"/>
    <mergeCell ref="X641:X641"/>
    <mergeCell ref="Y641:Y641"/>
    <mergeCell ref="Z641:Z641"/>
    <mergeCell ref="AA641:AA641"/>
    <mergeCell ref="AB641:AB641"/>
    <mergeCell ref="AC641:AC641"/>
    <mergeCell ref="AD641:AD641"/>
    <mergeCell ref="AE641:AE641"/>
    <mergeCell ref="AF641:AF641"/>
    <mergeCell ref="A642:A642"/>
    <mergeCell ref="B642:B642"/>
    <mergeCell ref="C642:C642"/>
    <mergeCell ref="F642:F642"/>
    <mergeCell ref="G642:G642"/>
    <mergeCell ref="H642:H642"/>
    <mergeCell ref="M642:M642"/>
    <mergeCell ref="N642:N642"/>
    <mergeCell ref="O642:O642"/>
    <mergeCell ref="P642:P642"/>
    <mergeCell ref="Q642:Q642"/>
    <mergeCell ref="R642:R642"/>
    <mergeCell ref="S642:S642"/>
    <mergeCell ref="X642:X642"/>
    <mergeCell ref="Y642:Y642"/>
    <mergeCell ref="Z642:Z642"/>
    <mergeCell ref="AA642:AA642"/>
    <mergeCell ref="AB642:AB642"/>
    <mergeCell ref="AC642:AC642"/>
    <mergeCell ref="AD642:AD642"/>
    <mergeCell ref="AE642:AE642"/>
    <mergeCell ref="AF642:AF642"/>
    <mergeCell ref="A643:A643"/>
    <mergeCell ref="B643:B643"/>
    <mergeCell ref="C643:C643"/>
    <mergeCell ref="F643:F643"/>
    <mergeCell ref="G643:G643"/>
    <mergeCell ref="H643:H643"/>
    <mergeCell ref="M643:M643"/>
    <mergeCell ref="N643:N643"/>
    <mergeCell ref="O643:O643"/>
    <mergeCell ref="P643:P643"/>
    <mergeCell ref="Q643:Q643"/>
    <mergeCell ref="R643:R643"/>
    <mergeCell ref="S643:S643"/>
    <mergeCell ref="X643:X643"/>
    <mergeCell ref="Y643:Y643"/>
    <mergeCell ref="Z643:Z643"/>
    <mergeCell ref="AA643:AA643"/>
    <mergeCell ref="AB643:AB643"/>
    <mergeCell ref="AC643:AC643"/>
    <mergeCell ref="AD643:AD643"/>
    <mergeCell ref="AE643:AE643"/>
    <mergeCell ref="AF643:AF643"/>
    <mergeCell ref="A644:A644"/>
    <mergeCell ref="B644:B644"/>
    <mergeCell ref="C644:C644"/>
    <mergeCell ref="F644:F644"/>
    <mergeCell ref="G644:G644"/>
    <mergeCell ref="H644:H644"/>
    <mergeCell ref="M644:M644"/>
    <mergeCell ref="N644:N644"/>
    <mergeCell ref="O644:O644"/>
    <mergeCell ref="P644:P644"/>
    <mergeCell ref="Q644:Q644"/>
    <mergeCell ref="R644:R644"/>
    <mergeCell ref="S644:S644"/>
    <mergeCell ref="X644:X644"/>
    <mergeCell ref="Y644:Y644"/>
    <mergeCell ref="Z644:Z644"/>
    <mergeCell ref="AA644:AA644"/>
    <mergeCell ref="AB644:AB644"/>
    <mergeCell ref="AC644:AC644"/>
    <mergeCell ref="AD644:AD644"/>
    <mergeCell ref="AE644:AE644"/>
    <mergeCell ref="AF644:AF644"/>
    <mergeCell ref="A645:A645"/>
    <mergeCell ref="B645:B645"/>
    <mergeCell ref="C645:C645"/>
    <mergeCell ref="F645:F645"/>
    <mergeCell ref="G645:G645"/>
    <mergeCell ref="H645:H645"/>
    <mergeCell ref="M645:M645"/>
    <mergeCell ref="N645:N645"/>
    <mergeCell ref="O645:O645"/>
    <mergeCell ref="P645:P645"/>
    <mergeCell ref="Q645:Q645"/>
    <mergeCell ref="R645:R645"/>
    <mergeCell ref="S645:S645"/>
    <mergeCell ref="X645:X645"/>
    <mergeCell ref="Y645:Y645"/>
    <mergeCell ref="Z645:Z645"/>
    <mergeCell ref="AA645:AA645"/>
    <mergeCell ref="AB645:AB645"/>
    <mergeCell ref="AC645:AC645"/>
    <mergeCell ref="AD645:AD645"/>
    <mergeCell ref="AE645:AE645"/>
    <mergeCell ref="AF645:AF645"/>
    <mergeCell ref="A646:A646"/>
    <mergeCell ref="B646:B646"/>
    <mergeCell ref="C646:C646"/>
    <mergeCell ref="F646:F646"/>
    <mergeCell ref="G646:G646"/>
    <mergeCell ref="H646:H646"/>
    <mergeCell ref="M646:M646"/>
    <mergeCell ref="N646:N646"/>
    <mergeCell ref="O646:O646"/>
    <mergeCell ref="P646:P646"/>
    <mergeCell ref="Q646:Q646"/>
    <mergeCell ref="R646:R646"/>
    <mergeCell ref="S646:S646"/>
    <mergeCell ref="X646:X646"/>
    <mergeCell ref="Y646:Y646"/>
    <mergeCell ref="Z646:Z646"/>
    <mergeCell ref="AA646:AA646"/>
    <mergeCell ref="AB646:AB646"/>
    <mergeCell ref="AC646:AC646"/>
    <mergeCell ref="AD646:AD646"/>
    <mergeCell ref="AE646:AE646"/>
    <mergeCell ref="AF646:AF646"/>
    <mergeCell ref="A647:A647"/>
    <mergeCell ref="B647:B647"/>
    <mergeCell ref="C647:C647"/>
    <mergeCell ref="F647:F647"/>
    <mergeCell ref="G647:G647"/>
    <mergeCell ref="H647:H647"/>
    <mergeCell ref="M647:M647"/>
    <mergeCell ref="N647:N647"/>
    <mergeCell ref="O647:O647"/>
    <mergeCell ref="P647:P647"/>
    <mergeCell ref="Q647:Q647"/>
    <mergeCell ref="R647:R647"/>
    <mergeCell ref="S647:S647"/>
    <mergeCell ref="X647:X647"/>
    <mergeCell ref="Y647:Y647"/>
    <mergeCell ref="Z647:Z647"/>
    <mergeCell ref="AA647:AA647"/>
    <mergeCell ref="AB647:AB647"/>
    <mergeCell ref="AC647:AC647"/>
    <mergeCell ref="AD647:AD647"/>
    <mergeCell ref="AE647:AE647"/>
    <mergeCell ref="AF647:AF647"/>
    <mergeCell ref="A648:A648"/>
    <mergeCell ref="B648:B648"/>
    <mergeCell ref="C648:C648"/>
    <mergeCell ref="F648:F648"/>
    <mergeCell ref="G648:G648"/>
    <mergeCell ref="H648:H648"/>
    <mergeCell ref="M648:M648"/>
    <mergeCell ref="N648:N648"/>
    <mergeCell ref="O648:O648"/>
    <mergeCell ref="P648:P648"/>
    <mergeCell ref="Q648:Q648"/>
    <mergeCell ref="R648:R648"/>
    <mergeCell ref="S648:S648"/>
    <mergeCell ref="X648:X648"/>
    <mergeCell ref="Y648:Y648"/>
    <mergeCell ref="Z648:Z648"/>
    <mergeCell ref="AA648:AA648"/>
    <mergeCell ref="AB648:AB648"/>
    <mergeCell ref="AC648:AC648"/>
    <mergeCell ref="AD648:AD648"/>
    <mergeCell ref="AE648:AE648"/>
    <mergeCell ref="AF648:AF648"/>
    <mergeCell ref="A649:A649"/>
    <mergeCell ref="B649:B649"/>
    <mergeCell ref="C649:C649"/>
    <mergeCell ref="F649:F649"/>
    <mergeCell ref="G649:G649"/>
    <mergeCell ref="H649:H649"/>
    <mergeCell ref="M649:M649"/>
    <mergeCell ref="N649:N649"/>
    <mergeCell ref="O649:O649"/>
    <mergeCell ref="P649:P649"/>
    <mergeCell ref="Q649:Q649"/>
    <mergeCell ref="R649:R649"/>
    <mergeCell ref="S649:S649"/>
    <mergeCell ref="X649:X649"/>
    <mergeCell ref="Y649:Y649"/>
    <mergeCell ref="Z649:Z649"/>
    <mergeCell ref="AA649:AA649"/>
    <mergeCell ref="AB649:AB649"/>
    <mergeCell ref="AC649:AC649"/>
    <mergeCell ref="AD649:AD649"/>
    <mergeCell ref="AE649:AE649"/>
    <mergeCell ref="AF649:AF649"/>
    <mergeCell ref="A650:A650"/>
    <mergeCell ref="B650:B650"/>
    <mergeCell ref="C650:C650"/>
    <mergeCell ref="F650:F650"/>
    <mergeCell ref="G650:G650"/>
    <mergeCell ref="H650:H650"/>
    <mergeCell ref="M650:M650"/>
    <mergeCell ref="N650:N650"/>
    <mergeCell ref="O650:O650"/>
    <mergeCell ref="P650:P650"/>
    <mergeCell ref="Q650:Q650"/>
    <mergeCell ref="R650:R650"/>
    <mergeCell ref="S650:S650"/>
    <mergeCell ref="X650:X650"/>
    <mergeCell ref="Y650:Y650"/>
    <mergeCell ref="Z650:Z650"/>
    <mergeCell ref="AA650:AA650"/>
    <mergeCell ref="AB650:AB650"/>
    <mergeCell ref="AC650:AC650"/>
    <mergeCell ref="AD650:AD650"/>
    <mergeCell ref="AE650:AE650"/>
    <mergeCell ref="AF650:AF650"/>
    <mergeCell ref="A651:A651"/>
    <mergeCell ref="B651:B651"/>
    <mergeCell ref="C651:C651"/>
    <mergeCell ref="F651:F651"/>
    <mergeCell ref="G651:G651"/>
    <mergeCell ref="H651:H651"/>
    <mergeCell ref="M651:M651"/>
    <mergeCell ref="N651:N651"/>
    <mergeCell ref="O651:O651"/>
    <mergeCell ref="P651:P651"/>
    <mergeCell ref="Q651:Q651"/>
    <mergeCell ref="R651:R651"/>
    <mergeCell ref="S651:S651"/>
    <mergeCell ref="X651:X651"/>
    <mergeCell ref="Y651:Y651"/>
    <mergeCell ref="Z651:Z651"/>
    <mergeCell ref="AA651:AA651"/>
    <mergeCell ref="AB651:AB651"/>
    <mergeCell ref="AC651:AC651"/>
    <mergeCell ref="AD651:AD651"/>
    <mergeCell ref="AE651:AE651"/>
    <mergeCell ref="AF651:AF651"/>
    <mergeCell ref="A652:A652"/>
    <mergeCell ref="B652:B652"/>
    <mergeCell ref="C652:C652"/>
    <mergeCell ref="F652:F652"/>
    <mergeCell ref="G652:G652"/>
    <mergeCell ref="H652:H652"/>
    <mergeCell ref="M652:M652"/>
    <mergeCell ref="N652:N652"/>
    <mergeCell ref="O652:O652"/>
    <mergeCell ref="P652:P652"/>
    <mergeCell ref="Q652:Q652"/>
    <mergeCell ref="R652:R652"/>
    <mergeCell ref="S652:S652"/>
    <mergeCell ref="X652:X652"/>
    <mergeCell ref="Y652:Y652"/>
    <mergeCell ref="Z652:Z652"/>
    <mergeCell ref="AA652:AA652"/>
    <mergeCell ref="AB652:AB652"/>
    <mergeCell ref="AC652:AC652"/>
    <mergeCell ref="AD652:AD652"/>
    <mergeCell ref="AE652:AE652"/>
    <mergeCell ref="AF652:AF652"/>
    <mergeCell ref="A653:A653"/>
    <mergeCell ref="B653:B653"/>
    <mergeCell ref="C653:C653"/>
    <mergeCell ref="F653:F653"/>
    <mergeCell ref="G653:G653"/>
    <mergeCell ref="H653:H653"/>
    <mergeCell ref="M653:M653"/>
    <mergeCell ref="N653:N653"/>
    <mergeCell ref="O653:O653"/>
    <mergeCell ref="P653:P653"/>
    <mergeCell ref="Q653:Q653"/>
    <mergeCell ref="R653:R653"/>
    <mergeCell ref="S653:S653"/>
    <mergeCell ref="X653:X653"/>
    <mergeCell ref="Y653:Y653"/>
    <mergeCell ref="Z653:Z653"/>
    <mergeCell ref="AA653:AA653"/>
    <mergeCell ref="AB653:AB653"/>
    <mergeCell ref="AC653:AC653"/>
    <mergeCell ref="AD653:AD653"/>
    <mergeCell ref="AE653:AE653"/>
    <mergeCell ref="AF653:AF653"/>
    <mergeCell ref="A654:A654"/>
    <mergeCell ref="B654:B654"/>
    <mergeCell ref="C654:C654"/>
    <mergeCell ref="F654:F654"/>
    <mergeCell ref="G654:G654"/>
    <mergeCell ref="H654:H654"/>
    <mergeCell ref="M654:M654"/>
    <mergeCell ref="N654:N654"/>
    <mergeCell ref="O654:O654"/>
    <mergeCell ref="P654:P654"/>
    <mergeCell ref="Q654:Q654"/>
    <mergeCell ref="R654:R654"/>
    <mergeCell ref="S654:S654"/>
    <mergeCell ref="X654:X654"/>
    <mergeCell ref="Y654:Y654"/>
    <mergeCell ref="Z654:Z654"/>
    <mergeCell ref="AA654:AA654"/>
    <mergeCell ref="AB654:AB654"/>
    <mergeCell ref="AC654:AC654"/>
    <mergeCell ref="AD654:AD654"/>
    <mergeCell ref="AE654:AE654"/>
    <mergeCell ref="AF654:AF654"/>
    <mergeCell ref="A655:A655"/>
    <mergeCell ref="B655:B655"/>
    <mergeCell ref="C655:C655"/>
    <mergeCell ref="F655:F655"/>
    <mergeCell ref="G655:G655"/>
    <mergeCell ref="H655:H655"/>
    <mergeCell ref="M655:M655"/>
    <mergeCell ref="N655:N655"/>
    <mergeCell ref="O655:O655"/>
    <mergeCell ref="P655:P655"/>
    <mergeCell ref="Q655:Q655"/>
    <mergeCell ref="R655:R655"/>
    <mergeCell ref="S655:S655"/>
    <mergeCell ref="X655:X655"/>
    <mergeCell ref="Y655:Y655"/>
    <mergeCell ref="Z655:Z655"/>
    <mergeCell ref="AA655:AA655"/>
    <mergeCell ref="AB655:AB655"/>
    <mergeCell ref="AC655:AC655"/>
    <mergeCell ref="AD655:AD655"/>
    <mergeCell ref="AE655:AE655"/>
    <mergeCell ref="AF655:AF655"/>
    <mergeCell ref="A656:A656"/>
    <mergeCell ref="B656:B656"/>
    <mergeCell ref="C656:C656"/>
    <mergeCell ref="F656:F656"/>
    <mergeCell ref="G656:G656"/>
    <mergeCell ref="H656:H656"/>
    <mergeCell ref="M656:M656"/>
    <mergeCell ref="N656:N656"/>
    <mergeCell ref="O656:O656"/>
    <mergeCell ref="P656:P656"/>
    <mergeCell ref="Q656:Q656"/>
    <mergeCell ref="R656:R656"/>
    <mergeCell ref="S656:S656"/>
    <mergeCell ref="X656:X656"/>
    <mergeCell ref="Y656:Y656"/>
    <mergeCell ref="Z656:Z656"/>
    <mergeCell ref="AA656:AA656"/>
    <mergeCell ref="AB656:AB656"/>
    <mergeCell ref="AC656:AC656"/>
    <mergeCell ref="AD656:AD656"/>
    <mergeCell ref="AE656:AE656"/>
    <mergeCell ref="AF656:AF656"/>
    <mergeCell ref="A657:A657"/>
    <mergeCell ref="B657:B657"/>
    <mergeCell ref="C657:C657"/>
    <mergeCell ref="F657:F657"/>
    <mergeCell ref="G657:G657"/>
    <mergeCell ref="H657:H657"/>
    <mergeCell ref="M657:M657"/>
    <mergeCell ref="N657:N657"/>
    <mergeCell ref="O657:O657"/>
    <mergeCell ref="P657:P657"/>
    <mergeCell ref="Q657:Q657"/>
    <mergeCell ref="R657:R657"/>
    <mergeCell ref="S657:S657"/>
    <mergeCell ref="X657:X657"/>
    <mergeCell ref="Y657:Y657"/>
    <mergeCell ref="Z657:Z657"/>
    <mergeCell ref="AA657:AA657"/>
    <mergeCell ref="AB657:AB657"/>
    <mergeCell ref="AC657:AC657"/>
    <mergeCell ref="AD657:AD657"/>
    <mergeCell ref="AE657:AE657"/>
    <mergeCell ref="AF657:AF657"/>
    <mergeCell ref="A658:A658"/>
    <mergeCell ref="B658:B658"/>
    <mergeCell ref="C658:C658"/>
    <mergeCell ref="F658:F658"/>
    <mergeCell ref="G658:G658"/>
    <mergeCell ref="H658:H658"/>
    <mergeCell ref="M658:M658"/>
    <mergeCell ref="N658:N658"/>
    <mergeCell ref="O658:O658"/>
    <mergeCell ref="P658:P658"/>
    <mergeCell ref="Q658:Q658"/>
    <mergeCell ref="R658:R658"/>
    <mergeCell ref="S658:S658"/>
    <mergeCell ref="X658:X658"/>
    <mergeCell ref="Y658:Y658"/>
    <mergeCell ref="Z658:Z658"/>
    <mergeCell ref="AA658:AA658"/>
    <mergeCell ref="AB658:AB658"/>
    <mergeCell ref="AC658:AC658"/>
    <mergeCell ref="AD658:AD658"/>
    <mergeCell ref="AE658:AE658"/>
    <mergeCell ref="AF658:AF658"/>
    <mergeCell ref="A659:A659"/>
    <mergeCell ref="B659:B659"/>
    <mergeCell ref="C659:C659"/>
    <mergeCell ref="F659:F659"/>
    <mergeCell ref="G659:G659"/>
    <mergeCell ref="H659:H659"/>
    <mergeCell ref="M659:M659"/>
    <mergeCell ref="N659:N659"/>
    <mergeCell ref="O659:O659"/>
    <mergeCell ref="P659:P659"/>
    <mergeCell ref="Q659:Q659"/>
    <mergeCell ref="R659:R659"/>
    <mergeCell ref="S659:S659"/>
    <mergeCell ref="X659:X659"/>
    <mergeCell ref="Y659:Y659"/>
    <mergeCell ref="Z659:Z659"/>
    <mergeCell ref="AA659:AA659"/>
    <mergeCell ref="AB659:AB659"/>
    <mergeCell ref="AC659:AC659"/>
    <mergeCell ref="AD659:AD659"/>
    <mergeCell ref="AE659:AE659"/>
    <mergeCell ref="AF659:AF659"/>
    <mergeCell ref="A660:A660"/>
    <mergeCell ref="B660:B660"/>
    <mergeCell ref="C660:C660"/>
    <mergeCell ref="F660:F660"/>
    <mergeCell ref="G660:G660"/>
    <mergeCell ref="H660:H660"/>
    <mergeCell ref="M660:M660"/>
    <mergeCell ref="N660:N660"/>
    <mergeCell ref="O660:O660"/>
    <mergeCell ref="P660:P660"/>
    <mergeCell ref="Q660:Q660"/>
    <mergeCell ref="R660:R660"/>
    <mergeCell ref="S660:S660"/>
    <mergeCell ref="X660:X660"/>
    <mergeCell ref="Y660:Y660"/>
    <mergeCell ref="Z660:Z660"/>
    <mergeCell ref="AA660:AA660"/>
    <mergeCell ref="AB660:AB660"/>
    <mergeCell ref="AC660:AC660"/>
    <mergeCell ref="AD660:AD660"/>
    <mergeCell ref="AE660:AE660"/>
    <mergeCell ref="AF660:AF660"/>
    <mergeCell ref="A661:A661"/>
    <mergeCell ref="B661:B661"/>
    <mergeCell ref="C661:C661"/>
    <mergeCell ref="F661:F661"/>
    <mergeCell ref="G661:G661"/>
    <mergeCell ref="H661:H661"/>
    <mergeCell ref="M661:M661"/>
    <mergeCell ref="N661:N661"/>
    <mergeCell ref="O661:O661"/>
    <mergeCell ref="P661:P661"/>
    <mergeCell ref="Q661:Q661"/>
    <mergeCell ref="R661:R661"/>
    <mergeCell ref="S661:S661"/>
    <mergeCell ref="X661:X661"/>
    <mergeCell ref="Y661:Y661"/>
    <mergeCell ref="Z661:Z661"/>
    <mergeCell ref="AA661:AA661"/>
    <mergeCell ref="AB661:AB661"/>
    <mergeCell ref="AC661:AC661"/>
    <mergeCell ref="AD661:AD661"/>
    <mergeCell ref="AE661:AE661"/>
    <mergeCell ref="AF661:AF661"/>
    <mergeCell ref="A662:A662"/>
    <mergeCell ref="B662:B662"/>
    <mergeCell ref="C662:C662"/>
    <mergeCell ref="F662:F662"/>
    <mergeCell ref="G662:G662"/>
    <mergeCell ref="H662:H662"/>
    <mergeCell ref="M662:M662"/>
    <mergeCell ref="N662:N662"/>
    <mergeCell ref="O662:O662"/>
    <mergeCell ref="P662:P662"/>
    <mergeCell ref="Q662:Q662"/>
    <mergeCell ref="R662:R662"/>
    <mergeCell ref="S662:S662"/>
    <mergeCell ref="X662:X662"/>
    <mergeCell ref="Y662:Y662"/>
    <mergeCell ref="Z662:Z662"/>
    <mergeCell ref="AA662:AA662"/>
    <mergeCell ref="AB662:AB662"/>
    <mergeCell ref="AC662:AC662"/>
    <mergeCell ref="AD662:AD662"/>
    <mergeCell ref="AE662:AE662"/>
    <mergeCell ref="AF662:AF662"/>
    <mergeCell ref="A663:A663"/>
    <mergeCell ref="B663:B663"/>
    <mergeCell ref="C663:C663"/>
    <mergeCell ref="F663:F663"/>
    <mergeCell ref="G663:G663"/>
    <mergeCell ref="H663:H663"/>
    <mergeCell ref="M663:M663"/>
    <mergeCell ref="N663:N663"/>
    <mergeCell ref="O663:O663"/>
    <mergeCell ref="P663:P663"/>
    <mergeCell ref="Q663:Q663"/>
    <mergeCell ref="R663:R663"/>
    <mergeCell ref="S663:S663"/>
    <mergeCell ref="X663:X663"/>
    <mergeCell ref="Y663:Y663"/>
    <mergeCell ref="Z663:Z663"/>
    <mergeCell ref="AA663:AA663"/>
    <mergeCell ref="AB663:AB663"/>
    <mergeCell ref="AC663:AC663"/>
    <mergeCell ref="AD663:AD663"/>
    <mergeCell ref="AE663:AE663"/>
    <mergeCell ref="AF663:AF663"/>
    <mergeCell ref="A664:A664"/>
    <mergeCell ref="B664:B664"/>
    <mergeCell ref="C664:C664"/>
    <mergeCell ref="F664:F664"/>
    <mergeCell ref="G664:G664"/>
    <mergeCell ref="H664:H664"/>
    <mergeCell ref="M664:M664"/>
    <mergeCell ref="N664:N664"/>
    <mergeCell ref="O664:O664"/>
    <mergeCell ref="P664:P664"/>
    <mergeCell ref="Q664:Q664"/>
    <mergeCell ref="R664:R664"/>
    <mergeCell ref="S664:S664"/>
    <mergeCell ref="X664:X664"/>
    <mergeCell ref="Y664:Y664"/>
    <mergeCell ref="Z664:Z664"/>
    <mergeCell ref="AA664:AA664"/>
    <mergeCell ref="AB664:AB664"/>
    <mergeCell ref="AC664:AC664"/>
    <mergeCell ref="AD664:AD664"/>
    <mergeCell ref="AE664:AE664"/>
    <mergeCell ref="AF664:AF664"/>
    <mergeCell ref="A665:A665"/>
    <mergeCell ref="B665:B665"/>
    <mergeCell ref="C665:C665"/>
    <mergeCell ref="F665:F665"/>
    <mergeCell ref="G665:G665"/>
    <mergeCell ref="H665:H665"/>
    <mergeCell ref="M665:M665"/>
    <mergeCell ref="N665:N665"/>
    <mergeCell ref="O665:O665"/>
    <mergeCell ref="P665:P665"/>
    <mergeCell ref="Q665:Q665"/>
    <mergeCell ref="R665:R665"/>
    <mergeCell ref="S665:S665"/>
    <mergeCell ref="X665:X665"/>
    <mergeCell ref="Y665:Y665"/>
    <mergeCell ref="Z665:Z665"/>
    <mergeCell ref="AA665:AA665"/>
    <mergeCell ref="AB665:AB665"/>
    <mergeCell ref="AC665:AC665"/>
    <mergeCell ref="AD665:AD665"/>
    <mergeCell ref="AE665:AE665"/>
    <mergeCell ref="AF665:AF665"/>
    <mergeCell ref="A666:A666"/>
    <mergeCell ref="B666:B666"/>
    <mergeCell ref="C666:C666"/>
    <mergeCell ref="F666:F666"/>
    <mergeCell ref="G666:G666"/>
    <mergeCell ref="H666:H666"/>
    <mergeCell ref="M666:M666"/>
    <mergeCell ref="N666:N666"/>
    <mergeCell ref="O666:O666"/>
    <mergeCell ref="P666:P666"/>
    <mergeCell ref="Q666:Q666"/>
    <mergeCell ref="R666:R666"/>
    <mergeCell ref="S666:S666"/>
    <mergeCell ref="X666:X666"/>
    <mergeCell ref="Y666:Y666"/>
    <mergeCell ref="Z666:Z666"/>
    <mergeCell ref="AA666:AA666"/>
    <mergeCell ref="AB666:AB666"/>
    <mergeCell ref="AC666:AC666"/>
    <mergeCell ref="AD666:AD666"/>
    <mergeCell ref="AE666:AE666"/>
    <mergeCell ref="AF666:AF666"/>
    <mergeCell ref="A667:A667"/>
    <mergeCell ref="B667:B667"/>
    <mergeCell ref="C667:C667"/>
    <mergeCell ref="F667:F667"/>
    <mergeCell ref="G667:G667"/>
    <mergeCell ref="H667:H667"/>
    <mergeCell ref="M667:M667"/>
    <mergeCell ref="N667:N667"/>
    <mergeCell ref="O667:O667"/>
    <mergeCell ref="P667:P667"/>
    <mergeCell ref="Q667:Q667"/>
    <mergeCell ref="R667:R667"/>
    <mergeCell ref="S667:S667"/>
    <mergeCell ref="X667:X667"/>
    <mergeCell ref="Y667:Y667"/>
    <mergeCell ref="Z667:Z667"/>
    <mergeCell ref="AA667:AA667"/>
    <mergeCell ref="AB667:AB667"/>
    <mergeCell ref="AC667:AC667"/>
    <mergeCell ref="AD667:AD667"/>
    <mergeCell ref="AE667:AE667"/>
    <mergeCell ref="AF667:AF667"/>
    <mergeCell ref="A668:A668"/>
    <mergeCell ref="B668:B668"/>
    <mergeCell ref="C668:C668"/>
    <mergeCell ref="F668:F668"/>
    <mergeCell ref="G668:G668"/>
    <mergeCell ref="H668:H668"/>
    <mergeCell ref="M668:M668"/>
    <mergeCell ref="N668:N668"/>
    <mergeCell ref="O668:O668"/>
    <mergeCell ref="P668:P668"/>
    <mergeCell ref="Q668:Q668"/>
    <mergeCell ref="R668:R668"/>
    <mergeCell ref="S668:S668"/>
    <mergeCell ref="X668:X668"/>
    <mergeCell ref="Y668:Y668"/>
    <mergeCell ref="Z668:Z668"/>
    <mergeCell ref="AA668:AA668"/>
    <mergeCell ref="AB668:AB668"/>
    <mergeCell ref="AC668:AC668"/>
    <mergeCell ref="AD668:AD668"/>
    <mergeCell ref="AE668:AE668"/>
    <mergeCell ref="AF668:AF668"/>
    <mergeCell ref="A669:A669"/>
    <mergeCell ref="B669:B669"/>
    <mergeCell ref="C669:C669"/>
    <mergeCell ref="F669:F669"/>
    <mergeCell ref="G669:G669"/>
    <mergeCell ref="H669:H669"/>
    <mergeCell ref="M669:M669"/>
    <mergeCell ref="N669:N669"/>
    <mergeCell ref="O669:O669"/>
    <mergeCell ref="P669:P669"/>
    <mergeCell ref="Q669:Q669"/>
    <mergeCell ref="R669:R669"/>
    <mergeCell ref="S669:S669"/>
    <mergeCell ref="X669:X669"/>
    <mergeCell ref="Y669:Y669"/>
    <mergeCell ref="Z669:Z669"/>
    <mergeCell ref="AA669:AA669"/>
    <mergeCell ref="AB669:AB669"/>
    <mergeCell ref="AC669:AC669"/>
    <mergeCell ref="AD669:AD669"/>
    <mergeCell ref="AE669:AE669"/>
    <mergeCell ref="AF669:AF669"/>
    <mergeCell ref="A670:A670"/>
    <mergeCell ref="B670:B670"/>
    <mergeCell ref="C670:C670"/>
    <mergeCell ref="F670:F670"/>
    <mergeCell ref="G670:G670"/>
    <mergeCell ref="H670:H670"/>
    <mergeCell ref="M670:M670"/>
    <mergeCell ref="N670:N670"/>
    <mergeCell ref="O670:O670"/>
    <mergeCell ref="P670:P670"/>
    <mergeCell ref="Q670:Q670"/>
    <mergeCell ref="R670:R670"/>
    <mergeCell ref="S670:S670"/>
    <mergeCell ref="X670:X670"/>
    <mergeCell ref="Y670:Y670"/>
    <mergeCell ref="Z670:Z670"/>
    <mergeCell ref="AA670:AA670"/>
    <mergeCell ref="AB670:AB670"/>
    <mergeCell ref="AC670:AC670"/>
    <mergeCell ref="AD670:AD670"/>
    <mergeCell ref="AE670:AE670"/>
    <mergeCell ref="AF670:AF670"/>
    <mergeCell ref="A671:A671"/>
    <mergeCell ref="B671:B671"/>
    <mergeCell ref="C671:C671"/>
    <mergeCell ref="F671:F671"/>
    <mergeCell ref="G671:G671"/>
    <mergeCell ref="H671:H671"/>
    <mergeCell ref="M671:M671"/>
    <mergeCell ref="N671:N671"/>
    <mergeCell ref="O671:O671"/>
    <mergeCell ref="P671:P671"/>
    <mergeCell ref="Q671:Q671"/>
    <mergeCell ref="R671:R671"/>
    <mergeCell ref="S671:S671"/>
    <mergeCell ref="X671:X671"/>
    <mergeCell ref="Y671:Y671"/>
    <mergeCell ref="Z671:Z671"/>
    <mergeCell ref="AA671:AA671"/>
    <mergeCell ref="AB671:AB671"/>
    <mergeCell ref="AC671:AC671"/>
    <mergeCell ref="AD671:AD671"/>
    <mergeCell ref="AE671:AE671"/>
    <mergeCell ref="AF671:AF671"/>
    <mergeCell ref="A672:A672"/>
    <mergeCell ref="B672:B672"/>
    <mergeCell ref="C672:C672"/>
    <mergeCell ref="F672:F672"/>
    <mergeCell ref="G672:G672"/>
    <mergeCell ref="H672:H672"/>
    <mergeCell ref="M672:M672"/>
    <mergeCell ref="N672:N672"/>
    <mergeCell ref="O672:O672"/>
    <mergeCell ref="P672:P672"/>
    <mergeCell ref="Q672:Q672"/>
    <mergeCell ref="R672:R672"/>
    <mergeCell ref="S672:S672"/>
    <mergeCell ref="X672:X672"/>
    <mergeCell ref="Y672:Y672"/>
    <mergeCell ref="Z672:Z672"/>
    <mergeCell ref="AA672:AA672"/>
    <mergeCell ref="AB672:AB672"/>
    <mergeCell ref="AC672:AC672"/>
    <mergeCell ref="AD672:AD672"/>
    <mergeCell ref="AE672:AE672"/>
    <mergeCell ref="AF672:AF672"/>
    <mergeCell ref="A673:A673"/>
    <mergeCell ref="B673:B673"/>
    <mergeCell ref="C673:C673"/>
    <mergeCell ref="F673:F673"/>
    <mergeCell ref="G673:G673"/>
    <mergeCell ref="H673:H673"/>
    <mergeCell ref="M673:M673"/>
    <mergeCell ref="N673:N673"/>
    <mergeCell ref="O673:O673"/>
    <mergeCell ref="P673:P673"/>
    <mergeCell ref="Q673:Q673"/>
    <mergeCell ref="R673:R673"/>
    <mergeCell ref="S673:S673"/>
    <mergeCell ref="X673:X673"/>
    <mergeCell ref="Y673:Y673"/>
    <mergeCell ref="Z673:Z673"/>
    <mergeCell ref="AA673:AA673"/>
    <mergeCell ref="AB673:AB673"/>
    <mergeCell ref="AC673:AC673"/>
    <mergeCell ref="AD673:AD673"/>
    <mergeCell ref="AE673:AE673"/>
    <mergeCell ref="AF673:AF673"/>
    <mergeCell ref="A674:A674"/>
    <mergeCell ref="B674:B674"/>
    <mergeCell ref="C674:C674"/>
    <mergeCell ref="F674:F674"/>
    <mergeCell ref="G674:G674"/>
    <mergeCell ref="H674:H674"/>
    <mergeCell ref="M674:M674"/>
    <mergeCell ref="N674:N674"/>
    <mergeCell ref="O674:O674"/>
    <mergeCell ref="P674:P674"/>
    <mergeCell ref="Q674:Q674"/>
    <mergeCell ref="R674:R674"/>
    <mergeCell ref="S674:S674"/>
    <mergeCell ref="X674:X674"/>
    <mergeCell ref="Y674:Y674"/>
    <mergeCell ref="Z674:Z674"/>
    <mergeCell ref="AA674:AA674"/>
    <mergeCell ref="AB674:AB674"/>
    <mergeCell ref="AC674:AC674"/>
    <mergeCell ref="AD674:AD674"/>
    <mergeCell ref="AE674:AE674"/>
    <mergeCell ref="AF674:AF674"/>
    <mergeCell ref="A675:A675"/>
    <mergeCell ref="B675:B675"/>
    <mergeCell ref="C675:C675"/>
    <mergeCell ref="F675:F675"/>
    <mergeCell ref="G675:G675"/>
    <mergeCell ref="H675:H675"/>
    <mergeCell ref="M675:M675"/>
    <mergeCell ref="N675:N675"/>
    <mergeCell ref="O675:O675"/>
    <mergeCell ref="P675:P675"/>
    <mergeCell ref="Q675:Q675"/>
    <mergeCell ref="R675:R675"/>
    <mergeCell ref="S675:S675"/>
    <mergeCell ref="X675:X675"/>
    <mergeCell ref="Y675:Y675"/>
    <mergeCell ref="Z675:Z675"/>
    <mergeCell ref="AA675:AA675"/>
    <mergeCell ref="AB675:AB675"/>
    <mergeCell ref="AC675:AC675"/>
    <mergeCell ref="AD675:AD675"/>
    <mergeCell ref="AE675:AE675"/>
    <mergeCell ref="AF675:AF675"/>
    <mergeCell ref="A676:A676"/>
    <mergeCell ref="B676:B676"/>
    <mergeCell ref="C676:C676"/>
    <mergeCell ref="F676:F676"/>
    <mergeCell ref="G676:G676"/>
    <mergeCell ref="H676:H676"/>
    <mergeCell ref="M676:M676"/>
    <mergeCell ref="N676:N676"/>
    <mergeCell ref="O676:O676"/>
    <mergeCell ref="P676:P676"/>
    <mergeCell ref="Q676:Q676"/>
    <mergeCell ref="R676:R676"/>
    <mergeCell ref="S676:S676"/>
    <mergeCell ref="X676:X676"/>
    <mergeCell ref="Y676:Y676"/>
    <mergeCell ref="Z676:Z676"/>
    <mergeCell ref="AA676:AA676"/>
    <mergeCell ref="AB676:AB676"/>
    <mergeCell ref="AC676:AC676"/>
    <mergeCell ref="AD676:AD676"/>
    <mergeCell ref="AE676:AE676"/>
    <mergeCell ref="AF676:AF676"/>
    <mergeCell ref="A677:A677"/>
    <mergeCell ref="B677:B677"/>
    <mergeCell ref="C677:C677"/>
    <mergeCell ref="F677:F677"/>
    <mergeCell ref="G677:G677"/>
    <mergeCell ref="H677:H677"/>
    <mergeCell ref="M677:M677"/>
    <mergeCell ref="N677:N677"/>
    <mergeCell ref="O677:O677"/>
    <mergeCell ref="P677:P677"/>
    <mergeCell ref="Q677:Q677"/>
    <mergeCell ref="R677:R677"/>
    <mergeCell ref="S677:S677"/>
    <mergeCell ref="X677:X677"/>
    <mergeCell ref="Y677:Y677"/>
    <mergeCell ref="Z677:Z677"/>
    <mergeCell ref="AA677:AA677"/>
    <mergeCell ref="AB677:AB677"/>
    <mergeCell ref="AC677:AC677"/>
    <mergeCell ref="AD677:AD677"/>
    <mergeCell ref="AE677:AE677"/>
    <mergeCell ref="AF677:AF677"/>
    <mergeCell ref="A678:A678"/>
    <mergeCell ref="B678:B678"/>
    <mergeCell ref="C678:C678"/>
    <mergeCell ref="F678:F678"/>
    <mergeCell ref="G678:G678"/>
    <mergeCell ref="H678:H678"/>
    <mergeCell ref="M678:M678"/>
    <mergeCell ref="N678:N678"/>
    <mergeCell ref="O678:O678"/>
    <mergeCell ref="P678:P678"/>
    <mergeCell ref="Q678:Q678"/>
    <mergeCell ref="R678:R678"/>
    <mergeCell ref="S678:S678"/>
    <mergeCell ref="X678:X678"/>
    <mergeCell ref="Y678:Y678"/>
    <mergeCell ref="Z678:Z678"/>
    <mergeCell ref="AA678:AA678"/>
    <mergeCell ref="AB678:AB678"/>
    <mergeCell ref="AC678:AC678"/>
    <mergeCell ref="AD678:AD678"/>
    <mergeCell ref="AE678:AE678"/>
    <mergeCell ref="AF678:AF678"/>
    <mergeCell ref="A679:A679"/>
    <mergeCell ref="B679:B679"/>
    <mergeCell ref="C679:C679"/>
    <mergeCell ref="F679:F679"/>
    <mergeCell ref="G679:G679"/>
    <mergeCell ref="H679:H679"/>
    <mergeCell ref="M679:M679"/>
    <mergeCell ref="N679:N679"/>
    <mergeCell ref="O679:O679"/>
    <mergeCell ref="P679:P679"/>
    <mergeCell ref="Q679:Q679"/>
    <mergeCell ref="R679:R679"/>
    <mergeCell ref="S679:S679"/>
    <mergeCell ref="X679:X679"/>
    <mergeCell ref="Y679:Y679"/>
    <mergeCell ref="Z679:Z679"/>
    <mergeCell ref="AA679:AA679"/>
    <mergeCell ref="AB679:AB679"/>
    <mergeCell ref="AC679:AC679"/>
    <mergeCell ref="AD679:AD679"/>
    <mergeCell ref="AE679:AE679"/>
    <mergeCell ref="AF679:AF679"/>
    <mergeCell ref="A680:A680"/>
    <mergeCell ref="B680:B680"/>
    <mergeCell ref="C680:C680"/>
    <mergeCell ref="F680:F680"/>
    <mergeCell ref="G680:G680"/>
    <mergeCell ref="H680:H680"/>
    <mergeCell ref="M680:M680"/>
    <mergeCell ref="N680:N680"/>
    <mergeCell ref="O680:O680"/>
    <mergeCell ref="P680:P680"/>
    <mergeCell ref="Q680:Q680"/>
    <mergeCell ref="R680:R680"/>
    <mergeCell ref="S680:S680"/>
    <mergeCell ref="X680:X680"/>
    <mergeCell ref="Y680:Y680"/>
    <mergeCell ref="Z680:Z680"/>
    <mergeCell ref="AA680:AA680"/>
    <mergeCell ref="AB680:AB680"/>
    <mergeCell ref="AC680:AC680"/>
    <mergeCell ref="AD680:AD680"/>
    <mergeCell ref="AE680:AE680"/>
    <mergeCell ref="AF680:AF680"/>
    <mergeCell ref="A681:A681"/>
    <mergeCell ref="B681:B681"/>
    <mergeCell ref="C681:C681"/>
    <mergeCell ref="F681:F681"/>
    <mergeCell ref="G681:G681"/>
    <mergeCell ref="H681:H681"/>
    <mergeCell ref="M681:M681"/>
    <mergeCell ref="N681:N681"/>
    <mergeCell ref="O681:O681"/>
    <mergeCell ref="P681:P681"/>
    <mergeCell ref="Q681:Q681"/>
    <mergeCell ref="R681:R681"/>
    <mergeCell ref="S681:S681"/>
    <mergeCell ref="X681:X681"/>
    <mergeCell ref="Y681:Y681"/>
    <mergeCell ref="Z681:Z681"/>
    <mergeCell ref="AA681:AA681"/>
    <mergeCell ref="AB681:AB681"/>
    <mergeCell ref="AC681:AC681"/>
    <mergeCell ref="AD681:AD681"/>
    <mergeCell ref="AE681:AE681"/>
    <mergeCell ref="AF681:AF681"/>
    <mergeCell ref="A682:A682"/>
    <mergeCell ref="B682:B682"/>
    <mergeCell ref="C682:C682"/>
    <mergeCell ref="F682:F682"/>
    <mergeCell ref="G682:G682"/>
    <mergeCell ref="H682:H682"/>
    <mergeCell ref="M682:M682"/>
    <mergeCell ref="N682:N682"/>
    <mergeCell ref="O682:O682"/>
    <mergeCell ref="P682:P682"/>
    <mergeCell ref="Q682:Q682"/>
    <mergeCell ref="R682:R682"/>
    <mergeCell ref="S682:S682"/>
    <mergeCell ref="X682:X682"/>
    <mergeCell ref="Y682:Y682"/>
    <mergeCell ref="Z682:Z682"/>
    <mergeCell ref="AA682:AA682"/>
    <mergeCell ref="AB682:AB682"/>
    <mergeCell ref="AC682:AC682"/>
    <mergeCell ref="AD682:AD682"/>
    <mergeCell ref="AE682:AE682"/>
    <mergeCell ref="AF682:AF682"/>
    <mergeCell ref="A683:A683"/>
    <mergeCell ref="B683:B683"/>
    <mergeCell ref="C683:C683"/>
    <mergeCell ref="F683:F683"/>
    <mergeCell ref="G683:G683"/>
    <mergeCell ref="H683:H683"/>
    <mergeCell ref="M683:M683"/>
    <mergeCell ref="N683:N683"/>
    <mergeCell ref="O683:O683"/>
    <mergeCell ref="P683:P683"/>
    <mergeCell ref="Q683:Q683"/>
    <mergeCell ref="R683:R683"/>
    <mergeCell ref="S683:S683"/>
    <mergeCell ref="X683:X683"/>
    <mergeCell ref="Y683:Y683"/>
    <mergeCell ref="Z683:Z683"/>
    <mergeCell ref="AA683:AA683"/>
    <mergeCell ref="AB683:AB683"/>
    <mergeCell ref="AC683:AC683"/>
    <mergeCell ref="AD683:AD683"/>
    <mergeCell ref="AE683:AE683"/>
    <mergeCell ref="AF683:AF683"/>
    <mergeCell ref="A684:A684"/>
    <mergeCell ref="B684:B684"/>
    <mergeCell ref="C684:C684"/>
    <mergeCell ref="F684:F684"/>
    <mergeCell ref="G684:G684"/>
    <mergeCell ref="H684:H684"/>
    <mergeCell ref="M684:M684"/>
    <mergeCell ref="N684:N684"/>
    <mergeCell ref="O684:O684"/>
    <mergeCell ref="P684:P684"/>
    <mergeCell ref="Q684:Q684"/>
    <mergeCell ref="R684:R684"/>
    <mergeCell ref="S684:S684"/>
    <mergeCell ref="X684:X684"/>
    <mergeCell ref="Y684:Y684"/>
    <mergeCell ref="Z684:Z684"/>
    <mergeCell ref="AA684:AA684"/>
    <mergeCell ref="AB684:AB684"/>
    <mergeCell ref="AC684:AC684"/>
    <mergeCell ref="AD684:AD684"/>
    <mergeCell ref="AE684:AE684"/>
    <mergeCell ref="AF684:AF684"/>
    <mergeCell ref="A685:A685"/>
    <mergeCell ref="B685:B685"/>
    <mergeCell ref="C685:C685"/>
    <mergeCell ref="F685:F685"/>
    <mergeCell ref="G685:G685"/>
    <mergeCell ref="H685:H685"/>
    <mergeCell ref="M685:M685"/>
    <mergeCell ref="N685:N685"/>
    <mergeCell ref="O685:O685"/>
    <mergeCell ref="P685:P685"/>
    <mergeCell ref="Q685:Q685"/>
    <mergeCell ref="R685:R685"/>
    <mergeCell ref="S685:S685"/>
    <mergeCell ref="X685:X685"/>
    <mergeCell ref="Y685:Y685"/>
    <mergeCell ref="Z685:Z685"/>
    <mergeCell ref="AA685:AA685"/>
    <mergeCell ref="AB685:AB685"/>
    <mergeCell ref="AC685:AC685"/>
    <mergeCell ref="AD685:AD685"/>
    <mergeCell ref="AE685:AE685"/>
    <mergeCell ref="AF685:AF685"/>
    <mergeCell ref="A686:A686"/>
    <mergeCell ref="B686:B686"/>
    <mergeCell ref="C686:C686"/>
    <mergeCell ref="F686:F686"/>
    <mergeCell ref="G686:G686"/>
    <mergeCell ref="H686:H686"/>
    <mergeCell ref="M686:M686"/>
    <mergeCell ref="N686:N686"/>
    <mergeCell ref="O686:O686"/>
    <mergeCell ref="P686:P686"/>
    <mergeCell ref="Q686:Q686"/>
    <mergeCell ref="R686:R686"/>
    <mergeCell ref="S686:S686"/>
    <mergeCell ref="X686:X686"/>
    <mergeCell ref="Y686:Y686"/>
    <mergeCell ref="Z686:Z686"/>
    <mergeCell ref="AA686:AA686"/>
    <mergeCell ref="AB686:AB686"/>
    <mergeCell ref="AC686:AC686"/>
    <mergeCell ref="AD686:AD686"/>
    <mergeCell ref="AE686:AE686"/>
    <mergeCell ref="AF686:AF686"/>
    <mergeCell ref="A687:A687"/>
    <mergeCell ref="B687:B687"/>
    <mergeCell ref="C687:C687"/>
    <mergeCell ref="F687:F687"/>
    <mergeCell ref="G687:G687"/>
    <mergeCell ref="H687:H687"/>
    <mergeCell ref="M687:M687"/>
    <mergeCell ref="N687:N687"/>
    <mergeCell ref="O687:O687"/>
    <mergeCell ref="P687:P687"/>
    <mergeCell ref="Q687:Q687"/>
    <mergeCell ref="R687:R687"/>
    <mergeCell ref="S687:S687"/>
    <mergeCell ref="X687:X687"/>
    <mergeCell ref="Y687:Y687"/>
    <mergeCell ref="Z687:Z687"/>
    <mergeCell ref="AA687:AA687"/>
    <mergeCell ref="AB687:AB687"/>
    <mergeCell ref="AC687:AC687"/>
    <mergeCell ref="AD687:AD687"/>
    <mergeCell ref="AE687:AE687"/>
    <mergeCell ref="AF687:AF687"/>
    <mergeCell ref="A688:A688"/>
    <mergeCell ref="B688:B688"/>
    <mergeCell ref="C688:C688"/>
    <mergeCell ref="F688:F688"/>
    <mergeCell ref="G688:G688"/>
    <mergeCell ref="H688:H688"/>
    <mergeCell ref="M688:M688"/>
    <mergeCell ref="N688:N688"/>
    <mergeCell ref="O688:O688"/>
    <mergeCell ref="P688:P688"/>
    <mergeCell ref="Q688:Q688"/>
    <mergeCell ref="R688:R688"/>
    <mergeCell ref="S688:S688"/>
    <mergeCell ref="X688:X688"/>
    <mergeCell ref="Y688:Y688"/>
    <mergeCell ref="Z688:Z688"/>
    <mergeCell ref="AA688:AA688"/>
    <mergeCell ref="AB688:AB688"/>
    <mergeCell ref="AC688:AC688"/>
    <mergeCell ref="AD688:AD688"/>
    <mergeCell ref="AE688:AE688"/>
    <mergeCell ref="AF688:AF688"/>
    <mergeCell ref="A689:A689"/>
    <mergeCell ref="B689:B689"/>
    <mergeCell ref="C689:C689"/>
    <mergeCell ref="F689:F689"/>
    <mergeCell ref="G689:G689"/>
    <mergeCell ref="H689:H689"/>
    <mergeCell ref="M689:M689"/>
    <mergeCell ref="N689:N689"/>
    <mergeCell ref="O689:O689"/>
    <mergeCell ref="P689:P689"/>
    <mergeCell ref="Q689:Q689"/>
    <mergeCell ref="R689:R689"/>
    <mergeCell ref="S689:S689"/>
    <mergeCell ref="X689:X689"/>
    <mergeCell ref="Y689:Y689"/>
    <mergeCell ref="Z689:Z689"/>
    <mergeCell ref="AA689:AA689"/>
    <mergeCell ref="AB689:AB689"/>
    <mergeCell ref="AC689:AC689"/>
    <mergeCell ref="AD689:AD689"/>
    <mergeCell ref="AE689:AE689"/>
    <mergeCell ref="AF689:AF689"/>
    <mergeCell ref="A690:A690"/>
    <mergeCell ref="B690:B690"/>
    <mergeCell ref="C690:C690"/>
    <mergeCell ref="F690:F690"/>
    <mergeCell ref="G690:G690"/>
    <mergeCell ref="H690:H690"/>
    <mergeCell ref="M690:M690"/>
    <mergeCell ref="N690:N690"/>
    <mergeCell ref="O690:O690"/>
    <mergeCell ref="P690:P690"/>
    <mergeCell ref="Q690:Q690"/>
    <mergeCell ref="R690:R690"/>
    <mergeCell ref="S690:S690"/>
    <mergeCell ref="X690:X690"/>
    <mergeCell ref="Y690:Y690"/>
    <mergeCell ref="Z690:Z690"/>
    <mergeCell ref="AA690:AA690"/>
    <mergeCell ref="AB690:AB690"/>
    <mergeCell ref="AC690:AC690"/>
    <mergeCell ref="AD690:AD690"/>
    <mergeCell ref="AE690:AE690"/>
    <mergeCell ref="AF690:AF690"/>
    <mergeCell ref="A691:A691"/>
    <mergeCell ref="B691:B691"/>
    <mergeCell ref="C691:C691"/>
    <mergeCell ref="F691:F691"/>
    <mergeCell ref="G691:G691"/>
    <mergeCell ref="H691:H691"/>
    <mergeCell ref="M691:M691"/>
    <mergeCell ref="N691:N691"/>
    <mergeCell ref="O691:O691"/>
    <mergeCell ref="P691:P691"/>
    <mergeCell ref="Q691:Q691"/>
    <mergeCell ref="R691:R691"/>
    <mergeCell ref="S691:S691"/>
    <mergeCell ref="X691:X691"/>
    <mergeCell ref="Y691:Y691"/>
    <mergeCell ref="Z691:Z691"/>
    <mergeCell ref="AA691:AA691"/>
    <mergeCell ref="AB691:AB691"/>
    <mergeCell ref="AC691:AC691"/>
    <mergeCell ref="AD691:AD691"/>
    <mergeCell ref="AE691:AE691"/>
    <mergeCell ref="AF691:AF691"/>
    <mergeCell ref="A692:A692"/>
    <mergeCell ref="B692:B692"/>
    <mergeCell ref="C692:C692"/>
    <mergeCell ref="F692:F692"/>
    <mergeCell ref="G692:G692"/>
    <mergeCell ref="H692:H692"/>
    <mergeCell ref="M692:M692"/>
    <mergeCell ref="N692:N692"/>
    <mergeCell ref="O692:O692"/>
    <mergeCell ref="P692:P692"/>
    <mergeCell ref="Q692:Q692"/>
    <mergeCell ref="R692:R692"/>
    <mergeCell ref="S692:S692"/>
    <mergeCell ref="X692:X692"/>
    <mergeCell ref="Y692:Y692"/>
    <mergeCell ref="Z692:Z692"/>
    <mergeCell ref="AA692:AA692"/>
    <mergeCell ref="AB692:AB692"/>
    <mergeCell ref="AC692:AC692"/>
    <mergeCell ref="AD692:AD692"/>
    <mergeCell ref="AE692:AE692"/>
    <mergeCell ref="AF692:AF692"/>
    <mergeCell ref="A693:A693"/>
    <mergeCell ref="B693:B693"/>
    <mergeCell ref="C693:C693"/>
    <mergeCell ref="F693:F693"/>
    <mergeCell ref="G693:G693"/>
    <mergeCell ref="H693:H693"/>
    <mergeCell ref="M693:M693"/>
    <mergeCell ref="N693:N693"/>
    <mergeCell ref="O693:O693"/>
    <mergeCell ref="P693:P693"/>
    <mergeCell ref="Q693:Q693"/>
    <mergeCell ref="R693:R693"/>
    <mergeCell ref="S693:S693"/>
    <mergeCell ref="X693:X693"/>
    <mergeCell ref="Y693:Y693"/>
    <mergeCell ref="Z693:Z693"/>
    <mergeCell ref="AA693:AA693"/>
    <mergeCell ref="AB693:AB693"/>
    <mergeCell ref="AC693:AC693"/>
    <mergeCell ref="AD693:AD693"/>
    <mergeCell ref="AE693:AE693"/>
    <mergeCell ref="AF693:AF693"/>
    <mergeCell ref="A694:A694"/>
    <mergeCell ref="B694:B694"/>
    <mergeCell ref="C694:C694"/>
    <mergeCell ref="F694:F694"/>
    <mergeCell ref="G694:G694"/>
    <mergeCell ref="H694:H694"/>
    <mergeCell ref="M694:M694"/>
    <mergeCell ref="N694:N694"/>
    <mergeCell ref="O694:O694"/>
    <mergeCell ref="P694:P694"/>
    <mergeCell ref="Q694:Q694"/>
    <mergeCell ref="R694:R694"/>
    <mergeCell ref="S694:S694"/>
    <mergeCell ref="X694:X694"/>
    <mergeCell ref="Y694:Y694"/>
    <mergeCell ref="Z694:Z694"/>
    <mergeCell ref="AA694:AA694"/>
    <mergeCell ref="AB694:AB694"/>
    <mergeCell ref="AC694:AC694"/>
    <mergeCell ref="AD694:AD694"/>
    <mergeCell ref="AE694:AE694"/>
    <mergeCell ref="AF694:AF694"/>
    <mergeCell ref="A695:A695"/>
    <mergeCell ref="B695:B695"/>
    <mergeCell ref="C695:C695"/>
    <mergeCell ref="F695:F695"/>
    <mergeCell ref="G695:G695"/>
    <mergeCell ref="H695:H695"/>
    <mergeCell ref="M695:M695"/>
    <mergeCell ref="N695:N695"/>
    <mergeCell ref="O695:O695"/>
    <mergeCell ref="P695:P695"/>
    <mergeCell ref="Q695:Q695"/>
    <mergeCell ref="R695:R695"/>
    <mergeCell ref="S695:S695"/>
    <mergeCell ref="X695:X695"/>
    <mergeCell ref="Y695:Y695"/>
    <mergeCell ref="Z695:Z695"/>
    <mergeCell ref="AA695:AA695"/>
    <mergeCell ref="AB695:AB695"/>
    <mergeCell ref="AC695:AC695"/>
    <mergeCell ref="AD695:AD695"/>
    <mergeCell ref="AE695:AE695"/>
    <mergeCell ref="AF695:AF695"/>
    <mergeCell ref="A696:A696"/>
    <mergeCell ref="B696:B696"/>
    <mergeCell ref="C696:C696"/>
    <mergeCell ref="F696:F696"/>
    <mergeCell ref="G696:G696"/>
    <mergeCell ref="H696:H696"/>
    <mergeCell ref="M696:M696"/>
    <mergeCell ref="N696:N696"/>
    <mergeCell ref="O696:O696"/>
    <mergeCell ref="P696:P696"/>
    <mergeCell ref="Q696:Q696"/>
    <mergeCell ref="R696:R696"/>
    <mergeCell ref="S696:S696"/>
    <mergeCell ref="X696:X696"/>
    <mergeCell ref="Y696:Y696"/>
    <mergeCell ref="Z696:Z696"/>
    <mergeCell ref="AA696:AA696"/>
    <mergeCell ref="AB696:AB696"/>
    <mergeCell ref="AC696:AC696"/>
    <mergeCell ref="AD696:AD696"/>
    <mergeCell ref="AE696:AE696"/>
    <mergeCell ref="AF696:AF696"/>
    <mergeCell ref="A697:A697"/>
    <mergeCell ref="B697:B697"/>
    <mergeCell ref="C697:C697"/>
    <mergeCell ref="F697:F697"/>
    <mergeCell ref="G697:G697"/>
    <mergeCell ref="H697:H697"/>
    <mergeCell ref="M697:M697"/>
    <mergeCell ref="N697:N697"/>
    <mergeCell ref="O697:O697"/>
    <mergeCell ref="P697:P697"/>
    <mergeCell ref="Q697:Q697"/>
    <mergeCell ref="R697:R697"/>
    <mergeCell ref="S697:S697"/>
    <mergeCell ref="X697:X697"/>
    <mergeCell ref="Y697:Y697"/>
    <mergeCell ref="Z697:Z697"/>
    <mergeCell ref="AA697:AA697"/>
    <mergeCell ref="AB697:AB697"/>
    <mergeCell ref="AC697:AC697"/>
    <mergeCell ref="AD697:AD697"/>
    <mergeCell ref="AE697:AE697"/>
    <mergeCell ref="AF697:AF697"/>
    <mergeCell ref="A698:A698"/>
    <mergeCell ref="B698:B698"/>
    <mergeCell ref="C698:C698"/>
    <mergeCell ref="F698:F698"/>
    <mergeCell ref="G698:G698"/>
    <mergeCell ref="H698:H698"/>
    <mergeCell ref="M698:M698"/>
    <mergeCell ref="N698:N698"/>
    <mergeCell ref="O698:O698"/>
    <mergeCell ref="P698:P698"/>
    <mergeCell ref="Q698:Q698"/>
    <mergeCell ref="R698:R698"/>
    <mergeCell ref="S698:S698"/>
    <mergeCell ref="X698:X698"/>
    <mergeCell ref="Y698:Y698"/>
    <mergeCell ref="Z698:Z698"/>
    <mergeCell ref="AA698:AA698"/>
    <mergeCell ref="AB698:AB698"/>
    <mergeCell ref="AC698:AC698"/>
    <mergeCell ref="AD698:AD698"/>
    <mergeCell ref="AE698:AE698"/>
    <mergeCell ref="AF698:AF698"/>
    <mergeCell ref="A699:A699"/>
    <mergeCell ref="B699:B699"/>
    <mergeCell ref="C699:C699"/>
    <mergeCell ref="F699:F699"/>
    <mergeCell ref="G699:G699"/>
    <mergeCell ref="H699:H699"/>
    <mergeCell ref="M699:M699"/>
    <mergeCell ref="N699:N699"/>
    <mergeCell ref="O699:O699"/>
    <mergeCell ref="P699:P699"/>
    <mergeCell ref="Q699:Q699"/>
    <mergeCell ref="R699:R699"/>
    <mergeCell ref="S699:S699"/>
    <mergeCell ref="X699:X699"/>
    <mergeCell ref="Y699:Y699"/>
    <mergeCell ref="Z699:Z699"/>
    <mergeCell ref="AA699:AA699"/>
    <mergeCell ref="AB699:AB699"/>
    <mergeCell ref="AC699:AC699"/>
    <mergeCell ref="AD699:AD699"/>
    <mergeCell ref="AE699:AE699"/>
    <mergeCell ref="AF699:AF699"/>
    <mergeCell ref="A700:A700"/>
    <mergeCell ref="B700:B700"/>
    <mergeCell ref="C700:C700"/>
    <mergeCell ref="F700:F700"/>
    <mergeCell ref="G700:G700"/>
    <mergeCell ref="H700:H700"/>
    <mergeCell ref="M700:M700"/>
    <mergeCell ref="N700:N700"/>
    <mergeCell ref="O700:O700"/>
    <mergeCell ref="P700:P700"/>
    <mergeCell ref="Q700:Q700"/>
    <mergeCell ref="R700:R700"/>
    <mergeCell ref="S700:S700"/>
    <mergeCell ref="X700:X700"/>
    <mergeCell ref="Y700:Y700"/>
    <mergeCell ref="Z700:Z700"/>
    <mergeCell ref="AA700:AA700"/>
    <mergeCell ref="AB700:AB700"/>
    <mergeCell ref="AC700:AC700"/>
    <mergeCell ref="AD700:AD700"/>
    <mergeCell ref="AE700:AE700"/>
    <mergeCell ref="AF700:AF700"/>
    <mergeCell ref="A701:A701"/>
    <mergeCell ref="B701:B701"/>
    <mergeCell ref="C701:C701"/>
    <mergeCell ref="F701:F701"/>
    <mergeCell ref="G701:G701"/>
    <mergeCell ref="H701:H701"/>
    <mergeCell ref="M701:M701"/>
    <mergeCell ref="N701:N701"/>
    <mergeCell ref="O701:O701"/>
    <mergeCell ref="P701:P701"/>
    <mergeCell ref="Q701:Q701"/>
    <mergeCell ref="R701:R701"/>
    <mergeCell ref="S701:S701"/>
    <mergeCell ref="X701:X701"/>
    <mergeCell ref="Y701:Y701"/>
    <mergeCell ref="Z701:Z701"/>
    <mergeCell ref="AA701:AA701"/>
    <mergeCell ref="AB701:AB701"/>
    <mergeCell ref="AC701:AC701"/>
    <mergeCell ref="AD701:AD701"/>
    <mergeCell ref="AE701:AE701"/>
    <mergeCell ref="AF701:AF701"/>
    <mergeCell ref="A702:A702"/>
    <mergeCell ref="B702:B702"/>
    <mergeCell ref="C702:C702"/>
    <mergeCell ref="F702:F702"/>
    <mergeCell ref="G702:G702"/>
    <mergeCell ref="H702:H702"/>
    <mergeCell ref="M702:M702"/>
    <mergeCell ref="N702:N702"/>
    <mergeCell ref="O702:O702"/>
    <mergeCell ref="P702:P702"/>
    <mergeCell ref="Q702:Q702"/>
    <mergeCell ref="R702:R702"/>
    <mergeCell ref="S702:S702"/>
    <mergeCell ref="X702:X702"/>
    <mergeCell ref="Y702:Y702"/>
    <mergeCell ref="Z702:Z702"/>
    <mergeCell ref="AA702:AA702"/>
    <mergeCell ref="AB702:AB702"/>
    <mergeCell ref="AC702:AC702"/>
    <mergeCell ref="AD702:AD702"/>
    <mergeCell ref="AE702:AE702"/>
    <mergeCell ref="AF702:AF702"/>
    <mergeCell ref="A703:A703"/>
    <mergeCell ref="B703:B703"/>
    <mergeCell ref="C703:C703"/>
    <mergeCell ref="F703:F703"/>
    <mergeCell ref="G703:G703"/>
    <mergeCell ref="H703:H703"/>
    <mergeCell ref="M703:M703"/>
    <mergeCell ref="N703:N703"/>
    <mergeCell ref="O703:O703"/>
    <mergeCell ref="P703:P703"/>
    <mergeCell ref="Q703:Q703"/>
    <mergeCell ref="R703:R703"/>
    <mergeCell ref="S703:S703"/>
    <mergeCell ref="X703:X703"/>
    <mergeCell ref="Y703:Y703"/>
    <mergeCell ref="Z703:Z703"/>
    <mergeCell ref="AA703:AA703"/>
    <mergeCell ref="AB703:AB703"/>
    <mergeCell ref="AC703:AC703"/>
    <mergeCell ref="AD703:AD703"/>
    <mergeCell ref="AE703:AE703"/>
    <mergeCell ref="AF703:AF703"/>
    <mergeCell ref="A704:A704"/>
    <mergeCell ref="B704:B704"/>
    <mergeCell ref="C704:C704"/>
    <mergeCell ref="F704:F704"/>
    <mergeCell ref="G704:G704"/>
    <mergeCell ref="H704:H704"/>
    <mergeCell ref="M704:M704"/>
    <mergeCell ref="N704:N704"/>
    <mergeCell ref="O704:O704"/>
    <mergeCell ref="P704:P704"/>
    <mergeCell ref="Q704:Q704"/>
    <mergeCell ref="R704:R704"/>
    <mergeCell ref="S704:S704"/>
    <mergeCell ref="X704:X704"/>
    <mergeCell ref="Y704:Y704"/>
    <mergeCell ref="Z704:Z704"/>
    <mergeCell ref="AA704:AA704"/>
    <mergeCell ref="AB704:AB704"/>
    <mergeCell ref="AC704:AC704"/>
    <mergeCell ref="AD704:AD704"/>
    <mergeCell ref="AE704:AE704"/>
    <mergeCell ref="AF704:AF704"/>
    <mergeCell ref="A705:A705"/>
    <mergeCell ref="B705:B705"/>
    <mergeCell ref="C705:C705"/>
    <mergeCell ref="F705:F705"/>
    <mergeCell ref="G705:G705"/>
    <mergeCell ref="H705:H705"/>
    <mergeCell ref="M705:M705"/>
    <mergeCell ref="N705:N705"/>
    <mergeCell ref="O705:O705"/>
    <mergeCell ref="P705:P705"/>
    <mergeCell ref="Q705:Q705"/>
    <mergeCell ref="R705:R705"/>
    <mergeCell ref="S705:S705"/>
    <mergeCell ref="X705:X705"/>
    <mergeCell ref="Y705:Y705"/>
    <mergeCell ref="Z705:Z705"/>
    <mergeCell ref="AA705:AA705"/>
    <mergeCell ref="AB705:AB705"/>
    <mergeCell ref="AC705:AC705"/>
    <mergeCell ref="AD705:AD705"/>
    <mergeCell ref="AE705:AE705"/>
    <mergeCell ref="AF705:AF705"/>
    <mergeCell ref="A706:A706"/>
    <mergeCell ref="B706:B706"/>
    <mergeCell ref="C706:C706"/>
    <mergeCell ref="F706:F706"/>
    <mergeCell ref="G706:G706"/>
    <mergeCell ref="H706:H706"/>
    <mergeCell ref="M706:M706"/>
    <mergeCell ref="N706:N706"/>
    <mergeCell ref="O706:O706"/>
    <mergeCell ref="P706:P706"/>
    <mergeCell ref="Q706:Q706"/>
    <mergeCell ref="R706:R706"/>
    <mergeCell ref="S706:S706"/>
    <mergeCell ref="X706:X706"/>
    <mergeCell ref="Y706:Y706"/>
    <mergeCell ref="Z706:Z706"/>
    <mergeCell ref="AA706:AA706"/>
    <mergeCell ref="AB706:AB706"/>
    <mergeCell ref="AC706:AC706"/>
    <mergeCell ref="AD706:AD706"/>
    <mergeCell ref="AE706:AE706"/>
    <mergeCell ref="AF706:AF706"/>
    <mergeCell ref="A707:A707"/>
    <mergeCell ref="B707:B707"/>
    <mergeCell ref="C707:C707"/>
    <mergeCell ref="F707:F707"/>
    <mergeCell ref="G707:G707"/>
    <mergeCell ref="H707:H707"/>
    <mergeCell ref="M707:M707"/>
    <mergeCell ref="N707:N707"/>
    <mergeCell ref="O707:O707"/>
    <mergeCell ref="P707:P707"/>
    <mergeCell ref="Q707:Q707"/>
    <mergeCell ref="R707:R707"/>
    <mergeCell ref="S707:S707"/>
    <mergeCell ref="X707:X707"/>
    <mergeCell ref="Y707:Y707"/>
    <mergeCell ref="Z707:Z707"/>
    <mergeCell ref="AA707:AA707"/>
    <mergeCell ref="AB707:AB707"/>
    <mergeCell ref="AC707:AC707"/>
    <mergeCell ref="AD707:AD707"/>
    <mergeCell ref="AE707:AE707"/>
    <mergeCell ref="AF707:AF707"/>
    <mergeCell ref="A708:A708"/>
    <mergeCell ref="B708:B708"/>
    <mergeCell ref="C708:C708"/>
    <mergeCell ref="F708:F708"/>
    <mergeCell ref="G708:G708"/>
    <mergeCell ref="H708:H708"/>
    <mergeCell ref="M708:M708"/>
    <mergeCell ref="N708:N708"/>
    <mergeCell ref="O708:O708"/>
    <mergeCell ref="P708:P708"/>
    <mergeCell ref="Q708:Q708"/>
    <mergeCell ref="R708:R708"/>
    <mergeCell ref="S708:S708"/>
    <mergeCell ref="X708:X708"/>
    <mergeCell ref="Y708:Y708"/>
    <mergeCell ref="Z708:Z708"/>
    <mergeCell ref="AA708:AA708"/>
    <mergeCell ref="AB708:AB708"/>
    <mergeCell ref="AC708:AC708"/>
    <mergeCell ref="AD708:AD708"/>
    <mergeCell ref="AE708:AE708"/>
    <mergeCell ref="AF708:AF708"/>
    <mergeCell ref="A709:A709"/>
    <mergeCell ref="B709:B709"/>
    <mergeCell ref="C709:C709"/>
    <mergeCell ref="F709:F709"/>
    <mergeCell ref="G709:G709"/>
    <mergeCell ref="H709:H709"/>
    <mergeCell ref="M709:M709"/>
    <mergeCell ref="N709:N709"/>
    <mergeCell ref="O709:O709"/>
    <mergeCell ref="P709:P709"/>
    <mergeCell ref="Q709:Q709"/>
    <mergeCell ref="R709:R709"/>
    <mergeCell ref="S709:S709"/>
    <mergeCell ref="X709:X709"/>
    <mergeCell ref="Y709:Y709"/>
    <mergeCell ref="Z709:Z709"/>
    <mergeCell ref="AA709:AA709"/>
    <mergeCell ref="AB709:AB709"/>
    <mergeCell ref="AC709:AC709"/>
    <mergeCell ref="AD709:AD709"/>
    <mergeCell ref="AE709:AE709"/>
    <mergeCell ref="AF709:AF709"/>
    <mergeCell ref="A710:A710"/>
    <mergeCell ref="B710:B710"/>
    <mergeCell ref="C710:C710"/>
    <mergeCell ref="F710:F710"/>
    <mergeCell ref="G710:G710"/>
    <mergeCell ref="H710:H710"/>
    <mergeCell ref="M710:M710"/>
    <mergeCell ref="N710:N710"/>
    <mergeCell ref="O710:O710"/>
    <mergeCell ref="P710:P710"/>
    <mergeCell ref="Q710:Q710"/>
    <mergeCell ref="R710:R710"/>
    <mergeCell ref="S710:S710"/>
    <mergeCell ref="X710:X710"/>
    <mergeCell ref="Y710:Y710"/>
    <mergeCell ref="Z710:Z710"/>
    <mergeCell ref="AA710:AA710"/>
    <mergeCell ref="AB710:AB710"/>
    <mergeCell ref="AC710:AC710"/>
    <mergeCell ref="AD710:AD710"/>
    <mergeCell ref="AE710:AE710"/>
    <mergeCell ref="AF710:AF710"/>
    <mergeCell ref="A711:A711"/>
    <mergeCell ref="B711:B711"/>
    <mergeCell ref="C711:C711"/>
    <mergeCell ref="F711:F711"/>
    <mergeCell ref="G711:G711"/>
    <mergeCell ref="H711:H711"/>
    <mergeCell ref="M711:M711"/>
    <mergeCell ref="N711:N711"/>
    <mergeCell ref="O711:O711"/>
    <mergeCell ref="P711:P711"/>
    <mergeCell ref="Q711:Q711"/>
    <mergeCell ref="R711:R711"/>
    <mergeCell ref="S711:S711"/>
    <mergeCell ref="X711:X711"/>
    <mergeCell ref="Y711:Y711"/>
    <mergeCell ref="Z711:Z711"/>
    <mergeCell ref="AA711:AA711"/>
    <mergeCell ref="AB711:AB711"/>
    <mergeCell ref="AC711:AC711"/>
    <mergeCell ref="AD711:AD711"/>
    <mergeCell ref="AE711:AE711"/>
    <mergeCell ref="AF711:AF711"/>
    <mergeCell ref="A712:A712"/>
    <mergeCell ref="B712:B712"/>
    <mergeCell ref="C712:C712"/>
    <mergeCell ref="F712:F712"/>
    <mergeCell ref="G712:G712"/>
    <mergeCell ref="H712:H712"/>
    <mergeCell ref="M712:M712"/>
    <mergeCell ref="N712:N712"/>
    <mergeCell ref="O712:O712"/>
    <mergeCell ref="P712:P712"/>
    <mergeCell ref="Q712:Q712"/>
    <mergeCell ref="R712:R712"/>
    <mergeCell ref="S712:S712"/>
    <mergeCell ref="X712:X712"/>
    <mergeCell ref="Y712:Y712"/>
    <mergeCell ref="Z712:Z712"/>
    <mergeCell ref="AA712:AA712"/>
    <mergeCell ref="AB712:AB712"/>
    <mergeCell ref="AC712:AC712"/>
    <mergeCell ref="AD712:AD712"/>
    <mergeCell ref="AE712:AE712"/>
    <mergeCell ref="AF712:AF712"/>
  </mergeCells>
  <hyperlinks>
    <hyperlink ref="D6" r:id="rId_hyperlink_1" tooltip="饱和器大母液泵喷洒密封不严，造成煤气泄露，如果操作工巡检不到位，会造成煤气中毒。"/>
    <hyperlink ref="D7" r:id="rId_hyperlink_2" tooltip="一名操作工未戴面罩在熔硫釜回液窥镜处巡检，如果回液窥镜突然破裂可能把人烫伤"/>
    <hyperlink ref="D8" r:id="rId_hyperlink_3" tooltip="4号溶硫釜蔬水阀漏蒸汽，外协人员放硫磺时有可能被喷出的蒸汽烫伤颈部。"/>
    <hyperlink ref="D9" r:id="rId_hyperlink_4" tooltip="一名操作工在饱和器二层平台巡检过程中，假如巡检时未发现平台连接处开焊，可能会导致脚部夹在平台中间，造成脚腕擦伤。轻微受伤，继续作业。"/>
    <hyperlink ref="D10" r:id="rId_hyperlink_5" tooltip="一名操作工巡检至粗苯北系统，因冷凝液管道加固支撑脱落，管道振动频繁断裂，砸到巡检工！"/>
    <hyperlink ref="D11" r:id="rId_hyperlink_6" tooltip="澄清槽平台腐蚀严重，部分平台虽然未腐蚀透但已经无法起到承重作用，操作人员夜间巡检设备时踩到未完全腐蚀表面不明显处，腿部陷落摔伤。"/>
    <hyperlink ref="D12" r:id="rId_hyperlink_7" tooltip="维修人员在检修作业时未正确使用护目镜，在拆法兰螺栓过程中液体飞溅，一名维修人员物料溅入眼睛，经医务室简单处理后继续上班"/>
    <hyperlink ref="D13" r:id="rId_hyperlink_8" tooltip="干熄焦环境除尘爬梯处一电源线散落   若一夜班操作人员在上下爬梯时 被乱线绊倒 导致右膝盖处破皮出血肿胀，去医院检查包扎在家休养五天。"/>
    <hyperlink ref="D14" r:id="rId_hyperlink_9" tooltip="蒸铵塔再沸器管道堵，检修作业，维修人员未配带安全带不慎踩空滑落，腿部不慎损伤，及时医院治疗，休息三天正常工作。"/>
    <hyperlink ref="D15" r:id="rId_hyperlink_10" tooltip="一名职工夜班在脱硫硫磺室内放硫磺的过程中，由于灯光亮度不够造成硫磺液进去硫磺盒的过程中硫磺液外溢，造成职工脚部轻微烫伤，经医务室简单处理后继续上班"/>
    <hyperlink ref="D16" r:id="rId_hyperlink_11" tooltip="一名维修工在南脱硫2#脱硫塔煤气进口处紧固螺栓，现场脚手架踏板两头未固定，如果作业人员不小心踩到踏板一头，造成踏板倾斜，作业人员虽己按规范糸好安全带，也会发生人员坠落碰到下方脚手架造成腿部挫伤，休息五"/>
    <hyperlink ref="D17" r:id="rId_hyperlink_12" tooltip="缺氧池爬梯护栏多处开焊，操作工在缺氧池巡检下爬梯时，爬梯护栏开焊，操作工不慎从爬梯上掉下来，摔在下方的池子盖板上，"/>
    <hyperlink ref="D18" r:id="rId_hyperlink_13" tooltip="4号熔硫釜回流管线法兰处漏蒸汽，人员巡检时有可能被滴落的冷凝液烫伤。"/>
    <hyperlink ref="D19" r:id="rId_hyperlink_14" tooltip="北脱硫换热器处竖梯底部腐蚀严重，操作人员在爬爬梯时会发生晃动，如果一名操作人员上下爬梯开关阀门时，爬梯晃动厉害，操作人员从爬梯摔落至地面，会造成操作人员左小腿骨折，送医治疗三个月后康复。"/>
    <hyperlink ref="D20" r:id="rId_hyperlink_15" tooltip="一维修人员检修煤气管电动执行器时，失足跌入水沟，扭伤脚裸，住院治疗。"/>
    <hyperlink ref="D21" r:id="rId_hyperlink_16" tooltip="彩钢房顶因长时间雨水跟环境的影响造成腐蚀，假如一名操作工在巡查岗位时，部分腐蚀的碎片掉落下来，肩部轻微造成伤害。"/>
    <hyperlink ref="D22" r:id="rId_hyperlink_17" tooltip="1号提升机挂钩监控处灯光缺失，夜间焦罐提升时监控画面不清晰，焦罐挂耳处看不清，提升机提升时一侧挂钩未挂在挂耳中，因无灯光监控画面不清晰，主控室人员未能及时发现，造成设备损坏，耽误生产八小时。"/>
    <hyperlink ref="D23" r:id="rId_hyperlink_18" tooltip="粗苯计量槽围沿内有一口积水坑没有盖板、没有警示标识。如果一名操作工夜间进入围沿内打扫卫生时不注意，可能迈入坑内造成腿部轻微擦伤，到医务室处理后继续正常工作。"/>
    <hyperlink ref="D24" r:id="rId_hyperlink_19" tooltip="粗苯紧急切断阀穿线管断裂，线路裸露，日晒雨淋导致线路老化、断裂，紧急切断阀失去控制信号不起作用，自动关闭无法打开"/>
    <hyperlink ref="D25" r:id="rId_hyperlink_20" tooltip="粗苯操作室内一名操作工值守，使用非防爆型大功率电器，短路跳闸导致监控设备损坏！"/>
    <hyperlink ref="D26" r:id="rId_hyperlink_21" tooltip="超滤排水沟盖板缺失，中夜班视线差，来回巡检不慎踩空"/>
    <hyperlink ref="D27" r:id="rId_hyperlink_22" tooltip="压缩机房2#空压机接地线断裂，假如操作工在开停机的作业活动中，一旦接地线失去作用，集聚的静电可能导致操作工触电。操作工会身体颤动，休息十分钟，继续工作。"/>
    <hyperlink ref="D28" r:id="rId_hyperlink_23" tooltip="泡沫泵处泡沫回收小井无盖板，当维修人员修泵时，一人掉入小井，造成成腿部扭伤。"/>
    <hyperlink ref="D29" r:id="rId_hyperlink_24" tooltip="在环境除尘顶部，更换5号灰仓布袋，操作工扶北侧护栏，由于护栏开焊，不慎掉到二层平台，约10米高，造成人员当场死亡。"/>
    <hyperlink ref="D30" r:id="rId_hyperlink_25" tooltip="保运维修班西侧地沟盖板断裂，假如中夜班期间，巡检人员未带手电筒从此处经过，可能会脚部踩空造成小腿轻微擦伤，简单处理后复工，不影响生产。"/>
    <hyperlink ref="D31" r:id="rId_hyperlink_26" tooltip="循环水泵房内1号循环水泵轴流风扇电缆线铺设不规范，一名员工巡检至此时，不慎绊倒，膝盖破皮，去医务室简单处理。"/>
    <hyperlink ref="D32" r:id="rId_hyperlink_27" tooltip="干熄焦地下室冷焦带护栏检修后末按装恢复，一巡检人员巡检时，右手不慎碰触到旋转的托辊，右手手背被托辊和冷焦带挤伤，经简单抱扎后正常工作。"/>
    <hyperlink ref="D33" r:id="rId_hyperlink_28" tooltip="预处理污泥泵房，污泥泵防护罩未在有效位置，室内管线混乱，操作人员在巡检时由于地面湿滑，导致仰面跌倒，手肘着地，造成右手尺骨骨折，损工44天。"/>
    <hyperlink ref="D34" r:id="rId_hyperlink_29" tooltip="酸碱罐围堰深一米半，无爬梯，操作工进池内巡检设备，打扫卫生，攀爬围堰时不慎跌倒，造成:脚腕扭伤，需休息一天的误工损伤事故"/>
    <hyperlink ref="D35" r:id="rId_hyperlink_30" tooltip="1万m³气柜水槽溢水口水渠盖板缺失，夜间视线差，巡检工开阀门时，右脚踩空扭伤脚踝，休假3天。"/>
    <hyperlink ref="D36" r:id="rId_hyperlink_31" tooltip="化工厂压缩岗位北管架支撑处有钢绞线掉落，如果行人经过此处因钢绞线细不易发现，容易被刮伤。"/>
    <hyperlink ref="D37" r:id="rId_hyperlink_32" tooltip="照明灯固定螺丝松动已向下倾斜，照明灯的底座支架腐蚀严重，一名巡检人员从此处通过检查焦罐衬板，如果固定照明灯螺丝断，掉落砸伤人员后背，去医务室简单包扎后上班。"/>
    <hyperlink ref="D38" r:id="rId_hyperlink_33" tooltip="5#电解水处理器有故障，保运人员拆卸后，经确认不能短时间内修复，维修用支架没有及时撤走，一名操作工巡检时拨巡检指针，不慎被地面支架座绊倒，左胳膊脱臼，入院治疗，休息五日，无损工。"/>
    <hyperlink ref="D39" r:id="rId_hyperlink_34" tooltip="射水箱爬梯无护笼，箱顶距地面3米，一员工巡检至水箱顶部反身下爬梯时，双手未抓牢跌落，臀部着地，造成尾椎骨骨折，损工三个月。"/>
    <hyperlink ref="D40" r:id="rId_hyperlink_35" tooltip="1号厂变室内轴流风扇控制线电缆破损电压为380伏，一名人员在未断开电源时违章操作擦拭轴流风扇造成触电死亡"/>
    <hyperlink ref="D41" r:id="rId_hyperlink_36" tooltip="地下室潜水泵电源线裸露，一名员工在冲洗地下室，水溅起喷落到裸露电线处导致连电，造成人员腿部处被电击穿，住院治疗，损工二个月。"/>
    <hyperlink ref="D42" r:id="rId_hyperlink_37" tooltip="维修冰机时，一人未佩戴防护面具，如有氨气泄露，易刺激口、鼻、眼"/>
    <hyperlink ref="D43" r:id="rId_hyperlink_38" tooltip="初冷器平台3号初冷器接地线翘起，一名操作工在夜间冲洗初冷器经过此处时，不慎绊倒，造成操作工左手腕扭伤，在家休班一天的损工事故"/>
    <hyperlink ref="D44" r:id="rId_hyperlink_39" tooltip="三万气柜入口一个置换阀门法兰处螺丝松动漏气，一名操作人员巡检路过时中毒晕倒"/>
    <hyperlink ref="D45" r:id="rId_hyperlink_40" tooltip="脱硫泡沫泵操作伐附近地面一废槽钢高出地面约五厘米，当操作人员去操作伐门时不慎绊倒，造成右手腕轻微损伤。"/>
    <hyperlink ref="D46" r:id="rId_hyperlink_41" tooltip="北脱硫工段循环槽附近雨水收集坑未盖好盖板，假如一名操作人员夜间巡检因光线不好从此处经过时，操作人员不慎掉入雨水收集坑，造成脚腕扭伤，经简单处理后不影响工作。"/>
    <hyperlink ref="D47" r:id="rId_hyperlink_42" tooltip="焦三通廊入口旁有铁板，如果一名巡检工在巡检时不慎被铁板所拌，身体前倾，会造成脸部碰地擦伤，送医疗养四天后出院上班。"/>
    <hyperlink ref="D48" r:id="rId_hyperlink_43" tooltip="打氧化剂泵子电机无接地线，接线套管未符合规定，操作人员在正常巡检设备运转情况时，因电机外壳漏电，操作人员在未带防护手套的情况下，导致右手手掌灼伤，右手手臂麻木无力，限工一天后复工"/>
    <hyperlink ref="D49" r:id="rId_hyperlink_44" tooltip="掺配站皮带电机护罩破损，操作人员进行掺配作业时，因用力过猛将手深入破损窟窿内，被电机叶轮打伤手部，致使右手食指和中指骨折，住院治疗一个月，在家休养三个员，造成一人损工事故"/>
    <hyperlink ref="D50" r:id="rId_hyperlink_45" tooltip="操作人员在巡检中被高压氨水泵降温的轴流风扇触电，被岗位人员及时发现，迅速切断电源使伤者尽快脱离电源，操作人员在未带防护情况下手臂被击伤，住院治疗，损工一个月。"/>
    <hyperlink ref="D51" r:id="rId_hyperlink_46" tooltip="地磅改造后，电缆地槽盖板未及时加装，一名员工在清理地磅周围卫生时不慎右脚踩空跌倒，送往医院检查为右脚腕脱臼，经医生将脱臼处复位后回家休养一周后复工"/>
    <hyperlink ref="D52" r:id="rId_hyperlink_47" tooltip="加药间废弃的阀门太低，外来人来卸药时需要用清水，进去开阀门时由于空间太窄正好被废弃的阀门碰到头，造成头部磕伤"/>
    <hyperlink ref="D53" r:id="rId_hyperlink_48" tooltip="在离地面2.5米的风机下液管阀门处，爬梯无警示标志，如果一名操作工在上下爬梯作业时未抓牢，不慎踩空跌落，造成左腿骨折，住院治疗一个月出院。"/>
    <hyperlink ref="D54" r:id="rId_hyperlink_49" tooltip="一名操作工，巡检过程中发现打药管线与支架脱离，管线长12m。如果长时间发现不了会造成管道法兰与阀门脱离，药剂喷出，造成环保事故。"/>
    <hyperlink ref="D55" r:id="rId_hyperlink_50" tooltip="蒸汽管道放空阀缺失螺栓一枚，一名操作工在蒸汽放空的过程中，被蒸汽烫伤腿部，送往医院治疗，一周后康复出院。"/>
    <hyperlink ref="D56" r:id="rId_hyperlink_51" tooltip="东硫铵二楼成品料仓人孔盖未封堵，假如一操作人员巡检时经管道绊倒掉入料仓内，导致右腿骨折，住院治疗一月后出院，在家休养三个月康复，造成一人损工事故。"/>
    <hyperlink ref="D57" r:id="rId_hyperlink_52" tooltip="南冷凝罐群内管道没有设立便于行走的安全平台，如果岗位操作人员在工作时不小心被管道绊倒造成腿部受伤，经过处理后没有影响工作。"/>
    <hyperlink ref="D58" r:id="rId_hyperlink_53" tooltip="一名操作工在脱硫塔处爬梯平台上开阀门，因爬梯上未挂上下爬梯注意安全警示标识，易造成人员思想上麻痹大意。操作人员在上下爬梯时不注意，可能会造成踩蹭滑落摔伤右腿脚踝。"/>
    <hyperlink ref="D59" r:id="rId_hyperlink_54" tooltip="缓冲槽小井无盖板一名操作工假设在巡检时掉入小井造成脚踝扭伤化产车间路明"/>
    <hyperlink ref="D60" r:id="rId_hyperlink_55" tooltip="脱硫再生塔爬梯有木板等杂物，一操作工巡检时路过被杂物绊倒摔伤右手前手臂，住院治疗一月休息两月损工三个月。"/>
    <hyperlink ref="D61" r:id="rId_hyperlink_56" tooltip="东四机头有一护栏未安装到位，一巡检人员在清理滚筒时，不慎手臂卷入滚筒，幸停车及时，造成手臂骨折，住院一个月，在家休养三个月。"/>
    <hyperlink ref="D62" r:id="rId_hyperlink_57" tooltip="班长在巡检时，发现一维修人员在切割铁皮作业时，未戴护目镜，切割残渣溅入眼中，造成眼部受伤，住院治疗。"/>
    <hyperlink ref="D63" r:id="rId_hyperlink_58" tooltip="西硫铵母液储槽上部，捕酸器回流管保温铝皮脱落，如果在大风天气一名操作工在巡检时经过此处，可能被掉落的铝皮轻微划伤手臂，送医务室简单包扎后能正常工作。"/>
    <hyperlink ref="D64" r:id="rId_hyperlink_59" tooltip="一名操作工在1米高处平台操作时，因斜梯和平台没有护栏，在操作过程中因右脚用力踩空，从平台坠落右脚歪伤送往医院救治经诊断右脚骨折，经住院6个月治疗"/>
    <hyperlink ref="D65" r:id="rId_hyperlink_60" tooltip="深度脱硫西一号泡沫泵压力表阀门关不严，仪表工关上阀门换压力表时，喷出的泡沫有可能溅到眼中，造成角膜轻微灼伤。"/>
    <hyperlink ref="D66" r:id="rId_hyperlink_61" tooltip="西硫铵中加酸配液期间，因回流管法兰垫破损，造成母液少量泄露，操作人员巡检时及时发现，立即清理，未造成不良后果。"/>
    <hyperlink ref="D67" r:id="rId_hyperlink_62" tooltip="两名操作人员清理堵塞的下液管，冲通时大量萘连同水一起流出，假如一名操作人员未戴防护面罩，躲闪不及不慎溅入眼内，立即冲洗后无碍。"/>
    <hyperlink ref="D68" r:id="rId_hyperlink_63" tooltip="一名巡检人员在初冷器平台巡检，一蒸汽阀门突然破损，若精神不集中就会躲闪不及，可能造成巡检人员左脸轻微烫伤，去医务室敷药后继续上班。"/>
    <hyperlink ref="D69" r:id="rId_hyperlink_64" tooltip="西硫铵卸酸槽北边废弃洗眼器底座未处理。在上夜班时，由于光线不好，一名操作工在巡检时经过此处不小心可能被绊倒，造成手臂擦伤，送医务室检查并简单包扎后正常上班。"/>
    <hyperlink ref="D70" r:id="rId_hyperlink_65" tooltip="南风机2#电捕高压发生器进线口电缆线裸露，如果与铁壳长期磨擦造成绝缘层破损可能引起短路，引发电器火灾烧坏电捕高压发生器和控制柜"/>
    <hyperlink ref="D71" r:id="rId_hyperlink_66" tooltip="一名操作工在巡检时假如掉入小井造成脚踝扭伤"/>
    <hyperlink ref="D72" r:id="rId_hyperlink_67" tooltip="高压氨水泵轴流风扇无接地线操作人员在巡检中被高压氨水泵降温的轴流风扇触电，被岗位人员及时发现，迅速切断电源使伤者脱离电源，操作人员在未带防护情况下手臂被击伤，住院治疗一个月，损工一个月。"/>
    <hyperlink ref="D73" r:id="rId_hyperlink_68" tooltip="高压氨水泵轴流风扇无接地线，操作人员在巡检中被高压氨水泵降温的轴流风扇触电，岗位人员及时发现，迅速切断电源使伤者脱离电源，操作人员在未带防护情况下手臂被击伤，住院治疗一个月，损工一个月。"/>
    <hyperlink ref="D74" r:id="rId_hyperlink_69" tooltip="西澄清槽上部人孔盖检修完未及时给人孔盖盖，如果操作工在夜间巡检过程中，不慎掉入澄清槽内，造成左大腿腿部骨折，住院治疗3个月，在家休养3个月后能正常工作。"/>
    <hyperlink ref="D75" r:id="rId_hyperlink_70" tooltip="高压氨水泵轴流风扇无接地线操作工在巡检中，被高压氨水泵降温的轴流风扇触电。岗位人员及时发现，迅速切短电源使伤者 脱离电源，操作人员在未带防护情况下手臂被击伤。住院治疗一个月，损工一个月。"/>
    <hyperlink ref="D76" r:id="rId_hyperlink_71" tooltip="一名工人在结束对引风机维护保养后，跳下引风机电机的平台，站立不稳，造成左脚受伤"/>
    <hyperlink ref="D77" r:id="rId_hyperlink_72" tooltip="5.5米炉顶导烟车电动葫芦操作手柄因高温烤化变形破损，内部金属接线片裸露，一员工在未佩戴绝缘防护情况下操作电动葫芦更换水封盖，手掌与接线片接触发生触电，送医抢救无效死亡。"/>
    <hyperlink ref="D78" r:id="rId_hyperlink_73" tooltip="2#水封煤气冷凝液出口管道腐蚀严重，如果发现不及时，管道腐蚀破裂，冷凝液泄漏，造成环保事故"/>
    <hyperlink ref="D79" r:id="rId_hyperlink_74" tooltip="北风机岗位电捕上部一处操作平台铁板腐蚀严重，基本上不能支撑高重力，并且铁板缝隙逐渐扩大，假如操作人员从此处经过，有可能使铁板缝隙瞬间扩大人员踩空，导致人员腿部轻微擦伤，伤口处理后继续工作。"/>
    <hyperlink ref="D80" r:id="rId_hyperlink_75" tooltip="电缆桥架盖板未固定紧实，被大风吹起，掉落砸中路过人员，造成擦伤。"/>
    <hyperlink ref="D81" r:id="rId_hyperlink_76" tooltip="5.5米焦炉凉焦台南头管道高于地面15厘米，夜间灯光昏暗，操作工夜间巡检时不慎被此管道绊倒。造成右臂受伤，入院治疗"/>
    <hyperlink ref="D82" r:id="rId_hyperlink_77" tooltip="5.5米推焦车行走至9号碳化室处时，由于滑块雨搭开焊下垂，造成滑块连电起火烧毁"/>
    <hyperlink ref="D83" r:id="rId_hyperlink_78" tooltip="在开关终冷器煤气出口阀门时，由于阀门销子坏，用20至30厘米割角料充当，一名操作工若注意力不集中造成轻微划伤未影响工作"/>
    <hyperlink ref="D84" r:id="rId_hyperlink_79" tooltip="生化工段操作工在巡检设备时发现液碱围堰外加药泵漏液，待仔细检查泄露部位时，因未正确佩戴护目镜，在泵子机封转动情况下甩液溅入一名操作工右眼内，导致右眼眼角膜损坏，右眼失明致残，损工半年后复工。"/>
    <hyperlink ref="D85" r:id="rId_hyperlink_80" tooltip="一名操作工到4米高的初冷器水封上部给螺栓注油，因平台中间地带护栏缺失，在作业过程中该操作工不慎坠落到地面，造成小腿骨折，送医院救治3个月后恢复出院，损工3个月。"/>
    <hyperlink ref="D86" r:id="rId_hyperlink_81" tooltip="一名维修人员在捕酸器底部紧固阀门螺铨时，未佩戴防护手套，若稍有不慎容易造成手部受伤！"/>
    <hyperlink ref="D87" r:id="rId_hyperlink_82" tooltip="一名操作工在靠近护栏时，不慎跌落至炉顶面，且头部先着地，造成重伤，随即送医，抢救无效死亡"/>
    <hyperlink ref="D88" r:id="rId_hyperlink_83" tooltip="一名操作工在平台堵烟时，由于平台腐蚀严重，不堪人体重力，致使人员跌落，造成重伤，紧急送医，抢救无效死亡"/>
    <hyperlink ref="D89" r:id="rId_hyperlink_84" tooltip="粗苯终冷器东水封液下泵电机接线盒绝缘胶布与穿线软管脱落，进水连电，一名操作工在巡检过程中发现电机冒烟，立即用手触摸，可能造成当场触电身亡"/>
    <hyperlink ref="D90" r:id="rId_hyperlink_85" tooltip="一名操作工在蒸氨塔底放空焦油时，由于蒸汽管道破裂，假如操作工躲闪不及，会造成蒸汽烫伤，去医务室敷药后在家休养两天复工。"/>
    <hyperlink ref="D91" r:id="rId_hyperlink_86" tooltip="泡沫槽中间有一废弃仪表线落至地面，如果操作人员夜间巡检至此处时，不慎被此处仪表线绊倒，造成右腿擦伤，上医务室敷药治疗后，休息一周后复工。"/>
    <hyperlink ref="D92" r:id="rId_hyperlink_87" tooltip="除尘风机底座上部无护栏造成人员跌落"/>
    <hyperlink ref="D93" r:id="rId_hyperlink_88" tooltip="到达风机底座的巡检爬梯采用简易漏空式且没有固定易造成滑跌事故"/>
    <hyperlink ref="D94" r:id="rId_hyperlink_89" tooltip="一名巡检人员在满流槽下方巡检时，由于管道晃动加之大风天气，回流管上方的废旧铁板掉落，所幸巡检人员及时躲避，未造成伤害。"/>
    <hyperlink ref="D95" r:id="rId_hyperlink_90" tooltip="换热器群南侧小井无盖板无警示标志，如果一名操作人员巡检时因夜间视线不好的情况下，左腿掉入小井内造成左腿小腿轻微擦伤，去医务室处理包扎后上班继续工作"/>
    <hyperlink ref="D96" r:id="rId_hyperlink_91" tooltip="好氧池溶解氧仪器电缆穿线管破损，电缆老化漏电，操作工在巡检经过时踩在电缆上触电"/>
    <hyperlink ref="D97" r:id="rId_hyperlink_92" tooltip="蒸汽管线脱离管架，一巡检人员在经过此处巡检时，管线突然掉落，砸伤其肩部，造成骨折，住院三天，在家休养半个月。"/>
    <hyperlink ref="D98" r:id="rId_hyperlink_93" tooltip="10000立方米气柜东侧消防炮底座挖坑待检修，施工人员撤离未设置安全措施，夜间光线不好一名巡检人员一脚踏入水坑，左脚腕部扭伤，医院检查后回家休息一周。"/>
    <hyperlink ref="D99" r:id="rId_hyperlink_94" tooltip="一名操作工在巡检过程中，由于平台腐蚀严重，可能不慎造成脚腕扭伤，经简单处理不影响工作"/>
    <hyperlink ref="D100" r:id="rId_hyperlink_95" tooltip="压缩岗位北侧地沟盖板因外协施工人员清理废料，没及时回复且没设警示标识，夜间一名巡检工在巡检过程中因夜间照明不足，不慎踩到小井处，造成腿部擦伤脚腕扭伤。"/>
    <hyperlink ref="D101" r:id="rId_hyperlink_96" tooltip="南脱硫脱硫塔底煤气报警器的护线管破裂，当遇到阴雨天气时，雨水就有可能沿着护线管流到煤气报警器中，造成报警器短路而损坏。"/>
    <hyperlink ref="D102" r:id="rId_hyperlink_97" tooltip="5米5脱硫脱硝电闸盒子没有防雨措施，一夜班人员操作时，触电倒地抢救无效死亡。"/>
    <hyperlink ref="D103" r:id="rId_hyperlink_98" tooltip="4米3脱硫脱硝高压风机联轴器，没有防护措施，操作人员在巡检时，衣服被联轴器螺栓勾住，甩出两米多高的电机平台，头部着地抢救无效死亡。"/>
    <hyperlink ref="D104" r:id="rId_hyperlink_99" tooltip="吸氨岗位氨水槽处爬梯未及时撤离，无固定措施，当操作工在巡检过程中爬梯倒下，操作工不慎砸伤，经包扎立即复工。"/>
    <hyperlink ref="D105" r:id="rId_hyperlink_100" tooltip="一万气柜出口地沟无盖板，一名操作工巡查时，不慎掉落沟中，造成腿部擦伤，胳膊摔伤，住院治疗5天。"/>
    <hyperlink ref="D106" r:id="rId_hyperlink_101" tooltip="空分工段行车吊钩距离地面过近，一名操作工巡检过程中，肩膀不慎碰到吊钩，造成肩部碰伤。"/>
    <hyperlink ref="D107" r:id="rId_hyperlink_102" tooltip="压缩机厂房二楼行车吊钩防脱装置失效，在更换压缩机活塞时吊绳从吊钩内滑脱，造成活塞掉落损坏。"/>
    <hyperlink ref="D108" r:id="rId_hyperlink_103" tooltip="2号炉烟道闸板吊砣下方未设置警示标志，且护栏设置未起到有效作用。如果一名职工注意力不集中从下方经过时，由于钢丝绳长期受力松动造成吊砣意外落下，砸到头部导致一人死亡。"/>
    <hyperlink ref="D109" r:id="rId_hyperlink_104" tooltip="4.3米焦炉1号炉北侧爬梯踏板防滑钢筋开焊，假如一名操作工从爬梯经过，被开焊的钢筋绊倒，人员从爬梯摔落，头部着地，当场昏迷，经医院抢救无效死亡"/>
    <hyperlink ref="D110" r:id="rId_hyperlink_105" tooltip="5.5米炉顶焦侧上升管平台吹管放置杂乱，没有归置摆放，存在绊倒风险。若人员操作在此通行，不慎绊倒，导致人员脚部扭伤。"/>
    <hyperlink ref="D111" r:id="rId_hyperlink_106" tooltip="操作人员在清理卫生时，不小心被软胶管绊倒，人员头部后脑部位撞击在炉顶道轨上，送医院抢救无效死亡。"/>
    <hyperlink ref="D112" r:id="rId_hyperlink_107" tooltip="送煤车顶部遮挡板长时间暴露在外，锈蚀严重将要脱落，如果一名人员恰巧从下面经过，遮挡板从5米多的高处坠落，砸中人员头部，人员受伤，送医院抢救无效死亡。"/>
    <hyperlink ref="D113" r:id="rId_hyperlink_108" tooltip="检修后合成塔与平台之间空隙未及时用盖板盖严，一操作工在巡检时，不慎将腿掉入空隙，造成腿部划伤出血。"/>
    <hyperlink ref="D114" r:id="rId_hyperlink_109" tooltip="焦侧除尘水槽上部闲置铁架未放牢固，假如一名操作工从除尘水槽下部经过，拦焦车来回行走发生震动，铁架歪倒与车辆发生剐蹭掉落下去，砸到下方操作人员，当场昏迷，经医院抢救无效死亡"/>
    <hyperlink ref="D115" r:id="rId_hyperlink_110" tooltip="操作工在巡检过程中，不小心被水龙带绊倒，人员面部被框架底座碰伤，面部出血医务室治疗。"/>
    <hyperlink ref="D116" r:id="rId_hyperlink_111" tooltip="空分主控室二氧化碳灭火器放置栏未固定，一名操作工拿灭火器称重时放置栏歪倒掉落，砸伤脚面，经医务室查看后轻微伤害，立即复工"/>
    <hyperlink ref="D117" r:id="rId_hyperlink_112" tooltip="4.3米焦炉1号炉南炉墙串漏燃烧并倾斜坍塌，假如一名操作工从炉前经过，被坍塌的炉墙砖砸倒，人员从拦焦平台摔入洗焦道轨，头部着地，当场昏迷，经送医院抢救无效死亡"/>
    <hyperlink ref="D118" r:id="rId_hyperlink_113" tooltip="1#鼓风机机体下液管阀门泄露煤气，假如一操作工在擦拭鼓风机时，未佩戴防毒面罩，可能会造成轻微煤气中毒，头晕恶心。通风处休息30分钟后恢复正常。"/>
    <hyperlink ref="D119" r:id="rId_hyperlink_114" tooltip="循环槽溶液收集池无盖板，如果夜间一名职工巡检时，一只脚不慎踩入池内，造成脚部扭伤，到医院简单治疗后回家休养七天，损工七天。"/>
    <hyperlink ref="D120" r:id="rId_hyperlink_115" tooltip="精炼热水罐倒淋阀阀柄固定螺栓缺失，操作工巡检时，由于劳保防护不当，阀柄掉落不慎将操作工脚面砸伤，送医救治，脚面骨折"/>
    <hyperlink ref="D121" r:id="rId_hyperlink_116" tooltip="深度处理反吸氧化剂泵进口活结腐蚀老化破裂，药液喷溅到地面造成地面腐蚀。操作人员巡检发现后，1小时处理完毕。"/>
    <hyperlink ref="D122" r:id="rId_hyperlink_117" tooltip="牵车台平台锈蚀严重，几乎无法承载重物，如果一名职工从此处经过没有注意，踩断平台，人员没有防备瞬间从高约1.5米的平台掉落，脚踝骨折，送医院治疗3个月。"/>
    <hyperlink ref="D123" r:id="rId_hyperlink_118" tooltip="筛焦下料口处盖板未及时关闭，如果一名职工巡检时未注意脚下，不慎踩空掉入下料口，从约4米的高度落在底部皮带架子上，人员全身多处骨折流血，送医院抢救无效死亡。"/>
    <hyperlink ref="D124" r:id="rId_hyperlink_119" tooltip="焦炉间台压缩空气管线杂乱无章，夜间照明度差，如果一名职工行走时注意力不集中，不慎被管线绊倒，前倾摔入半米高的机侧平台，人员下意识双手支撑地面，造成手臂骨折，住院3个月。"/>
    <hyperlink ref="D125" r:id="rId_hyperlink_120" tooltip="此处无护栏无禁止通行标志，假设有人员从此处行走或工作时，不慎失足掉落到焦台分焦器，造成腿部骨折，头部受伤，送医院抢救。"/>
    <hyperlink ref="D126" r:id="rId_hyperlink_121" tooltip="一名职工在抽高压电缆时因未系安全带被电缆绊倒扭伤后经医务室简单处理后继续上班"/>
    <hyperlink ref="D127" r:id="rId_hyperlink_122" tooltip="4.3米焦炉2号炉集气道上部走台电焊机电焊线检修完成未及时拆除，假如一名操作工夜间从走台巡检经过，未注意到脚下电焊线，被其绊倒，导致左手臂骨折，住院治疗15天，回家修养80天后恢复健康。"/>
    <hyperlink ref="D128" r:id="rId_hyperlink_123" tooltip="外排泵出口管线上部离地面约4米位置遗落一片废旧法兰，操作人员在开泵时，由于管线振动，可能使法兰坠落，砸伤一名操作工脚面致骨折，送医治疗一周出院，在家休养一个月复工。"/>
    <hyperlink ref="D129" r:id="rId_hyperlink_124" tooltip="精炼岗位氨水循环泵电机防护罩放置不牢固，操作工巡检时，由于劳保防护不当，防护罩倾倒将操作工脚面砸伤，送医务室简单治疗立即复工。"/>
    <hyperlink ref="D130" r:id="rId_hyperlink_125" tooltip="假如电捕高压发生器绝缘瓷瓶因进线口密封不好，瓷瓶灰尘多从而引起高压放电，造成电捕停机"/>
    <hyperlink ref="D131" r:id="rId_hyperlink_126" tooltip="手提封包机护板缺失，操作工在封包是，由于风险辩识不到位，没有发现护板缺失，被封包机内机械挤伤手指，手指软组织损伤"/>
    <hyperlink ref="D132" r:id="rId_hyperlink_127" tooltip="包装机平台衡量处有两个废弃挂钩，操作工在打扫卫生时，没注意到挂钩，不慎被挂钩划伤脸部，送医救治"/>
    <hyperlink ref="D133" r:id="rId_hyperlink_128" tooltip="余热回收器玻璃液位计有裂纹，风险辨识不到位，未做好防护，当操作工在巡检查看液位计时突然破裂，使蒸汽和热水喷到操作工脸部，造成脸部烫伤，住院治疗。"/>
    <hyperlink ref="D134" r:id="rId_hyperlink_129" tooltip="使用时间长，老化断裂。"/>
    <hyperlink ref="D135" r:id="rId_hyperlink_130" tooltip="粗苯南系统贫油管线无防护措施及反光标识，一名巡检人员夜间巡检时因现场照明不足被管线绊倒，手腕骨折。"/>
    <hyperlink ref="D136" r:id="rId_hyperlink_131" tooltip="粗苯南系统贫油管线无防护措施，贫油输送管线温度约为90℃，一名操作人员在跨越时腿部触碰管线导致轻微灼伤。"/>
    <hyperlink ref="D137" r:id="rId_hyperlink_132" tooltip="3万气柜护栏上，用旧电线悬挂一旧轴承，由于电线老化断裂，重物失落，将此时巡检的一名操作工砸伤头部事故。荡"/>
    <hyperlink ref="D138" r:id="rId_hyperlink_133" tooltip="3万气柜护栏上，用旧电线悬挂一旧轴承，由于电线老化断裂，重物失落，将此时巡检的一名操作工砸伤头部事故。"/>
    <hyperlink ref="D139" r:id="rId_hyperlink_134" tooltip="3万气柜护栏上，用旧电线悬挂一旧轴承，由于电线老化断裂，重物失落，将此时巡检的一名操作工砸伤头部事故。"/>
    <hyperlink ref="D140" r:id="rId_hyperlink_135" tooltip="变换2#蒸汽包入口阀填料泄露，操作工通知维修人员紧填料，在工作过程中，由于用力过大，造成螺母滑丝脱落，蒸汽冒出，导致维修人员脸部烫伤送医院治疗"/>
    <hyperlink ref="D141" r:id="rId_hyperlink_136" tooltip="南脱硫洗眼器喷淋阀门坏，如果一操作工在操作时上身溅上脱硫液，由于喷淋阀门坏无法及时冲洗，致使皮肤轻微灼伤，医务室简单处理，正常工作。"/>
    <hyperlink ref="D142" r:id="rId_hyperlink_137" tooltip="粗苯蒸汽管架保温铝皮未及时清理，一名巡检人员在管架下部清理卫生，一旦铝皮脱落击中巡检人员手臂，轻微擦伤。"/>
    <hyperlink ref="D143" r:id="rId_hyperlink_138" tooltip="脱硫操作工巡查时不慎被电缆线绊倒，小腿流血，医务室简治疗处理，休息三天后正常工作"/>
    <hyperlink ref="D144" r:id="rId_hyperlink_139" tooltip="粗苯外供站煤气水封下液管保温铝皮损坏。在上夜班时，由于光线不好，一名操作工去放煤气水封冷凝液时经过此处不小心可能被损坏的铝皮轻微划伤面部，经医务室处理后正常工作。"/>
    <hyperlink ref="D145" r:id="rId_hyperlink_140" tooltip="4.3米焦炉焦侧通廊南头有一窗户玻璃破损，假如有人经过时被大风刮落，掉落手臂上，造成手臂划伤，去医院包扎治疗"/>
    <hyperlink ref="D146" r:id="rId_hyperlink_141" tooltip="4.3米焦炉焦侧通廊南头有一窗户玻璃破损，假如有人经过时被大风刮落，掉落手臂上，造成手臂划伤，去医院包扎治疗"/>
    <hyperlink ref="D147" r:id="rId_hyperlink_142" tooltip="西硫铵岗位南框架顶保温铝皮半脱落，如果大风天气操作工巡检到此处，铝皮脱落，可能会造成操作工肩部或手部擦伤。送医检查，不影响正常工作。"/>
    <hyperlink ref="D148" r:id="rId_hyperlink_143" tooltip="1#炉北端通往上升管平台护栏已断。一人经过时假如脚底打滑，从该处九米高度坠落至地面，头部着地造成当场死亡。"/>
    <hyperlink ref="D149" r:id="rId_hyperlink_144" tooltip="4.3米焦炉1#机侧烟道通廊钢筋裸露，人员经过万一绊倒，手部着地，造成手部骨折，住院治疗30天，休养60天."/>
    <hyperlink ref="D150" r:id="rId_hyperlink_145" tooltip="导热油空气预热器保温材料缺失，操作工在巡检时，不小心胳膊触碰到预热器"/>
    <hyperlink ref="D151" r:id="rId_hyperlink_146" tooltip="干熄焦地下室冷焦带北侧台阶处照明不良，存在死角，巡检人员清理冷焦带下部卫生，沿北侧向上行走时被台阶绊倒，右臂被皮带支架尖锐处割伤，创口10公分大量出血，送医治疗，缝合创口，损工7天"/>
    <hyperlink ref="D152" r:id="rId_hyperlink_147" tooltip="空压机房南侧疏水井处，未设置安全警示护栏，在疏水开大后，非本岗位人员沿路沿走过时，被高温蒸汽烫伤小腿部，外出就医，损工一天。"/>
    <hyperlink ref="D153" r:id="rId_hyperlink_148" tooltip="5.5米炉南二楼门玻璃破裂，万一一名职工闭门时玻璃划落掉在脸部，将划伤脸部。到医务室包扎，限工三天。"/>
    <hyperlink ref="D154" r:id="rId_hyperlink_149" tooltip="5.5米焦侧南头通风道上部漏水严重，腐蚀通风道，假如人员经过此处时，通风道坍塌造成人员身体多处骨折，住院治疗三个月的损工事故"/>
    <hyperlink ref="D155" r:id="rId_hyperlink_150" tooltip="空分冷冻水泵入口阀门处地沟盖板缺失，操作工在开关阀门时，左脚不慎踏入沟中，造成左脚扭伤，送医救治"/>
    <hyperlink ref="D156" r:id="rId_hyperlink_151" tooltip="变换2＃蒸汽包入口阀填料泄露，操作工通知维修人员紧填料，在工作过程中，由于用力过大，造成螺母滑丝脱落，蒸汽冒出，导致维修人员脸部烫伤，送医院治疗"/>
    <hyperlink ref="D157" r:id="rId_hyperlink_152" tooltip="两名维修人员高处进行管道阀门维护作业时，扳手不慎掉落，砸伤作业下方逗留操作工一名！"/>
    <hyperlink ref="D158" r:id="rId_hyperlink_153" tooltip="碳氨包装机气路管断裂漏气，泄压后，自动包装机气压不足机械臂手停机，包装传送线单套装置停车。"/>
    <hyperlink ref="D159" r:id="rId_hyperlink_154" tooltip="1#空压机配电柜灰尘较多，如果不及时清理，造成短路着火事故。造成空压机停机"/>
    <hyperlink ref="D160" r:id="rId_hyperlink_155" tooltip="2#提升机框架七层西侧护栏外悬挂一云梯，长期暴露室外未做防腐，如遇大风天气，焊点开焊坠落，砸中地面过路人员头肩部，造成人员死亡。"/>
    <hyperlink ref="D161" r:id="rId_hyperlink_156" tooltip="巡检人员爬环境除尘烟囱处爬梯巡检时，未抓牢爬梯，由于底部缺少护栏，导致巡检人员从梯子上跌落，送医治疗，脚踝扭伤，损工十天。"/>
    <hyperlink ref="D162" r:id="rId_hyperlink_157" tooltip="4.3米焦炉集气管顶部电缆裸露，外皮破损，万一巡检工经过时发生触电事故，经抢救无效死亡。"/>
    <hyperlink ref="D163" r:id="rId_hyperlink_158" tooltip="压缩更换活门维修未及时清理现场，巡检人员在夜间巡检经过时被绊倒，扭伤脚踝送医救治。"/>
    <hyperlink ref="D164" r:id="rId_hyperlink_159" tooltip="4.3米焦炉烟道通廊内有一管道高出地面15公分无警示标识，如有人通过时不小心绊倒手先着地造成手腕骨折住院治疗30天回家休养60天的损工事件。"/>
    <hyperlink ref="D165" r:id="rId_hyperlink_160" tooltip="4.3米焦炉集气管顶部电缆裸露，外皮破损，万一巡检人员经过时发生触电事故，经抢救无效死亡。"/>
    <hyperlink ref="D166" r:id="rId_hyperlink_161" tooltip="一名操作工夜间巡查时，不慎踏入造成小腿扭伤大腿擦伤，医务室治疗三天，后正常工作，损工三天。"/>
    <hyperlink ref="D167" r:id="rId_hyperlink_162" tooltip="吸氨岗位氨水循环槽处地沟盖板损坏，一名操作工巡检过程中，不慎踩空跌入地沟内，造成腿部擦伤脚腕扭伤的轻伤事故。"/>
    <hyperlink ref="D168" r:id="rId_hyperlink_163" tooltip="岗位操作工在清理现场卫生时，铁锨不慎被转动中的胶带与托辊卷入，锨柄卷起击中操作工左侧手臂，经送医确诊为左手臂骨折，住院治疗5天，在家休养1个月后复工。"/>
    <hyperlink ref="D169" r:id="rId_hyperlink_164" tooltip="一名员工在下完楼梯之后，不小心被放置的废旧皮胶带拌到，导致膝盖磕伤，及时送医务室，上药，回家休养2天后复工。"/>
    <hyperlink ref="D170" r:id="rId_hyperlink_165" tooltip="缝包机使用完后插座未及时盖上，操作人员在操作开关时胳膊不慎碰到插座，导致胳膊触电，烧伤胳膊"/>
    <hyperlink ref="D171" r:id="rId_hyperlink_166" tooltip="推焦平台与炉柱间有缝隙，煤粉从缝隙落到开闭器上，造成开闭器盖板盖不严，致使燃烧室内煤气过剩，最终导致烟囱冒黑烟。"/>
    <hyperlink ref="D172" r:id="rId_hyperlink_167" tooltip="超浓水水池西侧蒸汽阀门无保温层，一员工在清理池子夹缝卫生后返回时，因空间较窄，右肩及上臂与高温阀门接触，造成烫伤，离岗就医治疗，在家休养5天后复工。"/>
    <hyperlink ref="D173" r:id="rId_hyperlink_168" tooltip="4.3米炉顶1#炉集气道上部盖板腐蚀严重，如果一名操作人员工作时，不慎踩烂盖板，造成人员腿部骨折住院治疗的损工事故"/>
    <hyperlink ref="D174" r:id="rId_hyperlink_169" tooltip="1#小母液电机罩子腐蚀严重，一名操作工在擦拭设备时，不慎划伤手指，棉纱缠进电机罩子里，风扇翅子破损。"/>
    <hyperlink ref="D175" r:id="rId_hyperlink_170" tooltip="热继电器压电源线处螺丝松动，电源线烧焦着火，烧坏配电盘，引起脱硫大面积停电，脱硫液外溢，污染环境，职工处理情况时，造成身体损害。"/>
    <hyperlink ref="D176" r:id="rId_hyperlink_171" tooltip="位于42米高处的干熄焦1号提升机南侧护栏两段分离，强度低，操作人员到提升机操作时，风大人员站立不稳靠到护栏上，护栏变形向外弯折，人员从42米高处跌落，头部向下摔在水泥地上，安全帽破头部颈部重伤"/>
    <hyperlink ref="D177" r:id="rId_hyperlink_172" tooltip="排污泵接电380V，电缆所加套管不全且接线处与电缆沟上沿摩擦易破损，一巡检人员开启污水泵后返回观察时触电倒地，送医治疗，死亡。"/>
    <hyperlink ref="D178" r:id="rId_hyperlink_173" tooltip="北脱硫压滤机房北侧玻璃破碎，人员经过时，玻璃被大风刮落"/>
    <hyperlink ref="D179" r:id="rId_hyperlink_174" tooltip="西硫铵初冷器2号冷凝液泵，电机电缆穿线管腐蚀严重，长时间外皮破损致使电缆磨损严重，导致线路漏电短路，电机烧坏"/>
    <hyperlink ref="D180" r:id="rId_hyperlink_175" tooltip="焦油罐区2#罐爬梯长期服饰出现开焊，假如在上下爬梯 时，造成人员从2米高处摔落，造成一名人员腿部摔伤。"/>
    <hyperlink ref="D181" r:id="rId_hyperlink_176" tooltip="汽机零米配电柜外接电缆（电压380伏）未加套管，长时间使用磨损绝缘层，导致配电柜表面带电，操作人员在停送电操作时触电倒地，抢救并送医，人员死亡。"/>
    <hyperlink ref="D182" r:id="rId_hyperlink_177" tooltip="一操作工在巡检时，由于2#减温减压压力调节阀处焊缝突然漏汽，未能及时躲避，被漏出的1.6Mpa、535℃蒸汽击中左胳膊，造成烫伤，送医院救治。"/>
    <hyperlink ref="D183" r:id="rId_hyperlink_178" tooltip="深度脱硫北路边有施工剩余的废旧钢筋头未及时清理，如果在夜间视线不良的情况下，一名操作工到此处巡检，有可能会造成人员绊倒，手部轻微擦伤，经医务室简单处理后复工。"/>
    <hyperlink ref="D184" r:id="rId_hyperlink_179" tooltip="一号加氨阀填料漏气，巡检人开关阀门时加氨阀填料漏，吸入浓度较高氨气，造成呼吸道感染。"/>
    <hyperlink ref="D185" r:id="rId_hyperlink_180" tooltip="转化三万气柜煤气管道上电动调节阀处保温铝皮脱落，悬挂在管道上，刮大风时，铝皮脱落，把正在下部巡检的操作人员脖颈处划伤，送医院治疗3天，出院复工。"/>
    <hyperlink ref="D186" r:id="rId_hyperlink_181" tooltip="除盐水污水池排污沟杂物隔网上部钢筋凸起，夜间光线不良一巡检人员进行巡检时因地沟盖板不平整摔倒，腹部被凸起钢筋刺入，送医治疗抢救及时，损工100天。"/>
    <hyperlink ref="D187" r:id="rId_hyperlink_182" tooltip="除尘风机（变频）联轴器护罩短，夜间一焦炉操作工将部分棉纱缠在右手上对其清理时，焦炉出焦风机由低频升至高频，因棉纱过长被联轴器卷入，同时人员被带入联轴器扭压当场死亡。"/>
    <hyperlink ref="D188" r:id="rId_hyperlink_183" tooltip="高压配电室1#联络线配电柜在线测温装置温度显示异常，无法判定触头温度是否正常，如温度过高发生断路器触头烧损，会引起设备停电造成财产损失。"/>
    <hyperlink ref="D189" r:id="rId_hyperlink_184" tooltip="一员工在巡检3#减温减压时，由于减温水管道破裂，不慎被104℃的汽水混合物喷溅至左小腿，送医救治，诊断为左小腿浅二度烫伤。"/>
    <hyperlink ref="D190" r:id="rId_hyperlink_185" tooltip="干燥管安全阀垫子破裂，人员经过时蒸汽压力升高，导致蒸汽喷出烫伤脸部，一人入院治疗30天。"/>
    <hyperlink ref="D191" r:id="rId_hyperlink_186" tooltip="液氨充装站处一防爆照明灯因使用时间较长，外壳固定螺栓因腐蚀失效。充装人员在清理路边卫生时，外壳突然脱落，砸中充装人员肩部锁骨处，充装人员疼痛难忍，立即送医院检查，确认锁骨骨折，治疗15天，体息2个半月"/>
    <hyperlink ref="D192" r:id="rId_hyperlink_187" tooltip="宏盛区域消防水池地沟小井盖板缺失，一名操作工在夜间巡检时，经过此处踏入井中造成小腿骨折，住院30天休息90天。"/>
    <hyperlink ref="D193" r:id="rId_hyperlink_188" tooltip="精炼南墙上侧仪表管线已废弃未拆除，悬挂空中易坠落砸伤巡检人员，造成头部划伤，医务室就医后复工。"/>
    <hyperlink ref="D194" r:id="rId_hyperlink_189" tooltip="一号冰机入口阀填料漏气，巡检人员开阀门时，因入口阀填料漏氨，吸入浓度较高氨气，造成呼吸受阻，呼吸道严重灼伤，送医院治疗三天，岀院复工。"/>
    <hyperlink ref="D195" r:id="rId_hyperlink_190" tooltip="75T锅炉西门处电缆沟盖板质量差，当放灰工推车经过时盖板有可能断裂750度左右的红灰淌入电缆沟造成电缆烧毁。"/>
    <hyperlink ref="D196" r:id="rId_hyperlink_191" tooltip="压缩岗位，新按装两台行车，地面导轨限制铁，没有明示标志，一操作工，在停车时，跑去操作架关闭操作伐吋，被绊倒，碰伤膝盖，住院治疗十天，损工十天。"/>
    <hyperlink ref="D197" r:id="rId_hyperlink_192" tooltip="转化大仓库屋顶悬挂一块废旧铝皮，一名巡检工在巡检过程中，从下方走过，铝皮被风吹落，掉落在巡检工肩部，划伤脖子，被送到医务室处理后，就医治疗5天，复工。"/>
    <hyperlink ref="D198" r:id="rId_hyperlink_193" tooltip="空分两空压机之间存有积水，1名巡检人员在巡检时脚底打滑摔倒，右手臂骨折住院15天休息3个月。"/>
    <hyperlink ref="D199" r:id="rId_hyperlink_194" tooltip="DEC碱再生排水管道有漏点，泄露到管道沟内，造成管道沟内管道腐蚀，及时发现，一天内处理完毕。"/>
    <hyperlink ref="D200" r:id="rId_hyperlink_195" tooltip="东一2#给料机偏心盘螺栓断裂，操作工在巡检时，给料机偏心盘螺栓突然断裂，螺栓飞蹦到操作工脸颊划伤脸，送医院包扎，在家休息3天"/>
    <hyperlink ref="D201" r:id="rId_hyperlink_196" tooltip="1618破碎机行灯灯口破损线头外漏，操作工清下料筒时光线太暗在用手拿行灯时右手抓在了外漏的线头上，造成右手电伤，在家休养一星期"/>
    <hyperlink ref="D202" r:id="rId_hyperlink_197" tooltip="汽轮机油箱溢油阀阀杆漏油，如果漏油量过大会造成汽轮机润滑油压降低，导致汽轮机轴瓦烧毁、停机，甚至引发火灾。"/>
    <hyperlink ref="D203" r:id="rId_hyperlink_198" tooltip="操作工在调节蒸汽旁通阀门时，正对蒸汽管线，因未发现黑胶管老化，阀门开启过大，蒸汽压力升高，导致黑胶管炸裂，蒸汽喷出，由于区域空间障碍物较多，人员躲避不及时，造成人员小腿灼伤，住院治疗一个月。"/>
    <hyperlink ref="D204" r:id="rId_hyperlink_199" tooltip="循环水加药间门口无挡鼠板，老鼠进入咬破加药罐，咬坏电缆，造成设备损坏，损失一万元。"/>
    <hyperlink ref="D205" r:id="rId_hyperlink_200" tooltip="硫酸管道铺设不合理，硫酸管道与循环水配电室北门斜坡距离0.4米，一巡检人员快速通过绿化带跑至此处时被硫酸管道绊倒，磕在配电室斜坡上，造成人员右手上臂骨折，去医院救治，损工3个月。"/>
    <hyperlink ref="D206" r:id="rId_hyperlink_201" tooltip="液位计倒淋管有腐蚀漏点，如果漏点泄漏严重，在开启倒淋时，会造成气液喷溅，人员巡检时精炼液溅入眼内，立即用大量清水清洗。"/>
    <hyperlink ref="D207" r:id="rId_hyperlink_202" tooltip="转化循环水泵房北侧平台警示牌脱落，平台无警示牌无法提醒巡检人员，雨雪天气巡检人员在平台滑倒，造成腿部划伤，医务室就医后复工。"/>
    <hyperlink ref="D208" r:id="rId_hyperlink_203" tooltip="设备维修后枕木摆放杂乱高低不平，一名巡检人员从此处通过，被枕木绊倒，磕倒在平台上，造成人员脚扭伤需休息一个月损工事故。"/>
    <hyperlink ref="D209" r:id="rId_hyperlink_204" tooltip="干熄焦1号提升机三层护栏护板开焊伸出，一巡检人员巡检经过时，未及时发现，将其拌倒，身体前俯爬在平台上，导致右手撑轻微擦伤，经简单处理后继续工作。"/>
    <hyperlink ref="D210" r:id="rId_hyperlink_205" tooltip="1#分馏塔爬梯处小门未关闭，一操作工私自攀爬，在攀爬过程中失足跌落地面，造成腿部骨折。住院医疗1个月，修养2个月。"/>
    <hyperlink ref="D211" r:id="rId_hyperlink_206" tooltip="空压机地沟盖板未盖好，一名操作工巡检过程中不慎踩空，造成小腿骨折。"/>
    <hyperlink ref="D212" r:id="rId_hyperlink_207" tooltip="除盐水站西墙3米高处电缆盖板松动，大风天气，一名员工巡检至此时，盖板脱落，砸伤肩部，送医后诊断为肩部骨折，损工3个月"/>
    <hyperlink ref="D213" r:id="rId_hyperlink_208" tooltip="一名操作工在调节蒸汽阀门时，正对蒸汽连管，黑胶皮管由于未固定好，阀门开启过程中，导致黑胶皮管窜出，蒸汽喷出，人员躲避不及时，造成一名操作工小腿烫伤，住院治疗半个月，休息半月。"/>
    <hyperlink ref="D214" r:id="rId_hyperlink_209" tooltip="3号减温减压照明灯电缆铺设不规范，一名员工开阀门时，不慎绊倒，膝盖破皮，去医务室简单处理"/>
    <hyperlink ref="D215" r:id="rId_hyperlink_210" tooltip="1号提升机变压器室挡鼠板高50厘米，第一层台阶宽剩余约6厘米，一名员工向外迈时，由于台阶过窄，脚步踩蹭扭伤，损工十天"/>
    <hyperlink ref="D216" r:id="rId_hyperlink_211" tooltip="变换蒸汽连管黑胶管未固定好，一名操作工调节蒸汽阀门时，正对蒸汽连管，黑胶管由于未固定好，阀门开启过程中，导致黑胶管窜出，蒸汽喷出，人员躲避不及时，造成一名操作工小烫伤，住院治疗半月，休息半月。"/>
    <hyperlink ref="D217" r:id="rId_hyperlink_212" tooltip="变换蒸汽连管黑胶管未固定好，一名操作工调节蒸汽阀门时，正对蒸汽连管，黑胶管由于未固定好，阀门开启过程中，导致黑胶管窜出，蒸汽喷出，人员躲避不及时，造成一名操作工烫伤，住院治疗半月，休息半月。"/>
    <hyperlink ref="D218" r:id="rId_hyperlink_213" tooltip="吸氨岗位浓氨槽处地沟处盖板缺陷，一名操作工巡检时，不慎踩入跌倒，造成左脚部扭伤。"/>
    <hyperlink ref="D219" r:id="rId_hyperlink_214" tooltip="除盐水站东侧地沟盖板断裂下沉，夜班一名职工巡检至此时，人员踩空脚部受伤，送医后诊断为脚踝扭伤，损工半个月。"/>
    <hyperlink ref="D220" r:id="rId_hyperlink_215" tooltip="脱硫箱东侧蒸汽管道破损造成蒸汽外漏，如果一名操作人员在工作期间经过蒸汽管道时来不及躲避被蒸汽烫伤住院治疗5天后复工"/>
    <hyperlink ref="D221" r:id="rId_hyperlink_216" tooltip="化验用电炉恒温器开关电源防护罩脱落，化验员在频繁蒸样合闸过程中，不小心触碰开关金属片"/>
    <hyperlink ref="D222" r:id="rId_hyperlink_217" tooltip="热力车间35t锅炉疏水箱北侧盖板塌陷，巡检工一名，在巡检时踩上盖板，盖板因托架腐烂塌陷，致巡检人员腿骨骨折，送医院治疗。"/>
    <hyperlink ref="D223" r:id="rId_hyperlink_218" tooltip="北风机上下段冷凝液罐外排管道支架倾斜，有掉落风险，如果一名操作人员在巡检过程中经过，被掉落的支架砸中左肩，造成左肩轻微骨裂，送医医治七天，在家休养一个月。"/>
    <hyperlink ref="D224" r:id="rId_hyperlink_219" tooltip="北风机2#风机油站护栏与1#风机煤气管道之间离地面3米左右处，搭有一块未固定脚手板，如果一名操作人员在巡检经过该处时，脚手板松动掉落砸中操作人员头部安全帽，造成一人颈椎扭伤，住院治疗5天，休息一月复工"/>
    <hyperlink ref="D225" r:id="rId_hyperlink_220" tooltip="脱硫储备槽爬梯踏板腐蚀严重，部分断裂。脱硫操作工在通过爬梯到达储备槽顶部时，因爬梯踏板腐蚀严重，承重不足，踏板断裂，操作人员跌落地面，造成小腿骨折，住院20天，修养40天，共损工60天"/>
    <hyperlink ref="D226" r:id="rId_hyperlink_221" tooltip="东硫铵结晶泵压力表长时间使用管道震动大导致压力表指针掉落，操作人员无法监控工艺数据，结晶泵管道堵塞导致结晶泵损坏"/>
    <hyperlink ref="D227" r:id="rId_hyperlink_222" tooltip="北脱硫西南角氨水泵电机护罩破损，螺栓掉落，如果操作工在擦拭设备时，脱落的电机护罩起不到防护作用，会让风扇翅子划伤手指，造成右手手指划伤，经医务室包扎后继续工作。，"/>
    <hyperlink ref="D228" r:id="rId_hyperlink_223" tooltip="管道阀门维修后未妥善处置保温铝皮，遇大风天气，铝皮掉落划伤一名巡检工左手！"/>
    <hyperlink ref="D229" r:id="rId_hyperlink_224" tooltip="4米高烟道上部遗落漆桶一个，大风导致漆桶掉落，砸伤一名巡检工头部、肩部"/>
    <hyperlink ref="D230" r:id="rId_hyperlink_225" tooltip="一名操作工巡检时，不慎掉入地沟，造成腿部骨折。"/>
    <hyperlink ref="D231" r:id="rId_hyperlink_226" tooltip="热水器与对讲机充电插座同在一个桌面上。如果水阀门关闭不严，导致充电插座下部有水，操作工充电时，电路短路，设备损坏，人员触电。"/>
    <hyperlink ref="D232" r:id="rId_hyperlink_227" tooltip="外来人员检查减温减压时，锅炉上层掉落杂物，砸中外来人员头部，造成外来人员昏迷。"/>
    <hyperlink ref="D233" r:id="rId_hyperlink_228" tooltip="液氨大槽紧急切段阀填料漏液氨，一名操作工在巡检液氨大槽时呼入高浓度汽氨，感到胸闷，剧烈咳嗽，送医院治疗住院一星期。出院复工"/>
    <hyperlink ref="D234" r:id="rId_hyperlink_229" tooltip="除盐水池四周无防护栏，人员操作或巡检时存在坠落危险，造成人员伤害"/>
    <hyperlink ref="D235" r:id="rId_hyperlink_230" tooltip="粗苯北系统富油槽废气回收改造完成后顶部螺栓未清理，如果一名操作工巡检经过富油槽时顶部螺栓掉落造成操作工脸部划伤，到医务室处理伤口后回家休息两天后能够正常上班"/>
    <hyperlink ref="D236" r:id="rId_hyperlink_231" tooltip="粗苯北系统贫油槽顶部放散管道拆除后未撤走，假如粗苯操作工在贫油槽附近清理卫生时，贫油槽顶部废弃的放散管从贫油槽顶部坠落致使一名操作工砸中头部，送医院抢救经医院抢救无效身亡"/>
    <hyperlink ref="D237" r:id="rId_hyperlink_232" tooltip="下段冷凝液罐平台腐蚀破损。如果一名操作工廵检时，不慎踩入破损处，造成腿部划伤，住院治疗。"/>
    <hyperlink ref="D238" r:id="rId_hyperlink_233" tooltip="东硫铵小母液泵电机后防护罩损坏变形，造成电机后降温风扇破损，无法起到降温效果。巡检人员未发现长时间使用会造成电机发热烧毁。"/>
    <hyperlink ref="D239" r:id="rId_hyperlink_234" tooltip="化工厂氨水储槽浓氨槽氨水取样阀乳胶管老化，一名操作工在取样时，氨水不慎溅入眼内，送医务室救治。"/>
    <hyperlink ref="D240" r:id="rId_hyperlink_235" tooltip="西硫铵地沟水泥盖板腐蚀，操作工晚上经过此处时没住意，不慎掉入地沟，造成左腿皮肤擦伤和骨折。"/>
    <hyperlink ref="D241" r:id="rId_hyperlink_236" tooltip="沉淀槽踏板腐蚀严重，部分断裂。脱硫操作人员在沉淀槽爬梯上时，爬梯踏板承重不足，忽然断裂，操作人员跌落地面，造成小腿骨折，住院治疗20天，修养40天"/>
    <hyperlink ref="D242" r:id="rId_hyperlink_237" tooltip="东冷凝澄清槽顶压焦油阀门处盖板缺失，如果一名操作工在压焦油时开阀门不慎左脚踩空，造成左小腿轻微划伤，不影响正常工作。"/>
    <hyperlink ref="D243" r:id="rId_hyperlink_238" tooltip="维修人员维修碱液泵，未按要求佩戴防护罩，以及防护手套，如果碱液泵拆卸过程中有碱液喷溅，会造成维修人员脸部被碱液灼伤红肿，上医务室处理后回家休养三天后复工，正常上班。"/>
    <hyperlink ref="D244" r:id="rId_hyperlink_239" tooltip="一吸氨巡检工在巡检至外供氨水泵出口管线处，氨水管线破漏氨水，氨水飞溅到眼睛里，马上送往医务室治疗。"/>
    <hyperlink ref="D245" r:id="rId_hyperlink_240" tooltip="维修人员在设备顶部更换法兰螺栓时，未佩戴安全带，用力紧固螺栓时，因用力过大，从高处设备上坠落，造成右小臂骨折，多处擦伤，送医院治疗。"/>
    <hyperlink ref="D246" r:id="rId_hyperlink_241" tooltip="阿特拉斯空压机供油温度高，操作工加降温水冷却，通知维修清洗油冷器后，冷却水管未及时收起，夜间操作工巡检时，由于视线不清，不慎被水管绊倒，造成脚踝扭伤，送医救治。"/>
    <hyperlink ref="D247" r:id="rId_hyperlink_242" tooltip="夜间操作工巡查2#压缩机时压缩机操作平台处黑皮管子，由于夜间光线差，操作工走到平台处时，不小心被平台处黑皮管线绊倒"/>
    <hyperlink ref="D248" r:id="rId_hyperlink_243" tooltip="东风机2号风机机体下液管爬梯处有一横管，现已废弃不用，如果一名操作工在上爬梯时，头部顶到横管上，致使人员滑落，造成操作工右脚腕扭伤，在家休养5天后正常上班"/>
    <hyperlink ref="D249" r:id="rId_hyperlink_244" tooltip="上班期间，一名操作工在巡检是走到气体分析仪时，听到有漏气声音，没有及时反应过来，造成一氧化碳中毒，另一名巡检人员及时发现，穿戴空气呼吸器将中毒人员转移到空气流畅地方并送医救治。"/>
    <hyperlink ref="D250" r:id="rId_hyperlink_245" tooltip="一名巡检工到2号废锅液位计处巡检发现法兰电传液位计垫子破蒸汽泄露通知维修，维修工维修时防护不当被蒸汽烫伤脸部送医院治疗"/>
    <hyperlink ref="D251" r:id="rId_hyperlink_246" tooltip="离心晶分池入口管线阀门泄露，一名操作工在夜间操作时因为光线暗，又没有佩戴防护镜导致泄露的氨水溅入眼中，导致眼睛灼伤，紧急清理后送医治疗一周。"/>
    <hyperlink ref="D252" r:id="rId_hyperlink_247" tooltip="操作工往液氧储槽排放液氧时发现取样阀垫子泄露，通知维修。维修工维修时因防护不当不慎被液氧冻伤右手，送医院简单治疗。"/>
    <hyperlink ref="D253" r:id="rId_hyperlink_248" tooltip="一名操作工在调节蒸汽阀门时，正对蒸汽连管倒淋，黑胶皮管由于未固定好，阀门开启过大过程中，导致黑胶皮管窜出，蒸汽喷出，人员躲避不及时，造成一名操作工小腿烫伤，住院治疗半月，休息半月。"/>
    <hyperlink ref="D254" r:id="rId_hyperlink_249" tooltip="鼓风机房屋后爬梯无警告标识，一名操作工爬梯时没引起注意，爬梯脚没踩稳下滑，手抓住扶手，引起手部手腕拉伤"/>
    <hyperlink ref="D255" r:id="rId_hyperlink_250" tooltip="叉车停车后未拉手刹，叉车司机在上车时突然溜车，压伤右脚拇指，送医院治疗。"/>
    <hyperlink ref="D256" r:id="rId_hyperlink_251" tooltip="化工厂2#压缩机电机基础侧有宽缝隙，未进行覆盖。如果压缩机巡检工对压缩机电机进行巡检时，脚不慎掉入该缝隙，造成崴伤脚腕，损工治疗。"/>
    <hyperlink ref="D257" r:id="rId_hyperlink_252" tooltip="分析人员使用硫酸后，把硫酸平放置在平台边沿，分析人员在做分析时不小心把硫酸瓶碰落到地面，硫酸瓶破裂溅出的硫酸落到了分析人员的双脚脚面上，紧急处置后送医务室治疗。"/>
    <hyperlink ref="D258" r:id="rId_hyperlink_253" tooltip="3#初冷器冲洗下液管的蒸汽阀门盘根漏蒸汽，一名操作工在开蒸汽冲洗下液管时如果手部防护措施不到位导致蒸汽把右手面烫伤，经医务室简单处理，正常工作。"/>
    <hyperlink ref="D259" r:id="rId_hyperlink_254" tooltip="2#废锅南侧过桥无扶手，在一个下雨的夜晚一名操作工在穿越过桥时，脚底打滑，由于没有扶手支撑身体，从过桥上跌落到地面。"/>
    <hyperlink ref="D260" r:id="rId_hyperlink_255" tooltip="5.5米推焦车检修推焦杆时，由于吊笼钢丝绳老化断裂，导致两名维修人员从5米的高处掉落到地面，造成重伤。"/>
    <hyperlink ref="D261" r:id="rId_hyperlink_256" tooltip="焦护栏因使用年限较长，腐蚀严重，造成人员摔伤"/>
    <hyperlink ref="D262" r:id="rId_hyperlink_257" tooltip="叉车充电室配电盒内电源线拆线后未用绝缘胶带包扎，叉车司机送电充电时碰触到裸露的电源线发生触电，漏电保护器动作跳闸，叉车司机及时脱离触电。"/>
    <hyperlink ref="D263" r:id="rId_hyperlink_258" tooltip="一侧窗户框缺失,玻璃裸露，操作人员在清理卫生时容易被裸露的玻璃割伤手部，经医务室包扎后继续工作，5日后康复，造成一人限工事故"/>
    <hyperlink ref="D264" r:id="rId_hyperlink_259" tooltip="4.3米焦炉脱硫脱硝风机联轴器护罩未复位，假如一名操作人员在设备运转时，靠近设备检查轴承温度，可能会造成手臂骨折，住院治疗30天"/>
    <hyperlink ref="D265" r:id="rId_hyperlink_260" tooltip="4.3米脱硫脱硝高压风机护栏及降温水管绑有多处铁丝，如果一名巡检工高速行走时不慎碰触铁丝，造成脸部被铁丝划伤，送医务室轻微包扎后恢复健康。"/>
    <hyperlink ref="D266" r:id="rId_hyperlink_261" tooltip="在操作过程中由于工具放置不牢一名操作工巡检时铁棒滑落将操作工脚面砸伤送院治疗"/>
    <hyperlink ref="D267" r:id="rId_hyperlink_262" tooltip="冰机操作工在停2号冰机期间，突然出口阀填料漏氨气，操作工当时感到胸闷，呼吸困难，立即跑到空气流畅地方休息片刻，并送医务室救治。"/>
    <hyperlink ref="D268" r:id="rId_hyperlink_263" tooltip="在操作过程中由于工具放置不牢一名操作工巡检时工具滑落将操作工脚面砸伤送院治疗"/>
    <hyperlink ref="D269" r:id="rId_hyperlink_264" tooltip="机侧集气管顶部压缩空气管线乱放，如果巡检人员经过不注意被绊倒面部着地导致鼻梁骨骨折，送医院治疗后回家休养15天。"/>
    <hyperlink ref="D270" r:id="rId_hyperlink_265" tooltip="一出炉工在夜间工作时，由于刮板机篦子缺陷造成右脚掉入正在运转的刮板机内受伤，及时送医治诊断为右脚骨折，住院1个月回家休息6个月后康复。"/>
    <hyperlink ref="D271" r:id="rId_hyperlink_266" tooltip="东侧空压机油滤器超时保养未及时修复报警停机，且西侧备用空压机故障无法开启，造成干熄焦系统仪表风压力低于0.4Mpa使气动阀无法远程控制，停炉检修五天，造成经济损失140万元。"/>
    <hyperlink ref="D272" r:id="rId_hyperlink_267" tooltip="通风管道开裂，一职工在通风管道下方打扫卫生时，被掉落的通风道砸伤，送医检查后肩胛骨骨折，住院10天，在家休养3个月。"/>
    <hyperlink ref="D273" r:id="rId_hyperlink_268" tooltip="一维修工检修高压风机时，违章攀爬没有检修平台和护栏防护的高压风机，不慎从2米高的高压风机底座顶部跌落蹲在地上不起，就医后检查腰椎受损。"/>
    <hyperlink ref="D274" r:id="rId_hyperlink_269" tooltip="5.5米熄焦塔墙皮破损，如果一名职工在熄焦塔下推车时，熄焦塔墙皮破裂碎块落下，正好砸到该职工脸上，造成脸部划伤。"/>
    <hyperlink ref="D275" r:id="rId_hyperlink_270" tooltip="电仪人员维修设备电源模块时如果未做好断电措施，可能发生人员手臂触电，须送医院救治"/>
    <hyperlink ref="D276" r:id="rId_hyperlink_271" tooltip="5.5米焦炉2名操作工，在除尘干管进行清理作业，高度5米，1人未系安全带，假如从管道边缘踩空坠落，可能会造成颈部着地，发生一人死亡事故"/>
    <hyperlink ref="D277" r:id="rId_hyperlink_272" tooltip="5.5米推焦车，一名外协人员，在无人监护，无本单位电工接电的情况下私自接电，不慎触电，造成一名外协人员触电死亡。"/>
    <hyperlink ref="D278" r:id="rId_hyperlink_273" tooltip="5.5米焦炉地下室废气油缸底座螺栓松动，导致油缸开闭行程过大，换向作业不到位，影响生产作业安全，造成重大设备安全事故"/>
    <hyperlink ref="D279" r:id="rId_hyperlink_274" tooltip="一名操作工在清理桥管过程中，未带防护面罩，加如压力不稳，造成面部烧伤，送医院治疗，轻微烧伤，休养10天。"/>
    <hyperlink ref="D280" r:id="rId_hyperlink_275" tooltip="脱铵二楼除尘器放水管过高，无过挢，无安全警示，一名脱硫巡检工在巡检时不慎被绊倒造成左胳膊前臂骨折，入院治疗。"/>
    <hyperlink ref="D281" r:id="rId_hyperlink_276" tooltip="空调冷凝水未引入排水沟造成地面打滑巡查人员摔倒受伤"/>
    <hyperlink ref="D282" r:id="rId_hyperlink_277" tooltip="一管道高出集气管操作平台20公分无防护和警示标识，一操作工夜间经过此处时不慎被绊倒，左手臂磕到顺水槽上造成骨折"/>
    <hyperlink ref="D283" r:id="rId_hyperlink_278" tooltip="熄焦道轨西侧水泥墙面剥离，若一操作工清扫卫生时，墙面恰巧掉落到右腿上划伤脚踝，经医务室包扎后休息10天，"/>
    <hyperlink ref="D284" r:id="rId_hyperlink_279" tooltip="20米高的彩钢瓦开裂松动未固定，受风力、震动等环境因素影响,造成彩钢瓦坠落，受高处坠落的冲击力，巡检人员从此经过砸到头部死亡。"/>
    <hyperlink ref="D285" r:id="rId_hyperlink_280" tooltip="筛焦楼地面环境除尘，电机平台因无防护栏，操作工在擦拭设备时，不慎从两米多高的平台跌落，造成小腿骨折，送医救治。"/>
    <hyperlink ref="D286" r:id="rId_hyperlink_281" tooltip="轴流风机管道破裂，造成当焦炉地下室煤气泄漏时无法正常排出室外"/>
    <hyperlink ref="D287" r:id="rId_hyperlink_282" tooltip="平台踏板不牢，巡检人员检查除尘喷吹情况时，脚底踏板开裂，巡检人员从5米平台坠落至地面。"/>
    <hyperlink ref="D288" r:id="rId_hyperlink_283" tooltip="南脱硫操作室门框铁片翘起一名操作工不小心可是会被拌倒，可能造成手腕扭伤。"/>
    <hyperlink ref="D289" r:id="rId_hyperlink_284" tooltip="碳化平台封头吊装作业过程中，电动葫芦开关未放置安全位置，控制开关被封头砸毁漏电，导致一拆装人员触电，送医院抢救无效死亡。"/>
    <hyperlink ref="D290" r:id="rId_hyperlink_285" tooltip="锅炉操作工使用完工具后因存放不规范，导致一名操作工在巡检时工具从高空坠落砸伤操作工左肩锁骨。"/>
    <hyperlink ref="D291" r:id="rId_hyperlink_286" tooltip="加药间絮凝剂泵药品溢出造成桥架内电缆腐蚀短路，设备停电，造成生产事故"/>
    <hyperlink ref="D292" r:id="rId_hyperlink_287" tooltip="热力老化水电源柜隔离刀闸灭弧罩缺失，在拉合过程中造成短路，使上一级开关跳闸，造成大面积停电"/>
    <hyperlink ref="D293" r:id="rId_hyperlink_288" tooltip="75T锅炉煤仓顶部引孔防护网未封盖，一巡检工巡查至此，可能发生坠落，导致右腿骨折，送医院就医，住院3个月，在家休养3个月，损工6个月"/>
    <hyperlink ref="D294" r:id="rId_hyperlink_289" tooltip="75t锅炉主给水管道漏水，水温102摄氏度，如果一名员工在此处打扫卫生不慎被热水烫伤胳膊，住院治疗10天，在家休养1个月恢复健康"/>
    <hyperlink ref="D295" r:id="rId_hyperlink_290" tooltip="照明箱内接线排未用绝缘板遮挡！易发生触电造成人员伤害"/>
    <hyperlink ref="D296" r:id="rId_hyperlink_291" tooltip="5.5米捣固挡风板破损严重，一名职工在巡检时被坠落的挡风板砸重头部，送医院医治无效，当场身亡。"/>
    <hyperlink ref="D297" r:id="rId_hyperlink_292" tooltip="稠厚器及离心机防水多处损坏"/>
    <hyperlink ref="D298" r:id="rId_hyperlink_293" tooltip="一捣固工在送完煤后清理托煤板，假如不慎脚下打滑掉入5米多深的煤箱内，恰巧头部着地。"/>
    <hyperlink ref="D299" r:id="rId_hyperlink_294" tooltip="粗苯管式炉煤气管道，未安装气动紧急切断阀，假如发生紧急停电煤气过低未及时处置，炉膛火焰回火可能引发煤气设备着火爆炸，造成爆炸附近五名人员被破片击中二人当场死亡三人重伤"/>
    <hyperlink ref="D300" r:id="rId_hyperlink_295" tooltip="浓水池溢水沟无盖板，一巡检工巡检至此左脚落入其内，导致左脚扭伤"/>
    <hyperlink ref="D301" r:id="rId_hyperlink_296" tooltip="75T锅炉北侧排水沟有一段未盖盖板，假如一名职工在巡查时由于该区域照明不良，致该操作工右腿误踏入下水道内，造成右小腿骨折，同事送医院进行治疗。"/>
    <hyperlink ref="D302" r:id="rId_hyperlink_297" tooltip="脱硫塔平台护拦上有保温铝皮，刮风时铝皮坠落正好落到1名巡检人员头上，巡检人员脸部被铝皮划伤。"/>
    <hyperlink ref="D303" r:id="rId_hyperlink_298" tooltip="脱硫塔平台护拦上有保温铝皮，刮风时铝皮坠落正好落到1名巡检人员头上，巡检人员脸部被铝皮划伤。"/>
    <hyperlink ref="D304" r:id="rId_hyperlink_299" tooltip="一名锅炉操作工在巡检到35t锅炉东门时，因疏水开度稍大，蒸汽将其左腿烫伤，需住院治疗。"/>
    <hyperlink ref="D305" r:id="rId_hyperlink_300" tooltip="拦焦车顶部无护栏，维修工到上面检维修作业时，一人不慎从4米多高的顶部跌落至三层平台，头部磕在槽钢横梁上，随即送医，抢救无效死亡"/>
    <hyperlink ref="D306" r:id="rId_hyperlink_301" tooltip="捣固仓底南墙彩钢瓦腐烂严重，一操作工在此处清理卫生时，从高处坠落的彩钢瓦砸中又肩，送医院检查又肩骨折，住院治疗1个月，休息1个月。"/>
    <hyperlink ref="D307" r:id="rId_hyperlink_302" tooltip="操作工在锅炉放灰管处放灰时，可能被喷溅出的高温炉灰烫伤"/>
    <hyperlink ref="D308" r:id="rId_hyperlink_303" tooltip="絮凝剂阻尼器漏液，由于操作工没有带护目镜，操作工在操作中絮凝剂药液溅入眼中。"/>
    <hyperlink ref="D309" r:id="rId_hyperlink_304" tooltip="二级槽排水管处封堵不严，一巡检工巡检至此，可能导致右脚扭伤，送医院就医，在家休养七天，损工七天"/>
    <hyperlink ref="D310" r:id="rId_hyperlink_305" tooltip="在10KV焦化4#线08开关柜停电检修过程中，无专人监护，若操作人员误操作将相邻开关柜09开关柜停电，造成日升公司加氢装置突然停电。"/>
    <hyperlink ref="D311" r:id="rId_hyperlink_306" tooltip="35T化学水除盐水箱平台无护栏，一名操作工开关阀门时不慎踩空跌落摔伤，造成全身多处骨折。"/>
    <hyperlink ref="D312" r:id="rId_hyperlink_307" tooltip="由于阀门切换处无平台一名锅炉操作人员去切换阀门时一只脚踩空伤造成左腿被管架划伤需到医院治疗"/>
    <hyperlink ref="D313" r:id="rId_hyperlink_308" tooltip="硫铵二楼北侧平台无护栏，无安全警示，一名硫铵操作工在清理振动筛时，不慎从平台上坠落，造成左腿骨折。"/>
    <hyperlink ref="D314" r:id="rId_hyperlink_309" tooltip="硫铵二楼桭动筛北侧观察口无护拦，一操作工在清理桭动筛时，不慎人从平台掉落，造成右脚损伤，住院治疗，损工一周！"/>
    <hyperlink ref="D315" r:id="rId_hyperlink_310" tooltip="作业人员巡检时发现絮凝剂阻尼器破损漏液"/>
    <hyperlink ref="D316" r:id="rId_hyperlink_311" tooltip="深井外供管线上方有一段保温铝皮脱落，人员巡检时路过，可能被掉落的铝皮划伤脖子，去医务室处理后继续上班"/>
    <hyperlink ref="D317" r:id="rId_hyperlink_312" tooltip="75T给水管道阀门垫子损坏，造成热水喷溅，一名操作工在夜间巡检值此，可能烫伤右小腿，送医院治疗一周康复。"/>
    <hyperlink ref="D318" r:id="rId_hyperlink_313" tooltip="氨水输送泵回流管法兰处泄露，发现不及时极易造成人员伤害与环境污染。造成一巡检人员眼部灼伤，送医治疗损工7天。"/>
    <hyperlink ref="D319" r:id="rId_hyperlink_314" tooltip="电缆没有规范架起或者埋设"/>
    <hyperlink ref="D320" r:id="rId_hyperlink_315" tooltip="操作工在巡检时发现阻垢剂管线漏液，走近观察漏液具体部位，由于没有佩戴护目镜，药液溅入眼中"/>
    <hyperlink ref="D321" r:id="rId_hyperlink_316" tooltip="75吨平台压力变送器导压管腐蚀严重漏蒸汽"/>
    <hyperlink ref="D322" r:id="rId_hyperlink_317" tooltip="操作工在给水封抽水时不小心滑倒跌入池中"/>
    <hyperlink ref="D323" r:id="rId_hyperlink_318" tooltip="操作人员打开人孔时，因平台间隙过大不慎坠落，造成腿部骨折"/>
    <hyperlink ref="D324" r:id="rId_hyperlink_319" tooltip="5.5米熄焦塔高十五米，一员工在地面扫地时，塔内砖块松动坠落，砸中其肩部，造成肩胛骨粉碎性骨折，送急诊手术治疗，修养一年，鉴定五级伤残。"/>
    <hyperlink ref="D325" r:id="rId_hyperlink_320" tooltip="拦焦岗位塌焦，在清理红焦时不慎将红焦落在对面人员的身上，造成右半身灼伤，及时送医治疗，造成右半身轻度灼伤，在医治疗一周后回家休养十五天。"/>
    <hyperlink ref="D326" r:id="rId_hyperlink_321" tooltip="排水沟盖板破损造成巡检人员脚部擦伤"/>
    <hyperlink ref="D327" r:id="rId_hyperlink_322" tooltip="操作人员调节阀门时因与平台间隙过大，不慎踩空掉落造成腿部肌肉拉伤。"/>
    <hyperlink ref="D328" r:id="rId_hyperlink_323" tooltip="一名巡检工巡检循环水泵，下楼梯时被抽水的管线绊倒，造成手部受伤。"/>
    <hyperlink ref="D329" r:id="rId_hyperlink_324" tooltip="一名维修工维修油站顶部阀门上下油站时踏空造成腿部摔伤"/>
    <hyperlink ref="D330" r:id="rId_hyperlink_325" tooltip="75t锅炉输水管漏蒸汽，一巡检工巡检至此，可能造成手部烫伤，送医院就医后，在家休养3天，损工3天"/>
    <hyperlink ref="D331" r:id="rId_hyperlink_326" tooltip="操作工在加药时，踩在往南第二块盖板时，由于盖板腐蚀严重破损，致使操作工摔伤，住院治疗。"/>
    <hyperlink ref="D332" r:id="rId_hyperlink_327" tooltip="2#循环泵处电缆杂乱，容易造成巡检人员绊倒，需截裁处理"/>
    <hyperlink ref="D333" r:id="rId_hyperlink_328" tooltip="5米5焦炉通廊机侧52#开闭器上方平台腐蚀脱落，假若一名职工清理通廊卫生时，被脱落的腐蚀物砸伤右肩，造成肩部骨折。"/>
    <hyperlink ref="D334" r:id="rId_hyperlink_329" tooltip="深度脱硫放硫磺管道蒸汽加热管外漏，假设一名操作工在放硫磺时未及时发现身后的蒸汽管道，造成手臂烫伤，送往医院进行治疗，在家休养七天后复工。"/>
    <hyperlink ref="D335" r:id="rId_hyperlink_330" tooltip="焦测通廊东墙水泥砖破损，一操作工巡检经过时，不慎被掉落的水泥砖砸伤左脚，造成左脚脚踝骨折，住院治疗1月，休养1月。"/>
    <hyperlink ref="D336" r:id="rId_hyperlink_331" tooltip="天车平台护拦出现裂缝，"/>
    <hyperlink ref="D337" r:id="rId_hyperlink_332" tooltip="一职工在巡检时，因下雨后也面有积水不慎摔倒，导致右脸受轻微伤，到医务室简单冶疗，不影响上班。"/>
    <hyperlink ref="D338" r:id="rId_hyperlink_333" tooltip="输煤3号皮带机机尾有一段末按装防护栏，一名操作工在巡查时右胳膊被皮带机托辊卷入，造成右臂骨折，住院治疗一个月，在家休养两个月的损工事故。"/>
    <hyperlink ref="D339" r:id="rId_hyperlink_334" tooltip="盖板处间隙过大"/>
    <hyperlink ref="D340" r:id="rId_hyperlink_335" tooltip="脱硫箱水封槽观察口铁板未盖严，如果夜间视线模糊操作工巡检时右脚踩空铁板磕到造成膝盖擦伤，送卫生室处理包扎后在家休息三天复工"/>
    <hyperlink ref="D341" r:id="rId_hyperlink_336" tooltip="南冷凝操作室外工具摆放处F扳手用完未摆放到位，巡检工走到此处被倒落的扳手砸中脚部轻微骨折，送医院治疗三天出院在家休养20天复工"/>
    <hyperlink ref="D342" r:id="rId_hyperlink_337" tooltip="电缆仪表线路因无盖下雨时进雨水，使电线老化漏电，造成锅炉压火停炉"/>
    <hyperlink ref="D343" r:id="rId_hyperlink_338" tooltip="西三护栏有一套管丢失，在工作时划伤，人员受伤"/>
    <hyperlink ref="D344" r:id="rId_hyperlink_339" tooltip="西一机头吊装孔处铁板腐蚀严重，如果人员不小心踩到腐蚀严重的铁板上高处坠落造成人身伤害事故。"/>
    <hyperlink ref="D345" r:id="rId_hyperlink_340" tooltip="新化学水杀菌剂出口阀门漏液，由于操作工没有带护目镜，在操作时，杀菌剂药液从阀门处喷出溅入眼中，送医院治疗。"/>
    <hyperlink ref="D346" r:id="rId_hyperlink_341" tooltip="输煤系统天车操作室防护玻璃破损，一名操作工在抓煤时不小心从天车破损玻璃处摔到地面当场死亡事故。"/>
    <hyperlink ref="D347" r:id="rId_hyperlink_342" tooltip="新化学水操作室配电室后地板砖断裂巡检时不慎掉落"/>
    <hyperlink ref="D348" r:id="rId_hyperlink_343" tooltip="新化学水北门往盐酸罐罐盐酸时因没平台踩在护栏上不慎掉落"/>
    <hyperlink ref="D349" r:id="rId_hyperlink_344" tooltip="一操作工巡检时在没有安全提示防护处拌倒胳膊扭伤"/>
    <hyperlink ref="D350" r:id="rId_hyperlink_345" tooltip="75吨锅炉水封放水池盖板缺失，无安全警示，一名夜班锅炉巡检工在给水封放水时，由于视线不好，不慎掉入水池内，造成右腿小腿骨折，多处软组织损伤。"/>
    <hyperlink ref="D351" r:id="rId_hyperlink_346" tooltip="煤场天车驾驶室玻璃缺失，一名操作工在夜间驾驶天车抓煤时，由于视线不好，一脚踩空，掉入下方煤堆上，造成脚部扭伤，被同事架到操作室休息一小时，后复工。"/>
    <hyperlink ref="D352" r:id="rId_hyperlink_347" tooltip="除尘烟道部分支架开焊，一名巡检工巡检时从下方经过，开焊的支架斜撑掉落，砸伤肩部，造成肩部骨折。"/>
    <hyperlink ref="D353" r:id="rId_hyperlink_348" tooltip="电容室内一铁板依靠在静止的轴流风扇上，一操作工巡检时碰到砸伤脚面，医务室包扎处理，回家休息三天。"/>
    <hyperlink ref="D354" r:id="rId_hyperlink_349" tooltip="热力西区发电机小室南更换后的电动阀门未及时撤走，如果中夜班巡检人员巡检至此处会被电动阀门绊倒，腿部擦伤简单处理后继续工作"/>
    <hyperlink ref="D355" r:id="rId_hyperlink_350" tooltip="热力车间硫铵三楼离心机围堰离设备太近，并且腐蚀严重，开离心机时，脱硫液会溅到外面，既浪费脱硫液，又造成卫生不干净。"/>
    <hyperlink ref="D356" r:id="rId_hyperlink_351" tooltip="有一操作工在夜间巡检35t锅炉时不慎被拌倒，造成左膝摔伤。"/>
    <hyperlink ref="D357" r:id="rId_hyperlink_352" tooltip="接线盒盖子松动掉落，巡检时容易发生触电事故。"/>
    <hyperlink ref="D358" r:id="rId_hyperlink_353" tooltip="75t锅炉一层空气管摆放混乱，一名操作工夜间巡检时不慎绊倒造成鼻梁骨折，需住院治疗"/>
    <hyperlink ref="D359" r:id="rId_hyperlink_354" tooltip="1#脱硝氨水泵压力表阀垫子漏氨水。1名巡检人员在巡检时氨水溅入眼中，造成眼睛灼伤，用大量清水冲洗后就医,误工2天。"/>
    <hyperlink ref="D360" r:id="rId_hyperlink_355" tooltip="两冷灰机之间与地沟北沿无护栏，如果职工在此作业，有掉入地沟的可能。造成人身伤害事故。"/>
    <hyperlink ref="D361" r:id="rId_hyperlink_356" tooltip="由于盖板缺失一名汽轮机操作工巡检时，左腿不慎掉入电缆沟内造成左小腿骨折，需住院治疗。"/>
    <hyperlink ref="D362" r:id="rId_hyperlink_357" tooltip="由于铁板高于水沟盖板，一名操作工在打扫卫生时，不慎被高出铁板绊倒造成左腿膝盖骨折，需住院治疗。"/>
    <hyperlink ref="D363" r:id="rId_hyperlink_358" tooltip="东区配电室内用来踩着抄表的木凳子，因年久老旧，各处榫卯活动且损坏严重，已极不稳固，人员在踩上去时极有可能摔倒，造成右手扭伤，去医务室处理后，回家休息三天复工。"/>
    <hyperlink ref="D364" r:id="rId_hyperlink_359" tooltip="热力车间75T锅炉除氧层吊装井口末按装防护栏，一名员工在吊装货物时不小心从井口处掉下(离地面13.5m)当场死亡"/>
    <hyperlink ref="D365" r:id="rId_hyperlink_360" tooltip="一操作工在操作时未戴护目镜，杀菌剂喷入眼中"/>
    <hyperlink ref="D366" r:id="rId_hyperlink_361" tooltip="新化学水操作室配电室后盖板断裂"/>
    <hyperlink ref="D367" r:id="rId_hyperlink_362" tooltip="汽机一楼油箱上部墙体框架上部遗落铁棍一根，操作工巡检从底部经过时铁棍掉落砸伤左肩送医救治"/>
    <hyperlink ref="D368" r:id="rId_hyperlink_363" tooltip="管线固定支架开焊与坠落"/>
    <hyperlink ref="D369" r:id="rId_hyperlink_364" tooltip="天车爬梯护拦开焊"/>
    <hyperlink ref="D370" r:id="rId_hyperlink_365" tooltip="锅炉操作工在给煤机上方投煤时，从梯子上摔下，受伤住院治疗。"/>
    <hyperlink ref="D371" r:id="rId_hyperlink_366" tooltip="一名操作工巡检过程中因污水反渗透产水管漏水导致地面有积水，摔倒"/>
    <hyperlink ref="D372" r:id="rId_hyperlink_367" tooltip="行车抱闸松动导致乱绳爪斗坠落！"/>
    <hyperlink ref="D373" r:id="rId_hyperlink_368" tooltip="行车抱闸松动导致乱绳爪斗坠落！"/>
    <hyperlink ref="D374" r:id="rId_hyperlink_369" tooltip="行车抱闸松动导致乱绳爪斗坠落！"/>
    <hyperlink ref="D375" r:id="rId_hyperlink_370" tooltip="一名巡检工在巡检时，不小心掉入电缆沟中，造成腿部受伤。"/>
    <hyperlink ref="D376" r:id="rId_hyperlink_371" tooltip="两盐操作室照明开关未固定，可能造成一人员在开关时因辨识缺陷触碰到电源线，造成该操作工触电"/>
    <hyperlink ref="D377" r:id="rId_hyperlink_372" tooltip="西硫铵配电室外接电源电缆杂乱，使用后未及时拆除，夜班时一名巡检工经过被绊倒，造成手部骨折！"/>
    <hyperlink ref="D378" r:id="rId_hyperlink_373" tooltip="化学水操作室地板破裂，一维修工在维修设备时，可能导致右脚扭伤，送医院就医，在家休养7天，损工7天"/>
    <hyperlink ref="D379" r:id="rId_hyperlink_374" tooltip="中班一名操作工天黑送照明灯时，手碰触到照明配电箱裸露的接线处，因触电倒地及时脱离，除感觉浑身乏力外，未造成大的伤害。"/>
    <hyperlink ref="D380" r:id="rId_hyperlink_375" tooltip="照明箱内接线排未用绝缘板防护"/>
    <hyperlink ref="D381" r:id="rId_hyperlink_376" tooltip="操作工巡检时经过除盐水池东头，有一爬梯支撑架将左手臂划伤。"/>
    <hyperlink ref="D382" r:id="rId_hyperlink_377" tooltip="5.5米焦炉封堵上升管水封的水管阀门保温层破损，无法起到保温作用。假如天气寒冷时阀门冻住，无法给上升管水封供水，将冒大烟造成环保事故。"/>
    <hyperlink ref="D383" r:id="rId_hyperlink_378" tooltip="焦炉交换系统焦侧开闭器辅助轮支架锈蚀严重，若断落致使燃烧系统无法正常工作，造成烟囱冒烟的环保事故公司通报。"/>
    <hyperlink ref="D384" r:id="rId_hyperlink_379" tooltip="氨水阀门离地3米没设爬梯"/>
    <hyperlink ref="D385" r:id="rId_hyperlink_380" tooltip="硫铵二楼振动筛西北侧平台过小，无护栏，一名硫铵操作工在清理振动筛时，不慎从平台上坠落造成右胳膊小臂骨折。"/>
    <hyperlink ref="D386" r:id="rId_hyperlink_381" tooltip="蒸汽管线疏水伐盖板缺失"/>
    <hyperlink ref="D387" r:id="rId_hyperlink_382" tooltip="南化产水封槽北侧一电缆套管腐蚀严重，底部断开。如果操作工发现处理不及时，电缆被套管划破，造成操作工触电，送往医院抢救无效死亡。"/>
    <hyperlink ref="D388" r:id="rId_hyperlink_383" tooltip="操作工在巡检时发现阻垢剂管线法兰处喷液，走近管线喷液部位，由于没有戴护目镜，药液溅入眼内，送医院治疗。"/>
    <hyperlink ref="D389" r:id="rId_hyperlink_384" tooltip="粗苯西南角爬梯护笼开焊，如果操作人员在上下爬梯时不注意被开焊的护笼划伤后背"/>
    <hyperlink ref="D390" r:id="rId_hyperlink_385" tooltip="旋转密封阀南北两侧爬梯未安装护栏，巡检人员下行时，右脚踩空摔落至地面，造成右手手腕轻微骨折，送医治疗。"/>
    <hyperlink ref="D391" r:id="rId_hyperlink_386" tooltip="4#减温减压爬梯无护栏，一操作人员从爬梯跨越管道时，左脚踩空，无护栏遮挡，从0.5米高爬梯跌落到地面，左脚脚踝扭伤，左小臂擦伤。"/>
    <hyperlink ref="D392" r:id="rId_hyperlink_387" tooltip="汽轮机七米新装爬梯踏板光滑，巡检人员下爬梯时，由于爬梯缺少防滑条，人员脚底打滑，滑落至地面，送医治疗。"/>
    <hyperlink ref="D393" r:id="rId_hyperlink_388" tooltip="蒸氨废水槽顶部人孔处有未清理的废空油桶，假如巡检工在下部作业时遇大风天气会被废空油桶砸伤背部，造成轻微骨折，住院治疗一个月出院在家休养一个月。"/>
    <hyperlink ref="D394" r:id="rId_hyperlink_389" tooltip="南冷凝焦油泵出口阀门外包铝皮破损，如果操作工开关阀门时会被破损铝皮划伤手腕，送卫生室简单包扎不影响工作。"/>
    <hyperlink ref="D395" r:id="rId_hyperlink_390" tooltip="新化学水加药间浓水排污管线盖板缺失"/>
    <hyperlink ref="D396" r:id="rId_hyperlink_391" tooltip="脱硫地沟盖板损坏，夜间1人在巡检时右脚不小心采在损坏的盖板上，右脚陷入地沟被盖板划伤。到医院包扎损工半天。"/>
    <hyperlink ref="D397" r:id="rId_hyperlink_392" tooltip="干熄焦主控室防静电皮子破裂，操作工行走时打滑，造成右脚扭伤，送医救治，在家休养7天，损工7天"/>
    <hyperlink ref="D398" r:id="rId_hyperlink_393" tooltip="煤厂水沟盖板损坏，夜间1人在巡检时右脚不小心采在损坏的盖板上，右脚陷入水沟被盖板划伤。到医院包扎损工半天"/>
    <hyperlink ref="D399" r:id="rId_hyperlink_394" tooltip="一名操作工需要到管架开关阀门时，由于爬梯支架断裂造成操作工坠落。"/>
    <hyperlink ref="D400" r:id="rId_hyperlink_395" tooltip="一名员工在一号冷灰机放灰时大量炉灰喷溅躲闪及时未造成人员伤害"/>
    <hyperlink ref="D401" r:id="rId_hyperlink_396" tooltip="液下泵蒸汽阀门垫子坏，蒸汽外漏。如果操作工在开阀门时被喷出蒸汽烫伤左手臂，去医务室简单处理后正常上班"/>
    <hyperlink ref="D402" r:id="rId_hyperlink_397" tooltip="维修工在结晶槽顶工作时，不小心扳手滑落砸到一名巡检工肩膀，住院治疗7天，损工一月"/>
    <hyperlink ref="D403" r:id="rId_hyperlink_398" tooltip="一外协人员在南脱硫南框架上，紧固螺栓，因安全带未规范使用（高挂低用 ），在紧固螺栓时，因用力过猛滑扳，导致脚下站立不稳滑倒，被安全带勒伤腰部，送医治疗三天。休息五天上班。"/>
    <hyperlink ref="D404" r:id="rId_hyperlink_399" tooltip="75T锅炉渣库爬梯未加防滑钢筋，一名操作工在爬爬梯准备放渣时，由于雨天爬梯湿滑不小心从爬梯处滑下，造成左臂和左小腿骨折，同事送医院治疗。"/>
    <hyperlink ref="D405" r:id="rId_hyperlink_400" tooltip="一维修工在修理絮凝剂加药管时药液喷出，溅入眼中"/>
    <hyperlink ref="D406" r:id="rId_hyperlink_401" tooltip="二楼离心机下液管法兰垫子破损，当操作工开机出料时，下液管中母液从破损处喷溅，造成眼部轻度灼伤，送医治疗，损工7天。"/>
    <hyperlink ref="D407" r:id="rId_hyperlink_402" tooltip="南脱硫循环槽上部人孔处，用于气体置换的轴流风扇电缆接头破损，如果遇到雷雨天气，电缆接头遇水连电，造成一名正在循环槽巡检的操作人员触电休克，送医治疗一周后康复。"/>
    <hyperlink ref="D408" r:id="rId_hyperlink_403" tooltip="一名操作工在巡检时，不慎被乱放的电缆架盖板给绊倒，造成右手前臂骨折。"/>
    <hyperlink ref="D409" r:id="rId_hyperlink_404" tooltip="一员工夜间巡检时，不慎被梯子拌倒，面部着地，碰掉门牙一颗，住院治疗IO天。"/>
    <hyperlink ref="D410" r:id="rId_hyperlink_405" tooltip="脱硫循环水池地沟盖板腐蚀严重，人员在巡检时不小心可能踩空，磕伤右脚，去医务室处理，不影响正常上班！"/>
    <hyperlink ref="D411" r:id="rId_hyperlink_406" tooltip="危废库北库房内220∨照明灯连接管处断裂，线头外露。如果一名操作工在进入库房内开灯时可能引起灯头处电线短路，造成人员触电死亡。"/>
    <hyperlink ref="D412" r:id="rId_hyperlink_407" tooltip="污水超滤处管线断裂，操作人员没有及时发现，超滤设备无法开启"/>
    <hyperlink ref="D413" r:id="rId_hyperlink_408" tooltip="北脱硫泵房内设备拆除后北门口路面所用障碍物未及时清理，一但巡检人员经过不慎被障碍物拌倒造成左手臂轻微擦伤，送医务室简单处理后后正常工作"/>
    <hyperlink ref="D414" r:id="rId_hyperlink_409" tooltip="南冷凝液下泵电机有噪音，振动异常，如果长时间震动，就会造成联轴器损坏，烧毁电机，财产损失价值五万"/>
    <hyperlink ref="D415" r:id="rId_hyperlink_410" tooltip="渣库爬梯未设警示牌，职工在攀登时，不慎脚下打滑摔倒，造成手臂轻微擦伤，到医务室敷药后继续上岗作业。"/>
    <hyperlink ref="D416" r:id="rId_hyperlink_411" tooltip="水沟盖板断裂，一名员工在夜间巡查时不小心掉入水沟，造成腿部轻微伤，送医包扎后继续上岗。"/>
    <hyperlink ref="D417" r:id="rId_hyperlink_412" tooltip="西一斜桥中部一护栏开焊，一旦操作工在操作时易造成人员挤伤！"/>
    <hyperlink ref="D418" r:id="rId_hyperlink_413" tooltip="煤场西南角污水管线连接处螺栓脱落，造成污水外漏，一旦污水流入外部，将造成环境污染。"/>
    <hyperlink ref="D419" r:id="rId_hyperlink_414" tooltip="热力车间西北角地沟盖板未盖严，一操作工在巡检时，不小心掉入地沟，小腿磕破皮，去医务室包札。"/>
    <hyperlink ref="D420" r:id="rId_hyperlink_415" tooltip="两盐切片机电机风扇罩腐蚀严重，假如一名有异物进入导致扇叶破碎，可能导致一名操作工被破片击伤面部"/>
    <hyperlink ref="D421" r:id="rId_hyperlink_416" tooltip="浓水地沟盖板破损，一名巡检工巡检时，将盖板踩破掉入排水沟，扭伤脚腕划伤小腿"/>
    <hyperlink ref="D422" r:id="rId_hyperlink_417" tooltip="焦四机头滚筒联轴器无护罩，未设警示标志。设备运转时，一操作人员清扫该设备，右前臂不慎被击伤，造成右前臂骨折，住院治疗90天。"/>
    <hyperlink ref="D423" r:id="rId_hyperlink_418" tooltip="阻垢剂计量泵漏液腐蚀计量泵"/>
    <hyperlink ref="D424" r:id="rId_hyperlink_419" tooltip="机侧二层平台南部地面破裂，一旦一名工作人员在清理卫生时地面塌陷，将会造成一人坠落死亡"/>
    <hyperlink ref="D425" r:id="rId_hyperlink_420" tooltip="东一垃圾桶摆放在道路中央，一职工途经时，一旦不慎被绊倒，会导致手臂轻微擦伤，到医务室敷药后继续上岗作业。"/>
    <hyperlink ref="D426" r:id="rId_hyperlink_421" tooltip="导烟车1号机爪油缸长期使用，油封老化无法使用，造成装煤作业时机侧冒烟的环保事故被集团公司通报"/>
    <hyperlink ref="D427" r:id="rId_hyperlink_422" tooltip="两盐分离器附近的轴流风扇无安全护罩，如果一名操作工在带电运转时移动该风扇时，有可能会被气流把手臂吸进风扇内造成右手粉碎性骨折最后截肢，损工半年。"/>
    <hyperlink ref="D428" r:id="rId_hyperlink_423" tooltip="脱硫塔控制电源箱防雨罩脱落，容易造成雨水进入配电盘，造成电器短路，导致脱硫工段停止运行"/>
    <hyperlink ref="D429" r:id="rId_hyperlink_424" tooltip="5.5米机侧煤气水封未用彩钢瓦封堵，一旦工作人员在抽水作业时，会出现煤气中毒事故"/>
    <hyperlink ref="D430" r:id="rId_hyperlink_425" tooltip="南冷凝1#高压氨水泵压力不稳定，装煤时压力波动大，有时显示负数，加完煤后，变频、压力降不下来。假如操作人员发现不及时，可能会造成高压泵机封泄漏影响生产，焦炉冒烟环境污染事故，集团公司通报批评！"/>
    <hyperlink ref="D431" r:id="rId_hyperlink_426" tooltip="南冷凝现场杂物摆放不规范，导致夜班一名巡检人员，脚踝划伤，去医务室处理后正常上班"/>
    <hyperlink ref="D432" r:id="rId_hyperlink_427" tooltip="西三岗位卸料车包闸护罩开焊，一旦包闸脱落，会造成人员挤伤。"/>
    <hyperlink ref="D433" r:id="rId_hyperlink_428" tooltip="因排污管线未保温，一名操作工开关排污阀门时，被排污管线烫伤手背。"/>
    <hyperlink ref="D434" r:id="rId_hyperlink_429" tooltip="一名操作人员在经过初冷器南花砖路时，不慎踏入破损的地沟盖板，导致右腿多处擦伤，去医务室简单包扎后返工"/>
    <hyperlink ref="D435" r:id="rId_hyperlink_430" tooltip="干熄车余煤箱漏煤粉，一名操作工在底部清理卫生时，煤粉落入眼睛，眼部红肿，去医务室清洗用药休息一天后复工。"/>
    <hyperlink ref="D436" r:id="rId_hyperlink_431" tooltip="炉顶北侧旋臂吊处，围栏照明线脱落，在吊装过程中把已脱落的照明线挂断，造成人员触电，送往医院救治及时，人员需修养"/>
    <hyperlink ref="D437" r:id="rId_hyperlink_432" tooltip="西五通廊机头建筑胎板固定不牢，容易脱落"/>
    <hyperlink ref="D438" r:id="rId_hyperlink_433" tooltip="加装煤气管道盲板阀"/>
    <hyperlink ref="D439" r:id="rId_hyperlink_434" tooltip="焦侧通廊东墙水泥砖破损，一操作工巡检经过时 ，不慎被掉落的水泥砖砸伤左脚脚踝骨折。住院治疗1月，休养1月。"/>
    <hyperlink ref="D440" r:id="rId_hyperlink_435" tooltip="焦侧通廊东墙水泥砖破损，一操作工巡检时，不慎被掉落的水泥砖砸伤左脚，造成左脚脚踝骨折，住院治疗1月，休养1月。"/>
    <hyperlink ref="D441" r:id="rId_hyperlink_436" tooltip="西四环形带磨损严重，如继续使用，一旦皮带破损断裂，会导致非正常停车，影响生产，经济损失2000元。"/>
    <hyperlink ref="D442" r:id="rId_hyperlink_437" tooltip="3#初冷器上段高温氨水管道腐蚀严重，一名操作工在冲洗初冷器时，可能会被管道腐蚀处漏出的高温氨水喷到面部，造成面部烫伤，送往医院治疗，在医院观察两天，回家修养十三天，损工十五天"/>
    <hyperlink ref="D443" r:id="rId_hyperlink_438" tooltip="冷凝液循环槽放空管腐蚀严重，底漏造成环境污染，车间影响，当天已整改。"/>
    <hyperlink ref="D444" r:id="rId_hyperlink_439" tooltip="5.5米焦炉送煤车一号刮板机机头箱体多年使用变形严重，盖板盖不到位。一职工在清理余煤残焦时盖板翻落，躲避不及掉入运动的链条中，两脚掌当场被绞断，造成终身残废。"/>
    <hyperlink ref="D445" r:id="rId_hyperlink_440" tooltip="煤八后尾小井篦子未盖严，一职工在清理卫生时，一旦踩蹭篦子，将滑落小井，造成小腿擦伤，消毒处理后继续工作"/>
    <hyperlink ref="D446" r:id="rId_hyperlink_441" tooltip="煤棚西北角处篦子一块突出，一旦职工经过，将会被绊倒，造成手掌膝盖擦伤，消毒处理后继续工作。"/>
    <hyperlink ref="D447" r:id="rId_hyperlink_442" tooltip="2#料煤场料口处钢筋翘起，一旦职工路过，将会被绊倒，造成膝盖擦伤，消毒处理后继续工作。"/>
    <hyperlink ref="D448" r:id="rId_hyperlink_443" tooltip="锅炉操作工放灰时，西侧放灰管突然喷出红灰，喷到操作工身上，致使烫伤住院"/>
    <hyperlink ref="D449" r:id="rId_hyperlink_444" tooltip="脱硫塔中部人孔处，在检修挖塔内费料时，将边上护栏打开，往下放料，完工后未恢复，一操作工在上去检查时，不小心从护栏处摔下，造成重伤，住院治疗，休工一年。"/>
    <hyperlink ref="D450" r:id="rId_hyperlink_445" tooltip="夜晚巡查人员不小心掉进下水道中造成伤害"/>
    <hyperlink ref="D451" r:id="rId_hyperlink_446" tooltip="脱硫塔中部人孔处平台上有一铁管，没有固定牢，一操作工在下边打扫卫生时，铁管突然坠落，砸饬员工，住院治治疗，损工一月。"/>
    <hyperlink ref="D452" r:id="rId_hyperlink_447" tooltip="35t锅炉顶部电缆桥架无盖板离蒸汽管线太近，电缆受热易导致电缆受损造成停电，导致停炉"/>
    <hyperlink ref="D453" r:id="rId_hyperlink_448" tooltip="75吨锅炉下降管保温铝皮破损。一名操作工巡检至此处，由于风大，铝皮刮落砸到肩部，被同事送至医务室简单处理外伤，休息一天后复工。"/>
    <hyperlink ref="D454" r:id="rId_hyperlink_449" tooltip="送煤车辆从北门进入煤场卸煤时因煤棚门口没有限高牌对煤棚门口高度估计不足造成刮坏煤棚经济损失一万元"/>
    <hyperlink ref="D455" r:id="rId_hyperlink_450" tooltip="东冷凝澄清槽爬梯因拆除一侧设备，导致爬梯一侧护栏损坏缺失，一名拆除人员在作业过程中如果坠落，头部着地死亡。"/>
    <hyperlink ref="D456" r:id="rId_hyperlink_451" tooltip="托棍轴承磨损坏，皮带跑偏，一旦造成皮带撕裂，损失1万余元"/>
    <hyperlink ref="D457" r:id="rId_hyperlink_452" tooltip="西硫铵工段东饱和器管架蒸汽管道保温铝皮脱落，如果在大风天气人员从此处经过可能被掉落的铝皮轻微划伤脸部简单包扎后能正常工作"/>
    <hyperlink ref="D458" r:id="rId_hyperlink_453" tooltip="老化学水车间西门口开蒸气倒淋阀时不慎烫伤"/>
    <hyperlink ref="D459" r:id="rId_hyperlink_454" tooltip="夜班一名锅炉操作工去开左侧分离器根部疏水阀门时由于平台踏板弯曲操作工不慎绊倒，造成下颚骨折，需住院治疗。"/>
    <hyperlink ref="D460" r:id="rId_hyperlink_455" tooltip="EDI进水软管老化破裂导致产水不足，影响锅炉运行，可能造成财产损失"/>
    <hyperlink ref="D461" r:id="rId_hyperlink_456" tooltip="一名操作工操作上下爬梯时，没有引起重视，脚底打滑不慎跌倒，造成小腿磕伤破皮渗血，医务室包扎后损工一天"/>
    <hyperlink ref="D462" r:id="rId_hyperlink_457" tooltip="新化学水加药间加盐酸时不慎灼伤皮肤"/>
    <hyperlink ref="D463" r:id="rId_hyperlink_458" tooltip="西五通廊南侧彩钢瓦包边脱落，一旦不及时清理容易造成人员砸伤，划伤"/>
    <hyperlink ref="D464" r:id="rId_hyperlink_459" tooltip="机侧炉门修理站备用炉门未打安全销，炉门意外掉落，砸伤了一名在此打扫卫生的员工，立既送往医院就诊，经抢救无效死亡"/>
    <hyperlink ref="D465" r:id="rId_hyperlink_460" tooltip="焦侧33号上升管水封破损，装煤时集气管压力高水封漏水严重出现水封内无水导致上升管无法被封堵被荒煤气顶开时恰巧有一人经过此处被点燃的煤气烧到脸部，后送医治疗，住院两个月康复复工，但脸部无法恢复原来样子。"/>
    <hyperlink ref="D466" r:id="rId_hyperlink_461" tooltip="2号带机尾未按装防护栏，一名操作工在清理卫生时右手不慎被转动的托辊卷入压伤。"/>
    <hyperlink ref="D467" r:id="rId_hyperlink_462" tooltip="员工上除尘器开灯时，在爬梯处踩透摔伤"/>
    <hyperlink ref="D468" r:id="rId_hyperlink_463" tooltip="一名工人在软水箱上操作手动阀门时，被管线绊倒，从软水箱上面掉落到地面，造成胳膊骨折"/>
    <hyperlink ref="D469" r:id="rId_hyperlink_464" tooltip="75T锅炉一楼平面排水沟盖板断裂，一名巡检工在巡检时左脚采到断裂盖板。"/>
    <hyperlink ref="D470" r:id="rId_hyperlink_465" tooltip="因渣库配电盘门长期未关闭，进来雨水腐蚀坏了控制继电器七个，导致链斗机停车开不起来。"/>
    <hyperlink ref="D471" r:id="rId_hyperlink_466" tooltip="35t锅炉一楼废旧铁皮放置不规范，一员工夜间巡检时不慎被铁皮拌到，致使左前臂碰到鼓风机机坐，导致前臂骨折住院治疗。"/>
    <hyperlink ref="D472" r:id="rId_hyperlink_467" tooltip="西一地沟2#给料机南侧第一组下调心支架腐烂托辊掉落，运行中一旦偏带，会造成带边磨损，胶带撕裂。"/>
    <hyperlink ref="D473" r:id="rId_hyperlink_468" tooltip="东五卸料器下面的托辊损坏，一旦不及时更换，容易造成卸料器漏煤以及皮带划伤"/>
    <hyperlink ref="D474" r:id="rId_hyperlink_469" tooltip="焦三皮带斜桥西侧外部一彩钢瓦腐蚀开裂，假如刮大风时掉落，恰巧砸中一名由此经过的巡检工右手臂。"/>
    <hyperlink ref="D475" r:id="rId_hyperlink_470" tooltip="35吨锅炉炉顶爬梯离锅炉平台间隙过大，未安装连接护板，末安全警示，一名锅炉操作工在巡检时不慎从炉顶爬梯与锅炉夹缝中坠落当场死亡。"/>
    <hyperlink ref="D476" r:id="rId_hyperlink_471" tooltip="新化学水加碱泵排气口处无排气管，操作工巡检时发现碱泵不上液，排气时，碱液喷出，造成操作工面部烧伤，面积较大，程度较深。"/>
    <hyperlink ref="D477" r:id="rId_hyperlink_472" tooltip="二号带过桥处照明不亮，员工在跨越过桥时，没看清最后一个台阶，跌倒在地，造成脚踝扭伤。"/>
    <hyperlink ref="D478" r:id="rId_hyperlink_473" tooltip="5.5米煤仓东墙彩钢瓦开裂，如遇大风天气彩钢瓦高处坠落，恰巧砸中由此经过的操作工左肩，送医检查骨折。"/>
    <hyperlink ref="D479" r:id="rId_hyperlink_474" tooltip="因汽轮机电动门无操作平台操作工站在不固定的物体上操作，不慎摔倒导致左小腿骨折需住院治疗。"/>
    <hyperlink ref="D480" r:id="rId_hyperlink_475" tooltip="点名室宣传牌前放了一把暖壶，由于是上夜班，光线不好，一旦职工碰倒，将烫伤职工脚部，送医院检查，左脚轻微烫伤，在家修养3天"/>
    <hyperlink ref="D481" r:id="rId_hyperlink_476" tooltip="东三卸料车上的钎子横放外平台上，未定置摆放，一旦职工开动卸料车，钎子从卸料车坠落，职工左臂轻微擦伤，休息一会儿继续工作"/>
    <hyperlink ref="D482" r:id="rId_hyperlink_477" tooltip="焦炉机侧平台铺板凸起，一名操作工用铁锨清理余煤时用力过大锨头碰到凸起处造成手臂关节错位。"/>
    <hyperlink ref="D483" r:id="rId_hyperlink_478" tooltip="一名巡检工在开二号减温减压到分汽缸进汽阀门时，因阀门漏气造成烫伤送医院治疗"/>
    <hyperlink ref="D484" r:id="rId_hyperlink_479" tooltip="送煤车刮板机篦子钢筋横梁锈蚀损毁，一操作工经过时不慎踩入刮板机，送医院治疗，住院6个月，修养6个月。"/>
    <hyperlink ref="D485" r:id="rId_hyperlink_480" tooltip="炉门修理站卷扬机连触器出现裂缝如果在使用过程中断裂会造成电机烧损"/>
    <hyperlink ref="D486" r:id="rId_hyperlink_481" tooltip="拦焦车平台堵烟梯子处锈蚀严重，一操作工在堵完烟从梯子上下来时踩在上面，因锈蚀严重，不负重力，右脚跌落，造成腿部受伤，随即送医，经诊断为小腿骨折，皮肉划伤，住院治疗1个月，回家休养3个月。"/>
    <hyperlink ref="D487" r:id="rId_hyperlink_482" tooltip="焦侧46#炉门，在推完焦后的对门操作时，炉门下落不到位，1操作工在此干活时，不幸被突然掉落的炉门砸伤，随即送医，经抢救无效死亡。"/>
    <hyperlink ref="D488" r:id="rId_hyperlink_483" tooltip="疏水阀疏水管断开，易发生烫伤"/>
    <hyperlink ref="D489" r:id="rId_hyperlink_484" tooltip="一号减温减压安全阀在泄压时排汽口贴近墙面造成墙面脱落"/>
    <hyperlink ref="D490" r:id="rId_hyperlink_485" tooltip="焦炉炉顶上升管平台走廊处物品杂乱，一名操作工巡检时假如被绊倒摔伤，造成右手臂骨折。"/>
    <hyperlink ref="D491" r:id="rId_hyperlink_486" tooltip="拦焦除尘水封槽干管上部腐蚀严重，一名操作工在清理水槽经过此处时恰巧左腿落入干管内划伤，送医治疗7天。"/>
    <hyperlink ref="D492" r:id="rId_hyperlink_487" tooltip="炉顶南侧护栏开焊，如果一名操作工在巡检时一不小心闪落至7米高的拦焦平台上头部着地，经送医院抢救无效死亡。"/>
    <hyperlink ref="D493" r:id="rId_hyperlink_488" tooltip="5.5米焦炉焦侧南头测总烟道吸力小井，缺失警示标志，若夜班一职工从此经过恰巧被绊倒，扭伤脚踝，在家休养7天。"/>
    <hyperlink ref="D494" r:id="rId_hyperlink_489" tooltip="盖板松动，间隙过大。"/>
    <hyperlink ref="D495" r:id="rId_hyperlink_490" tooltip="铁钎未按定制摆放，掉入仓中放煤过程中造成皮带划伤，造成财产损失"/>
    <hyperlink ref="D496" r:id="rId_hyperlink_491" tooltip="捕油器爬梯护栏开焊，假如一名员工巡检时不小心可能会从三米高处坠落造成右臂骨折，去医院治疗一个月，在家休养二个月后复工。"/>
    <hyperlink ref="D497" r:id="rId_hyperlink_492" tooltip="5.5米焦炉北悬臂吊处现场废铁杂乱，操作人员在此工作时，不慎被绊倒，手臂与铁件碰到，造成手臂受伤，送医救治。"/>
    <hyperlink ref="D498" r:id="rId_hyperlink_493" tooltip="由于炉顶上升管平台严重腐蚀变形，操作人员站在此处干活，平台断裂，导致操作人员摔下去，造成腿部骨折。"/>
    <hyperlink ref="D499" r:id="rId_hyperlink_494" tooltip="干熄车停车送罐定位点，由于长时间摩擦碰撞把道轨磨平导致定位误差大，在送焦罐时车辆摆动幅度较大容易导致夹紧碰坏，影响正常生产。"/>
    <hyperlink ref="D500" r:id="rId_hyperlink_495" tooltip="除尘箱体下方盖板未盖，一员工在清理卫生时踩空，造成左腿坠落，未造成伤害。"/>
    <hyperlink ref="D501" r:id="rId_hyperlink_496" tooltip="南脱硫二楼压滤机油泵电机护罩破损，如果一名操作人员在擦拭设备时不小心会被破损的电机护罩划伤手指简单包扎后继续上班。"/>
    <hyperlink ref="D502" r:id="rId_hyperlink_497" tooltip="在巡检过程中发现絮凝剂加药管道破裂漏液，如果不小心喷到胳膊上将会损害皮肤"/>
    <hyperlink ref="D503" r:id="rId_hyperlink_498" tooltip="维修通廊护拦开焊。"/>
    <hyperlink ref="D504" r:id="rId_hyperlink_499" tooltip="75t空压机房西门门框开焊，一巡检工在开门时门框突然脱落，可能导致巡检工右手扭伤，送医院就医，在家休养10天，损工10天"/>
    <hyperlink ref="D505" r:id="rId_hyperlink_500" tooltip="西硫铵皮带机三角带老化松动，高速运转时三角带脱落，击中一名包运工颈部，皮肤轻微出血损伤，去医务室包扎休息一天后复工"/>
    <hyperlink ref="D506" r:id="rId_hyperlink_501" tooltip="一职工走到东六通廊下部时不慎被凸起的固定螺栓绊倒，造成手掌部轻微擦伤。"/>
    <hyperlink ref="D507" r:id="rId_hyperlink_502" tooltip="脱硫塔南框架保温铝皮被施工人员踩坏未修复，如果被风吹落砸在正好路过的巡检人员头部，送医务室检查"/>
    <hyperlink ref="D508" r:id="rId_hyperlink_503" tooltip="东五后尾电缆桥架有杂物未及时清理，巡检人员经过一旦掉落会砸伤肩膀造成肩膀轻微伤。"/>
    <hyperlink ref="D509" r:id="rId_hyperlink_504" tooltip="西四除铁器处一下调心托辊轴承坏！一旦不及时更换开车时易造成皮带跑偏造成皮带划伤或撕裂！"/>
    <hyperlink ref="D510" r:id="rId_hyperlink_505" tooltip="东四岗位控制箱无接地线，一旦控制箱内线路故障造成设备事故，造成财产损失"/>
    <hyperlink ref="D511" r:id="rId_hyperlink_506" tooltip="北脱硫泵房北门有废弃铁管，如果夜间视线不好，操作工巡检走到此处会被铁管绊倒，造成膝盖轻微擦伤，送卫生室简单处理包扎后不影响工作。"/>
    <hyperlink ref="D512" r:id="rId_hyperlink_507" tooltip="点名室屋门腐烂严重，职工进出点名时容易砸伤，造成人员伤害"/>
    <hyperlink ref="D513" r:id="rId_hyperlink_508" tooltip="挡煤板和皮带之间有积煤，在设备运行中造成设备带煤形成煤尘，影响室内环境。"/>
    <hyperlink ref="D514" r:id="rId_hyperlink_509" tooltip="东三下调心轴承损坏，开车时会偏带造成皮带划伤"/>
    <hyperlink ref="D515" r:id="rId_hyperlink_510" tooltip="煤七机头钢平台护栏开焊，人员经过容易出现伤害事故"/>
    <hyperlink ref="D516" r:id="rId_hyperlink_511" tooltip="东一皮带地沟一托辊损坏，长时间使用磨损皮带。"/>
    <hyperlink ref="D517" r:id="rId_hyperlink_512" tooltip="东一斜桥一托辊损坏，易造成皮带撕裂，耽误生产，造成经济损失"/>
    <hyperlink ref="D518" r:id="rId_hyperlink_513" tooltip="东五皮带机一小托辊坏，如不及时更换，易划伤皮带，造成设备损坏"/>
    <hyperlink ref="D519" r:id="rId_hyperlink_514" tooltip="东三下托辊积煤过多，开车时易造成皮带跑偏，造成皮带划伤。"/>
    <hyperlink ref="D520" r:id="rId_hyperlink_515" tooltip="西二皮带一托辊轴承损坏，长时间开车会磨损皮带，影响生产。"/>
    <hyperlink ref="D521" r:id="rId_hyperlink_516" tooltip="化产车间深度脱硫煤气总管流量计安装位置高且无保温措施，煤气含水量大，冬天结冰堵塞流量计取压管导致煤气流量测量不准确，影响调度室对煤气用量的判断，造成日升公司停产。"/>
    <hyperlink ref="D522" r:id="rId_hyperlink_517" tooltip="维修班值班室外部铁爬梯底部腐烂，一人员上爬梯时不小心绊倒，造成腿部轻微擦伤"/>
    <hyperlink ref="D523" r:id="rId_hyperlink_518" tooltip="蒸汽管道外保温铝皮开裂，若遇大风等振动，该块铝皮（尺寸约50＊50）自近7m高空坠落，击中自下方通行的巡检人员头部。"/>
    <hyperlink ref="D524" r:id="rId_hyperlink_519" tooltip="一循环水加药细管贴地设置，凸出地面10cm以上，若1名巡检人员自此通行时，因疏忽大意导致绊倒，身体向前倾倒，手部与绿化带边台磕碰。"/>
    <hyperlink ref="D525" r:id="rId_hyperlink_520" tooltip="75t锅炉三楼平台通向渣库的爬梯未按装安全警示牌，一名锅炉操作工在爬此爬梯准备去渣库顶部看料位时不小心踩空从爬梯上滑落到地下。"/>
    <hyperlink ref="D526" r:id="rId_hyperlink_521" tooltip="灰库二楼平台配电箱，把手缺失，关不严"/>
    <hyperlink ref="D527" r:id="rId_hyperlink_522" tooltip="一职工巡检时，不慎摔倒，导致手部受伤，在家休养两天后上班。"/>
    <hyperlink ref="D528" r:id="rId_hyperlink_523" tooltip="东四机头刮煤板销子缺失，开车期间配重铁脱落可能砸伤脚。"/>
    <hyperlink ref="D529" r:id="rId_hyperlink_524" tooltip="西一岗位一托辊损坏不转，长时间开车损伤皮带。"/>
    <hyperlink ref="D530" r:id="rId_hyperlink_525" tooltip="西四除铁器南边托辊中间有铁丝缠绕，一旦开车，皮带运转，容易造成皮带划伤"/>
    <hyperlink ref="D531" r:id="rId_hyperlink_526" tooltip="推焦岗位更换下的炉门横栓没有下靠到挂耳内，员工在此经过或是工作时不慎炉门脱落，造成伤人事故。"/>
    <hyperlink ref="D532" r:id="rId_hyperlink_527" tooltip="机侧除尘备件摆放杂乱，一操作工巡检翻越时摔倒，造成肋骨骨折，就医治疗。"/>
    <hyperlink ref="D533" r:id="rId_hyperlink_528" tooltip="扒焦平台北头废料杂乱，操作工在操作时，被绊倒造成膝盖半月板破裂，就医治疗。"/>
    <hyperlink ref="D534" r:id="rId_hyperlink_529" tooltip="炉顶北头悬臂吊处废料未及时清理，一操作工在操作时，被废料绊倒，小臂与铁器撞击，造成粉碎性骨折，就医治疗。"/>
    <hyperlink ref="D535" r:id="rId_hyperlink_530" tooltip="焦三巡检通道现场杂乱，夜班一操作人员巡检时，不慎被绊倒，脑部与铁器撞击，当场昏迷不醒，送医救治。"/>
    <hyperlink ref="D536" r:id="rId_hyperlink_531" tooltip="爪斗抱闸螺丝松动导致抱闸失灵！"/>
    <hyperlink ref="D537" r:id="rId_hyperlink_532" tooltip="西三卸料车行走轮护罩开焊，一旦落下，会造成人员伤害"/>
    <hyperlink ref="D538" r:id="rId_hyperlink_533" tooltip="35锅炉操作平台爬梯警示标语缺失致操作人员摔伤"/>
    <hyperlink ref="D539" r:id="rId_hyperlink_534" tooltip="抱闸螺丝松动导致乱绳爪斗坠落"/>
    <hyperlink ref="D540" r:id="rId_hyperlink_535" tooltip="熄焦道轨东侧，裸露在地面的管线未刷安全漆，操作工在巡检过程中被绊倒"/>
    <hyperlink ref="D541" r:id="rId_hyperlink_536" tooltip="深度处理最终沉淀池一爬梯踏板不规范，如果一名操作人员在操作时不慎踩蹭，造成右脚踝扭伤，在家休息三天后复工。"/>
    <hyperlink ref="D542" r:id="rId_hyperlink_537" tooltip="深度处理氧化剂计量泵泵头密封圈腐蚀漏液，如果一名操作人员在操作过程中不慎被喷射的氧化剂溅射到脸上，马上用大量清水冲洗，休息一会后不影响工作。"/>
    <hyperlink ref="D543" r:id="rId_hyperlink_538" tooltip="在离地5米拦焦除尘管道处有一扫帚，假如刮大风时坠落，刚好一名职工路过划伤脸部，造成事故！"/>
    <hyperlink ref="D544" r:id="rId_hyperlink_539" tooltip="Voc风机排放塔输水管因震动破裂，废水外溢，对公司内部环境造成影响。"/>
    <hyperlink ref="D545" r:id="rId_hyperlink_540" tooltip="煤十挡皮破损，开车时喷煤，造成环境污染"/>
    <hyperlink ref="D546" r:id="rId_hyperlink_541" tooltip="煤十行灯线线路老化，人员使用时易造成电击伤，造成人员伤害"/>
    <hyperlink ref="D547" r:id="rId_hyperlink_542" tooltip="东五机尾刮煤板磨损严重，运行时容易造成划伤，撕裂皮带。"/>
    <hyperlink ref="D548" r:id="rId_hyperlink_543" tooltip="西一皮带机下调心支架腐烂严重，皮带机在运行时，一旦支架脱落，将造成皮带磨损撕裂，影响正常生产。"/>
    <hyperlink ref="D549" r:id="rId_hyperlink_544" tooltip="因爬梯无警示牌，一名操作工夜间上煤时，不慎从爬梯滑落到地面，造成左小腿骨折。"/>
    <hyperlink ref="D550" r:id="rId_hyperlink_545" tooltip="操作工夜间巡检时不小心掉落水沟"/>
    <hyperlink ref="D551" r:id="rId_hyperlink_546" tooltip="1号熔硫釜温度套管破损，当下雨天气，雨水沿套管进去温度变送器内，造成温度变送器损坏，损失1500元。"/>
    <hyperlink ref="D552" r:id="rId_hyperlink_547" tooltip="东四下调心站滚掉落，皮带运转时，一旦偏带时容易造成皮带划伤"/>
    <hyperlink ref="D553" r:id="rId_hyperlink_548" tooltip="稠厚器上部杂乱，中班1名巡检人员在上去巡检时，被伴倒胳膊擦伤去医务室上药后回来继续工作。"/>
    <hyperlink ref="D554" r:id="rId_hyperlink_549" tooltip="西五皮带机下调芯托辊损坏，一旦不及时更换容易造成皮带划伤"/>
    <hyperlink ref="D555" r:id="rId_hyperlink_550" tooltip="一名操作人员，在清理汽机7米卫生时，因操作不当，被励磁防护罩边缘划伤，送医务室包扎处理！"/>
    <hyperlink ref="D556" r:id="rId_hyperlink_551" tooltip="2#减温减压安全阀排空管支撑架过长，一巡检人员巡检至减温减压时，被支撑架刮伤左肩上部，送医务室治疗。"/>
    <hyperlink ref="D557" r:id="rId_hyperlink_552" tooltip="岗位人员使用后的拖把随手放在电机上，一旦拖把上有水会使电机烧毁或者漏电造成人员触电"/>
    <hyperlink ref="D558" r:id="rId_hyperlink_553" tooltip="4号减温减压后电动阀保温缺失，人员巡检至此处时，手臂不慎碰触到高温阀门，送医治疗。"/>
    <hyperlink ref="D559" r:id="rId_hyperlink_554" tooltip="主控楼化验室自来水水管边缘锋利，化验人员清洗手部时，不慎划伤左手拇指，送医务室包扎。"/>
    <hyperlink ref="D560" r:id="rId_hyperlink_555" tooltip="粗苯计量槽西框架爬梯护笼腐蚀缺失，假如一名操作工上下爬梯时由于爬梯护笼缺失，护笼未能起到防护作用导致一名操作人员从爬梯坠落造成左脚脚腕崴伤，去医院治疗7天在家休息7天后正常上班损工14天"/>
    <hyperlink ref="D561" r:id="rId_hyperlink_556" tooltip="外来施工人员在动火切割作业时动火点与气瓶距离不足十米，如果气瓶有漏气现象会造成着火人员右手轻度烧伤，去医务室处理后继续工作"/>
    <hyperlink ref="D562" r:id="rId_hyperlink_557" tooltip="均压箱溢流管道保温缺失，巡检人员在此操作阀门时，右小腿不慎碰触高温管道，右小腿烫伤，送医治疗，损工七天。"/>
    <hyperlink ref="D563" r:id="rId_hyperlink_558" tooltip="西三楼道照明灯损坏 操作工上下楼梯时 不慎踩空摔倒 造成右前臂骨折送医院治疗住院一个月在家修养91天"/>
    <hyperlink ref="D564" r:id="rId_hyperlink_559" tooltip="东二斜桥爬梯处照明灯损坏 操作工过爬梯是看不清脚下踩空摔倒 扭伤右脚脚踝 休息一会不影响工作"/>
    <hyperlink ref="D565" r:id="rId_hyperlink_560" tooltip="东一机头插座护盖丢失 操作工使用时不慎碰触到裸露在外的带电处触电造成右手食指电伤送医院包扎在家修养一星期"/>
    <hyperlink ref="D566" r:id="rId_hyperlink_561" tooltip="西三卸料车行走轮腐蚀脱落 操作工经过时不慎摔倒碰触到行走轮 造成右前臂骨折送医院治疗住院一个月在家修养91天"/>
    <hyperlink ref="D567" r:id="rId_hyperlink_562" tooltip="东一地沟皮带支撑腐蚀 皮带启动时拉力大如果支撑处断裂造成无法开车 将影响正常造成损失生产"/>
    <hyperlink ref="D568" r:id="rId_hyperlink_563" tooltip="西四照明灯损坏 操作工经过时看不清脚下不慎摔倒 造成右手手腕扭伤休息一会不影响工作"/>
    <hyperlink ref="D569" r:id="rId_hyperlink_564" tooltip="1#站生化工段，二级沉淀池上部北侧仪表电缆桥架盖板缺失，长期外露会对电缆寿命造成影响，另外分布于防雷装置保护范围外极容易遭受雷电的侵入，从而对连接的PLC机柜操作电脑造成击穿，甚至着火。财产损失8万元"/>
    <hyperlink ref="D570" r:id="rId_hyperlink_565" tooltip="煤十下料筒挡皮损坏，下料时漏煤，造成皮带偏带，皮带磨损，停车"/>
    <hyperlink ref="D571" r:id="rId_hyperlink_566" tooltip="使用后的钎子违规放在下料桶爬梯上，巡检人员在使用震动电机时钎子从高处掉落，容易造成人员伤害。"/>
    <hyperlink ref="D572" r:id="rId_hyperlink_567" tooltip="1#循环氨水泵接地线脱落，如果巡检人员检查设备时外壳漏电可能会发生触电伤害，严重时造成人员触电死亡。"/>
    <hyperlink ref="D573" r:id="rId_hyperlink_568" tooltip="北脱硫北边路面上有一玻璃钢瓦横放在路中间，如果巡检人员走到此处不注意，被路面上的玻璃钢瓦绊倒，造成巡检人员左腿膝盖轻微擦伤，不影响工作，轻微人身伤害。"/>
    <hyperlink ref="D574" r:id="rId_hyperlink_569" tooltip="3#煤场原料煤内有木块，如不及时捡出，一旦进入输煤工序，极易堵塞料筒溢料后烧毁电机，造成非计划停机1小时，经济损失500元。"/>
    <hyperlink ref="D575" r:id="rId_hyperlink_570" tooltip="煤五外部爬梯护栏开焊，人员行走时易出现伤害事故"/>
    <hyperlink ref="D576" r:id="rId_hyperlink_571" tooltip="两盐厂房顶部彩钢板严重腐烂，巡检人员经过时不慎被掉落碎片擦伤，送医务室检查后无损伤，立即恢复工作。"/>
    <hyperlink ref="D577" r:id="rId_hyperlink_572" tooltip="二级反渗透加碱管道支架处因长期摩擦，管道壁变薄出现漏点，如果管道漏点突然扩大，一名巡检人员可能会被喷溅的碱灼伤面部，送医治疗15天"/>
    <hyperlink ref="D578" r:id="rId_hyperlink_573" tooltip="拆除施工现场工具棚上方边沿放置铁制水杯，若1名施工人员低头自棚内取用工具时，因振动造成水杯掉落砸中人员头部。"/>
    <hyperlink ref="D579" r:id="rId_hyperlink_574" tooltip="副省煤器排水池盖板缺失，一巡检人员巡检时，左脚踩空掉入池中，造成左小腿擦伤，送医治疗。"/>
    <hyperlink ref="D580" r:id="rId_hyperlink_575" tooltip="环境除尘顶部东侧电缆头裸露，一巡检人员巡检时左小腿碰到电缆头，造成左小腿电灼伤，送医治疗。"/>
    <hyperlink ref="D581" r:id="rId_hyperlink_576" tooltip="终冷塔南侧框架有一块木板斜放于柱子上，当五级大风天气木板被大风吹倒，砸伤正在此处巡检人员，造成人员头部受击当场昏迷，送医检查脑部有大量淤血，住院治疗两个月后复工。"/>
    <hyperlink ref="D582" r:id="rId_hyperlink_577" tooltip="化产车间粗苯二段贫油冷却器处爬梯无警示牌，如果一名操作工攀登时，不慎摔落，脚部受伤，经送医诊断，脚部轻微伤。"/>
    <hyperlink ref="D583" r:id="rId_hyperlink_578" tooltip="电缆未有压盖，因温度太高烤坏电缆，造成经济损失"/>
    <hyperlink ref="D584" r:id="rId_hyperlink_579" tooltip="放渣皮带机地沟与平面处未按装防隔离栏，一名操作工在清理卫生时不小心掉入放渣皮带机地沟处。"/>
    <hyperlink ref="D585" r:id="rId_hyperlink_580" tooltip="东四四号仓下料口挡皮损坏，开车过程中挂煤，造成皮带划伤，停车"/>
    <hyperlink ref="D586" r:id="rId_hyperlink_581" tooltip="电梯7层出口处，线缆检修口盖板缺失，若遇雨雪水进入，1人员巡检乘坐时因线缆短路电梯控制失灵，轿门无法打开，人员被困。"/>
    <hyperlink ref="D587" r:id="rId_hyperlink_582" tooltip="深度处理最终沉淀池无过桥，一名操作人员在操作时，踩着管道跨越不慎踩空，造成左脚裸扭伤，在家休息三天后复工。"/>
    <hyperlink ref="D588" r:id="rId_hyperlink_583" tooltip="一名操作工人在进行打水巡查作业时，由于泵电机靠背轮防护罩未固定牢，被靠背轮擦伤小腿，及时去医务室上药处理，造成小腿轻微擦伤，休二天无损工事故。"/>
    <hyperlink ref="D589" r:id="rId_hyperlink_584" tooltip="污水处理车间深度处理超滤B套进水阀开关不到位，导致进水达不到标准，造成系统停运6小时。"/>
    <hyperlink ref="D590" r:id="rId_hyperlink_585" tooltip="南风机1#电捕冲洗完毕后发现高温氨水电动阀关闭失灵，一旦开启电捕投用，造成电捕内部短路，引起爆炸，造成市地媒体报道。"/>
    <hyperlink ref="D591" r:id="rId_hyperlink_586" tooltip="东一岗位机头刮煤板刮皮磨损严重，一旦刮皮磨损至铁板处，将会造成胶带磨损加快，缩短使用寿命。"/>
    <hyperlink ref="D592" r:id="rId_hyperlink_587" tooltip="1618破碎机平台护栏开焊，一旦职工经过时，左小腿会被轻微划伤，送医务室敷药包扎后，回到岗位继续工作。"/>
    <hyperlink ref="D593" r:id="rId_hyperlink_588" tooltip="两盐北侧框架上废弃管道一头从框架上滑落悬挂半空中，假如一名操作工在框架下面打扫卫生时由于管道腐蚀致使悬挂的管道坠落，造成一名操作工被坠落的管道砸中头部送医院抢救无效死亡"/>
    <hyperlink ref="D594" r:id="rId_hyperlink_589" tooltip="新化学水杀菌剂出口管漏液，由于操作工没有带护目镜，在操作时杀菌剂药液喷出溅入眼中，送医院救治。"/>
    <hyperlink ref="D595" r:id="rId_hyperlink_590" tooltip="1号脱硫塔上部分布器腐蚀严重，在施工过程中脱落将外协人员头部砸伤。"/>
    <hyperlink ref="D596" r:id="rId_hyperlink_591" tooltip="因加碱泵出口漏液，一操作工在处理时未戴护目镜导致火碱药液溅入眼中，送医院救治，确诊为左眼轻度灼伤，治疗两天，修养三天后恢复工作。"/>
    <hyperlink ref="D597" r:id="rId_hyperlink_592" tooltip="二楼回流管阀门垫子损坏漏母液，如果一操作人员在更换垫子时溅到眼睛里，造成损坏眼球。用清水清洗及时就医。造成一人损工事故"/>
    <hyperlink ref="D598" r:id="rId_hyperlink_593" tooltip="干熄炉四层油桶倾斜歪倒（三个叠加），遇大风天气，一名员工从地面经过时，油桶从23米平台被刮落，砸到员工头部"/>
    <hyperlink ref="D599" r:id="rId_hyperlink_594" tooltip="循环水地下补水管线一处破裂，一名维修人员在拆卸保温层时操作不当，导致手臂擦伤去医务室简单处理，正常工作"/>
    <hyperlink ref="D600" r:id="rId_hyperlink_595" tooltip="纤子未放在规定位置，一巡检人员经过此处时被绊倒，导致胳膊轻微受伤，送医务室包扎后无大碍继续工作。"/>
    <hyperlink ref="D601" r:id="rId_hyperlink_596" tooltip="胶带运行过程中，东三卸料车改向滚筒处偏带，造成胶带划伤30公分，紧急停车，经济损失1000元。"/>
    <hyperlink ref="D602" r:id="rId_hyperlink_597" tooltip="因防护栏套管缺失，起不到防护作用，操作工在清理皮带机时造成手指轻微擦伤，检查后不影响工作。"/>
    <hyperlink ref="D603" r:id="rId_hyperlink_598" tooltip="东五台阶处照明灯损坏，夜班操作工巡检不慎摔倒，扭伤脚踝，经简单处理不影响工作"/>
    <hyperlink ref="D604" r:id="rId_hyperlink_599" tooltip="循环水11号冷却塔风机电缆裸露，一员工在巡检冷却塔风机时，手部不慎触碰电缆裸露部位，造成该员工被380V电源击倒，经送医抢救无效死亡。"/>
    <hyperlink ref="D605" r:id="rId_hyperlink_600" tooltip="3号凝结水泵出口阀门手轮脱落，造成该出口阀门无法关闭，若逆止阀损坏，会造成凝结水打回流，凝汽器液位上升，汽轮机减负荷甚至停机。"/>
    <hyperlink ref="D606" r:id="rId_hyperlink_601" tooltip="干熄焦一次除尘二层与干熄炉链接通道护栏护板开焊伸出，一巡检人员巡检经过时，未及时发现，将其拌倒，身体前俯爬在平台上，导致右手撑轻微擦伤，经简单处理后继续工作。"/>
    <hyperlink ref="D607" r:id="rId_hyperlink_602" tooltip="打脱硫液电机无电机罩，当操作人员在关闭阀门时，如果右腿裤腿被风扇轮卷入，造成下右小腿骨折。送医治疗三个月、在家休养二个月"/>
    <hyperlink ref="D608" r:id="rId_hyperlink_603" tooltip="西五平面一托辊损坏，容易造成皮带划伤"/>
    <hyperlink ref="D609" r:id="rId_hyperlink_604" tooltip="因旋密南侧导轨凸起，缺少警示牌，巡检人员夜间到旋密巡检时，由于视线不良被导轨绊倒，面部着地，造成面部擦伤，送医务室进行包扎，休养7天"/>
    <hyperlink ref="D610" r:id="rId_hyperlink_605" tooltip="因干熄焦六层至七层平台西侧护栏踢脚板开焊翘起，一巡检工从此处经过查看装入装置装焦平台时，被翘起的踢脚板绊倒，左侧膝盖着地，送医治疗确诊为左侧膝盖骨裂，治疗一周，休养三个半月后，恢复工作。"/>
    <hyperlink ref="D611" r:id="rId_hyperlink_606" tooltip="维修管道时把管道支架横放在生产现场，假设一名操作工在夜间巡检时，未发现横放的管道支架被其绊倒，造成右腿膝盖擦伤，简单包扎后休息10分钟复工"/>
    <hyperlink ref="D612" r:id="rId_hyperlink_607" tooltip="南冷凝泵房2#高压氨水泵电机风扇断裂，高压氨水泵高压运行起不到散热作用，导致电机过热发生电机损坏，烧毁电机，财产损失价值20万。"/>
    <hyperlink ref="D613" r:id="rId_hyperlink_608" tooltip="南循环水北路口处地沟盖板被过往的车辆碾压，导致盖板遮盖不严，在夜间巡检时，由于光线暗，巡检人员经过不慎右脚落入地沟，造成右小腿处划伤，经医院包扎，在家休养5天后康复。造成一人损工事故。"/>
    <hyperlink ref="D614" r:id="rId_hyperlink_609" tooltip="北风机房拆除现场凌乱未拉警戒线，无关人员从此处经过时造成高空坠物砸伤腿部，送医院治疗一月，回家休养六个月后康复"/>
    <hyperlink ref="D615" r:id="rId_hyperlink_610" tooltip="汽轮机零米射水箱处地沟电缆杂乱，一员工巡检时从此经过，不慎被横在地面的电缆绊倒，右侧膝盖着地，送医治疗  确诊为右侧膝盖骨骨裂，住院治疗20天  休养3个月。"/>
    <hyperlink ref="D616" r:id="rId_hyperlink_611" tooltip="消防水池西北角处地沟盖板破损严重，一员工巡检时，不慎踩到破损的盖板，掉入地沟内，造成左小腿  脚踝等多处擦伤，送医务室治疗。"/>
    <hyperlink ref="D617" r:id="rId_hyperlink_612" tooltip="汽机房零米地沟处潜水泵水龙带横放，一名操作工在夜间巡检时，未发现横放的水龙带被其拌倒，造成左腿膝盖擦伤，简单包扎后复工。"/>
    <hyperlink ref="D618" r:id="rId_hyperlink_613" tooltip="分料器电机风叶护罩固定螺栓缺失，一旦起动分料器，错位的护罩使风叶损坏。造成设备损失100元。"/>
    <hyperlink ref="D619" r:id="rId_hyperlink_614" tooltip="煤七后尾下料斗腐蚀破损 造成漏煤夜班操作工经过时 不慎踩到脚底打滑摔倒造成右脚脚踝扭伤休息一会不影响工作"/>
    <hyperlink ref="D620" r:id="rId_hyperlink_615" tooltip="东一地沟一照明灯损坏 操作工巡查时看不清脚下不慎摔倒造成右脚脚踝扭伤休息一会不影响工作"/>
    <hyperlink ref="D621" r:id="rId_hyperlink_616" tooltip="西煤厂钢筋外露翘起 夜班操作工巡查经过 不慎被绊倒造成右手手腕扭伤休息一会不影响工作"/>
    <hyperlink ref="D622" r:id="rId_hyperlink_617" tooltip="煤六机头下料口处腐蚀破损 造成漏煤操作工巡查时不慎踩到煤块摔倒造成右前臂骨折送医院治疗住院一个月在家修养91天"/>
    <hyperlink ref="D623" r:id="rId_hyperlink_618" tooltip="粗苯泵房贫油泵已停泵，压力表不回零，假如仪表工去维修会导致余压波动贫油烫伤仪表工手部"/>
    <hyperlink ref="D624" r:id="rId_hyperlink_619" tooltip="西硫铵终冷塔南侧，制冷水管道上放置废弃80Ф铁管弯头一根长约两米，制冷水管道会产生振动造成弯头一侧下垂，砸伤正在此处巡检人员的右上臂，造成巡检人员右上臂骨折，住院治疗两个月后复工。"/>
    <hyperlink ref="D625" r:id="rId_hyperlink_620" tooltip="东一机头铁丝未定置摆放  挂在铁壳开关上如果铁壳开关损坏漏电 将导致铁丝带电拿铁丝时触电倒地 造成右手电伤送医院治疗住院20天在家修养一个月"/>
    <hyperlink ref="D626" r:id="rId_hyperlink_621" tooltip="电缆桥架盖板脱落，如果有大风天气，巡检人员从下方经过盖板掉落砸到背部"/>
    <hyperlink ref="D627" r:id="rId_hyperlink_622" tooltip="东四皮带机岗位2#配料称减速机漏油异响，一旦缺油运行造成减速机损坏，停车检修更换减速机。"/>
    <hyperlink ref="D628" r:id="rId_hyperlink_623" tooltip="洒水车驱动轮左侧轮胎开裂，一旦继续使用，将会造成轮胎爆胎，车辆无法继续使用，经济损失800元。"/>
    <hyperlink ref="D629" r:id="rId_hyperlink_624" tooltip="西三胶带机机头防护栏固定点损坏，防护栏一旦掉入胶带输送机，将会造成胶带划伤，非计划停车检修30分钟。"/>
    <hyperlink ref="D630" r:id="rId_hyperlink_625" tooltip="交班室西侧水沟盖板缺失，一职工经过时，一旦左脚掉入水沟，会造成左小腿皮肤轻微擦伤，休息十分钟继续上岗作业。，"/>
    <hyperlink ref="D631" r:id="rId_hyperlink_626" tooltip="西三胶带机卸料车行走轮防护罩开焊，一职工在操作时，一旦防护罩脱落，砸伤该职工脚步，送医务室检查，右脚掌轻微浮肿，敷药包扎后回到岗位继续工作。"/>
    <hyperlink ref="D632" r:id="rId_hyperlink_627" tooltip="1号站压滤机房污泥螺杆泵盘根漏液，造成地面环境污染，车间检查时发现并通报批评"/>
    <hyperlink ref="D633" r:id="rId_hyperlink_628" tooltip="干熄焦PLC室地板缺少支撑杠，地板不平衡，一名电气人员巡检至此拨表，不慎踩空造成脚踝扭伤。损工三十天。"/>
    <hyperlink ref="D634" r:id="rId_hyperlink_629" tooltip="因干熄焦锅炉喷水减温阀北侧手阀漏汽，一巡检人员在开关手阀时，540℃的蒸汽突然喷出，将该人员左臂烫伤，送医治疗确诊为深Ⅱ度烫伤，治疗一周，休养两周后恢复工作。"/>
    <hyperlink ref="D635" r:id="rId_hyperlink_630" tooltip="东五皮带机一上立辊缺失，开车过程中，一旦皮带跑偏不能有效调整，会造成皮带边缘磨损撕裂10米，经济损失1000元。"/>
    <hyperlink ref="D636" r:id="rId_hyperlink_631" tooltip="排污池内生长水藻，水藻易脱落，假如排污泵正在排污，水藻随水流进入排污泵内，造成排污泵上量不好，池内水溢流到工作现场，造成环境污染，被环保局查到，影响企业形象。"/>
    <hyperlink ref="D637" r:id="rId_hyperlink_632" tooltip="南风机初冷器底部，外协人员在高处进行切割作业时，现场没有警戒隔离措施，如果有人从此处经过，可能会被上空掉落的管道砸伤，造成肩部骨折，送医住院15天，在家休养三个月。"/>
    <hyperlink ref="D638" r:id="rId_hyperlink_633" tooltip="75吨锅炉底除渣沟南侧未安装护栏，当操作人员在此处操作时，如果不小心会从平台地面掉落至除渣沟内，造成一名操作人员腿部扭伤，送医后住院一周，在家休息一月后正常上班。"/>
    <hyperlink ref="D639" r:id="rId_hyperlink_634" tooltip="夜晚，一名巡检人员在巡检环境除尘刮板机时，不慎被杂乱的钢筋戳伤右腿，后送医务室进行包扎"/>
    <hyperlink ref="D640" r:id="rId_hyperlink_635" tooltip="环境除尘四层护栏边一铁皮未清理，若遇大风天气晃动，该铁皮从10米高空坠落，击中下方通行的巡检人员头部。"/>
    <hyperlink ref="D641" r:id="rId_hyperlink_636" tooltip="2号提升机变压器室轴流风扇开关防护盖板缺失，一员工在给轴流风扇送电时右手碰触到裸导线，造成右手电灼伤事故，送医治疗在家休养15天"/>
    <hyperlink ref="D642" r:id="rId_hyperlink_637" tooltip="下水管道太长，雨水或者除氧器溢水大时，水冲进电缆沟，存在安全隐患"/>
    <hyperlink ref="D643" r:id="rId_hyperlink_638" tooltip="提升机七层过道防护栏开焊，一巡检人员经过比处时被开焊处拌到，擦伤手部去医务室简单包扎，继续工作。"/>
    <hyperlink ref="D644" r:id="rId_hyperlink_639" tooltip="清理卫生后的拖把未按要求定置摆放，随手放在皮带机护栏上，拖把一旦卷入皮带会造成皮带划伤"/>
    <hyperlink ref="D645" r:id="rId_hyperlink_640" tooltip="3号减温减压平台铁件摆放不规范，一巡检人员经过此处时不慎被铁件拌到，造成左脚脚踝扭伤。送医治疗，在家休养10天"/>
    <hyperlink ref="D646" r:id="rId_hyperlink_641" tooltip="除盐水站室外污水地沟铁管盖板缝隙过大，一名员工巡检至此时，脚部不慎踩进缝隙里，扭伤，送医务室治疗后，回到岗位，未发生损工事件，但不能从事重体力劳动。"/>
    <hyperlink ref="D647" r:id="rId_hyperlink_642" tooltip="两盐北大门地沟盖板腐蚀严重，一名操作工在经过此处时，踩塌坠落，造成腿部擦伤，休息片刻后继续工作。"/>
    <hyperlink ref="D648" r:id="rId_hyperlink_643" tooltip="贫富油换热器南部地沟盖板翘起， 操作工在巡检时被翘起的地沟盖板绊倒，造成膝盖擦伤，休息片刻，未影响正常工作。"/>
    <hyperlink ref="D649" r:id="rId_hyperlink_644" tooltip="东七外协人员清除通廊地面，一名外协人员安全带挂环缺损，有可能失去作用摔伤。"/>
    <hyperlink ref="D650" r:id="rId_hyperlink_645" tooltip="南脱硫二楼南墙co气体报警探头套管破损，长期处于硫磺气体环境中造成气体报警探头内部元件老化，造成探头损坏。"/>
    <hyperlink ref="D651" r:id="rId_hyperlink_646" tooltip="两名外协人员，在南风机初冷器底部，预制管道，气瓶斜放在护栏上无捆绑，气瓶有可能滑倒，碰掉气嘴，瓶内压力瞬间喷出，把气嘴吹向一人名人员的左腿，造成腿部击伤，送医治疗10天，休息一月上班。"/>
    <hyperlink ref="D652" r:id="rId_hyperlink_647" tooltip="西一带在运行中托管损坏，操作工及时发现汇报，停机更换托管，没有造成皮带划伤。"/>
    <hyperlink ref="D653" r:id="rId_hyperlink_648" tooltip="西五皮带机下一托辊缺失，皮带运行过程中很容易造成皮带划伤和撕裂"/>
    <hyperlink ref="D654" r:id="rId_hyperlink_649" tooltip="絮凝剂管线漏液，巡检时打滑不慎摔倒"/>
    <hyperlink ref="D655" r:id="rId_hyperlink_650" tooltip="一操作工巡检时，被35吨锅炉一楼筛网一角翘起拌倒，造成手部擦伤"/>
    <hyperlink ref="D656" r:id="rId_hyperlink_651" tooltip="一维修工在厂房二楼焊接管道时火花溅入衣领，烫伤脖子"/>
    <hyperlink ref="D657" r:id="rId_hyperlink_652" tooltip="西一3#给料机处一上托辊腐蚀破损！一旦开车造成皮带划伤撕裂！"/>
    <hyperlink ref="D658" r:id="rId_hyperlink_653" tooltip="煤五后尾消防箱腐蚀损坏，不能使用！一旦发生火灾消防箱不能使用造成物资烧毁！"/>
    <hyperlink ref="D659" r:id="rId_hyperlink_654" tooltip="分汽缸蒸汽阀门处漏气未处理好，保温未恢复，操作人员在开关阀门时不小心，可能被蒸汽烫伤右手，去医务室处理后，回家休养一周复工"/>
    <hyperlink ref="D660" r:id="rId_hyperlink_655" tooltip="压滤机旁有一扁铲不定置摆放，操作工在操作时不慎被绊倒造成轻微摔伤，休息片刻继续工。"/>
    <hyperlink ref="D661" r:id="rId_hyperlink_656" tooltip="化产两盐岗位大门滑轨腐蚀严重滑轮脱落，刮大风时容易把大门刮倒，人在此经过时被刮倒的大门咋伤头部，打120送医院抢救，抢救无效后导致人员死亡。"/>
    <hyperlink ref="D662" r:id="rId_hyperlink_657" tooltip="七号磅北侧排水沟盖板破损，一旦车辆前轮掉入，将造成轮胎爆胎，无法使用造成经济损失500元。"/>
    <hyperlink ref="D663" r:id="rId_hyperlink_658" tooltip="刮煤板积煤未及时清除，开车过程中，原料煤下泻时落点会改变，导致煤下料口益料，造成皮带跑偏，会导致皮带磨损撕裂10米，被迫停车检修，经济损失1000元。"/>
    <hyperlink ref="D664" r:id="rId_hyperlink_659" tooltip="制冷机门口地面用于搬运油桶铺设的铁板边角翘起，夜间巡检人员经过时碰伤脚部，送医务室"/>
    <hyperlink ref="D665" r:id="rId_hyperlink_660" tooltip="拉煤司机未戴安全帽爬车叠蓬布，脚被绳子拌倒，轻微擦伤。"/>
    <hyperlink ref="D666" r:id="rId_hyperlink_661" tooltip="东四4号皮带秤落料处的挡煤板破损漏煤，一旦漏煤掉落东四皮带上就会偏带，皮带会剐蹭机架造成皮带撕裂。"/>
    <hyperlink ref="D667" r:id="rId_hyperlink_662" tooltip="一钢管悬挂在半空中，大风天气钢管坠落，砸伤经过此处巡检的操作工，造成头部轻微伤害，休息片刻未影响正常工作。"/>
    <hyperlink ref="D668" r:id="rId_hyperlink_663" tooltip="一级反渗透清洗管线漏水，水喷到反渗透配电盘，设备断电停运"/>
    <hyperlink ref="D669" r:id="rId_hyperlink_664" tooltip="空压机旁一铁管未定置存放，操作工巡检时不慎被绊倒，造成左手手腕轻微扭伤，休息一会后继续工作。"/>
    <hyperlink ref="D670" r:id="rId_hyperlink_665" tooltip="西侧滑触线绝缘棒脱离，起不到固定作用"/>
    <hyperlink ref="D671" r:id="rId_hyperlink_666" tooltip="操作工使用完拖把随手放到电机上开车时卷入皮带造成紧急停车"/>
    <hyperlink ref="D672" r:id="rId_hyperlink_667" tooltip="机头刮皮磨损严重，一旦刮皮磨透，铁板将直接磨损胶带，造成胶带划伤非计划停车"/>
    <hyperlink ref="D673" r:id="rId_hyperlink_668" tooltip="一名职工在擦拭压滤机油泵时由于压滤机电机防护罩破损致使职工手套卷入电机罩内，造成手部轻微擦伤后经医务室处理后继续上班"/>
    <hyperlink ref="D674" r:id="rId_hyperlink_669" tooltip="风机初冷器下液管法兰缺失螺栓。容易导致泄漏煤气，维修工在周边进行检修作业后，可能造成轻微中毒。"/>
    <hyperlink ref="D675" r:id="rId_hyperlink_670" tooltip="一操作工巡检时，被35吨锅炉鼓风机旁铁板翘起处拌倒，手腕受伤，送医治疗。"/>
    <hyperlink ref="D676" r:id="rId_hyperlink_671" tooltip="除铁器电机电源线防护套管移位，不能起到防护作用，一旦电源线绝缘层破损连电，就会导致电机损坏，造成经济损失300元。"/>
    <hyperlink ref="D677" r:id="rId_hyperlink_672" tooltip="除铁器电机电源线防护套管移位，不能起到防护作用，一旦电源线绝缘层破损连电，就会导致电机损坏，造成经济损失300元。"/>
    <hyperlink ref="D678" r:id="rId_hyperlink_673" tooltip="煤八后尾一施工中的电源线套管保护移位"/>
    <hyperlink ref="D679" r:id="rId_hyperlink_674" tooltip="西四岗位工作人员清理完卫生工具随意摆放，一旦皮带运行工具卷入皮带，造成皮带划伤。"/>
    <hyperlink ref="D680" r:id="rId_hyperlink_675" tooltip="35吨锅炉一层楼梯东侧地沟盖板破损，一名巡检工巡检时，不慎将盖板踩破掉入地沟，脚腕扭伤"/>
    <hyperlink ref="D681" r:id="rId_hyperlink_676" tooltip="初冷器二层平台护栏缺失，如果一名操作工在操作时，不慎踩到平台外边，造成右腿轻微划伤，没有造成误工"/>
    <hyperlink ref="D682" r:id="rId_hyperlink_677" tooltip="西三行吊吊钩损坏，吊装过程中，一旦吊绳脱出吊钩，会导致货物自高空坠落，造成货物损坏，经济损失500元。"/>
    <hyperlink ref="D683" r:id="rId_hyperlink_678" tooltip="硫铵四楼西结晶槽回液管阀兰焊接处漏液，假如一名操作工用塞子进行堵漏时，可能不慎被母液溅入左眼内，送医院治疗康复，损工2个月。"/>
    <hyperlink ref="D684" r:id="rId_hyperlink_679" tooltip="5.5米焦炉干熄车南侧夹紧油缸销子锁帽松动，销子部分脱出，一旦油缸固定销轴全部脱落，会造成夹紧装置无法回位，被干熄车撞击扭曲变形，造成焦炉停运2.5小时，财产损失7万元。"/>
    <hyperlink ref="D685" r:id="rId_hyperlink_680" tooltip="5.5米焦炉熄焦池熄焦泵接地线翘起，一旦操作工巡检途中被绊倒，造成人员磕伤肘部，损工2个月"/>
    <hyperlink ref="D686" r:id="rId_hyperlink_681" tooltip="西一地沟护栏有一套管丢失，操作工在工作时划伤，人员受伤"/>
    <hyperlink ref="D687" r:id="rId_hyperlink_682" tooltip="东一岗位机头刮煤板刮皮磨损严重，一旦刮皮磨损至铁板处，将会造成胶带磨损加快，缩短使用周期。"/>
    <hyperlink ref="D688" r:id="rId_hyperlink_683" tooltip="2#中间水池铁篦子腐烂严重，一名操作工夜班巡检时由于视线不良。不慎右腿掉入水池，被浓硫酸灼伤，送医就诊康复后复工，灼伤右腿，损工一周"/>
    <hyperlink ref="D689" r:id="rId_hyperlink_684" tooltip="浓水阀门内漏造成浓水渗入地沟，被环保部门查获，造成公司财产损失三万元。"/>
    <hyperlink ref="D690" r:id="rId_hyperlink_685" tooltip="使用后的钎子未定置摆放，随手放在护栏上，一旦钎子掉落下面东五皮带上会造成皮带撕裂。"/>
    <hyperlink ref="D691" r:id="rId_hyperlink_686" tooltip="粗苯MVR一楼冷凝液泵漏水，一旦漏水严重，机封液罐抽空，将导致冷凝液泵，晶浆泵，原料泵，循环水泵机械密封损坏，直接造成MVR停工一天，财产损失2万元。"/>
    <hyperlink ref="D692" r:id="rId_hyperlink_687" tooltip="一名操作工在进行接电操作时，由于不小心触碰到其他电源，造成漏电伤害，从两米高处掉了下来，造成左手骨折，休息75天"/>
    <hyperlink ref="D693" r:id="rId_hyperlink_688" tooltip="污水池观察孔盖板缺失，异味散出，造成周边区域异味大，对环境产生污染。"/>
    <hyperlink ref="D694" r:id="rId_hyperlink_689" tooltip="201配电室东侧下水道涝坑盖板缺失一块，一职工路径此处，一旦脚部不慎掉入，造成脚踝处表皮擦伤，去医务室敷药后回岗位继续工作"/>
    <hyperlink ref="D695" r:id="rId_hyperlink_690" tooltip="粗苯计量槽顶部呼吸阀处，用棉毡缠绕覆盖，棉毡属于易燃可燃物，如发生燃烧引燃粗苯计量槽造成严重的火灾爆炸人员伤亡事故"/>
    <hyperlink ref="D696" r:id="rId_hyperlink_691" tooltip="一名脱硫操作工在夜间巡检时，由于光线暗，不慎掉入地沟内造成左腿小腿骨折。"/>
    <hyperlink ref="D697" r:id="rId_hyperlink_692" tooltip="点名室门口玻璃滑落，如果一名操作人员从里面拉开门，有可能玻璃坠落划伤右手，迸医务室包扎后复工。"/>
    <hyperlink ref="D698" r:id="rId_hyperlink_693" tooltip="南化产电捕后煤气下液管道阀门法兰处出现漏点，煤气泄露，当操作工到此处巡检作业时，处在下风口，造成1名操作工轻微煤气中毒，送医务室吸氧，去医院检查治疗，后在家休养2天后复工。"/>
    <hyperlink ref="D699" r:id="rId_hyperlink_694" tooltip="西一后尾一上托辊损坏！一旦开车运行不及时更换易造成皮带跑偏造成皮带划伤！"/>
    <hyperlink ref="D700" r:id="rId_hyperlink_695" tooltip="东一2#给料机处一下调心托辊损坏！一旦不及时更换开车运行时易造成皮带跑偏划伤皮带！"/>
    <hyperlink ref="D701" r:id="rId_hyperlink_696" tooltip="西五机尾防护栏按装不到位，降低了防护栏防护作用，一旦岗位人员清理卫生容易造成肢体伤害。"/>
    <hyperlink ref="D702" r:id="rId_hyperlink_697" tooltip="南脱硫1#脱硫塔煤气出口压力变送器接线口未封堵，接线松动产生火花，邻近排污阀煤气泄露达到一定浓度发生着火事故！"/>
    <hyperlink ref="D703" r:id="rId_hyperlink_698" tooltip="电伴热线裸露，造成触电事故"/>
    <hyperlink ref="D704" r:id="rId_hyperlink_699" tooltip="发苯电动阀气源管道为塑料材质，风吹日晒老化泄露，导致发苯阀关闭，造成粗苯计量槽溢流，发生粗苯泄露事故，操作人员巡检至此吸入高浓度苯气造成苯中毒。"/>
    <hyperlink ref="D705" r:id="rId_hyperlink_700" tooltip="机侧道轨接头开焊，推焦车在行走过程中卡住，导致不能正常出焦，停工检修历时1小时，少出3孔焦，造成经济损失约5万元。"/>
    <hyperlink ref="D706" r:id="rId_hyperlink_701" tooltip="罗瓷鼓风机吹灰管道若不加装法兰一旦管道堵塞鼓风机吹灰吹不动，导致鼓风机压力过大，导致电机烧坏"/>
    <hyperlink ref="D707" r:id="rId_hyperlink_702" tooltip="南化产风机施工现场气割线路施工完毕后未按规定收起，造成夜班一名职工巡检到此时，被线路拌倒，造成脸部擦伤，去医务室处理后正常上班"/>
    <hyperlink ref="D708" r:id="rId_hyperlink_703" tooltip="粗苯东废水罐顶部管道腐蚀泄漏，如果操作工向罐内抽水时发现不及时，有可能会造成废水顺着罐体泄漏至地面造成环境污染。"/>
    <hyperlink ref="D709" r:id="rId_hyperlink_704" tooltip="深度脱硫加碱槽盖板放置不规范没有及时归位，如果夜间视线不良一名操作工从楼梯上下来巡检，没有发现此盖板，有可能会被绊倒，造成膝盖轻微擦伤，简单处理后复工，不影响生产。"/>
    <hyperlink ref="D710" r:id="rId_hyperlink_705" tooltip="汽轮机排气阀漏蒸气，一巡检工在打扫卫生时，可能导致右手烫伤，立即用清水冲洗后恢复正常，无损工。"/>
    <hyperlink ref="D711" r:id="rId_hyperlink_706" tooltip="外协保温人员登高未系安全带，假如在管道上人员工作时重心不稳，从管道上掉跳落，距离地面三米，落地时造成右脚扭伤，去医院简单治疗后继续上班，无损工。"/>
    <hyperlink ref="D712" r:id="rId_hyperlink_707" tooltip="一名冷凝操作工在巡检时发现2#高压氨水泵电机风扇破裂，假如巡检人员发现不及时，电机温度会逐渐升高，造成2＃高压氨水泵电机烧坏，影响生产，造成財产损失约5-10万元"/>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隐患动态跟踪表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振兴焦化管理员</dc:creator>
  <cp:lastModifiedBy>振兴焦化管理员</cp:lastModifiedBy>
  <dcterms:created xsi:type="dcterms:W3CDTF">2020-11-03T11:53:16+08:00</dcterms:created>
  <dcterms:modified xsi:type="dcterms:W3CDTF">2020-11-03T11:53:16+08:00</dcterms:modified>
  <dc:title>潍坊振兴焦化有限公司隐患动态跟踪</dc:title>
  <dc:description>file generated using system</dc:description>
  <dc:subject>2020年10月报告</dc:subject>
  <cp:keywords>隐患排查</cp:keywords>
  <cp:category/>
</cp:coreProperties>
</file>