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隐患动态跟踪表" sheetId="1" r:id="rId4"/>
  </sheets>
  <definedNames/>
  <calcPr calcId="999999" calcMode="auto" calcCompleted="1" fullCalcOnLoad="0"/>
</workbook>
</file>

<file path=xl/sharedStrings.xml><?xml version="1.0" encoding="utf-8"?>
<sst xmlns="http://schemas.openxmlformats.org/spreadsheetml/2006/main" uniqueCount="2860">
  <si>
    <t>潍坊振兴焦化有限公司安全生产KPI指标报表（隐患动态跟踪表）</t>
  </si>
  <si>
    <t>2020年11月</t>
  </si>
  <si>
    <t>隐患基本信息</t>
  </si>
  <si>
    <t>隐患特征</t>
  </si>
  <si>
    <t>数据分析</t>
  </si>
  <si>
    <t>整改方向</t>
  </si>
  <si>
    <t>整改情况</t>
  </si>
  <si>
    <t>序号</t>
  </si>
  <si>
    <t>发现日期</t>
  </si>
  <si>
    <t>区域</t>
  </si>
  <si>
    <t>隐患描述</t>
  </si>
  <si>
    <t>潜在后果</t>
  </si>
  <si>
    <t>状态</t>
  </si>
  <si>
    <t>紧急程度</t>
  </si>
  <si>
    <t>来源</t>
  </si>
  <si>
    <t>隐患类型1</t>
  </si>
  <si>
    <t>隐患类型2</t>
  </si>
  <si>
    <t>隐患类型3</t>
  </si>
  <si>
    <t>隐患类型4</t>
  </si>
  <si>
    <t>发现单位</t>
  </si>
  <si>
    <t>发现人</t>
  </si>
  <si>
    <t>责任部门</t>
  </si>
  <si>
    <t>责任领导</t>
  </si>
  <si>
    <t>整改期限</t>
  </si>
  <si>
    <t>具体位置</t>
  </si>
  <si>
    <t>核查评语</t>
  </si>
  <si>
    <t>后果类别</t>
  </si>
  <si>
    <t>严重性</t>
  </si>
  <si>
    <t>可能性</t>
  </si>
  <si>
    <t>风险级别</t>
  </si>
  <si>
    <t>整改方向1</t>
  </si>
  <si>
    <t>整改方向2</t>
  </si>
  <si>
    <t>整改措施</t>
  </si>
  <si>
    <t>措施数</t>
  </si>
  <si>
    <t>完成数</t>
  </si>
  <si>
    <t>整改进度</t>
  </si>
  <si>
    <t>复查人员</t>
  </si>
  <si>
    <t>复查日期</t>
  </si>
  <si>
    <t>说明</t>
  </si>
  <si>
    <t>19-6-22</t>
  </si>
  <si>
    <t>5.5米脱硫脱硝</t>
  </si>
  <si>
    <t>送医治疗休养3天，一人损工事件</t>
  </si>
  <si>
    <t>已整改</t>
  </si>
  <si>
    <t>一般</t>
  </si>
  <si>
    <t>隐患排查</t>
  </si>
  <si>
    <t>防护缺陷</t>
  </si>
  <si>
    <t>室外作业场地环境不良</t>
  </si>
  <si>
    <t>安全环保处</t>
  </si>
  <si>
    <t>王玉辉</t>
  </si>
  <si>
    <t>炼焦车间</t>
  </si>
  <si>
    <t>刘葆华</t>
  </si>
  <si>
    <t>19-7-27</t>
  </si>
  <si>
    <t>因汽轮机安装，现场监控线路等处于调试阶段，电缆沟盖板近期需经常掀开，应加强现场施工管理。</t>
  </si>
  <si>
    <t>人员伤害</t>
  </si>
  <si>
    <t>C3</t>
  </si>
  <si>
    <t>F3</t>
  </si>
  <si>
    <t>II</t>
  </si>
  <si>
    <t>机械完整性</t>
  </si>
  <si>
    <t>√ 及时恢复临时盖板，保障现场安全。
√ 待现场安装、调试完成，盖板按照规范进行电缆沟覆盖</t>
  </si>
  <si>
    <t>100%</t>
  </si>
  <si>
    <t>19-7-5</t>
  </si>
  <si>
    <t>19-9-8</t>
  </si>
  <si>
    <t>化产车间北风机</t>
  </si>
  <si>
    <t>彩钢瓦掉落伤人</t>
  </si>
  <si>
    <t>设备、设施、工具、附件缺陷</t>
  </si>
  <si>
    <t>其他管理因素缺陷</t>
  </si>
  <si>
    <t>化产车间</t>
  </si>
  <si>
    <t>刘国强</t>
  </si>
  <si>
    <t>刘永鹏</t>
  </si>
  <si>
    <t>19-10-9</t>
  </si>
  <si>
    <t>一号风机进口阀门下部</t>
  </si>
  <si>
    <t>C2</t>
  </si>
  <si>
    <t>III</t>
  </si>
  <si>
    <t>√ 拆除旧钢瓦</t>
  </si>
  <si>
    <t>19-11-1</t>
  </si>
  <si>
    <t>19-9-15</t>
  </si>
  <si>
    <t>化产车间，综合供水</t>
  </si>
  <si>
    <t>一人手部受伤住院，损工半个月</t>
  </si>
  <si>
    <t>辨识功能缺陷</t>
  </si>
  <si>
    <t>其他作业环境不良</t>
  </si>
  <si>
    <t>李爱玲</t>
  </si>
  <si>
    <t>19-10-15</t>
  </si>
  <si>
    <t>供水泵房</t>
  </si>
  <si>
    <t>√ 加固联轴器防护罩。</t>
  </si>
  <si>
    <t>19-10-1</t>
  </si>
  <si>
    <t>2#站工段</t>
  </si>
  <si>
    <t>造成该人员头部轻微磕伤，当时很疼过后没事，不需要治疗</t>
  </si>
  <si>
    <t>其他物理性危险和有害因素</t>
  </si>
  <si>
    <t>室内作业环境不良</t>
  </si>
  <si>
    <t>污水处理车间</t>
  </si>
  <si>
    <t>刘珊珊</t>
  </si>
  <si>
    <t>刘振志</t>
  </si>
  <si>
    <t>19-11-2</t>
  </si>
  <si>
    <t>北加药间</t>
  </si>
  <si>
    <t>C1</t>
  </si>
  <si>
    <t>F4</t>
  </si>
  <si>
    <t>IV</t>
  </si>
  <si>
    <t>√ 拆除废旧的管道阀门</t>
  </si>
  <si>
    <t>19-10-4</t>
  </si>
  <si>
    <t>南风机</t>
  </si>
  <si>
    <t>电器火灾烧坏电捕高压发生器和控制柜</t>
  </si>
  <si>
    <t>付晓寺</t>
  </si>
  <si>
    <t>19-11-5</t>
  </si>
  <si>
    <t>南风机2#电捕</t>
  </si>
  <si>
    <t>财产损失</t>
  </si>
  <si>
    <t>F2</t>
  </si>
  <si>
    <t>√ 线缆加防护套管</t>
  </si>
  <si>
    <t>19-11-3</t>
  </si>
  <si>
    <t>19-10-7</t>
  </si>
  <si>
    <t>化产车间，粗苯岗位</t>
  </si>
  <si>
    <t>一名操作工当场触电送医院救治，住院一周后抢救无效死亡</t>
  </si>
  <si>
    <t>中等</t>
  </si>
  <si>
    <t>电伤害</t>
  </si>
  <si>
    <t>王璇</t>
  </si>
  <si>
    <t>19-11-8</t>
  </si>
  <si>
    <t>终冷器水封液下泵</t>
  </si>
  <si>
    <t>C4</t>
  </si>
  <si>
    <t>I</t>
  </si>
  <si>
    <t>√ 电工人员更换破损线路加新穿线管</t>
  </si>
  <si>
    <t>19-10-8</t>
  </si>
  <si>
    <t>北脱硫</t>
  </si>
  <si>
    <t>一人蒸汽烫伤，去医务室敷药在家休养两天复工。</t>
  </si>
  <si>
    <t>夏园园</t>
  </si>
  <si>
    <t>蒸氨塔底</t>
  </si>
  <si>
    <t>√ 更换破损的胶皮管</t>
  </si>
  <si>
    <t>19-11-6</t>
  </si>
  <si>
    <t>19-10-17</t>
  </si>
  <si>
    <t>化产车间南脱硫岗位</t>
  </si>
  <si>
    <t>轻微灼伤，不影响正常工作。</t>
  </si>
  <si>
    <t>其他行为性危险和有害因素</t>
  </si>
  <si>
    <t>吴香爱</t>
  </si>
  <si>
    <t>19-11-17</t>
  </si>
  <si>
    <t>洗眼器</t>
  </si>
  <si>
    <t>√ 维修洗眼器喷淋阀门。</t>
  </si>
  <si>
    <t>19-10-18</t>
  </si>
  <si>
    <t>干熄焦区域</t>
  </si>
  <si>
    <t>人员右臂割伤，大量出血，损工7天</t>
  </si>
  <si>
    <t>刘萌</t>
  </si>
  <si>
    <t>何勇</t>
  </si>
  <si>
    <t>19-11-18</t>
  </si>
  <si>
    <t>干熄焦冷焦带通廊</t>
  </si>
  <si>
    <t>标准、流程</t>
  </si>
  <si>
    <t>√ 联系电工安装照明灯
√ 巡检人员佩戴手电</t>
  </si>
  <si>
    <t>19-10-19</t>
  </si>
  <si>
    <t>压缩岗位</t>
  </si>
  <si>
    <t>一人脚踝扭伤，损工30天</t>
  </si>
  <si>
    <t>化工厂</t>
  </si>
  <si>
    <t>张金龙</t>
  </si>
  <si>
    <t>尹万春</t>
  </si>
  <si>
    <t>压缩机</t>
  </si>
  <si>
    <t>工艺安全信息</t>
  </si>
  <si>
    <t>√ 及时通知活门人员收回指定位置</t>
  </si>
  <si>
    <t>19-11-20</t>
  </si>
  <si>
    <t>已及时回收活门</t>
  </si>
  <si>
    <t>吸氨岗位</t>
  </si>
  <si>
    <t>造成一名操作工腿部擦伤脚腕扭伤，损工2天。</t>
  </si>
  <si>
    <t>刘长军</t>
  </si>
  <si>
    <t>19-11-19</t>
  </si>
  <si>
    <t>氨水循环槽处</t>
  </si>
  <si>
    <t>直线责任</t>
  </si>
  <si>
    <t>√ 更换盖板或者用铁板覆盖</t>
  </si>
  <si>
    <t>已更换盖板</t>
  </si>
  <si>
    <t>19-10-20</t>
  </si>
  <si>
    <t>除盐水站</t>
  </si>
  <si>
    <t>右肩及上臂烫伤，损工5天</t>
  </si>
  <si>
    <t>高温物质</t>
  </si>
  <si>
    <t>钱江红</t>
  </si>
  <si>
    <t>19-11-22</t>
  </si>
  <si>
    <t>超浓水水池西侧</t>
  </si>
  <si>
    <t>蒸汽管道阀门体温度高，加强警示和严格劳保穿戴，对外漏部分进行保温隔离</t>
  </si>
  <si>
    <t>√ 严格劳保穿戴，悬挂警示牌进行警示提示
√ 加装保温进行防护隔离</t>
  </si>
  <si>
    <t>19-10-22</t>
  </si>
  <si>
    <t>人员腹部被钢筋刺入，损工100天。</t>
  </si>
  <si>
    <t>孙连祥</t>
  </si>
  <si>
    <t>除盐水污水池排污沟</t>
  </si>
  <si>
    <t>问题虽小，但可能造成大的后果，应及时 消除</t>
  </si>
  <si>
    <t>√ 割除多余钢筋，确保地沟防护板达到有效状态</t>
  </si>
  <si>
    <t>19-10-23</t>
  </si>
  <si>
    <t>汽轮机</t>
  </si>
  <si>
    <t>诊断为左小腿浅二度烫伤，损工15天。</t>
  </si>
  <si>
    <t>戴晓宁</t>
  </si>
  <si>
    <t>孙建雷</t>
  </si>
  <si>
    <t>19-11-25</t>
  </si>
  <si>
    <t>主控楼顶3#减温减压</t>
  </si>
  <si>
    <t>蒸汽泄漏必须及时处理防止人员和设备问题出现</t>
  </si>
  <si>
    <t>√ 卸压至常压后焊补漏点</t>
  </si>
  <si>
    <t>19-11-7</t>
  </si>
  <si>
    <t>19-10-24</t>
  </si>
  <si>
    <t>污水处理车间深度处理</t>
  </si>
  <si>
    <t>管道腐蚀</t>
  </si>
  <si>
    <t>赵英</t>
  </si>
  <si>
    <t>加药间</t>
  </si>
  <si>
    <t>情景描述中一天内处理完毕是整改完成了吗？还是别的什么？</t>
  </si>
  <si>
    <t>F1</t>
  </si>
  <si>
    <t>√ 维修漏点</t>
  </si>
  <si>
    <t>19-10-26</t>
  </si>
  <si>
    <t>漏点已焊补，整改完成</t>
  </si>
  <si>
    <t>19-10-25</t>
  </si>
  <si>
    <t>汽轮机停机、轴瓦烧毁，火灾事故。</t>
  </si>
  <si>
    <t>吴长禄</t>
  </si>
  <si>
    <t>汽轮机5米平台</t>
  </si>
  <si>
    <t>泄漏不仅造成污染也有安全风险，需消除</t>
  </si>
  <si>
    <t>√ 消除泄漏，确保静密封点泄漏率达标</t>
  </si>
  <si>
    <t>污水处理三号站</t>
  </si>
  <si>
    <t>人员小腿灼伤，住院治疗一个月。</t>
  </si>
  <si>
    <t>行为性危险有害因素</t>
  </si>
  <si>
    <t>逯洪帅</t>
  </si>
  <si>
    <t>调节池</t>
  </si>
  <si>
    <t>√ 更换黑胶管</t>
  </si>
  <si>
    <t>19-10-30</t>
  </si>
  <si>
    <t>整改完成</t>
  </si>
  <si>
    <t>3#站化验室</t>
  </si>
  <si>
    <t>触电就医</t>
  </si>
  <si>
    <t>张娜</t>
  </si>
  <si>
    <t>19-11-29</t>
  </si>
  <si>
    <t>化验室蒸样用通风橱内</t>
  </si>
  <si>
    <t>情景描述不完整，</t>
  </si>
  <si>
    <t>√ 维修更换配电箱盖子，后果描述</t>
  </si>
  <si>
    <t>19-10-27</t>
  </si>
  <si>
    <t>化产车间北脱硫</t>
  </si>
  <si>
    <t>右手手指划伤，简单包扎后不影响工作。</t>
  </si>
  <si>
    <t>张广梅</t>
  </si>
  <si>
    <t>19-11-27</t>
  </si>
  <si>
    <t>北脱硫西南角</t>
  </si>
  <si>
    <t>√ 更换电机防护罩
√ 检修氨水泵，加固电机防护罩</t>
  </si>
  <si>
    <t>化学水除盐水池</t>
  </si>
  <si>
    <t>人员坠落造成腿部骨折，住院治疗一个月，损工一个月</t>
  </si>
  <si>
    <t>关闭</t>
  </si>
  <si>
    <t>职业安全卫生投入不足</t>
  </si>
  <si>
    <t>热力车间</t>
  </si>
  <si>
    <t>杨振斌</t>
  </si>
  <si>
    <t>除盐水池</t>
  </si>
  <si>
    <t>池顶部已设巡检路线标识 且该处巡检频次低</t>
  </si>
  <si>
    <t>0%</t>
  </si>
  <si>
    <t>19-10-28</t>
  </si>
  <si>
    <t>平台破损，腿部受伤。</t>
  </si>
  <si>
    <t>杨爱富</t>
  </si>
  <si>
    <t>19-11-28</t>
  </si>
  <si>
    <t>初冷器附属设备</t>
  </si>
  <si>
    <t>隐患描述和后果描述尽可能完整</t>
  </si>
  <si>
    <t>√ 更换平台铁板</t>
  </si>
  <si>
    <t>化产车间，东硫铵</t>
  </si>
  <si>
    <t>电机发热烧毁，造成经济损失三千元</t>
  </si>
  <si>
    <t>刘健</t>
  </si>
  <si>
    <t>小母液泵</t>
  </si>
  <si>
    <t>√ 更换小母液泵电机后防护罩</t>
  </si>
  <si>
    <t>化工厂吸氨岗位</t>
  </si>
  <si>
    <t>造成一名操作工氨水溅入眼内，送医务室救治，损工两天。</t>
  </si>
  <si>
    <t>刘树娟</t>
  </si>
  <si>
    <t>刘正君</t>
  </si>
  <si>
    <t>氨水储槽</t>
  </si>
  <si>
    <t>√ 更换乳胶管。</t>
  </si>
  <si>
    <t>19-10-29</t>
  </si>
  <si>
    <t>住院治疗一个月</t>
  </si>
  <si>
    <t>张广顺</t>
  </si>
  <si>
    <t>19-11-30</t>
  </si>
  <si>
    <t>西硫铵</t>
  </si>
  <si>
    <t>危害后果判断错误！</t>
  </si>
  <si>
    <t>√ 更换破损的地沟盖板</t>
  </si>
  <si>
    <t>脸部被碱液灼伤面部红肿休养三天后复工。</t>
  </si>
  <si>
    <t>高联名</t>
  </si>
  <si>
    <t>碱液泵处</t>
  </si>
  <si>
    <t>√ 按照规范保准，佩戴防护罩，胶皮手套</t>
  </si>
  <si>
    <t>空分</t>
  </si>
  <si>
    <t>一名操作工脚踝扭伤，住院治疗15天，损工15天</t>
  </si>
  <si>
    <t>杨春水</t>
  </si>
  <si>
    <t>空分岗位</t>
  </si>
  <si>
    <t>启动前安全审核</t>
  </si>
  <si>
    <t>√ 严格检修现场工完料净场地清制度，及时清理</t>
  </si>
  <si>
    <t>冷却水管已及时清理</t>
  </si>
  <si>
    <t>转化岗位</t>
  </si>
  <si>
    <t>一名维修工脸部烫伤送医院治疗损工7天</t>
  </si>
  <si>
    <t>董云峰</t>
  </si>
  <si>
    <t>2号废热锅炉</t>
  </si>
  <si>
    <t>√ 作业时劳保穿戴安全防护</t>
  </si>
  <si>
    <t>仪表已更换液位计垫子</t>
  </si>
  <si>
    <t>离心岗位</t>
  </si>
  <si>
    <t>氨水溅入眼睛导致眼睛灼伤，送医治疗一周，损工一周。</t>
  </si>
  <si>
    <t>初爱华</t>
  </si>
  <si>
    <t>晶分池入口管线阀门</t>
  </si>
  <si>
    <t>√ 通知维修堵漏，操作时按规定带护目镜</t>
  </si>
  <si>
    <t>劳保防护，维修已堵漏处理</t>
  </si>
  <si>
    <t>一维修工右手冻伤，损工两天</t>
  </si>
  <si>
    <t>吴轲</t>
  </si>
  <si>
    <t>19-12-1</t>
  </si>
  <si>
    <t>液氧储槽</t>
  </si>
  <si>
    <t>√ 作业时做好劳动防护措施</t>
  </si>
  <si>
    <t>维修已更换垫子</t>
  </si>
  <si>
    <t>19-10-31</t>
  </si>
  <si>
    <t>化工厂，叉车充电区</t>
  </si>
  <si>
    <t>叉车司机右脚拇指粉碎性骨折，住院30天，损工90天</t>
  </si>
  <si>
    <t>刘东东</t>
  </si>
  <si>
    <t>19-11-15</t>
  </si>
  <si>
    <t>充电桩房内</t>
  </si>
  <si>
    <t>√ 停车拉手刹。</t>
  </si>
  <si>
    <t>压缩岗位压缩机</t>
  </si>
  <si>
    <t>脚腕崴伤，损工治疗60天。</t>
  </si>
  <si>
    <t>操作错误</t>
  </si>
  <si>
    <t>张立刚</t>
  </si>
  <si>
    <t>2#压缩机电机基础</t>
  </si>
  <si>
    <t>√ 通知维修人员用铁板盖严。</t>
  </si>
  <si>
    <t>蒸汽泄漏，烫伤手部</t>
  </si>
  <si>
    <t>建筑物和其他结构缺陷</t>
  </si>
  <si>
    <t>南风机初冷器</t>
  </si>
  <si>
    <t>√ 更换阀门或压盘根</t>
  </si>
  <si>
    <t>19-12-2</t>
  </si>
  <si>
    <t>4.3米焦炉</t>
  </si>
  <si>
    <t>人在经过时，碰到护栏，可能存在承受不住人的体重，造成护栏断裂</t>
  </si>
  <si>
    <t>物理性危险和有害因素</t>
  </si>
  <si>
    <t>于兰波</t>
  </si>
  <si>
    <t>房军</t>
  </si>
  <si>
    <t>焦侧护栏</t>
  </si>
  <si>
    <t>× 联系维修焊接
× 周边清理</t>
  </si>
  <si>
    <t>19-12-3</t>
  </si>
  <si>
    <t>装置已经停止运行</t>
  </si>
  <si>
    <t>一人损工事故</t>
  </si>
  <si>
    <t>刘明明</t>
  </si>
  <si>
    <t>脱硫脱硝</t>
  </si>
  <si>
    <t>设备调试</t>
  </si>
  <si>
    <t>4.3米脱硫脱硝</t>
  </si>
  <si>
    <t>一名巡检工脸部被铁丝划伤，送医务室轻微包扎后恢复健康。</t>
  </si>
  <si>
    <t>田震</t>
  </si>
  <si>
    <t>高压风机</t>
  </si>
  <si>
    <t>× 人员清理
× 整理整顿</t>
  </si>
  <si>
    <t>化工厂精炼工段</t>
  </si>
  <si>
    <t>造成一名操作工休息3小时后复工。</t>
  </si>
  <si>
    <t>赵秀生</t>
  </si>
  <si>
    <t>19-11-10</t>
  </si>
  <si>
    <t>精炼工段2号冰机</t>
  </si>
  <si>
    <t>√ 通知维修紧固填料。</t>
  </si>
  <si>
    <t>包装机</t>
  </si>
  <si>
    <t>经医生检查轻微擦伤简单处理后立即复工</t>
  </si>
  <si>
    <t>刘炳焰</t>
  </si>
  <si>
    <t>√ 规范放置牢靠，不用及时清理。</t>
  </si>
  <si>
    <t>20-1-15</t>
  </si>
  <si>
    <t>蒸汽泄漏，人员手部烫伤</t>
  </si>
  <si>
    <t>刘立聪</t>
  </si>
  <si>
    <t>初冷器</t>
  </si>
  <si>
    <t>√ 漏气阀门重新压盘根</t>
  </si>
  <si>
    <t>一人左手臂骨折，住院一个月。</t>
  </si>
  <si>
    <t>张昆</t>
  </si>
  <si>
    <t>√ 停止作业，进行安全措施落实，佩戴安全带后在进行作业。</t>
  </si>
  <si>
    <t>烫伤</t>
  </si>
  <si>
    <t>张伟波</t>
  </si>
  <si>
    <t>西硫铵二号蒸汽水包</t>
  </si>
  <si>
    <t>√ 根据压力值设立警示红线</t>
  </si>
  <si>
    <t>人员触电死亡</t>
  </si>
  <si>
    <t>赵延林</t>
  </si>
  <si>
    <t>老加药间</t>
  </si>
  <si>
    <t>描述不完整，裸露的开关盒能触电死亡发生大概率是否未F3。</t>
  </si>
  <si>
    <t>化产车间东冷凝</t>
  </si>
  <si>
    <t>脸部轻微烫伤，送医务室包扎修养一天、损工事件</t>
  </si>
  <si>
    <t>赵高青</t>
  </si>
  <si>
    <t>东澄清槽</t>
  </si>
  <si>
    <t>损工限工应为C3。</t>
  </si>
  <si>
    <t>化工厂脱硫岗位</t>
  </si>
  <si>
    <t>一名操作工手部擦伤，手臂磕伤，涂药后复工</t>
  </si>
  <si>
    <t>于瀛兰</t>
  </si>
  <si>
    <t>脱硫区域后</t>
  </si>
  <si>
    <t>工艺安全分析</t>
  </si>
  <si>
    <t>√ 将多余钢筋移除</t>
  </si>
  <si>
    <t>一人绊倒，跌落地面，头部着地，造成骨折，损工180天</t>
  </si>
  <si>
    <t>刘海岗</t>
  </si>
  <si>
    <t>2#炉机侧平台</t>
  </si>
  <si>
    <t>计划已经提报</t>
  </si>
  <si>
    <t>化产车间南脱硫</t>
  </si>
  <si>
    <t>下液管煤气泄漏，人员身体轻微不适休息片刻不影响工作。</t>
  </si>
  <si>
    <t>刘云霞</t>
  </si>
  <si>
    <t>1#水封</t>
  </si>
  <si>
    <t>√ 维修检查，法兰螺栓紧固。设立警示牌。</t>
  </si>
  <si>
    <t>眼部轻微灼伤，治疗5天，损工一个月</t>
  </si>
  <si>
    <t>李贞涛</t>
  </si>
  <si>
    <t>熔硫釜室二楼</t>
  </si>
  <si>
    <t>√ 更换回液阀门垫子</t>
  </si>
  <si>
    <t>划伤手轻微伤，已复工</t>
  </si>
  <si>
    <t>葛立艳</t>
  </si>
  <si>
    <t>冷凝氨水管道</t>
  </si>
  <si>
    <t>√ 清除管道上方铝皮</t>
  </si>
  <si>
    <t>人员伤害，环保事故</t>
  </si>
  <si>
    <t>王峰</t>
  </si>
  <si>
    <t>卸酸槽打酸阀门</t>
  </si>
  <si>
    <t>危害描述尽可能详细具体。</t>
  </si>
  <si>
    <t>√ 阀门连接法兰采取铝皮包覆，防止压力过大喷溅</t>
  </si>
  <si>
    <t>腿部轻微划伤，经包扎后正常工作。</t>
  </si>
  <si>
    <t>党传清</t>
  </si>
  <si>
    <t>北风机</t>
  </si>
  <si>
    <t>√ 阀门平台处加铁板封堵漏洞</t>
  </si>
  <si>
    <t>人员划伤，管道冻裂，设备损坏！</t>
  </si>
  <si>
    <t>离心机冲洗管道</t>
  </si>
  <si>
    <t>√ 清除废旧铝皮，管线保温</t>
  </si>
  <si>
    <t>母液泄露，环保事故！</t>
  </si>
  <si>
    <t>饱和器顶部阀门</t>
  </si>
  <si>
    <t>环境污染</t>
  </si>
  <si>
    <t>√ 补齐螺栓</t>
  </si>
  <si>
    <t>腿部烫伤，去医院简单治疗后上班，无损工</t>
  </si>
  <si>
    <t>付海德</t>
  </si>
  <si>
    <t>19-12-4</t>
  </si>
  <si>
    <t>蒸氨塔</t>
  </si>
  <si>
    <t>√ 更换蒸汽吹扫管</t>
  </si>
  <si>
    <t>1号站</t>
  </si>
  <si>
    <t>人员失足掉落，溺亡</t>
  </si>
  <si>
    <t>鹿敏敏</t>
  </si>
  <si>
    <t>19-12-8</t>
  </si>
  <si>
    <t>生化工段</t>
  </si>
  <si>
    <t>√ 恢复水池封盖板</t>
  </si>
  <si>
    <t>19-11-4</t>
  </si>
  <si>
    <t>膝盖擦伤，送往医务室消炎后回岗位继续操作。</t>
  </si>
  <si>
    <t>王彩红</t>
  </si>
  <si>
    <t>19-12-5</t>
  </si>
  <si>
    <t>苯罐西侧</t>
  </si>
  <si>
    <t>√ 清理现场杂物，管道。</t>
  </si>
  <si>
    <t>硫铵岗位，化产车间</t>
  </si>
  <si>
    <t>一名操作工经过管架底部时右侧肩部划伤，送医务室包扎处理。</t>
  </si>
  <si>
    <t>孟凡鲁</t>
  </si>
  <si>
    <t>√ 清理管道上部保温铝皮</t>
  </si>
  <si>
    <t>设备损害，经济损失三万元</t>
  </si>
  <si>
    <t>张传良</t>
  </si>
  <si>
    <t>东硫铵</t>
  </si>
  <si>
    <t>√ 电仪人员查明原因，更换接触器和线路</t>
  </si>
  <si>
    <t>手部擦伤送医院治疗包扎。回岗位继续工作。</t>
  </si>
  <si>
    <t>高德钦</t>
  </si>
  <si>
    <t>√ 加固松动的联轴器</t>
  </si>
  <si>
    <t>19-12-17</t>
  </si>
  <si>
    <t>一名维修工造成轻微烫伤。</t>
  </si>
  <si>
    <t>刘洪光</t>
  </si>
  <si>
    <t>西硫铵热水槽</t>
  </si>
  <si>
    <t>√ 悬挂“高温，注意灼烫”警示牌，或置换合格泄压后维修进行焊补漏点</t>
  </si>
  <si>
    <t>化工厂合成区域</t>
  </si>
  <si>
    <t>一名操作工右小腿骨折，住院治疗，损工30天</t>
  </si>
  <si>
    <t>张聪祥</t>
  </si>
  <si>
    <t>合成取暖罐</t>
  </si>
  <si>
    <t>√ 按装上下爬梯注意安全警示牌。</t>
  </si>
  <si>
    <t>已安装警示牌子</t>
  </si>
  <si>
    <t>电机烧毁，设备损坏</t>
  </si>
  <si>
    <t>秦顺东</t>
  </si>
  <si>
    <t>南脱硫</t>
  </si>
  <si>
    <t>√ 剪板机接线处才粗防雨措施，电工对接头重新包覆</t>
  </si>
  <si>
    <t>5.5煤塔</t>
  </si>
  <si>
    <t>人员伤亡</t>
  </si>
  <si>
    <t>张建强</t>
  </si>
  <si>
    <t>备煤区域</t>
  </si>
  <si>
    <t>化产车间，深度脫硫</t>
  </si>
  <si>
    <t>颈部轻微烫伤，经医务室简单处理后，能正常上班，无损工</t>
  </si>
  <si>
    <t>王海国</t>
  </si>
  <si>
    <t>深度脱硫</t>
  </si>
  <si>
    <t>√ 更换蒸汽管道或泄压后焊补蒸汽管道漏点</t>
  </si>
  <si>
    <t>19-12-22</t>
  </si>
  <si>
    <t>造成操作人员轻微触电，休息片刻继续工作。</t>
  </si>
  <si>
    <t>马卫东</t>
  </si>
  <si>
    <t>粗苯地下放空槽东侧</t>
  </si>
  <si>
    <t>√ 加装接地线</t>
  </si>
  <si>
    <t>及时脱离电源，没有受到伤害，只是被吓到。</t>
  </si>
  <si>
    <t>隐患排查很好，但是描述时要写清楚是电源线接头未防护好</t>
  </si>
  <si>
    <t>√ 规范电源线接头</t>
  </si>
  <si>
    <t>一名操作工视网膜灼伤，治疗2个月出院，限工两个月。</t>
  </si>
  <si>
    <t>废气回收喷淋泵</t>
  </si>
  <si>
    <t>√ 维修更换机械密封。</t>
  </si>
  <si>
    <t>5.5米焦炉</t>
  </si>
  <si>
    <t>一名工人腿部骨折，送医治疗半个月，在家修养三个月</t>
  </si>
  <si>
    <t>刘树秀</t>
  </si>
  <si>
    <t>王安博</t>
  </si>
  <si>
    <t>干熄车</t>
  </si>
  <si>
    <t>√ 安装防滑条
√ 在此期间注意防护</t>
  </si>
  <si>
    <t>20-1-13</t>
  </si>
  <si>
    <t>5.5米扒焦</t>
  </si>
  <si>
    <t>人员高处坠落，送医抢救无效，死亡</t>
  </si>
  <si>
    <t>脚手架、阶梯或活动梯架缺陷</t>
  </si>
  <si>
    <t>于林海</t>
  </si>
  <si>
    <t>干熄炉东侧除尘</t>
  </si>
  <si>
    <t>√ 维修焊补
√ 三班人员未修复以前禁止进入</t>
  </si>
  <si>
    <t>5.5.炼焦车间</t>
  </si>
  <si>
    <t>人员大腿骨折，住院治疗一个月，在家休息三个月。</t>
  </si>
  <si>
    <t>张仁良</t>
  </si>
  <si>
    <t>炉顶</t>
  </si>
  <si>
    <t>√ 维修焊补
√ 注意防护</t>
  </si>
  <si>
    <t>20-1-3</t>
  </si>
  <si>
    <t>东焦场</t>
  </si>
  <si>
    <t>一名工人头部脑震荡，送医治疗一个月，在家修养半年</t>
  </si>
  <si>
    <t>张起华</t>
  </si>
  <si>
    <t>朱冬梅</t>
  </si>
  <si>
    <t>19-12-7</t>
  </si>
  <si>
    <t>除尘</t>
  </si>
  <si>
    <t>√ 设置警戒带
√ 人员监护</t>
  </si>
  <si>
    <t>设置警戒带进行隔离</t>
  </si>
  <si>
    <t>5.5米炉顶</t>
  </si>
  <si>
    <t>人员高处坠落，由于摔伤比较严重，经抢救无效死亡</t>
  </si>
  <si>
    <t>赵永祥</t>
  </si>
  <si>
    <t>炉顶焦侧</t>
  </si>
  <si>
    <t>√ 维修焊补
√ 未焊之前禁止人员上去</t>
  </si>
  <si>
    <t>5.5米筛焦楼</t>
  </si>
  <si>
    <t>送医抢救无效，人员伤亡。</t>
  </si>
  <si>
    <t>姚兴军</t>
  </si>
  <si>
    <t>5.5米筛焦楼窗户</t>
  </si>
  <si>
    <t>此地人员禁止过去</t>
  </si>
  <si>
    <t>粗苯</t>
  </si>
  <si>
    <t>跌落地面，腿部受伤，误工三个月</t>
  </si>
  <si>
    <t>南再生器</t>
  </si>
  <si>
    <t>√ 加固护栏。</t>
  </si>
  <si>
    <t>住院1个月，回家休养2个月康复，损工90天。</t>
  </si>
  <si>
    <t>于观彦</t>
  </si>
  <si>
    <t>测换地下室东通廊</t>
  </si>
  <si>
    <t>√ 水泥重新摸不
√ 设置警示装置提醒</t>
  </si>
  <si>
    <t>19-12-27</t>
  </si>
  <si>
    <t>热修人员进行地面重新摸补</t>
  </si>
  <si>
    <t>送医救治，脚踝骨折，损工30天。</t>
  </si>
  <si>
    <t>职业健康管理不完善</t>
  </si>
  <si>
    <t>转化</t>
  </si>
  <si>
    <t>√ 清理沙袋规范存放</t>
  </si>
  <si>
    <t>消防沙袋已及时清理</t>
  </si>
  <si>
    <t>造成环境污染，车间组织人员及时打扫干净，未造成人员伤害。</t>
  </si>
  <si>
    <t>健康状况异常</t>
  </si>
  <si>
    <t>孙绍华</t>
  </si>
  <si>
    <t>北脱硫溶液换热器</t>
  </si>
  <si>
    <t>√ 更换溶液换热器封头垫子</t>
  </si>
  <si>
    <t>化产车间脱硫工段</t>
  </si>
  <si>
    <t>划伤颈部，去医院简单治疗后上班，无损工</t>
  </si>
  <si>
    <t>刘金强</t>
  </si>
  <si>
    <t>19-12-6</t>
  </si>
  <si>
    <t>北脱硫东管架</t>
  </si>
  <si>
    <t>√ 清除废旧铝皮</t>
  </si>
  <si>
    <t>造成人员右臂骨折住院15天，在家修养90天。</t>
  </si>
  <si>
    <t>运动物伤害</t>
  </si>
  <si>
    <t>张安增</t>
  </si>
  <si>
    <t>车辆行驶禁止人员在内</t>
  </si>
  <si>
    <t>5.5米抑尘项目</t>
  </si>
  <si>
    <t>造成人员面部割伤，损工7天。</t>
  </si>
  <si>
    <t>张晓燕</t>
  </si>
  <si>
    <t>余热锅炉前烟道处</t>
  </si>
  <si>
    <t>项目施工保温还未结束</t>
  </si>
  <si>
    <t>小腿擦伤</t>
  </si>
  <si>
    <t>牟景军</t>
  </si>
  <si>
    <t>化产车间粗苯</t>
  </si>
  <si>
    <t>√ 更换盖板</t>
  </si>
  <si>
    <t>一名施工人员当场死亡，设备严重损毁</t>
  </si>
  <si>
    <t>紧急</t>
  </si>
  <si>
    <t>任成华</t>
  </si>
  <si>
    <t>粗苯北系统地下放空槽</t>
  </si>
  <si>
    <t>能发现重大日常身边隐患，而且经常被职工忽略。很有警示意义！</t>
  </si>
  <si>
    <t>√ 立即整改，临时用电配电箱设置到非防爆区，安装接地线，防雨罩，保持安全距离。</t>
  </si>
  <si>
    <t>限工一个月</t>
  </si>
  <si>
    <t>刘胜胜</t>
  </si>
  <si>
    <t>√ 更换阀门</t>
  </si>
  <si>
    <t>外协人员在阀门下放料时，滴落的高温液体有可能将人员烫伤。</t>
  </si>
  <si>
    <t>钱勇</t>
  </si>
  <si>
    <t>熔硫釜一层</t>
  </si>
  <si>
    <t>√ 更换阀门盘根</t>
  </si>
  <si>
    <t>刘强</t>
  </si>
  <si>
    <t>√ 加固爬梯</t>
  </si>
  <si>
    <t>因人员头戴安全帽，轻微脑振荡，住院一周。</t>
  </si>
  <si>
    <t>刘善华</t>
  </si>
  <si>
    <t>风机西侧</t>
  </si>
  <si>
    <t>√ 根据计划更换彩钢瓦
√ 设立警戒区，防止无关人员进入。</t>
  </si>
  <si>
    <t>19-11-9</t>
  </si>
  <si>
    <t>班长室东侧管架</t>
  </si>
  <si>
    <t>送医院鉴定脚部骨折，打石膏修养3月损工事件</t>
  </si>
  <si>
    <t>赵志军</t>
  </si>
  <si>
    <t>班长室</t>
  </si>
  <si>
    <t>√ 立即停止作业，进行安全交底。落实安全措施落实</t>
  </si>
  <si>
    <t>造成人员伤亡，设备损毁长时间停产。</t>
  </si>
  <si>
    <t>刘善勇</t>
  </si>
  <si>
    <t>北系统管式炉</t>
  </si>
  <si>
    <t>√ 更换炉头燃烧器</t>
  </si>
  <si>
    <t>事故导致一人死亡</t>
  </si>
  <si>
    <t>孙希昱</t>
  </si>
  <si>
    <t>4.3米脱硫脱硝现场</t>
  </si>
  <si>
    <t>位置填写错误</t>
  </si>
  <si>
    <t>一人右眼灼伤，送医救治，损工5天。</t>
  </si>
  <si>
    <t>刘林</t>
  </si>
  <si>
    <t>19-12-15</t>
  </si>
  <si>
    <t>脱硫泵</t>
  </si>
  <si>
    <t>质量保证</t>
  </si>
  <si>
    <t>√ 打卡子紧固，作业时注意防护</t>
  </si>
  <si>
    <t>打夹子紧固，已整改</t>
  </si>
  <si>
    <t>眼睛灼伤</t>
  </si>
  <si>
    <t>张迎华</t>
  </si>
  <si>
    <t>初冷器冷凝液泵</t>
  </si>
  <si>
    <t>√ 设立警示牌
√ 更换管道</t>
  </si>
  <si>
    <t>对泄漏点粘补堵漏</t>
  </si>
  <si>
    <t>轻微烫伤，去医务室消毒，回岗位工作</t>
  </si>
  <si>
    <t>于松江</t>
  </si>
  <si>
    <t>北风机冷凝液灌</t>
  </si>
  <si>
    <t>√ 设立警示牌，处理阀门泄露点</t>
  </si>
  <si>
    <t>人员轻微烫伤</t>
  </si>
  <si>
    <t>东冷凝</t>
  </si>
  <si>
    <t>√ 维修人员处理泄露点
× 适当时机更换管道</t>
  </si>
  <si>
    <t>一人颈部划伤事件，损工三天。</t>
  </si>
  <si>
    <t>刘朋</t>
  </si>
  <si>
    <t>接班室</t>
  </si>
  <si>
    <t>√ 通知电工进行固定。</t>
  </si>
  <si>
    <t>电工已重新固定</t>
  </si>
  <si>
    <t>造成一名员工受伤，送医抢救无效死亡</t>
  </si>
  <si>
    <t>宋华秀</t>
  </si>
  <si>
    <t>19-12-10</t>
  </si>
  <si>
    <t>机侧集气管道</t>
  </si>
  <si>
    <t>√ 及时进行整改
√ 现场加强监护</t>
  </si>
  <si>
    <t>造成一名操作工受重伤，送医抢救无效死亡。</t>
  </si>
  <si>
    <t>王勇</t>
  </si>
  <si>
    <t>焦侧上升管操作平台</t>
  </si>
  <si>
    <t>√ 加固平台
√ 及时防腐清理平台</t>
  </si>
  <si>
    <t>一名维修人员灼伤，简单冲洗后无碍。</t>
  </si>
  <si>
    <t>标志缺陷</t>
  </si>
  <si>
    <t>黄兆华</t>
  </si>
  <si>
    <t>19-12-9</t>
  </si>
  <si>
    <t>循环水池</t>
  </si>
  <si>
    <t>√ 悬挂警示牌</t>
  </si>
  <si>
    <t>地面被母液腐蚀，造成环境污染。</t>
  </si>
  <si>
    <t>二楼回流管</t>
  </si>
  <si>
    <t>√ 更换法兰垫子</t>
  </si>
  <si>
    <t>一名操作人员轻微烫伤，不影响正常工作。</t>
  </si>
  <si>
    <t>刘燕</t>
  </si>
  <si>
    <t>冷凝液罐上部</t>
  </si>
  <si>
    <t>√ 更换腐蚀的吹扫管</t>
  </si>
  <si>
    <t>一名外来人员轻微烫伤。</t>
  </si>
  <si>
    <t>李栋</t>
  </si>
  <si>
    <t>刘建明</t>
  </si>
  <si>
    <t>√ 作业现场设立警戒线</t>
  </si>
  <si>
    <t>人员触电</t>
  </si>
  <si>
    <t>刘洪芳</t>
  </si>
  <si>
    <t>配电室</t>
  </si>
  <si>
    <t>隐患描述不完整，危害后果表述简单</t>
  </si>
  <si>
    <t>南冷凝</t>
  </si>
  <si>
    <t>手部受伤，包轧后继续上班</t>
  </si>
  <si>
    <t>泵房</t>
  </si>
  <si>
    <t>隐患提报人员域账号不符</t>
  </si>
  <si>
    <t>一人轻微烫伤，不影响正常工作。</t>
  </si>
  <si>
    <t>深度脱硫熔硫釜一层</t>
  </si>
  <si>
    <t>√ 阀门法兰更换盘根</t>
  </si>
  <si>
    <t>损工一周</t>
  </si>
  <si>
    <t>路明</t>
  </si>
  <si>
    <t>熔硫釜操作间</t>
  </si>
  <si>
    <t>√ 加固焊接爬梯踏板</t>
  </si>
  <si>
    <t>备煤煤线岗位及配电室</t>
  </si>
  <si>
    <t>身体受伤，损工45天。</t>
  </si>
  <si>
    <t>备煤车间</t>
  </si>
  <si>
    <t>刘锡玉</t>
  </si>
  <si>
    <t>煤八室外爬梯</t>
  </si>
  <si>
    <t>√ 对该处电缆桥架盖板进行加固，并对其它高处设施进行安全检查，防止类似事故的发生。</t>
  </si>
  <si>
    <t>一人轻微煤气中毒，无损工</t>
  </si>
  <si>
    <t>刘振</t>
  </si>
  <si>
    <t>脱硫塔</t>
  </si>
  <si>
    <t>√ 更换风向标</t>
  </si>
  <si>
    <t>化工厂碳化岗位</t>
  </si>
  <si>
    <t>一人轻伤，砸上肩膀及手臂，同时肩部骨裂，损工15天</t>
  </si>
  <si>
    <t>张春宁</t>
  </si>
  <si>
    <t>19-11-16</t>
  </si>
  <si>
    <t>回收塔西侧</t>
  </si>
  <si>
    <t>√ 大班按排人员复位</t>
  </si>
  <si>
    <t>已安排人员复位</t>
  </si>
  <si>
    <t>深度处理</t>
  </si>
  <si>
    <t>腿部溅上少量盐酸，就近用清水冲洗后无碍。</t>
  </si>
  <si>
    <t>化学性危险和有害因素</t>
  </si>
  <si>
    <t>吴玉才</t>
  </si>
  <si>
    <t>19-11-13</t>
  </si>
  <si>
    <t>盐酸储罐</t>
  </si>
  <si>
    <t>√ 更换法兰紧固螺栓</t>
  </si>
  <si>
    <t>法兰螺栓已更换并紧固</t>
  </si>
  <si>
    <t>备煤西线岗位及配电室</t>
  </si>
  <si>
    <t>小腿骨折，损工101天</t>
  </si>
  <si>
    <t>房玉萍</t>
  </si>
  <si>
    <t>洗车机南侧</t>
  </si>
  <si>
    <t>√ 尽快将篦子缺失部分补齐，加强巡检，及时发现隐患和整改，避免类似事故的发生。</t>
  </si>
  <si>
    <t>一名操作工轻微扭伤，但不影响工作。</t>
  </si>
  <si>
    <t>职业安全卫生责任制未落实</t>
  </si>
  <si>
    <t>刘世德</t>
  </si>
  <si>
    <t>脱硫压滤机</t>
  </si>
  <si>
    <t>√ 搭设脚手架</t>
  </si>
  <si>
    <t>19-12-16</t>
  </si>
  <si>
    <t>造成一名操作工双腿骨折，损工六个月。</t>
  </si>
  <si>
    <t>张雨安</t>
  </si>
  <si>
    <t>于连成</t>
  </si>
  <si>
    <t>20-2-3</t>
  </si>
  <si>
    <t>西区老系统水池平台</t>
  </si>
  <si>
    <t>√ 重新制作铁质盖板，刷漆防腐
× 注意安全</t>
  </si>
  <si>
    <t>20-3-20</t>
  </si>
  <si>
    <t>平台用防滑板重铺刷漆。</t>
  </si>
  <si>
    <t>一名操作工轻微伤未造成限工</t>
  </si>
  <si>
    <t>刘桂亮</t>
  </si>
  <si>
    <t>√ 是用铁板遮盖</t>
  </si>
  <si>
    <t>19-11-11</t>
  </si>
  <si>
    <t>摔伤手腕，入院治疗一天，休息三天复工，损工事故</t>
  </si>
  <si>
    <t>李兴</t>
  </si>
  <si>
    <t>√ 清除脚手板</t>
  </si>
  <si>
    <t>一人受伤，医检两处骨折，住院一月，回家休养3月，损工4个月。</t>
  </si>
  <si>
    <t>张瑞顺</t>
  </si>
  <si>
    <t>拦焦车</t>
  </si>
  <si>
    <t>√ 焊接加固
√ 人员严禁踩踏</t>
  </si>
  <si>
    <t>造成1人脸部受伤，住院7天，回家休息23天，损工1个月。</t>
  </si>
  <si>
    <t>捣固煤仓</t>
  </si>
  <si>
    <t>√ 修复彩钢瓦
√ 加强现场监护</t>
  </si>
  <si>
    <t>1人头部受伤，住院治疗1月，回家休养3月，损工4个月。</t>
  </si>
  <si>
    <t>付永明</t>
  </si>
  <si>
    <t>焦侧上升管平台</t>
  </si>
  <si>
    <t>√ 焊接固定
√ 现场杂物清理</t>
  </si>
  <si>
    <t>5.5米焦炉机侧</t>
  </si>
  <si>
    <t>1员工头部受伤，住院治疗1月，回家休养2月，损工3个月</t>
  </si>
  <si>
    <t>刘烨</t>
  </si>
  <si>
    <t>机侧平台南头端台处</t>
  </si>
  <si>
    <t>√ 及时修复破损部位
√ 保持生产设施完好</t>
  </si>
  <si>
    <t>热修人员对破损点进去了浇筑处理</t>
  </si>
  <si>
    <t>1人小腿骨折，住院一个月，回家休养3月，损工4个月。</t>
  </si>
  <si>
    <t>李爱华</t>
  </si>
  <si>
    <t>送煤车</t>
  </si>
  <si>
    <t>√ 及时修复篦子板
√ 加强设备运行监护</t>
  </si>
  <si>
    <t>1人员受伤多处骨折，住院治疗1月，回家休养4月，损工5个月</t>
  </si>
  <si>
    <t>张培良</t>
  </si>
  <si>
    <t>拦焦车配电室东头</t>
  </si>
  <si>
    <t>描述不够清晰，无法确定后果严重程度，重新提报</t>
  </si>
  <si>
    <t>4.3米炉顶区域</t>
  </si>
  <si>
    <t>事故导致一名巡逻检修人员掉落死亡</t>
  </si>
  <si>
    <t>外部检查</t>
  </si>
  <si>
    <t>秦学山</t>
  </si>
  <si>
    <t>放散管道</t>
  </si>
  <si>
    <t>此设备停用</t>
  </si>
  <si>
    <t>事故造成一名员工被砸死亡</t>
  </si>
  <si>
    <t>母液泄露，环境污染。</t>
  </si>
  <si>
    <t>王占伟</t>
  </si>
  <si>
    <t>母液贮槽</t>
  </si>
  <si>
    <t>影响生产工艺指标</t>
  </si>
  <si>
    <t>丛林</t>
  </si>
  <si>
    <t>19-12-11</t>
  </si>
  <si>
    <t>化产蒸氨</t>
  </si>
  <si>
    <t>隐患描述不完整</t>
  </si>
  <si>
    <t>√ 仪表管破裂处进行包覆。</t>
  </si>
  <si>
    <t>一名人员眼部灼伤，住院治疗，损工两天</t>
  </si>
  <si>
    <t>高丽霞</t>
  </si>
  <si>
    <t>19-12-12</t>
  </si>
  <si>
    <t>泡沫槽</t>
  </si>
  <si>
    <t>√ 更换垫子</t>
  </si>
  <si>
    <t>腿部骨折，就医修养六个月。</t>
  </si>
  <si>
    <t>职业安全卫生管理规章制度不完善</t>
  </si>
  <si>
    <t>王顺生</t>
  </si>
  <si>
    <t>水洗车</t>
  </si>
  <si>
    <t>该位置原本设计无此装置，清理焦末应使用专门设施</t>
  </si>
  <si>
    <t>一人脚面骨折损工15天</t>
  </si>
  <si>
    <t>刘洪斌</t>
  </si>
  <si>
    <t>19-12-13</t>
  </si>
  <si>
    <t>碳化三楼操作平台</t>
  </si>
  <si>
    <t>√ 维修分析仪门</t>
  </si>
  <si>
    <t>维修工已维修门子</t>
  </si>
  <si>
    <t>脚踝错位，皮肤擦伤包扎处理，无损工</t>
  </si>
  <si>
    <t>卢建祥</t>
  </si>
  <si>
    <t>北风机电捕三层</t>
  </si>
  <si>
    <t>√ 加固平台踏板</t>
  </si>
  <si>
    <t>影响到南脱硫污水车间和焦炉的生产工艺指标</t>
  </si>
  <si>
    <t>周建伟</t>
  </si>
  <si>
    <t>空压站</t>
  </si>
  <si>
    <t>√ 电工检查泵子电机</t>
  </si>
  <si>
    <t>人员触电，当场死亡</t>
  </si>
  <si>
    <t>√ 加强现场监管，严禁司机违规操作
√ 特殊作业必须办理停送电手续，拉闸断电。</t>
  </si>
  <si>
    <t>规范铲车操作，加强用电管理</t>
  </si>
  <si>
    <t>灌顶腐蚀    环境污染</t>
  </si>
  <si>
    <t>胡福颖</t>
  </si>
  <si>
    <t>循环氨水罐西罐顶部</t>
  </si>
  <si>
    <t>操作工煤气中毒后，立即送医院抢救无效死亡。</t>
  </si>
  <si>
    <t>职业安全卫生组织机构不健全</t>
  </si>
  <si>
    <t>陈德增</t>
  </si>
  <si>
    <t>5.5米炉顶集气道</t>
  </si>
  <si>
    <t>√ 涂刷警示色
√ 加强职工安全提示教育培训</t>
  </si>
  <si>
    <t>整理清除现场管路</t>
  </si>
  <si>
    <t>操作工摔伤后立即送医院救治，面部骨折，住院十五天。</t>
  </si>
  <si>
    <t>一名工人被破损切割片划伤手臂，送医务室包扎，损工3天.</t>
  </si>
  <si>
    <t>监护失误</t>
  </si>
  <si>
    <t>岗位</t>
  </si>
  <si>
    <t>排查地点错误</t>
  </si>
  <si>
    <t>19-11-12</t>
  </si>
  <si>
    <t>造成一名巡检人员脸部划伤，到医务室包扎处理后回工作岗位上班。</t>
  </si>
  <si>
    <t>张发堂</t>
  </si>
  <si>
    <t>张华和</t>
  </si>
  <si>
    <t>合成岗位</t>
  </si>
  <si>
    <t>√ 将悬挂的废旧铝保温皮清理干净。</t>
  </si>
  <si>
    <t>碰到头部，无损伤</t>
  </si>
  <si>
    <t>母液储槽</t>
  </si>
  <si>
    <t>右手臂骨折，送医住院十天，休养三个月，损工一百天</t>
  </si>
  <si>
    <t>化产车间南脱硫东南角</t>
  </si>
  <si>
    <t>账号错误</t>
  </si>
  <si>
    <t>人员腿部轻微擦伤，不影响正常工作。</t>
  </si>
  <si>
    <t>付洪泉</t>
  </si>
  <si>
    <t>电捕上部操作平台</t>
  </si>
  <si>
    <t>√ 焊接护栏支架</t>
  </si>
  <si>
    <t>肩膀骨折，休假养伤半年</t>
  </si>
  <si>
    <t>田广</t>
  </si>
  <si>
    <t>5.5米焦炉地下室</t>
  </si>
  <si>
    <t>√ 清理地下室胶管
√ 规范放置</t>
  </si>
  <si>
    <t>常调人员每次用完后进行规范放置</t>
  </si>
  <si>
    <t>人员头部重伤，送医院抢救无效死亡。</t>
  </si>
  <si>
    <t>张瑞强</t>
  </si>
  <si>
    <t>程雅君</t>
  </si>
  <si>
    <t>一号炉南头</t>
  </si>
  <si>
    <t>√ 清理废旧铁板
× 现场涂刷警示标志色，加强职工现场风险辨识教育培训。</t>
  </si>
  <si>
    <t>经医院抢救无效死亡</t>
  </si>
  <si>
    <t>刘海峰</t>
  </si>
  <si>
    <t>√ 增设爬梯
√ 人员上下使用符合要求的梯子，并专人监护。</t>
  </si>
  <si>
    <t>经医院抢救无效死亡。</t>
  </si>
  <si>
    <t>刘强元</t>
  </si>
  <si>
    <t>拦焦水槽</t>
  </si>
  <si>
    <t>风险危害严重程度判断错误，人员作业按公司相关安全规定执行。</t>
  </si>
  <si>
    <t>抢救无效死亡。</t>
  </si>
  <si>
    <t>田兴军</t>
  </si>
  <si>
    <t>√ 增设平台
√ 人员上下使用专用梯子并专人监护</t>
  </si>
  <si>
    <t>操作工在平台工作时不慎将腿陷入平台下，造成皮肤开裂，入院治疗</t>
  </si>
  <si>
    <t>孙洪涛</t>
  </si>
  <si>
    <t>推焦车</t>
  </si>
  <si>
    <t>隐患描述不够完整清晰，重新提报。</t>
  </si>
  <si>
    <t>抢救无效，死亡。</t>
  </si>
  <si>
    <t>董永涛</t>
  </si>
  <si>
    <t>5米5焦炉</t>
  </si>
  <si>
    <t>√ 及时整改管托
√ 现场采取防止管托掉落措施，加强监护</t>
  </si>
  <si>
    <t>送医抢救无效死亡</t>
  </si>
  <si>
    <t>葛光伟</t>
  </si>
  <si>
    <t>5.5米装煤车</t>
  </si>
  <si>
    <t>已全部配备新式安全带，不存在年久老化现象。</t>
  </si>
  <si>
    <t>1人左臂扭伤，入院治疗7天。</t>
  </si>
  <si>
    <t>张  丽</t>
  </si>
  <si>
    <t>碳化塔3楼西侧平台</t>
  </si>
  <si>
    <t>严重性判断错误</t>
  </si>
  <si>
    <t>送医院抢救无效死亡。</t>
  </si>
  <si>
    <t>碳化塔3层西侧平台</t>
  </si>
  <si>
    <t>√ 暂时绑着处理一下，有检修机会焊接</t>
  </si>
  <si>
    <t>腿部三级烫伤，损工三月</t>
  </si>
  <si>
    <t>丁丽莉</t>
  </si>
  <si>
    <t>熄焦罐回水沟</t>
  </si>
  <si>
    <t>× 补齐残缺地方
× 安装警示牌</t>
  </si>
  <si>
    <t>造成人员重度烫伤，需要立即住院治疗10至15天。</t>
  </si>
  <si>
    <t>刘伟清</t>
  </si>
  <si>
    <t>4米3测换岗位</t>
  </si>
  <si>
    <t>设备变更管理</t>
  </si>
  <si>
    <t>× 更换阀门
× 悬挂泄露牌警示</t>
  </si>
  <si>
    <t>线路缺相，电机缺相运行，电机烧坏，造成设备损失5000元。</t>
  </si>
  <si>
    <t>刘永强</t>
  </si>
  <si>
    <t>东风机取暖泵电机</t>
  </si>
  <si>
    <t>√ 更换线路或开关</t>
  </si>
  <si>
    <t>造成人员死亡</t>
  </si>
  <si>
    <t>张文龙</t>
  </si>
  <si>
    <t>4.3米焦炉干熄车</t>
  </si>
  <si>
    <t>顶部不允许人员上去</t>
  </si>
  <si>
    <t>救治无效死亡。</t>
  </si>
  <si>
    <t>马同波</t>
  </si>
  <si>
    <t>拦焦</t>
  </si>
  <si>
    <t>√ 规范操作
√ 电仪对电器部件定期维护</t>
  </si>
  <si>
    <t>设定好限位，防止送煤超限</t>
  </si>
  <si>
    <t>就医修养六个月。</t>
  </si>
  <si>
    <t>焦一皮带</t>
  </si>
  <si>
    <t>√ 补齐护栏
√ 人员提醒注意安全</t>
  </si>
  <si>
    <t>按规范加装护栏</t>
  </si>
  <si>
    <t>19-11-14</t>
  </si>
  <si>
    <t>一名操作工肩胛骨骨折，住院治疗20天</t>
  </si>
  <si>
    <t>19-12-14</t>
  </si>
  <si>
    <t>储备槽西侧</t>
  </si>
  <si>
    <t>√ 梯子使用完后及时撤走</t>
  </si>
  <si>
    <t>梯子已清走</t>
  </si>
  <si>
    <t>拌倒摔伤手臂骨折，休息3个月，损工一人。</t>
  </si>
  <si>
    <t>吕林</t>
  </si>
  <si>
    <t>2号烟道闸板配电柜</t>
  </si>
  <si>
    <t>× 电工整理，不用的去除
× 对线缆穿管整理</t>
  </si>
  <si>
    <t>一名巡检工脸部划伤，到医务室处理后复工。</t>
  </si>
  <si>
    <t>赵建源</t>
  </si>
  <si>
    <t>合成循环机操作室顶</t>
  </si>
  <si>
    <t>在角落里，刮大旋风啊是！</t>
  </si>
  <si>
    <t>铁皮掉落划伤手部，造成手部局部出血，医务室就医简单包扎后复工</t>
  </si>
  <si>
    <t>张文军</t>
  </si>
  <si>
    <t>软水预热器</t>
  </si>
  <si>
    <t>这个我已经做了，你还木整改</t>
  </si>
  <si>
    <t>一名工人死亡</t>
  </si>
  <si>
    <t>刘英杰</t>
  </si>
  <si>
    <t>1号送煤车车</t>
  </si>
  <si>
    <t>× 维修焊补
× 焊补完刷漆</t>
  </si>
  <si>
    <t>4.3米2#炉机侧</t>
  </si>
  <si>
    <t>一名操作工死亡</t>
  </si>
  <si>
    <t>机侧平台</t>
  </si>
  <si>
    <t>√ 泄露点用玻璃水封堵
√ 择机对阀体进行更换</t>
  </si>
  <si>
    <t>一名操作工右手臂骨折，损工95天</t>
  </si>
  <si>
    <t>孙超</t>
  </si>
  <si>
    <t>余热锅炉西侧</t>
  </si>
  <si>
    <t>√ 清理
√ 持续保持现场整洁</t>
  </si>
  <si>
    <t>变换</t>
  </si>
  <si>
    <t>一名人员烫伤，损工三天。</t>
  </si>
  <si>
    <t>刘文永</t>
  </si>
  <si>
    <t>二热交换器</t>
  </si>
  <si>
    <t>颈椎粉碎性骨折，送医院抢救无效死亡</t>
  </si>
  <si>
    <t>杨启荣</t>
  </si>
  <si>
    <t>炉顶区域</t>
  </si>
  <si>
    <t>√ 线缆整理
√ 检修完及时清理</t>
  </si>
  <si>
    <t>检修完毕现场清理</t>
  </si>
  <si>
    <t>人员头部受撞击昏迷，诊断为轻微脑震荡，损工1个月</t>
  </si>
  <si>
    <t>刘永</t>
  </si>
  <si>
    <t>√ 杂物清理
√ 定期清理</t>
  </si>
  <si>
    <t>人员右手手腕骨折，损工3个月</t>
  </si>
  <si>
    <t>李伟森</t>
  </si>
  <si>
    <t>南炉门修理站</t>
  </si>
  <si>
    <t>× 制作上部板
× 提醒人员注意</t>
  </si>
  <si>
    <t>4.3焦炉2号送煤车</t>
  </si>
  <si>
    <t>刘善江</t>
  </si>
  <si>
    <t>车载除尘器</t>
  </si>
  <si>
    <t>√ 维修人员焊补
√ 护栏悬挂警示牌提醒</t>
  </si>
  <si>
    <t>装置已经停运</t>
  </si>
  <si>
    <t>导致一名操作人员死亡</t>
  </si>
  <si>
    <t>冯国衡</t>
  </si>
  <si>
    <t>集气道</t>
  </si>
  <si>
    <t>× 维修重新制作新板
× 处理前人员警示提醒</t>
  </si>
  <si>
    <t>已停炉</t>
  </si>
  <si>
    <t>轻微外伤，接着复工</t>
  </si>
  <si>
    <t>赵淑红</t>
  </si>
  <si>
    <t>氨水制备器入口管线</t>
  </si>
  <si>
    <t>√ 加强培训教育，扳手使用完后及时放在指定位置</t>
  </si>
  <si>
    <t>粗苯区域</t>
  </si>
  <si>
    <t>铁管掉落砸伤肩部，造成肩部轻微疼痛’红肿。</t>
  </si>
  <si>
    <t>刘少勇</t>
  </si>
  <si>
    <t>19-12-18</t>
  </si>
  <si>
    <t>粗苯南再生器底部</t>
  </si>
  <si>
    <t>√ 清除铁管</t>
  </si>
  <si>
    <t>化产车间北系统空压站</t>
  </si>
  <si>
    <t>人员躲避及时，无损伤。</t>
  </si>
  <si>
    <t>空压机房</t>
  </si>
  <si>
    <t>√ 维修人员将空压机遮挡门复位</t>
  </si>
  <si>
    <t>一名操作工被人孔盖烫伤，去医务室处理后就医治疗7，损工7天天</t>
  </si>
  <si>
    <t>1#转化炉废锅</t>
  </si>
  <si>
    <t>√ 将保护罩盖好</t>
  </si>
  <si>
    <t>20-1-14</t>
  </si>
  <si>
    <t>造成一人轻微伤害，不影响正常工作。</t>
  </si>
  <si>
    <t>刘伟</t>
  </si>
  <si>
    <t>取暖罐回水管线底部</t>
  </si>
  <si>
    <t>√ 清除铝皮或加固</t>
  </si>
  <si>
    <t>19-12-19</t>
  </si>
  <si>
    <t>室外道路缺失盖板，人员行走时易造成伤害</t>
  </si>
  <si>
    <t>刘冲</t>
  </si>
  <si>
    <t>煤棚西路</t>
  </si>
  <si>
    <t>煤棚西路盖板缺失，易造成人员伤害</t>
  </si>
  <si>
    <t>√ 更换篦子
√ 立即更换缺失篦子</t>
  </si>
  <si>
    <t>煤棚西侧水沟道路篦子缺失，易造成人员伤害，需立即更换缺失篦子，避免事故发生</t>
  </si>
  <si>
    <t>精炼</t>
  </si>
  <si>
    <t>1名巡检人员手臂擦伤，经医务人员包扎后继续上班。</t>
  </si>
  <si>
    <t>高继国</t>
  </si>
  <si>
    <t>精炼分离器平台</t>
  </si>
  <si>
    <t>√ 将使用完的板子及时撤走</t>
  </si>
  <si>
    <t>备煤东线岗位及配电室</t>
  </si>
  <si>
    <t>影响室内环境，造成环境污染</t>
  </si>
  <si>
    <t>专项检查</t>
  </si>
  <si>
    <t>东六后尾除尘管线</t>
  </si>
  <si>
    <t>除尘管线清理门开关缺失，造成室内环境污染</t>
  </si>
  <si>
    <t>√ 加装开关装置
√ 加装开关装置</t>
  </si>
  <si>
    <t>除尘管线清理门开关装置缺失，立即维修加装开关装置，防止喷煤，污染室内环境</t>
  </si>
  <si>
    <t>化工厂转化工段</t>
  </si>
  <si>
    <t>小腿骨折住院10天，休息90天。</t>
  </si>
  <si>
    <t>付洪国</t>
  </si>
  <si>
    <t>三万气柜地沟无盖板</t>
  </si>
  <si>
    <t>√ 增加盖板消除隐患</t>
  </si>
  <si>
    <t>由于倒淋管高出地面，操作工被绊倒，轻微擦伤，医务室就医后复工</t>
  </si>
  <si>
    <t>刘同贞</t>
  </si>
  <si>
    <t>小铜泵地缸处</t>
  </si>
  <si>
    <t>× 制作合适的平台盖住管线防止绊倒</t>
  </si>
  <si>
    <t>装置已停产</t>
  </si>
  <si>
    <t>一名巡检工小腿被烫伤，损工30天，复工上班。</t>
  </si>
  <si>
    <t>× 将裸露的蒸汽管线进行保温</t>
  </si>
  <si>
    <t>设备已停产</t>
  </si>
  <si>
    <t>化工化工碳化片区</t>
  </si>
  <si>
    <t>一名巡检工被烫伤，送医务室处理后复工</t>
  </si>
  <si>
    <t>崔爱丽</t>
  </si>
  <si>
    <t>加热器倒淋去精脱硫贫</t>
  </si>
  <si>
    <t>√ 维修进行堵漏处理</t>
  </si>
  <si>
    <t>维修已处理</t>
  </si>
  <si>
    <t>手腕脱臼，休息三天，损工三天。</t>
  </si>
  <si>
    <t>李龙堂</t>
  </si>
  <si>
    <t>循环水污水处理站平台</t>
  </si>
  <si>
    <t>√ 及时清理平台杂物</t>
  </si>
  <si>
    <t>操作工小腿骨折，住院治疗一个月，在家修养六十天</t>
  </si>
  <si>
    <t>李福栋</t>
  </si>
  <si>
    <t>空分冷却泵</t>
  </si>
  <si>
    <t>√ 胶皮管规范存放</t>
  </si>
  <si>
    <t>化工厂合成工段</t>
  </si>
  <si>
    <t>操作工颈部划伤，送到医务室包扎处理后，立即复工</t>
  </si>
  <si>
    <t>刘明壮</t>
  </si>
  <si>
    <t>合成岗位软水加热器</t>
  </si>
  <si>
    <t>重复提交。</t>
  </si>
  <si>
    <t>√ 规范整理管道做好安全防护</t>
  </si>
  <si>
    <t>人员左小腿骨折，住院治疗15天，在家休养3个月，损工3个月</t>
  </si>
  <si>
    <t>高卫东</t>
  </si>
  <si>
    <t>粗苯西框架</t>
  </si>
  <si>
    <t>√ 停止作业，进行安全在培训，规范安全带使用</t>
  </si>
  <si>
    <t>损工两天</t>
  </si>
  <si>
    <t>董孝文</t>
  </si>
  <si>
    <t>环境除尘西侧</t>
  </si>
  <si>
    <t>安全意识较强能够发现隐蔽处存在的安全隐患</t>
  </si>
  <si>
    <t>√ 下方安排专人监护用长杆将铁件清理
√ 班组依次类推将区域高处可能掉落的物品进行加固清理</t>
  </si>
  <si>
    <t>肩膀骨折，住院治疗休养3个月</t>
  </si>
  <si>
    <t>19-12-20</t>
  </si>
  <si>
    <t>5.5米焦炉炉顶</t>
  </si>
  <si>
    <t>√ 清理闲置物资
√ 保持现场整洁</t>
  </si>
  <si>
    <t>清理现场</t>
  </si>
  <si>
    <t>小腿骨折，送医治疗15天，家中休养90天，损工105天</t>
  </si>
  <si>
    <t>南脱硫泡沫槽</t>
  </si>
  <si>
    <t>√ 加固护栏</t>
  </si>
  <si>
    <t>人员肩部骨折，损工治疗3个月</t>
  </si>
  <si>
    <t>刘帅</t>
  </si>
  <si>
    <t>操作室东侧</t>
  </si>
  <si>
    <t>√ 固定松动的线缆盖板</t>
  </si>
  <si>
    <t>楼梯口摔伤，误工三天。</t>
  </si>
  <si>
    <t>郭树鹏</t>
  </si>
  <si>
    <t>南脱硫操作室一层</t>
  </si>
  <si>
    <t>√ 电工更换损坏的照明灯</t>
  </si>
  <si>
    <t>造成一名人员轻微烫伤。</t>
  </si>
  <si>
    <t>× 将倒淋管接入地沟</t>
  </si>
  <si>
    <t>人员脸部被少量硫酸灼伤，损工五天</t>
  </si>
  <si>
    <t>赵兴家</t>
  </si>
  <si>
    <t>西硫铵打酸管道</t>
  </si>
  <si>
    <t>√ 降低液位，吹扫置换，焊补漏点</t>
  </si>
  <si>
    <t>一人手腕擦伤，去医务室上药后复工。</t>
  </si>
  <si>
    <t>废气回收管道</t>
  </si>
  <si>
    <t>√ 增设过架爬梯</t>
  </si>
  <si>
    <t>脚踝扭伤，损工5天</t>
  </si>
  <si>
    <t>刘丽丽</t>
  </si>
  <si>
    <t>汽轮机循环水泵房</t>
  </si>
  <si>
    <t>盖板问题造成人员伤害机率虽然实际不大，但也需及时消除，防止小概率事件发生</t>
  </si>
  <si>
    <t>√ 加固盖板空隙过大处，防止人员受伤</t>
  </si>
  <si>
    <t>身体多处骨折，送医治疗损工150天。</t>
  </si>
  <si>
    <t>汽轮机主控楼楼顶</t>
  </si>
  <si>
    <t>此处登高失足跌落的主要因素还是安全意识，防止此类事故先从警示提示进行</t>
  </si>
  <si>
    <t>√ 悬挂安全警示牌，提高人员安全意识</t>
  </si>
  <si>
    <t>一人触电死亡</t>
  </si>
  <si>
    <t>秦海伟</t>
  </si>
  <si>
    <t>汽机3号4号减温减压</t>
  </si>
  <si>
    <t>加强电气绝缘防护，防止触电事故</t>
  </si>
  <si>
    <t>√ 线接头加强绝缘，接头放入不易碰触部位</t>
  </si>
  <si>
    <t>20-1-10</t>
  </si>
  <si>
    <t>电线已撤</t>
  </si>
  <si>
    <t>人员右小腿骨折，住院治疗15天，休养3个月，损工3个月</t>
  </si>
  <si>
    <t>杨光伟</t>
  </si>
  <si>
    <t>北脱硫院内</t>
  </si>
  <si>
    <t>√ 加固爬梯护栏</t>
  </si>
  <si>
    <t>脚踝扭伤，损工十天。</t>
  </si>
  <si>
    <t>郭峰祥</t>
  </si>
  <si>
    <t>循环水北侧爬梯处</t>
  </si>
  <si>
    <t>天气变冷 ，人员行动不便，爬梯打滑会摔伤，应采取措施</t>
  </si>
  <si>
    <t>√ 加装安全警示牌，提高人员上下爬梯时安全意识
√ 清除积水或爬梯踏步上撒煤粉，防止结冰打滑</t>
  </si>
  <si>
    <t>造成一名巡检工皮肤轻微酸灼伤，误工一天。</t>
  </si>
  <si>
    <t>李金芳</t>
  </si>
  <si>
    <t>空分工段</t>
  </si>
  <si>
    <t>√ 搬运药品做好风险辨识，做好劳动防护</t>
  </si>
  <si>
    <t>一名巡检人员手掌出血，医务室检查处理后，休息两天，误工事件。</t>
  </si>
  <si>
    <t>王献宝</t>
  </si>
  <si>
    <t>√ 用完撬棍规范存放消除隐患</t>
  </si>
  <si>
    <t>操作工手部受伤，损工两天。</t>
  </si>
  <si>
    <t>董爱梅</t>
  </si>
  <si>
    <t>19-12-26</t>
  </si>
  <si>
    <t>离心机</t>
  </si>
  <si>
    <t>√ 通知维修更换皮带</t>
  </si>
  <si>
    <t>脸部皮肤被烧伤，损工七天</t>
  </si>
  <si>
    <t>乔玉杰</t>
  </si>
  <si>
    <t>西硫铵1＃硫酸储槽</t>
  </si>
  <si>
    <t>√ 降低液位，粘补漏点</t>
  </si>
  <si>
    <t>扎伤小腿，去医院包扎后复工</t>
  </si>
  <si>
    <t>赵林忠</t>
  </si>
  <si>
    <t>4.3米焦炉熄焦塔南</t>
  </si>
  <si>
    <t>× 按照规范修复护栏
× 加强人员通行管理，防止发生伤害事故</t>
  </si>
  <si>
    <t>左前臂骨折</t>
  </si>
  <si>
    <t>王海涛</t>
  </si>
  <si>
    <t>5.5米焦侧通廊</t>
  </si>
  <si>
    <t>√ 修复现场地面
√ 加强日常维护</t>
  </si>
  <si>
    <t>一名员工砸伤头部，去医院包扎，限工三天。</t>
  </si>
  <si>
    <t>王军</t>
  </si>
  <si>
    <t>5.5米炉洗焦泵房</t>
  </si>
  <si>
    <t>√ 维修处理
√ 加强日常维护</t>
  </si>
  <si>
    <t>4.3米焦炉通廊</t>
  </si>
  <si>
    <t>人员中毒送医院治疗15天，在家修养两个月，损工事件。</t>
  </si>
  <si>
    <t>董黎明</t>
  </si>
  <si>
    <t>19-12-21</t>
  </si>
  <si>
    <t>2号炉通廊南头</t>
  </si>
  <si>
    <t>√ 门口往南开
√ 人员加强教育</t>
  </si>
  <si>
    <t>4.3米1#炉机侧</t>
  </si>
  <si>
    <t>人员死亡</t>
  </si>
  <si>
    <t>范树超</t>
  </si>
  <si>
    <t>1#炉机侧南头</t>
  </si>
  <si>
    <t>√ 清理滑道煤粉
√ 加强滑道润滑，保持门开关灵活</t>
  </si>
  <si>
    <t>造成人员死亡人身伤害事件</t>
  </si>
  <si>
    <t>李夕良</t>
  </si>
  <si>
    <t>机侧北头</t>
  </si>
  <si>
    <t>√ 清理安全门滑道煤粉
√ 加强滑道润滑，保持开关灵活</t>
  </si>
  <si>
    <t>造成一名巡检工拌倒后手腕扑伤，休假2天。</t>
  </si>
  <si>
    <t>压缩机安全通道处</t>
  </si>
  <si>
    <t>√ 把旧阀门清理到指定位置。</t>
  </si>
  <si>
    <t>经送医治疗后，休假3个月。损工一人。</t>
  </si>
  <si>
    <t>张海嫚</t>
  </si>
  <si>
    <t>液氨储槽</t>
  </si>
  <si>
    <t>√ 通知维修人员固定牢靠。</t>
  </si>
  <si>
    <t>医务室包扎，损工两天。</t>
  </si>
  <si>
    <t>李洪波</t>
  </si>
  <si>
    <t>碳化区域</t>
  </si>
  <si>
    <t>√ 通知电工将裸露接头修好</t>
  </si>
  <si>
    <t>温度低停电捕，影响生产。</t>
  </si>
  <si>
    <t>刘建平</t>
  </si>
  <si>
    <t>电捕焦油器上部</t>
  </si>
  <si>
    <t>√ 重新更换保温材料</t>
  </si>
  <si>
    <t>造成一名巡检工脚腕骨折，住院治疗2周，休假3月。</t>
  </si>
  <si>
    <t>李作鹏</t>
  </si>
  <si>
    <t>2 号压缩机巡检室</t>
  </si>
  <si>
    <t>√ 更换新静电地板或进行修整。</t>
  </si>
  <si>
    <t>一名操作乁脚踝扭伤，简单治疗后立即夏工</t>
  </si>
  <si>
    <t>刘同川</t>
  </si>
  <si>
    <t>二楼爬梯</t>
  </si>
  <si>
    <t>√ 通知维修进行修复整平。</t>
  </si>
  <si>
    <t>两盐区域及配电室</t>
  </si>
  <si>
    <t>人员手臂轻微划伤，送医务室简单包扎后，正常工作</t>
  </si>
  <si>
    <t>刘良永</t>
  </si>
  <si>
    <t>两盐</t>
  </si>
  <si>
    <t>√ 拆除废旧玻璃，或者更换安装新的玻璃</t>
  </si>
  <si>
    <t>一名维修人员被母液喷溅入眼内，用大量清水冲洗后无碍正常工作</t>
  </si>
  <si>
    <t>西母液加热器</t>
  </si>
  <si>
    <t>√ 吹扫置换管线，焊接法兰焊缝漏点</t>
  </si>
  <si>
    <t>人员局部骨折</t>
  </si>
  <si>
    <t>王海虹</t>
  </si>
  <si>
    <t>1#炉地下室</t>
  </si>
  <si>
    <t>√ 清理现场
√ 保持设备润滑良好，杜绝漏油。</t>
  </si>
  <si>
    <t>操作工肩部骨折，入院治疗七天，在家休养一月，损工事件</t>
  </si>
  <si>
    <t>田珍</t>
  </si>
  <si>
    <t>1#分馏塔</t>
  </si>
  <si>
    <t>√ 清理高处平台杂物，避免坠落伤人</t>
  </si>
  <si>
    <t>一人手臂擦伤去医务室包扎，损工半天的事故</t>
  </si>
  <si>
    <t>秦有杰</t>
  </si>
  <si>
    <t>4.3米焦炉地下室北</t>
  </si>
  <si>
    <t>√ 修复或更换合页
√ 加强日常管理</t>
  </si>
  <si>
    <t>人员头部轻微砸伤，送医院治疗5天康复，损工5天。</t>
  </si>
  <si>
    <t>李振英</t>
  </si>
  <si>
    <t>西硫铵东框架</t>
  </si>
  <si>
    <t>√ 维修人员清除废旧管线</t>
  </si>
  <si>
    <t>操作工胳膊骨折，住院治疗十天，休息半月，损工事件</t>
  </si>
  <si>
    <t>任庆军</t>
  </si>
  <si>
    <t>预热器管架</t>
  </si>
  <si>
    <t>√ 及时清理多余保温消除隐患</t>
  </si>
  <si>
    <t>造成一名操作工眼部损伤，送医院救治，损工七天</t>
  </si>
  <si>
    <t>吸氨泵区</t>
  </si>
  <si>
    <t>√ 通知维修更换密封</t>
  </si>
  <si>
    <t>已更换新密封</t>
  </si>
  <si>
    <t>碳铵周转库</t>
  </si>
  <si>
    <t>经医生抢救无效死亡，造成一人死亡事故。</t>
  </si>
  <si>
    <t>码垛机</t>
  </si>
  <si>
    <t>√ 护栏门锁封，严禁人员进入</t>
  </si>
  <si>
    <t>烘干岗位</t>
  </si>
  <si>
    <t>造成一人死亡事故</t>
  </si>
  <si>
    <t>烘干岗位南墙接线箱</t>
  </si>
  <si>
    <t>√ 通知电工加防爆泥密封</t>
  </si>
  <si>
    <t>操作工夜间擦拭泵体被母液溅入眼内用大量清水冲洗后正常工作</t>
  </si>
  <si>
    <t>刘佃刚</t>
  </si>
  <si>
    <t>东硫铵小母液泵</t>
  </si>
  <si>
    <t>√ 更换管道</t>
  </si>
  <si>
    <t>电气运行区域</t>
  </si>
  <si>
    <t>李刚</t>
  </si>
  <si>
    <t>低压配电室</t>
  </si>
  <si>
    <t>保持接地良好，防止触电事故</t>
  </si>
  <si>
    <t>√ 接好接地线，保持接地电阻在规范要求值，防止触电事故</t>
  </si>
  <si>
    <t>经医务室简单包扎治疗为轻微擦伤，及时复工。</t>
  </si>
  <si>
    <t>李友喜</t>
  </si>
  <si>
    <t>晶分地池</t>
  </si>
  <si>
    <t>√ 通知离心工立即将板手移位</t>
  </si>
  <si>
    <t>一人死亡</t>
  </si>
  <si>
    <t>虽然在此处操作较少，但也不可忽略，应有平台方便越过管道</t>
  </si>
  <si>
    <t>√ 加装平台，便于人员通过平台越过管线进行操作</t>
  </si>
  <si>
    <t>精脱硫岗位</t>
  </si>
  <si>
    <t>当操作工再开启脱硫泵时会造成人员轻微伤害，到医务室包扎后回工</t>
  </si>
  <si>
    <t>张建举</t>
  </si>
  <si>
    <t>脱硫泵防护罩松动</t>
  </si>
  <si>
    <t>√ 加固防护罩</t>
  </si>
  <si>
    <t>装置已停产，准备拆除设备</t>
  </si>
  <si>
    <t>操作工腿部骨折，住院治疗十五天，在家休三个月，损工三个半月。</t>
  </si>
  <si>
    <t>李心云</t>
  </si>
  <si>
    <t>东澄清槽压焦油平台</t>
  </si>
  <si>
    <t>√ 维修人员加固护栏，焊接平台</t>
  </si>
  <si>
    <t>浓氨水溅入巡检操作工眼里造成眼睛灼伤，损工7天。</t>
  </si>
  <si>
    <t>浓氨槽输出管线</t>
  </si>
  <si>
    <t>√ 先进行堵漏，检修机会进行焊接</t>
  </si>
  <si>
    <t>19-11-21</t>
  </si>
  <si>
    <t>轻度灼伤眼睛红肿</t>
  </si>
  <si>
    <t>张海娜</t>
  </si>
  <si>
    <t>20-1-17</t>
  </si>
  <si>
    <t>深度处理泵房</t>
  </si>
  <si>
    <t>√ 维修管道漏点</t>
  </si>
  <si>
    <t>19-12-24</t>
  </si>
  <si>
    <t>更换了管道</t>
  </si>
  <si>
    <t>高温高压。造成一人损工事故</t>
  </si>
  <si>
    <t>潘曰山</t>
  </si>
  <si>
    <t>西硫铵热风机房</t>
  </si>
  <si>
    <t>√ 施工维修过程佩戴好劳动防护用品</t>
  </si>
  <si>
    <t>一名巡检人员溺水送医院抢救无效死亡</t>
  </si>
  <si>
    <t>赵延学</t>
  </si>
  <si>
    <t>碳化一楼凉水塔</t>
  </si>
  <si>
    <t>√ 及时盖上</t>
  </si>
  <si>
    <t>已及时覆盖</t>
  </si>
  <si>
    <t>锅炉及发电装置</t>
  </si>
  <si>
    <t>巡检工小腿骨拆，身体多处擦伤入院治疗损工三个月。</t>
  </si>
  <si>
    <t>20-1-20</t>
  </si>
  <si>
    <t>75T锅炉零米电缆沟</t>
  </si>
  <si>
    <t>√ 重新制作盖板
× 规范盖好盖板</t>
  </si>
  <si>
    <t>制作防滑板代替水泥盖板。</t>
  </si>
  <si>
    <t>拆除坏板用防滑板代替。</t>
  </si>
  <si>
    <t>√ 及时恢复缺失护栏
√ 加强巡检巡查，发现隐患及时处理</t>
  </si>
  <si>
    <t>脚踝骨折，损工4个月</t>
  </si>
  <si>
    <t>超浓水水池</t>
  </si>
  <si>
    <t>加装活动横档护栏，防止人员进入，加装警示牌，提高防范意识</t>
  </si>
  <si>
    <t>√ 加装活动横档护栏，防止人员进入，加装警示牌，提高防范意识</t>
  </si>
  <si>
    <t>加装护栏，提高防范意识。</t>
  </si>
  <si>
    <t>造成施工人员右脚小拇指骨折，损工90天。</t>
  </si>
  <si>
    <t>周素玲</t>
  </si>
  <si>
    <t>初冷器施工现场</t>
  </si>
  <si>
    <t>√ 立即整改，氧气瓶固定加防倾倒措施</t>
  </si>
  <si>
    <t>19-11-23</t>
  </si>
  <si>
    <t>汽轮机系统</t>
  </si>
  <si>
    <t>左胳膊深二度烫伤，损工28天</t>
  </si>
  <si>
    <t>减温减压</t>
  </si>
  <si>
    <t>描述不当，未能说明造成漏汽的原因，应指明具体的隐患点</t>
  </si>
  <si>
    <t>诊断为右胳膊二度烫伤，住院治疗15天，损工15天。</t>
  </si>
  <si>
    <t>王  霞</t>
  </si>
  <si>
    <t>减温减压室</t>
  </si>
  <si>
    <t>蒸汽温度高，易造成烫伤，且能源浪费，应及时处理泄漏</t>
  </si>
  <si>
    <t>√ 处理漏点，防止能源浪费及人身伤害</t>
  </si>
  <si>
    <t>20-1-12</t>
  </si>
  <si>
    <t>2号减温减压后电动门及法兰已整体更换。</t>
  </si>
  <si>
    <t>轴瓦烧毁、转子两端磨损，财产损失约18万元</t>
  </si>
  <si>
    <t>汽轮机零米</t>
  </si>
  <si>
    <t>描述不当，未能明确描述隐患点所在</t>
  </si>
  <si>
    <t>操作工被翘起的接地线绊倒致使膝盖擦伤，检查包扎无碍后复工</t>
  </si>
  <si>
    <t>赵保兰</t>
  </si>
  <si>
    <t>南冷凝液下槽</t>
  </si>
  <si>
    <t>√ 整改接地线，接地线贴地面</t>
  </si>
  <si>
    <t>DCS及电气系统</t>
  </si>
  <si>
    <t>设备无法正常供电不能正常操作，影响生产造成财产损失</t>
  </si>
  <si>
    <t>刘彬</t>
  </si>
  <si>
    <t>李水平</t>
  </si>
  <si>
    <t>提升机变频室</t>
  </si>
  <si>
    <t>异常原因找不到，生产安全事故随时可能出现，须查出原因对症下药，解决根本问题</t>
  </si>
  <si>
    <t>√ 查出故障原因，有的放失解决问题，消除随时可能出现的停机问题</t>
  </si>
  <si>
    <t>排除故障</t>
  </si>
  <si>
    <t>左腿骨折，住院治疗20天，回家休养2个月，损工80天。</t>
  </si>
  <si>
    <t>董国庆</t>
  </si>
  <si>
    <t>汽轮机主控楼顶</t>
  </si>
  <si>
    <t>正常情况下此处无日常操作，需加强警示</t>
  </si>
  <si>
    <t>5.5米焦炉拦焦</t>
  </si>
  <si>
    <t>开关烧坏，无法出焦，造成暂时停产损失8万元</t>
  </si>
  <si>
    <t>刘青松</t>
  </si>
  <si>
    <t>5.5米焦炉焦侧</t>
  </si>
  <si>
    <t>√ 增大防雨挡板
√ 及时检查，做好防水措施</t>
  </si>
  <si>
    <t>因检修车辆，停止出焦三个小时</t>
  </si>
  <si>
    <t>2号导烟车</t>
  </si>
  <si>
    <t>功勋焦炉已经退役</t>
  </si>
  <si>
    <t>安全帽被打落，人员轻微脑震荡，损工半个月。</t>
  </si>
  <si>
    <t>陶桂玲</t>
  </si>
  <si>
    <t>19-12-23</t>
  </si>
  <si>
    <t>计量槽东面</t>
  </si>
  <si>
    <t>√ 立即纠正，规范佩戴安全帽</t>
  </si>
  <si>
    <t>热力东区</t>
  </si>
  <si>
    <t>导致巡检人员小腿骨折，损工3个月</t>
  </si>
  <si>
    <t>崔艳艳</t>
  </si>
  <si>
    <t>化学水超滤装置</t>
  </si>
  <si>
    <t>√ 重新制作铁质盖板，刷漆防腐
× 盖好，保持盖板齐全</t>
  </si>
  <si>
    <t>割铁板履盖。</t>
  </si>
  <si>
    <t>左小腿骨折，住院治疗20天，休养三个月，损工110天。</t>
  </si>
  <si>
    <t>汽轮机房</t>
  </si>
  <si>
    <t>爬梯采用的花纹板，具有防滑功能，但需要作好警示标志</t>
  </si>
  <si>
    <t>√ 在爬梯入口处悬挂安全警示牌</t>
  </si>
  <si>
    <t>造成一名操作工脚扭伤，休息一小时后立即复工</t>
  </si>
  <si>
    <t>精炼工段南地沟</t>
  </si>
  <si>
    <t>√ 更换盖板或进行盖铁板。</t>
  </si>
  <si>
    <t>设备损坏</t>
  </si>
  <si>
    <t>刘国成</t>
  </si>
  <si>
    <t>19-11-24</t>
  </si>
  <si>
    <t>煤八皮带机岗位</t>
  </si>
  <si>
    <t>√ 更换消防箱</t>
  </si>
  <si>
    <t>19-11-26</t>
  </si>
  <si>
    <t>以更换</t>
  </si>
  <si>
    <t>脚腕扭伤</t>
  </si>
  <si>
    <t>王忠亮</t>
  </si>
  <si>
    <t>赵明</t>
  </si>
  <si>
    <t>西五后尾南侧</t>
  </si>
  <si>
    <t>√ 责令岗位人员立即进行覆盖</t>
  </si>
  <si>
    <t>盖板已归位，隐患消除</t>
  </si>
  <si>
    <t>脸部右部轻微擦伤，休息1小时后复工。</t>
  </si>
  <si>
    <t>孙作玉</t>
  </si>
  <si>
    <t>西四岗位</t>
  </si>
  <si>
    <t>√ 联系维修进行焊补</t>
  </si>
  <si>
    <t>护栏已焊补，隐患排除</t>
  </si>
  <si>
    <t>污水处理预处理</t>
  </si>
  <si>
    <t>口鼻咽喉部位黏膜不适</t>
  </si>
  <si>
    <t>深度处理加药间</t>
  </si>
  <si>
    <t>干熄焦提升机</t>
  </si>
  <si>
    <t>人员坠落死亡</t>
  </si>
  <si>
    <t>刘金科</t>
  </si>
  <si>
    <t>提升机七层平台</t>
  </si>
  <si>
    <t>能发现潜在隐患排查仔细</t>
  </si>
  <si>
    <t>√ 将蛇皮管拆除固定到西侧护栏，班组以后使用时随用随装用后拆除。</t>
  </si>
  <si>
    <t>蛇皮管拆除放至西侧护栏。</t>
  </si>
  <si>
    <t>右小腿骨折，住院治疗20天，回家修养三个月，损工110天。</t>
  </si>
  <si>
    <t>循环水冷却塔顶</t>
  </si>
  <si>
    <t>高处作业安全带规范使用是防止高处坠落事故的有效手段</t>
  </si>
  <si>
    <t>√ 高处作业必须规范佩戴安全带，防止人员高处坠落</t>
  </si>
  <si>
    <t>20-3-24</t>
  </si>
  <si>
    <t>一员工右胳膊割伤缝合十针，损工3天</t>
  </si>
  <si>
    <t>毕玉宁</t>
  </si>
  <si>
    <t>一楼加药间</t>
  </si>
  <si>
    <t>高处物体需进行固定防止掉落伤人</t>
  </si>
  <si>
    <t>√ 进行固定，防止伤人</t>
  </si>
  <si>
    <t>一人右臂骨折住院治疗60天，损工90天</t>
  </si>
  <si>
    <t>高亮</t>
  </si>
  <si>
    <t>包装间平台</t>
  </si>
  <si>
    <t>√ 通知包装机工对不锈钢管撤走</t>
  </si>
  <si>
    <t>已将不锈钢管撤走</t>
  </si>
  <si>
    <t>一人右脚骨折，住院治疗30天，损工100天</t>
  </si>
  <si>
    <t>张燚</t>
  </si>
  <si>
    <t>尹丽霞</t>
  </si>
  <si>
    <t>周转库北门</t>
  </si>
  <si>
    <t>√ 通知叉车工把空盘移位</t>
  </si>
  <si>
    <t>移位后排放整齐</t>
  </si>
  <si>
    <t>设备锈蚀损坏，财产损失5万元</t>
  </si>
  <si>
    <t>郭文霞</t>
  </si>
  <si>
    <t>主控楼楼顶</t>
  </si>
  <si>
    <t>实际具有防水防爆效果，但需注意日常维护</t>
  </si>
  <si>
    <t>√ 将表面油漆剥落处进行防腐处理</t>
  </si>
  <si>
    <t>循环水系统</t>
  </si>
  <si>
    <t>电瓶烧坏财产损失5000元</t>
  </si>
  <si>
    <t>胡西荣</t>
  </si>
  <si>
    <t>循环水泵房南门处</t>
  </si>
  <si>
    <t>破损处进行绝缘处理，防止短路</t>
  </si>
  <si>
    <t>√ 破损处进行绝缘处理，防止短路</t>
  </si>
  <si>
    <t>一人左耳下部轻微擦伤医疗事件</t>
  </si>
  <si>
    <t>张瑞海</t>
  </si>
  <si>
    <t>循环水</t>
  </si>
  <si>
    <t>废弃管道应及时拆除，减少或消除风险</t>
  </si>
  <si>
    <t>√ 废弃管道及时拆除，防止伤人</t>
  </si>
  <si>
    <t>整改已完成。</t>
  </si>
  <si>
    <t>干熄焦</t>
  </si>
  <si>
    <t>一名员工手指骨折损工三个月</t>
  </si>
  <si>
    <t>李宪斌</t>
  </si>
  <si>
    <t>冷焦带地下室</t>
  </si>
  <si>
    <t>巡检认真细心，能发现隐蔽处隐患。</t>
  </si>
  <si>
    <t>√ 将防护罩归位安装</t>
  </si>
  <si>
    <t>联轴器护罩放于有效位置</t>
  </si>
  <si>
    <t>一名员工左手手腕扭伤，损工五天</t>
  </si>
  <si>
    <t>禚金伟</t>
  </si>
  <si>
    <t>循环水冷却塔</t>
  </si>
  <si>
    <t>操作不便、环境不良也是造成事故的一个原因</t>
  </si>
  <si>
    <t>√ 加装过桥，方便人员通过，防止事故</t>
  </si>
  <si>
    <t>一人右肩肩胛骨骨折，损工两个月</t>
  </si>
  <si>
    <t>祝国杰</t>
  </si>
  <si>
    <t>汽轮机房西门南</t>
  </si>
  <si>
    <t>高处物件需固定牢固，防止掉落</t>
  </si>
  <si>
    <t>√ 落水管固定牢固，防止掉落伤人</t>
  </si>
  <si>
    <t>20-1-4</t>
  </si>
  <si>
    <t>一人员右眼灼伤，损工三个月</t>
  </si>
  <si>
    <t>孙文鹏</t>
  </si>
  <si>
    <t>巡检室东侧</t>
  </si>
  <si>
    <t>劳保用品是人体伤害的最后一道屏障，需养成良好习惯</t>
  </si>
  <si>
    <t>√ 劳保用品佩戴全，佩戴不全禁止作业</t>
  </si>
  <si>
    <t>切割作业已正确佩戴防护面罩。</t>
  </si>
  <si>
    <t>盖板破碎，造成一名操作工把脚歪伤，在家休息一周复工</t>
  </si>
  <si>
    <t>地下（含水下）作业环境不良</t>
  </si>
  <si>
    <t>戴久童</t>
  </si>
  <si>
    <t>19-12-30</t>
  </si>
  <si>
    <t>合成工段东地沟盖板</t>
  </si>
  <si>
    <t>√ 更换盖板或用铁板盖严</t>
  </si>
  <si>
    <t>氨水罐氨水泄露，造成50米范围内轻度污染。</t>
  </si>
  <si>
    <t>张建民</t>
  </si>
  <si>
    <t>氨水罐区</t>
  </si>
  <si>
    <t>该槽己停用无安全隐患</t>
  </si>
  <si>
    <t>一职工冲刷磅体跌倒受伤，损工90天。</t>
  </si>
  <si>
    <t>郭才喜</t>
  </si>
  <si>
    <t>六号磅</t>
  </si>
  <si>
    <t>√ 进入冬季严禁用水冲刷，改用扫帚清扫。</t>
  </si>
  <si>
    <t>备煤焦渣掺配系统</t>
  </si>
  <si>
    <t>右臂手部骨折，损工46天。</t>
  </si>
  <si>
    <t>郝效蓉</t>
  </si>
  <si>
    <t>东线</t>
  </si>
  <si>
    <t>图片不能有效呈现所述隐患内容，望加注意。</t>
  </si>
  <si>
    <t>√ 加强安全培训，提高安全意识，杜绝违章行为。</t>
  </si>
  <si>
    <t>一人掉入水沟内造成伤害，损工七天</t>
  </si>
  <si>
    <t>牟小花</t>
  </si>
  <si>
    <t>西四西南角下水道</t>
  </si>
  <si>
    <t>√ 将损坏盖板更新</t>
  </si>
  <si>
    <t>深度处理工段</t>
  </si>
  <si>
    <t>污水外溢对周边环境造成轻度污染</t>
  </si>
  <si>
    <t>李娟娟</t>
  </si>
  <si>
    <t>√ 维修更换变频器</t>
  </si>
  <si>
    <t>化产车间南冷凝</t>
  </si>
  <si>
    <t>一名操作工被烫到经处理不影响工作</t>
  </si>
  <si>
    <t>付艳</t>
  </si>
  <si>
    <t>20-1-2</t>
  </si>
  <si>
    <t>焦油罐</t>
  </si>
  <si>
    <t>小腿骨折治疗半月，休息三月，损工三个半月</t>
  </si>
  <si>
    <t>√ 加固支架</t>
  </si>
  <si>
    <t>造成一名人员脸部受伤，误工12天</t>
  </si>
  <si>
    <t>胡红梅</t>
  </si>
  <si>
    <t>煤九岗位</t>
  </si>
  <si>
    <t>√ 对所有通廊包边进行检查，发现问题包边，应立即采取加固或清除。</t>
  </si>
  <si>
    <t>一名巡检工被蒸汽喷到手部轻微烫伤</t>
  </si>
  <si>
    <t>20-1-1</t>
  </si>
  <si>
    <t>蒸汽过热器</t>
  </si>
  <si>
    <t>√ 悬挂警示，做好防护</t>
  </si>
  <si>
    <t>维修已紧固处理</t>
  </si>
  <si>
    <t>20-4-28</t>
  </si>
  <si>
    <t>5.5米推焦车</t>
  </si>
  <si>
    <t>刘连刚</t>
  </si>
  <si>
    <t>20-5-30</t>
  </si>
  <si>
    <t>推焦车平台底部</t>
  </si>
  <si>
    <t>√ 加强监护，人员禁止通行
√ 设立警戒区，隔绝人员通行</t>
  </si>
  <si>
    <t>20-11-23</t>
  </si>
  <si>
    <t>20-5-10</t>
  </si>
  <si>
    <t>一名职工右小臂骨折，住院治疗，损工75天。</t>
  </si>
  <si>
    <t>20-8-10</t>
  </si>
  <si>
    <t>换向室机侧通廊</t>
  </si>
  <si>
    <t>× 加固预制
× 联系外协处理</t>
  </si>
  <si>
    <t>20-11-22</t>
  </si>
  <si>
    <t>已由热修人员按装警示标志牌</t>
  </si>
  <si>
    <t>20-5-28</t>
  </si>
  <si>
    <t>化学水</t>
  </si>
  <si>
    <t>能造成设备损坏，短路停电，电器着火</t>
  </si>
  <si>
    <t>刘新才</t>
  </si>
  <si>
    <t>20-7-29</t>
  </si>
  <si>
    <t>工业泵房</t>
  </si>
  <si>
    <t>× 更换处理接触器
√ 加强电气巡检</t>
  </si>
  <si>
    <t>20-11-30</t>
  </si>
  <si>
    <t>已重新清理整改</t>
  </si>
  <si>
    <t>20-6-8</t>
  </si>
  <si>
    <t>一名职工烫伤损工八天</t>
  </si>
  <si>
    <t>董树堂</t>
  </si>
  <si>
    <t>20-7-10</t>
  </si>
  <si>
    <t>焦侧烟道通廊</t>
  </si>
  <si>
    <t>√ 增设防护网
√ 做好个体防护</t>
  </si>
  <si>
    <t>已由常调人员按装彩钢瓦</t>
  </si>
  <si>
    <t>20-6-28</t>
  </si>
  <si>
    <t>循环水泵</t>
  </si>
  <si>
    <t>若电缆外皮破损，会导致人身触电伤害</t>
  </si>
  <si>
    <t>王帅</t>
  </si>
  <si>
    <t>2#循环水泵处</t>
  </si>
  <si>
    <t>√ 整理电缆
√ 教育职工注意提高防范意识</t>
  </si>
  <si>
    <t>已整理电缆</t>
  </si>
  <si>
    <t>20-6-30</t>
  </si>
  <si>
    <t>新化学水工段</t>
  </si>
  <si>
    <t>短路，停电，造成财产损失</t>
  </si>
  <si>
    <t>20-11-3</t>
  </si>
  <si>
    <t>老化水配室</t>
  </si>
  <si>
    <t>√ 加装灭弧罩
√ 加强日常巡查</t>
  </si>
  <si>
    <t>20-7-14</t>
  </si>
  <si>
    <t>75T锅炉</t>
  </si>
  <si>
    <t>造成设备损坏，锅炉停炉</t>
  </si>
  <si>
    <t>李光进</t>
  </si>
  <si>
    <t>20-8-23</t>
  </si>
  <si>
    <t>锅炉一层</t>
  </si>
  <si>
    <t>√ 彻底清理堵塞物
√ 加强日常巡查</t>
  </si>
  <si>
    <t>巳清理干净，保证设备运行</t>
  </si>
  <si>
    <t>20-7-16</t>
  </si>
  <si>
    <t>住院治疗一周，损工半月</t>
  </si>
  <si>
    <t>王国花</t>
  </si>
  <si>
    <t>新化学水操作室</t>
  </si>
  <si>
    <t>√ 将盖板缺失处补全
√ 教育职工注意提高防范意识</t>
  </si>
  <si>
    <t>已增加地板</t>
  </si>
  <si>
    <t>热力车间东区</t>
  </si>
  <si>
    <t>电缆绝缘层损坏抄电表数时发生触电事故</t>
  </si>
  <si>
    <t>建设项目“三同时”制度未落实</t>
  </si>
  <si>
    <t>深井屋子</t>
  </si>
  <si>
    <t>√ 整理电缆
√ 理顺</t>
  </si>
  <si>
    <t>20-7-30</t>
  </si>
  <si>
    <t>20-9-3</t>
  </si>
  <si>
    <t>机侧炉门处</t>
  </si>
  <si>
    <t>√ 规范使用安全带
√ 现场加强监护</t>
  </si>
  <si>
    <t>立伟公司已整改</t>
  </si>
  <si>
    <t>20-8-2</t>
  </si>
  <si>
    <t>5.5米焦炉烟道通廊</t>
  </si>
  <si>
    <t>刘经洪</t>
  </si>
  <si>
    <t>20-10-31</t>
  </si>
  <si>
    <t>烟道通廊南头</t>
  </si>
  <si>
    <t>√ 提报计划，联系外协施工处理
√ 现场设置警示标志，人员禁止通行</t>
  </si>
  <si>
    <t>20-8-8</t>
  </si>
  <si>
    <t>造成巡检人员伤害  或公司检查通报批评</t>
  </si>
  <si>
    <t>陶明涛</t>
  </si>
  <si>
    <t>2#循环泵处</t>
  </si>
  <si>
    <t>√ 整理理顺电缆
× 教育职工注意提高防范意识</t>
  </si>
  <si>
    <t>20-8-11</t>
  </si>
  <si>
    <t>热力75t锅炉</t>
  </si>
  <si>
    <t>锅炉压火停炉，经济损失5万元</t>
  </si>
  <si>
    <t>刘清明</t>
  </si>
  <si>
    <t>75吨锅炉3楼</t>
  </si>
  <si>
    <t>√ 恢复盖板
× 加强日常巡查</t>
  </si>
  <si>
    <t>20-8-31</t>
  </si>
  <si>
    <t>热力车间院西北角</t>
  </si>
  <si>
    <t>送医院抢救无效死亡</t>
  </si>
  <si>
    <t>事故分析</t>
  </si>
  <si>
    <t>马芝平</t>
  </si>
  <si>
    <t>20-10-27</t>
  </si>
  <si>
    <t>煤场抓斗</t>
  </si>
  <si>
    <t>√ 维修轴销
√ 教育职工注意提高防范意识</t>
  </si>
  <si>
    <t>送医院就医，在家休养7天，损工7天</t>
  </si>
  <si>
    <t>郝德志</t>
  </si>
  <si>
    <t>操作室</t>
  </si>
  <si>
    <t>√ 更换盖板
√ 盖好，保持盖板齐全</t>
  </si>
  <si>
    <t>已更换</t>
  </si>
  <si>
    <t>20-9-1</t>
  </si>
  <si>
    <t>35t锅炉，</t>
  </si>
  <si>
    <t>一名操作工触电，浑身乏力，未造成大的伤害，休息后恢复正常</t>
  </si>
  <si>
    <t>赵建军</t>
  </si>
  <si>
    <t>35吨一楼</t>
  </si>
  <si>
    <t>√ 恢复配电箱护盖
√ 教育职工注意提高防范意识</t>
  </si>
  <si>
    <t>20-9-2</t>
  </si>
  <si>
    <t>35T锅炉二楼平台</t>
  </si>
  <si>
    <t>操作人员在合照明闸时，易发生触电事故，造成轻微伤害，未损工</t>
  </si>
  <si>
    <t>张冠群</t>
  </si>
  <si>
    <t>二楼平台</t>
  </si>
  <si>
    <t>√ 恢复盖板
√ 教育职工注意提高防范意识</t>
  </si>
  <si>
    <t>20-9-5</t>
  </si>
  <si>
    <t>75T锅炉热力车间</t>
  </si>
  <si>
    <t>万一损坏电缆，后果严重，造成经济损失。</t>
  </si>
  <si>
    <t>李玉军</t>
  </si>
  <si>
    <t>锅炉炉顶</t>
  </si>
  <si>
    <t>× 恢复盖板
√ 规范盖好盖板</t>
  </si>
  <si>
    <t>已盖好</t>
  </si>
  <si>
    <t>20-9-7</t>
  </si>
  <si>
    <t>输煤1号带</t>
  </si>
  <si>
    <t>一名操作工巡检至此，肩膀误碰配电盒，所幸没造成伤害</t>
  </si>
  <si>
    <t>张禄</t>
  </si>
  <si>
    <t>输煤1号皮带楼梯处</t>
  </si>
  <si>
    <t>√ 加防护罩
√ 加强日常巡查</t>
  </si>
  <si>
    <t>已固定</t>
  </si>
  <si>
    <t>20-9-21</t>
  </si>
  <si>
    <t>汽轮机汽封加热器</t>
  </si>
  <si>
    <t>热力东区深井屋子</t>
  </si>
  <si>
    <t>× 电缆加绝缘防护
√ 教育职工注意提高防范意识</t>
  </si>
  <si>
    <t>20-9-22</t>
  </si>
  <si>
    <t>锅炉停车产生财产损失</t>
  </si>
  <si>
    <t>檀钰</t>
  </si>
  <si>
    <t>√ 重新加装固定护盖
× 加强巡检</t>
  </si>
  <si>
    <t>20-9-24</t>
  </si>
  <si>
    <t>75吨锅炉</t>
  </si>
  <si>
    <t>造成一操作工手指损伤，休息一周</t>
  </si>
  <si>
    <t>75吨锅炉顶</t>
  </si>
  <si>
    <t>√ 更换破损线缆
× 不准再将线缆放在高温设施上方</t>
  </si>
  <si>
    <t>已重新接好</t>
  </si>
  <si>
    <t>设备跳闸，造成财产损失</t>
  </si>
  <si>
    <t>锅炉平台西</t>
  </si>
  <si>
    <t>√ 加装防护盖
× 注意防淋</t>
  </si>
  <si>
    <t>20-9-26</t>
  </si>
  <si>
    <t>硫酸腐蚀皮肤，损工8天</t>
  </si>
  <si>
    <t>戴立军</t>
  </si>
  <si>
    <t>刘好运</t>
  </si>
  <si>
    <t>20-12-23</t>
  </si>
  <si>
    <t>硫酸罐区</t>
  </si>
  <si>
    <t>√ 处理泄露管道
√ 加强巡回检查</t>
  </si>
  <si>
    <t>20-9-28</t>
  </si>
  <si>
    <t>住院治疗，损工两个月。</t>
  </si>
  <si>
    <t>付洪友</t>
  </si>
  <si>
    <t>锅炉汽包旁边</t>
  </si>
  <si>
    <t>√ 恢复盖板
√ 盖好齐全</t>
  </si>
  <si>
    <t>20-9-30</t>
  </si>
  <si>
    <t>炼焦车间干熄焦</t>
  </si>
  <si>
    <t>一人死亡事故</t>
  </si>
  <si>
    <t>张立新</t>
  </si>
  <si>
    <t>20-12-14</t>
  </si>
  <si>
    <t>干熄焦焦粉仓</t>
  </si>
  <si>
    <t>√ 焊补加固.增设警示牌</t>
  </si>
  <si>
    <t>20-11-26</t>
  </si>
  <si>
    <t>张志然</t>
  </si>
  <si>
    <t>20-11-7</t>
  </si>
  <si>
    <t>焦四机头</t>
  </si>
  <si>
    <t>√ 增设防护罩
√ 现场设置警示标志</t>
  </si>
  <si>
    <t>20-11-24</t>
  </si>
  <si>
    <t>付洪亮</t>
  </si>
  <si>
    <t>机侧二层平台</t>
  </si>
  <si>
    <t>√ 加固平台
√ 平台覆盖铁板</t>
  </si>
  <si>
    <t>刘磊</t>
  </si>
  <si>
    <t>环境除尘</t>
  </si>
  <si>
    <t>√ 焊补加固</t>
  </si>
  <si>
    <t>20-11-25</t>
  </si>
  <si>
    <t>集团公司通报</t>
  </si>
  <si>
    <t>负荷超限</t>
  </si>
  <si>
    <t>程秀鹏</t>
  </si>
  <si>
    <t>导烟车</t>
  </si>
  <si>
    <t>社会影响</t>
  </si>
  <si>
    <t>√ 更换油缸
√ 及时消除隐患</t>
  </si>
  <si>
    <t>热力车间脱硫岗位</t>
  </si>
  <si>
    <t>设备停电，造成生产停产，造成环保事故</t>
  </si>
  <si>
    <t>√ 恢复护盖
√ 固定牢固</t>
  </si>
  <si>
    <t>20-10-1</t>
  </si>
  <si>
    <t>一人眼部轻微损伤事故损工一天</t>
  </si>
  <si>
    <t>孙启英</t>
  </si>
  <si>
    <t>√ 焊补加固，人员作业时佩戴护目镜</t>
  </si>
  <si>
    <t>对余煤斗进行了加固焊接及清理干净，并要求工作人员放煤时佩戴护目镜。</t>
  </si>
  <si>
    <t>20-10-3</t>
  </si>
  <si>
    <t>5.5米送煤车</t>
  </si>
  <si>
    <t>扈金星</t>
  </si>
  <si>
    <t>一号刮板机</t>
  </si>
  <si>
    <t>√ 修复刮板机篦子板
√ 及时固定</t>
  </si>
  <si>
    <t>20-10-4</t>
  </si>
  <si>
    <t>造成巡查工掉力下水管道中脚踝扭伤腿部擦伤</t>
  </si>
  <si>
    <t>张传宝</t>
  </si>
  <si>
    <t>灰泵东侧下水管道</t>
  </si>
  <si>
    <t>√ 重新制作盖板
√ 盖好齐全</t>
  </si>
  <si>
    <t>20-11-4</t>
  </si>
  <si>
    <t>20-10-5</t>
  </si>
  <si>
    <t>小腿磕伤损工一天</t>
  </si>
  <si>
    <t>20-11-21</t>
  </si>
  <si>
    <t>干燥机北侧</t>
  </si>
  <si>
    <t>√ 悬挂“上下爬梯注意安全”警示牌
√ 教育职工注意提高防范意识</t>
  </si>
  <si>
    <t>20-10-6</t>
  </si>
  <si>
    <t>一人烧伤住院治疗两个月，损工两个月，脸部无法恢复正常样子。</t>
  </si>
  <si>
    <t>上升管水封</t>
  </si>
  <si>
    <t>√ 更换水封槽，及时联系化产，稳定集气道压力
√ 人员佩戴防护面罩</t>
  </si>
  <si>
    <t>5.5米脱硫脱硝酸</t>
  </si>
  <si>
    <t>一名员工胳膊骨折，送医治疗10天，在家修养70天</t>
  </si>
  <si>
    <t>耿金鹏</t>
  </si>
  <si>
    <t>余热锅炉软水箱</t>
  </si>
  <si>
    <t>√ 人员巡检此处按高处作业落实安全措施
√ 加强巡检人员安全监护</t>
  </si>
  <si>
    <t>20-11-9</t>
  </si>
  <si>
    <t>20-10-7</t>
  </si>
  <si>
    <t>5.5米焦炉扒运焦</t>
  </si>
  <si>
    <t>造成一人右手臂骨折，送医院治疗15天在家休养三个月损工事件。</t>
  </si>
  <si>
    <t>焦三皮带斜桥</t>
  </si>
  <si>
    <t>√ 固定彩钢瓦
√ 加强巡检巡查，及时处理</t>
  </si>
  <si>
    <t>左肩骨折，住院治疗，损工91天。</t>
  </si>
  <si>
    <t>齐立臣</t>
  </si>
  <si>
    <t>炉顶煤仓东墙</t>
  </si>
  <si>
    <t>√ 加固彩钢瓦
√ 加强巡查，及时处理</t>
  </si>
  <si>
    <t>汽轮机岗位</t>
  </si>
  <si>
    <t>住院治疗，损工2个月</t>
  </si>
  <si>
    <t>张兴才</t>
  </si>
  <si>
    <t>汽轮机4米平台</t>
  </si>
  <si>
    <t>√ 维修制作简易操作平台
√ 教育职工注意提高防范意识</t>
  </si>
  <si>
    <t>20-10-8</t>
  </si>
  <si>
    <t>75吨锅炉分汽缸</t>
  </si>
  <si>
    <t>造成胳膊烫伤，住院治疗七天，限工七天</t>
  </si>
  <si>
    <t>赵坤</t>
  </si>
  <si>
    <t>汽轮机南侧</t>
  </si>
  <si>
    <t>√ 及时保温管线防护
√ 教育职工注意提高防范意识</t>
  </si>
  <si>
    <t>一名操作工脚部骨折，损工一年</t>
  </si>
  <si>
    <t>刘培建</t>
  </si>
  <si>
    <t>送煤车刮板机</t>
  </si>
  <si>
    <t>√ 修复加固
√ 加强检查</t>
  </si>
  <si>
    <t>炼焦车间炉门修理站</t>
  </si>
  <si>
    <t>经济损失四千元</t>
  </si>
  <si>
    <t>马从好</t>
  </si>
  <si>
    <t>20-11-11</t>
  </si>
  <si>
    <t>卷扬机连触器</t>
  </si>
  <si>
    <t>√ 更换连轴器
√ 增设防护罩</t>
  </si>
  <si>
    <t>5.5米焦炉拦焦岗位</t>
  </si>
  <si>
    <t>导致1人受伤，住院治疗、休养，共计损工4个月。</t>
  </si>
  <si>
    <t>√ 加固平台
√ 维修处理</t>
  </si>
  <si>
    <t>20-10-9</t>
  </si>
  <si>
    <t>南门南蒸汽管线疏水阀</t>
  </si>
  <si>
    <t>操作工疏水时发生蒸汽烫伤，轻微伤无损工</t>
  </si>
  <si>
    <t>南门南苯酐蒸汽管线</t>
  </si>
  <si>
    <t>√ 维修紧固
√ 加强日常巡查</t>
  </si>
  <si>
    <t>左脚踝骨折，住院治疗7天。</t>
  </si>
  <si>
    <t>刘凯旋</t>
  </si>
  <si>
    <t>拦焦除尘水槽</t>
  </si>
  <si>
    <t>√ 焊接加固
√ 维修处理</t>
  </si>
  <si>
    <t>20-10-10</t>
  </si>
  <si>
    <t>5米5焦炉炉顶</t>
  </si>
  <si>
    <t>操作人员摔下去腿部骨折，经送医抢救，操作人员损工三个月。</t>
  </si>
  <si>
    <t>崔洪泉</t>
  </si>
  <si>
    <t>20-11-10</t>
  </si>
  <si>
    <t>炼焦车间炉顶</t>
  </si>
  <si>
    <t>√ 维修更换
√ 整平加固</t>
  </si>
  <si>
    <t>5.5米焦炉熄焦</t>
  </si>
  <si>
    <t>夹紧损坏影响正常生产</t>
  </si>
  <si>
    <t>李艳秋</t>
  </si>
  <si>
    <t>提升机底下道轨</t>
  </si>
  <si>
    <t>√ 维修处理
√ 加强监控检查</t>
  </si>
  <si>
    <t>20-10-11</t>
  </si>
  <si>
    <t>新化水过滤器南</t>
  </si>
  <si>
    <t>立即脱去被污染衣服用清水冲洗没有影响工作</t>
  </si>
  <si>
    <t>絮凝剂加药管道</t>
  </si>
  <si>
    <t>√ 维修修复
√ 教育职工注意提高防范意识</t>
  </si>
  <si>
    <t>20-10-13</t>
  </si>
  <si>
    <t>造成右腿骨折身体其它部位多处滑伤住院治疗一个月的损工事故。</t>
  </si>
  <si>
    <t>75t锅炉三楼平台</t>
  </si>
  <si>
    <t>20-10-14</t>
  </si>
  <si>
    <t>送医院救治无效死亡</t>
  </si>
  <si>
    <t>20-12-3</t>
  </si>
  <si>
    <t>机侧</t>
  </si>
  <si>
    <t>√ 更换炉门，确保横拴到位
√ 及时清理残渣，横栓不到位禁止车辆驶离</t>
  </si>
  <si>
    <t>20-11-6</t>
  </si>
  <si>
    <t>肋骨骨折，就医休养六个月。</t>
  </si>
  <si>
    <t>机侧除尘</t>
  </si>
  <si>
    <t>√ 清理备件
√ 定置存放</t>
  </si>
  <si>
    <t>绊倒膝盖半月板破裂，就医休养十二个月。</t>
  </si>
  <si>
    <t>扒焦岗位</t>
  </si>
  <si>
    <t>√ 清理杂物
√ 保持通行顺畅</t>
  </si>
  <si>
    <t>小臂粉碎性骨折，就医休养六个月。</t>
  </si>
  <si>
    <t>炉顶岗位</t>
  </si>
  <si>
    <t>√ 清理杂物
√ 规范放置储存</t>
  </si>
  <si>
    <t>5.5米扒焦，炼焦车</t>
  </si>
  <si>
    <t>脑部受伤，就医休养六个月。</t>
  </si>
  <si>
    <t>刘清磊</t>
  </si>
  <si>
    <t>焦三通廊</t>
  </si>
  <si>
    <t>√ 清理杂物
√ 保持畅通</t>
  </si>
  <si>
    <t>20-11-5</t>
  </si>
  <si>
    <t>组织人员对现场进行了杂物清理</t>
  </si>
  <si>
    <t>热力35t锅炉</t>
  </si>
  <si>
    <t>入院治疗1个月</t>
  </si>
  <si>
    <t>于海兹</t>
  </si>
  <si>
    <t>35T锅炉操作平台爬</t>
  </si>
  <si>
    <t>炼焦车间熄焦岗位</t>
  </si>
  <si>
    <t>右手臂骨折，损工一个月</t>
  </si>
  <si>
    <t>熄焦道轨东侧</t>
  </si>
  <si>
    <t>√ 刷警示标识漆
√ 绕道通行</t>
  </si>
  <si>
    <t>入院治疗，损工100天</t>
  </si>
  <si>
    <t>周方宾</t>
  </si>
  <si>
    <t>拦焦除尘管道上</t>
  </si>
  <si>
    <t>√ 清理扫帚
√ 工具规范放置</t>
  </si>
  <si>
    <t>把现场的杂物进行了清理，并定期检查，班前会制定了工具使用规范。</t>
  </si>
  <si>
    <t>20-10-15</t>
  </si>
  <si>
    <t>煤场天车</t>
  </si>
  <si>
    <t>需住院治疗，损工两个月。</t>
  </si>
  <si>
    <t>天车爬梯</t>
  </si>
  <si>
    <t>20-10-17</t>
  </si>
  <si>
    <t>化产</t>
  </si>
  <si>
    <t>爬梯护笼缺失造成一名操作工左脚脚腕崴伤损工14天</t>
  </si>
  <si>
    <t>夏海美</t>
  </si>
  <si>
    <t>20-11-19</t>
  </si>
  <si>
    <t>粗苯计量槽西侧框架</t>
  </si>
  <si>
    <t>√ 更换或加固爬梯护笼</t>
  </si>
  <si>
    <t>20-11-2</t>
  </si>
  <si>
    <t>20-10-18</t>
  </si>
  <si>
    <t>巡检人员被玻璃钢瓦绊倒，左腿膝盖轻微擦伤，不影响工作。</t>
  </si>
  <si>
    <t>北脱硫北边路面</t>
  </si>
  <si>
    <t>√ 清除地面的玻璃钢瓦</t>
  </si>
  <si>
    <t>20-10-22</t>
  </si>
  <si>
    <t>造成一人死亡</t>
  </si>
  <si>
    <t>干熄炉四层</t>
  </si>
  <si>
    <t>× 清理现场</t>
  </si>
  <si>
    <t>20-11-18</t>
  </si>
  <si>
    <t>人员轻微受伤</t>
  </si>
  <si>
    <t>一次除尘二层</t>
  </si>
  <si>
    <t>20-11-14</t>
  </si>
  <si>
    <t>维修加螺栓紧固</t>
  </si>
  <si>
    <t>20-10-23</t>
  </si>
  <si>
    <t>面部擦伤，损工7天</t>
  </si>
  <si>
    <t>旋转密封阀</t>
  </si>
  <si>
    <t>√ 增设警示牌</t>
  </si>
  <si>
    <t>增设警示牌</t>
  </si>
  <si>
    <t>一人绊倒，左侧膝盖骨裂，治疗七天，休养三个半月，造成损工事故</t>
  </si>
  <si>
    <t>刘振华</t>
  </si>
  <si>
    <t>√ 焊补，加固处理</t>
  </si>
  <si>
    <t>维修焊补</t>
  </si>
  <si>
    <t>一名操作工右腿膝盖擦伤包扎后复工</t>
  </si>
  <si>
    <t>√ 及时清理地面管道</t>
  </si>
  <si>
    <t>20-11-12</t>
  </si>
  <si>
    <t>财产损失价值10—50万</t>
  </si>
  <si>
    <t>于秋菊</t>
  </si>
  <si>
    <t>南冷凝泵房</t>
  </si>
  <si>
    <t>√ 更换维修电机风扇</t>
  </si>
  <si>
    <t>20-10-24</t>
  </si>
  <si>
    <t>脚踝扭伤，损工三十天。</t>
  </si>
  <si>
    <t>赵波</t>
  </si>
  <si>
    <t>干熄焦主控楼PLC室</t>
  </si>
  <si>
    <t>将盖板放在有效位置上，起到有效防护作用</t>
  </si>
  <si>
    <t>√ 将盖板放在有效位置上，起到有效防护作用</t>
  </si>
  <si>
    <t>20-10-25</t>
  </si>
  <si>
    <t>一人左臂深Ⅱ度烫伤，治疗一周，修养两周，造成损工事故</t>
  </si>
  <si>
    <t>干熄焦锅炉</t>
  </si>
  <si>
    <t>√ 紧固螺栓或悬挂警示牌待检修处理</t>
  </si>
  <si>
    <t>维修紧固螺栓</t>
  </si>
  <si>
    <t>右腿轻微擦伤，包扎后继续工作</t>
  </si>
  <si>
    <t>环境除尘放灰平台</t>
  </si>
  <si>
    <t>√ 清理现场，保持畅通</t>
  </si>
  <si>
    <t>头部碰伤，住院治疗1个月，损工30天。</t>
  </si>
  <si>
    <t>环境除尘四层</t>
  </si>
  <si>
    <t>√ 现场及时清理，补缺失</t>
  </si>
  <si>
    <t>20-11-20</t>
  </si>
  <si>
    <t>一员工右手电灼伤，休养15天</t>
  </si>
  <si>
    <t>2号提升机变压器室</t>
  </si>
  <si>
    <t>√ 添加盖板或更换</t>
  </si>
  <si>
    <t>一人员左脚脚踝扭伤，送医治疗休养10天</t>
  </si>
  <si>
    <t>于彩亮</t>
  </si>
  <si>
    <t>3号减温减压平台</t>
  </si>
  <si>
    <t>√ 清理现场.保持畅通</t>
  </si>
  <si>
    <t>一员工脚腕扭伤</t>
  </si>
  <si>
    <t>20-12-6</t>
  </si>
  <si>
    <t>室外污水地沟处</t>
  </si>
  <si>
    <t>盖板加密至防止人踏入的程度</t>
  </si>
  <si>
    <t>√ 盖板焊加支撑，加密至防止人踏入的程度</t>
  </si>
  <si>
    <t>20-10-26</t>
  </si>
  <si>
    <t>磕到后脑勺轻微脑震荡损工3天</t>
  </si>
  <si>
    <t>无</t>
  </si>
  <si>
    <t>35吨锅炉一楼</t>
  </si>
  <si>
    <t>手部擦伤，损工两天</t>
  </si>
  <si>
    <t>刘春峰</t>
  </si>
  <si>
    <t>住院治疗，并在家休养一周</t>
  </si>
  <si>
    <t>王雪颖</t>
  </si>
  <si>
    <t>厂房二楼</t>
  </si>
  <si>
    <t>危害判定错误</t>
  </si>
  <si>
    <t>右手烫伤，去医务室处理，损工一周</t>
  </si>
  <si>
    <t>待整改</t>
  </si>
  <si>
    <t>20-12-7</t>
  </si>
  <si>
    <t>东区分汽缸</t>
  </si>
  <si>
    <t>× 维修修复
× 加强日常巡查</t>
  </si>
  <si>
    <t>20-10-28</t>
  </si>
  <si>
    <t>操作人员触电，损工N天</t>
  </si>
  <si>
    <t>董丽霞</t>
  </si>
  <si>
    <t>新化学水一级反渗透</t>
  </si>
  <si>
    <t>判定不符是</t>
  </si>
  <si>
    <t>制氮机组</t>
  </si>
  <si>
    <t>操作工左手轻微扭伤</t>
  </si>
  <si>
    <t>20-11-29</t>
  </si>
  <si>
    <t>20-11-16</t>
  </si>
  <si>
    <t>绝缘子旋转导致两根滑触线发生短路影响生产.污染环境</t>
  </si>
  <si>
    <t>刘鑫</t>
  </si>
  <si>
    <t>20-11-28</t>
  </si>
  <si>
    <t>南侧导烟车滑触线</t>
  </si>
  <si>
    <t>√ 电工维修处理
√ 加强巡检巡查</t>
  </si>
  <si>
    <t>20-10-29</t>
  </si>
  <si>
    <t>化产车间西硫铵</t>
  </si>
  <si>
    <t>一名维修工轻微中毒</t>
  </si>
  <si>
    <t>风机初冷器</t>
  </si>
  <si>
    <t>√ 补起螺栓</t>
  </si>
  <si>
    <t>热力车间输煤系统</t>
  </si>
  <si>
    <t>手腕骨折，损工三个月</t>
  </si>
  <si>
    <t>刘新军</t>
  </si>
  <si>
    <t>35吨锅炉鼓风机</t>
  </si>
  <si>
    <t>一名巡检工踩破盖板掉入地沟扭伤脚腕，休息后继续工作</t>
  </si>
  <si>
    <t>一层楼梯东侧</t>
  </si>
  <si>
    <t>焦炉停运2.5小时，财产损失7万元</t>
  </si>
  <si>
    <t>20-12-1</t>
  </si>
  <si>
    <t>干熄车夹紧装置</t>
  </si>
  <si>
    <t>巡查认真细致安全意识强</t>
  </si>
  <si>
    <t>√ 将销子归位固定</t>
  </si>
  <si>
    <t>如果发现不及时会造成更多更大的环境污染。</t>
  </si>
  <si>
    <t>董永琴</t>
  </si>
  <si>
    <t>深度处理浓水阀门</t>
  </si>
  <si>
    <t>√ 处理管道漏点
√ 加强巡回检查</t>
  </si>
  <si>
    <t>20-10-30</t>
  </si>
  <si>
    <t>污水处理车间1</t>
  </si>
  <si>
    <t>电击伤害</t>
  </si>
  <si>
    <t>刘凤春</t>
  </si>
  <si>
    <t>生化操作区域</t>
  </si>
  <si>
    <t>× 加强用电保护，接电时必须由专业人员操作
× 高空作业时佩戴好安全带</t>
  </si>
  <si>
    <t>异味散出污染环境</t>
  </si>
  <si>
    <t>张彩红</t>
  </si>
  <si>
    <t>1#站生化工段</t>
  </si>
  <si>
    <t>× 添加盖板</t>
  </si>
  <si>
    <t>热力车间硫铵楼南厕</t>
  </si>
  <si>
    <t>住院治疗，损工一个月</t>
  </si>
  <si>
    <t>刘德明</t>
  </si>
  <si>
    <t>围堰内地沟</t>
  </si>
  <si>
    <t>√ 重新制作铁质盖板，刷漆防腐
√ 教育职工注意提高防范意识</t>
  </si>
  <si>
    <t>南区</t>
  </si>
  <si>
    <t>一人右手划伤</t>
  </si>
  <si>
    <t>刘钦利</t>
  </si>
  <si>
    <t>化产点名室</t>
  </si>
  <si>
    <t>× 更换破损玻璃</t>
  </si>
  <si>
    <t>一名操作工轻微煤气中毒，损工2天。</t>
  </si>
  <si>
    <t>付斌</t>
  </si>
  <si>
    <t>20-12-2</t>
  </si>
  <si>
    <t>电捕后煤气管道阀门</t>
  </si>
  <si>
    <t>× 处理泄漏点</t>
  </si>
  <si>
    <t>巡检工及时发现扑灭，未造成人员伤亡和设备损坏！</t>
  </si>
  <si>
    <t>张鹏</t>
  </si>
  <si>
    <t>1#脱硫塔</t>
  </si>
  <si>
    <t>√ 封堵管口</t>
  </si>
  <si>
    <t>一操作工巡查时，触电住院治疗一周</t>
  </si>
  <si>
    <t>锅炉给水变送器</t>
  </si>
  <si>
    <t>√ 规范接线包扎
√ 教育职工注意提高防范意识</t>
  </si>
  <si>
    <t>20-12-4</t>
  </si>
  <si>
    <t>操作人员苯中毒晕倒，救出后送医治疗1周。</t>
  </si>
  <si>
    <t>张振</t>
  </si>
  <si>
    <t>粗苯计量槽</t>
  </si>
  <si>
    <t>× 更换气路</t>
  </si>
  <si>
    <t>设备损坏，财产损失约5万元。</t>
  </si>
  <si>
    <t>阚洪全</t>
  </si>
  <si>
    <t>√ 维修焊接加固
√ 加强巡检巡查</t>
  </si>
  <si>
    <t>鼓风机电机烧坏</t>
  </si>
  <si>
    <t>机侧地面除尘</t>
  </si>
  <si>
    <t>√ 加装法兰
√ 加强巡查</t>
  </si>
  <si>
    <t>轻微擦伤</t>
  </si>
  <si>
    <t>胡红晨</t>
  </si>
  <si>
    <t>南风机施工现场</t>
  </si>
  <si>
    <t>× 规范放置气瓶气路</t>
  </si>
  <si>
    <t>废水顺着罐体泄漏至地面造成环境污染</t>
  </si>
  <si>
    <t>粗苯东废水罐</t>
  </si>
  <si>
    <t>√ 处理泄漏点</t>
  </si>
  <si>
    <t>一名操作工被盖板绊倒造成膝盖轻微擦伤</t>
  </si>
  <si>
    <t>加碱槽处</t>
  </si>
  <si>
    <t>√ 清除盖板</t>
  </si>
  <si>
    <t>热力车间汽轮机</t>
  </si>
  <si>
    <t>右手烫伤，用清水冲洗后恢复正常，无损工。</t>
  </si>
  <si>
    <t>汽轮机头</t>
  </si>
  <si>
    <t>硫铵</t>
  </si>
  <si>
    <t>人员跳落地面，右脚扭伤</t>
  </si>
  <si>
    <t>终冷塔南配电室</t>
  </si>
  <si>
    <t>√ 再进行安全培训后，佩戴好安全带作业</t>
  </si>
  <si>
    <t>冷凝</t>
  </si>
  <si>
    <t>財产损失5-10万元</t>
  </si>
  <si>
    <t>牟圆圆</t>
  </si>
  <si>
    <t>√ 维修更换维修</t>
  </si>
  <si>
    <t>20-11-1</t>
  </si>
  <si>
    <t>外施工人被护栏划伤颈部出血，及时去医务室包扎，损工三天</t>
  </si>
  <si>
    <t>冷凝泵房</t>
  </si>
  <si>
    <t>× 拆除悬挂的护栏</t>
  </si>
  <si>
    <t>35吨锅炉脱硫池</t>
  </si>
  <si>
    <t>住院治疗，损工十天。</t>
  </si>
  <si>
    <t>田志友</t>
  </si>
  <si>
    <t>35吨锅炉脱硫池上方</t>
  </si>
  <si>
    <t>× 拆除并修复
× 教育职工注意提高防范意识</t>
  </si>
  <si>
    <t>办公楼前</t>
  </si>
  <si>
    <t>右小臂粉碎性骨折，损工三个月。</t>
  </si>
  <si>
    <t>办公楼前方</t>
  </si>
  <si>
    <t>× 修复大理石
× 教育职工注意提高防范意识</t>
  </si>
  <si>
    <t>一名操作人员眼睛受伤害，简单治疗后返工</t>
  </si>
  <si>
    <t>水封槽附近</t>
  </si>
  <si>
    <t>√ 维修更换阀门</t>
  </si>
  <si>
    <t>热力35t炉除尘器</t>
  </si>
  <si>
    <t>一名巡检工脚腕划伤出血，包扎处理后不影响工作</t>
  </si>
  <si>
    <t>除尘器</t>
  </si>
  <si>
    <t>影响吹灰效果，造成电机损坏经济损失。</t>
  </si>
  <si>
    <t>75t锅炉</t>
  </si>
  <si>
    <t>2～10万元财产损失</t>
  </si>
  <si>
    <t>岳凯</t>
  </si>
  <si>
    <t>制氮机组大屋北头</t>
  </si>
  <si>
    <t>√ 更换检修</t>
  </si>
  <si>
    <t>住院治疗，损工一个月。</t>
  </si>
  <si>
    <t>张建华</t>
  </si>
  <si>
    <t>锅炉顶部</t>
  </si>
  <si>
    <t>× 焊补开焊处
× 加强日常巡查</t>
  </si>
  <si>
    <t>备煤东线</t>
  </si>
  <si>
    <t>手臂骨折，损工100天。</t>
  </si>
  <si>
    <t>刘丽霞</t>
  </si>
  <si>
    <t>东三</t>
  </si>
  <si>
    <t>√ 清理废料
√ 岗位检修后或不用的物品要及时清理，防止发生事故</t>
  </si>
  <si>
    <t>75七锅炉</t>
  </si>
  <si>
    <t>住院治疗50天，损工50天</t>
  </si>
  <si>
    <t>高国卿</t>
  </si>
  <si>
    <t>锅炉一楼</t>
  </si>
  <si>
    <t>× 撤走
× 教育职工注意提高防范意识</t>
  </si>
  <si>
    <t>备煤煤线</t>
  </si>
  <si>
    <t>高处掉落砸伤行人</t>
  </si>
  <si>
    <t>单静</t>
  </si>
  <si>
    <t>煤九</t>
  </si>
  <si>
    <t>√ 维修更换固定防雨帽
√ 人员行走时注意高空落物</t>
  </si>
  <si>
    <t>装置停工检修</t>
  </si>
  <si>
    <t>于海霞</t>
  </si>
  <si>
    <t>√ 维修更换刮煤板
√ 设备使用注意发现隐患及时处理</t>
  </si>
  <si>
    <t>装置停工</t>
  </si>
  <si>
    <t>左恒坤</t>
  </si>
  <si>
    <t>东五</t>
  </si>
  <si>
    <t>√ 维修焊补固定挡板
√ 设备发现隐患及时处理，防止出现设备事故</t>
  </si>
  <si>
    <t>人员挤伤害</t>
  </si>
  <si>
    <t>高玉花</t>
  </si>
  <si>
    <t>煤五</t>
  </si>
  <si>
    <t>重复项，已经核查整改</t>
  </si>
  <si>
    <t>√ 维修固定
√ 人员经过时注意安全</t>
  </si>
  <si>
    <t>调心托辊磨损严重容易造成皮带磨损和撕裂造成停产</t>
  </si>
  <si>
    <t>范波</t>
  </si>
  <si>
    <t>西五皮带运输机</t>
  </si>
  <si>
    <t>√ 更换托辊
√ 设备巡检发现问题及时处理</t>
  </si>
  <si>
    <t>筛焦楼发焦除尘</t>
  </si>
  <si>
    <t>送医后诊断为颅脑损伤，经抢救无效后死亡。</t>
  </si>
  <si>
    <t>杨延安</t>
  </si>
  <si>
    <t>20-12-9</t>
  </si>
  <si>
    <t>筛焦楼西侧</t>
  </si>
  <si>
    <t>√ 焊接加固
√ 加强检查</t>
  </si>
  <si>
    <t>一人右脚骨折，损工6个月</t>
  </si>
  <si>
    <t>装煤车</t>
  </si>
  <si>
    <t>√ 恢复刮板机盖板
√ 加强设备使用维护</t>
  </si>
  <si>
    <t>一人左手臂骨折，损工3个月。</t>
  </si>
  <si>
    <t>√ 增设照明
√ 检查时保持照明，加强监护</t>
  </si>
  <si>
    <t>操作工住院五日，修养半月。</t>
  </si>
  <si>
    <t>张洪波</t>
  </si>
  <si>
    <t>√ 及时清理
√ 定置存放</t>
  </si>
  <si>
    <t>已经将梯架挪到操作区域外，定置存放。</t>
  </si>
  <si>
    <t>一人右手臂骨折，损工4个月</t>
  </si>
  <si>
    <t>炉顶北头</t>
  </si>
  <si>
    <t>× 设置警示标志
√ 增加照明</t>
  </si>
  <si>
    <t>增加照明设施，夜间人员已经能够看清地面起伏物，确保不会绊倒</t>
  </si>
  <si>
    <t>南化产风机岗位</t>
  </si>
  <si>
    <t>一操作工左腿轻微烫伤，简单处理后重返岗位</t>
  </si>
  <si>
    <t>上下段罐平台</t>
  </si>
  <si>
    <t>× 维修处理泄漏点</t>
  </si>
  <si>
    <t>5.5米拦焦车</t>
  </si>
  <si>
    <t>操作工右手腕骨折，损工四个月后复工</t>
  </si>
  <si>
    <t>刘少奎</t>
  </si>
  <si>
    <t>拦焦车二层平台</t>
  </si>
  <si>
    <t>√ 维修加固
√ 及时修复</t>
  </si>
  <si>
    <t>马金梅</t>
  </si>
  <si>
    <t>√ 下方用铁板防护
√ 上方覆盖铁板</t>
  </si>
  <si>
    <t>热力车间管道走廊</t>
  </si>
  <si>
    <t>如巡检不及时，泄露点过大，会造成严重的人生财产安全</t>
  </si>
  <si>
    <t>田怀成</t>
  </si>
  <si>
    <t>西区</t>
  </si>
  <si>
    <t>√ 维修修补
√ 加强日常巡查</t>
  </si>
  <si>
    <t>造成轻微电击伤害</t>
  </si>
  <si>
    <t>李晓楠</t>
  </si>
  <si>
    <t>值班室东侧仓库</t>
  </si>
  <si>
    <t>√ 电工整理电线
√ 日常工作时注意用电安全</t>
  </si>
  <si>
    <t>人员轻微伤害</t>
  </si>
  <si>
    <t>赵红</t>
  </si>
  <si>
    <t>东一南侧</t>
  </si>
  <si>
    <t>√ 维修固定挡风墙网板
√ 人员行走经过时注意高空落物，防止发生事故</t>
  </si>
  <si>
    <t>机侧通廊</t>
  </si>
  <si>
    <t>巡检工在巡查时，安全意识不强，造成头祁伤害，损工十天。</t>
  </si>
  <si>
    <t>刘成林</t>
  </si>
  <si>
    <t>热力</t>
  </si>
  <si>
    <t>描述不当</t>
  </si>
  <si>
    <t>东区</t>
  </si>
  <si>
    <t>煤气水封未作保湿处理，冬季上冻，容易造成生产事故。</t>
  </si>
  <si>
    <t>魏天华</t>
  </si>
  <si>
    <t>× 重新改造水封放水管
× 加强日常巡查</t>
  </si>
  <si>
    <t>造成加煤冒烟被集团公司通报的环保事故</t>
  </si>
  <si>
    <t>√ 检查修复
√ 确保设备密闭</t>
  </si>
  <si>
    <t>一名员工面部轻伤，医务室简单处理后复工。</t>
  </si>
  <si>
    <t>炉顶南头焦侧</t>
  </si>
  <si>
    <t>√ 增加警示标志
√ 人员注意通行安全</t>
  </si>
  <si>
    <t>已由常调人员增加警示标志</t>
  </si>
  <si>
    <t>备煤西线</t>
  </si>
  <si>
    <t>皮带腐烂严重</t>
  </si>
  <si>
    <t>刘汉东</t>
  </si>
  <si>
    <t>西一地沟托辊腐烂</t>
  </si>
  <si>
    <t>√ 更换托辊
√ 设备使用时注意发现问题及时处理</t>
  </si>
  <si>
    <t>一人右小臂骨折，损工3个月</t>
  </si>
  <si>
    <t>电捕东厕</t>
  </si>
  <si>
    <t>× 整改现场气路线路</t>
  </si>
  <si>
    <t>一名电仪人员腿部擦伤简单处理后正常上班。</t>
  </si>
  <si>
    <t>北供水配电室</t>
  </si>
  <si>
    <t>× 覆盖地沟盖板</t>
  </si>
  <si>
    <t>财产损失3万元</t>
  </si>
  <si>
    <t>秦继永</t>
  </si>
  <si>
    <t>20-11-8</t>
  </si>
  <si>
    <t>西一</t>
  </si>
  <si>
    <t>√ 更换托辊
√ 巡检时发现问题及时处理</t>
  </si>
  <si>
    <t>刘会明</t>
  </si>
  <si>
    <t>描述不清楚，重新做</t>
  </si>
  <si>
    <t>硫酸腐蚀裤腿，无人员伤害</t>
  </si>
  <si>
    <t>邢玉坤</t>
  </si>
  <si>
    <t>20-12-8</t>
  </si>
  <si>
    <t>满流槽上方</t>
  </si>
  <si>
    <t>√ 更换管道处理泄漏点</t>
  </si>
  <si>
    <t>操作工送断照明开关时发生触电，轻微伤害未损工，休息后恢复工作</t>
  </si>
  <si>
    <t>21-1-3</t>
  </si>
  <si>
    <t>二楼照明配电箱</t>
  </si>
  <si>
    <t>× 增设绝缘板防护
× 加强日常巡查</t>
  </si>
  <si>
    <t>李树文</t>
  </si>
  <si>
    <t>√ 更换腐烂铁板
√ 人员不能在吊装孔覆盖处停留或者行走</t>
  </si>
  <si>
    <t>化产粗苯</t>
  </si>
  <si>
    <t>冻堵管道影响生产</t>
  </si>
  <si>
    <t>徐洪涛</t>
  </si>
  <si>
    <t>南管架</t>
  </si>
  <si>
    <t>√ 保温</t>
  </si>
  <si>
    <t>蒸氨废水外溢污染环境，公司通报。</t>
  </si>
  <si>
    <t>蒸氨废水阀门</t>
  </si>
  <si>
    <t>老化水EDI</t>
  </si>
  <si>
    <t>如果发现不及时将会造成清水泄露影响环保</t>
  </si>
  <si>
    <t>8组EDI</t>
  </si>
  <si>
    <t>划伤皮带损失2万元</t>
  </si>
  <si>
    <t>王晓伟</t>
  </si>
  <si>
    <t>西二</t>
  </si>
  <si>
    <t>√ 更换托辊
√ 巡检时发现问题及时处理，防止损伤设备</t>
  </si>
  <si>
    <t>汽机减温减压</t>
  </si>
  <si>
    <t>巡检职工手臂烫伤送医务室治疗后回家休息15天</t>
  </si>
  <si>
    <t>刘家丰</t>
  </si>
  <si>
    <t>汽机2号减温减压</t>
  </si>
  <si>
    <t>一职工轻微擦伤。</t>
  </si>
  <si>
    <t>东六</t>
  </si>
  <si>
    <t>√ 严格落实登高作业相关规定，做好安全监护，加强管理。</t>
  </si>
  <si>
    <t>1#分汽缸</t>
  </si>
  <si>
    <t>不慎手部接触阀门造成轻微烫伤</t>
  </si>
  <si>
    <t>汽机1#分汽缸出口阀</t>
  </si>
  <si>
    <t>一名员工腿部擦伤，送医务室包扎后继续上班</t>
  </si>
  <si>
    <t>75t锅炉3楼平台减</t>
  </si>
  <si>
    <t>隐患描述不当</t>
  </si>
  <si>
    <t>腿部骨折，损工三个月</t>
  </si>
  <si>
    <t>20-12-12</t>
  </si>
  <si>
    <t>初冷器东侧管架爬梯</t>
  </si>
  <si>
    <t>× 添加警示牌</t>
  </si>
  <si>
    <t>住院治疗三天，在家休养四天。痊愈。损工七天。</t>
  </si>
  <si>
    <t>王盛超</t>
  </si>
  <si>
    <t>21-1-4</t>
  </si>
  <si>
    <t>二号胶带输送机机头</t>
  </si>
  <si>
    <t>× 加装照明灯
× 教育职工注意提高防范意识</t>
  </si>
  <si>
    <t>右手烫伤</t>
  </si>
  <si>
    <t>蒸氨废水冷却器</t>
  </si>
  <si>
    <t>× 维修处理</t>
  </si>
  <si>
    <t>一名操作工左臂骨折，住院十天，在家修养六十天。</t>
  </si>
  <si>
    <t>集气道平台</t>
  </si>
  <si>
    <t>√ 整理电缆
√ 注意通行安全</t>
  </si>
  <si>
    <t>20-11-17</t>
  </si>
  <si>
    <t>造成该名操作工左臂擦伤，住院治疗半个月的损工事故。</t>
  </si>
  <si>
    <t>马海东</t>
  </si>
  <si>
    <t>2号皮带</t>
  </si>
  <si>
    <t>× 恢复护罩
× 教育职工注意提高防范意识</t>
  </si>
  <si>
    <t>5.5米焦炉换向室</t>
  </si>
  <si>
    <t>造成一人右手指挤破皮，去医务室包扎处理，损工半天。</t>
  </si>
  <si>
    <t>换向操作台</t>
  </si>
  <si>
    <t>√ 增设相关标识
√ 规范作业操作</t>
  </si>
  <si>
    <t>数据不准，影响工艺生产</t>
  </si>
  <si>
    <t>20-12-16</t>
  </si>
  <si>
    <t>2#脱硫塔</t>
  </si>
  <si>
    <t>√ 检查更换</t>
  </si>
  <si>
    <t>一人面部擦伤消毒处理后继续工作</t>
  </si>
  <si>
    <t>刘洪明</t>
  </si>
  <si>
    <t>煤四</t>
  </si>
  <si>
    <t>√ 责令人员立即将包边拆除</t>
  </si>
  <si>
    <t>一人手骨骨折，损工98天</t>
  </si>
  <si>
    <t>东四</t>
  </si>
  <si>
    <t>√ 责令岗位立即将套管补齐</t>
  </si>
  <si>
    <t>一人小腿骨折，损工101天</t>
  </si>
  <si>
    <t>冯成刚</t>
  </si>
  <si>
    <t>3#煤场</t>
  </si>
  <si>
    <t>√ 教育并让其立即穿戴好反光马甲</t>
  </si>
  <si>
    <t>一名职工右手掌烫伤，在家休养二个月的损工事件。</t>
  </si>
  <si>
    <t>20-12-10</t>
  </si>
  <si>
    <t>炉顶机侧南头</t>
  </si>
  <si>
    <t>√ 工具定置存放
√ 人员注意操作安全</t>
  </si>
  <si>
    <t>已由常调人员将工具定置存放</t>
  </si>
  <si>
    <t>汽机一楼 空冷器南侧</t>
  </si>
  <si>
    <t>公司级安全检查 存在安全隐患通报批评</t>
  </si>
  <si>
    <t>空冷器南侧</t>
  </si>
  <si>
    <t>头部受伤</t>
  </si>
  <si>
    <t>胡汉东</t>
  </si>
  <si>
    <t>点火平台</t>
  </si>
  <si>
    <t>炼焦车间北部</t>
  </si>
  <si>
    <t>右手臂骨折，损工l2O天。</t>
  </si>
  <si>
    <t>炉门站处</t>
  </si>
  <si>
    <t>√ 立即停用
√ 更换砂轮片</t>
  </si>
  <si>
    <t>已由炉门站维修人员更换新砂轮片</t>
  </si>
  <si>
    <t>损工45天</t>
  </si>
  <si>
    <t>炉门站</t>
  </si>
  <si>
    <t>√ 规范使用用电设备
√ 更换绝缘把手</t>
  </si>
  <si>
    <t>已由炉门站人员整改完成</t>
  </si>
  <si>
    <t>住院治疗一个月休养2个月的损工事件</t>
  </si>
  <si>
    <t>王长清</t>
  </si>
  <si>
    <t>5.5米焦侧平台</t>
  </si>
  <si>
    <t>√ 整理管道
√ 规范摆放</t>
  </si>
  <si>
    <t>住院治疗7天休养2个月的损工事件</t>
  </si>
  <si>
    <t>王胜</t>
  </si>
  <si>
    <t>地下室南头</t>
  </si>
  <si>
    <t>√ 清理黄油
× 注意通行安全</t>
  </si>
  <si>
    <t>清理</t>
  </si>
  <si>
    <t>一人损工七天</t>
  </si>
  <si>
    <t>熄焦道轨南头</t>
  </si>
  <si>
    <t>√ 割除整改
√ 注意通行安全</t>
  </si>
  <si>
    <t>送医院就医，在家休养三天，损工三天。</t>
  </si>
  <si>
    <t>于健</t>
  </si>
  <si>
    <t>分汽缸</t>
  </si>
  <si>
    <t>× 维修后及时保温
× 教育职工注意提高防范意识</t>
  </si>
  <si>
    <t>人员挤伤</t>
  </si>
  <si>
    <t>牟增书</t>
  </si>
  <si>
    <t>西三</t>
  </si>
  <si>
    <t>√ 立即停车联系维修整改！</t>
  </si>
  <si>
    <t>老化水浓水泵，热力车</t>
  </si>
  <si>
    <t>电源线短路，影响生产</t>
  </si>
  <si>
    <t>刘宝安</t>
  </si>
  <si>
    <t>老化水浓水池处</t>
  </si>
  <si>
    <t>× 彻底规范包扎线路
× 加强日常巡查</t>
  </si>
  <si>
    <t>一名工人触电受伤送医治疗两天，在家修养15天</t>
  </si>
  <si>
    <t>换向室操作台后</t>
  </si>
  <si>
    <t>√ 增加防护
√ 覆盖加固</t>
  </si>
  <si>
    <t>导致1人受伤，治疗、休养共计损工10天</t>
  </si>
  <si>
    <t>√ 及时恢复
√ 加强检查</t>
  </si>
  <si>
    <t>导致一人受伤，治疗、休养共计损工12天</t>
  </si>
  <si>
    <t>焦炉南头端台</t>
  </si>
  <si>
    <t>用完后及时整理，盘整齐</t>
  </si>
  <si>
    <t>造成脚踝损伤小腿擦伤</t>
  </si>
  <si>
    <t>35吨锅炉引风机周围</t>
  </si>
  <si>
    <t>× 恢复盖板
× 规范盖好盖板</t>
  </si>
  <si>
    <t>炼焦车间推焦岗位</t>
  </si>
  <si>
    <t>右小腿骨折，损工105天</t>
  </si>
  <si>
    <t>杨玉明</t>
  </si>
  <si>
    <t>√ 及时处理
√ 加强检查</t>
  </si>
  <si>
    <t>造成一名员工小腿骨折，一人损工事故。</t>
  </si>
  <si>
    <t>不能无故改变原设计</t>
  </si>
  <si>
    <t>轻微脑震荡，损工两天。</t>
  </si>
  <si>
    <t>粗苯终冷塔处</t>
  </si>
  <si>
    <t>× 清除铝皮</t>
  </si>
  <si>
    <t>一人右手指骨折，损工68天</t>
  </si>
  <si>
    <t>宋涛</t>
  </si>
  <si>
    <t>煤八</t>
  </si>
  <si>
    <t>√ 岗位人员立即将套管复位，以防发生人员伤害！</t>
  </si>
  <si>
    <t>一职工右脚脚踝擦伤，无损工</t>
  </si>
  <si>
    <t>王晓丽</t>
  </si>
  <si>
    <t>西四南边水沟</t>
  </si>
  <si>
    <t>√ 组织人员立即将盖板复位，以防造成人员伤害！</t>
  </si>
  <si>
    <t>一人右脚骨折，损工3个月</t>
  </si>
  <si>
    <t>送煤车接煤板平台南侧</t>
  </si>
  <si>
    <t>√ 维修焊补
√ 及时修复</t>
  </si>
  <si>
    <t>住院15天修养80天损工95天</t>
  </si>
  <si>
    <t>20-12-30</t>
  </si>
  <si>
    <t>熄焦塔道轨处</t>
  </si>
  <si>
    <t>√ 清理现场
√ 定置存放</t>
  </si>
  <si>
    <t>人员脸部轻微划伤</t>
  </si>
  <si>
    <t>终冷器蒸汽管道</t>
  </si>
  <si>
    <t>刘欢</t>
  </si>
  <si>
    <t>新化学水二楼</t>
  </si>
  <si>
    <t>× 铺设护板
× 教育职工注意提高防范意识</t>
  </si>
  <si>
    <t>热力车间输煤3号皮带</t>
  </si>
  <si>
    <t>设备损坏，人员伤亡</t>
  </si>
  <si>
    <t>3#皮带</t>
  </si>
  <si>
    <t>头部轻微伤，损工三天。</t>
  </si>
  <si>
    <t>刘建萍</t>
  </si>
  <si>
    <t>粗苯南泵房管架上部</t>
  </si>
  <si>
    <t>√ 清除铝皮</t>
  </si>
  <si>
    <t>碳化</t>
  </si>
  <si>
    <t>膝盖及小腿多处擦伤，去医务室包扎后继续上班</t>
  </si>
  <si>
    <t>碳化塔北侧地沟</t>
  </si>
  <si>
    <t>× 加装盖板，保证安全</t>
  </si>
  <si>
    <t>污水2#站</t>
  </si>
  <si>
    <t>造成肩部骨折住院治疗，休养三个月。</t>
  </si>
  <si>
    <t>郭维利</t>
  </si>
  <si>
    <t>张林蕾</t>
  </si>
  <si>
    <t>20-12-13</t>
  </si>
  <si>
    <t>大门</t>
  </si>
  <si>
    <t>√ 维修开焊点</t>
  </si>
  <si>
    <t>20-11-13</t>
  </si>
  <si>
    <t>污水处理车间2#站</t>
  </si>
  <si>
    <t>一名操作人员腿部轻微擦伤，无损工事故。</t>
  </si>
  <si>
    <t>李传宝</t>
  </si>
  <si>
    <t>污泥浓缩池护栏开焊</t>
  </si>
  <si>
    <t>√ 维修护栏</t>
  </si>
  <si>
    <t>左脚踝骨折，损工105天。</t>
  </si>
  <si>
    <t>起伏机平台护栏</t>
  </si>
  <si>
    <t>√ 维修护栏开焊点</t>
  </si>
  <si>
    <t>大面积烫伤后立即用凉水冲洗30分钟，送医院救治，损工一星期</t>
  </si>
  <si>
    <t>于佳佳</t>
  </si>
  <si>
    <t>新化学水锅炉加药间</t>
  </si>
  <si>
    <t>× 增设照明
× 教育职工注意提高防范意识</t>
  </si>
  <si>
    <t>造成小腿骨折，立即送医院治疗，损工半月</t>
  </si>
  <si>
    <t>新化学水加药间</t>
  </si>
  <si>
    <t>支架坠落击中巡检人员头部，可能会击中人员死亡</t>
  </si>
  <si>
    <t>√ 拆除或加固</t>
  </si>
  <si>
    <t>受轻微伤，损工两天</t>
  </si>
  <si>
    <t>√ 及时清理
√ 加强巡查</t>
  </si>
  <si>
    <t>触电抢救无效死亡。</t>
  </si>
  <si>
    <t>焦四机尾</t>
  </si>
  <si>
    <t>√ 规范接线
√ 及时处理</t>
  </si>
  <si>
    <t>张胜文</t>
  </si>
  <si>
    <t>√ 更换卸料器刀头
√ 使用时注意清理好积煤，延长使用寿命</t>
  </si>
  <si>
    <t>熄焦水池北侧</t>
  </si>
  <si>
    <t>√ 及时恢复
√ 注意通行安全</t>
  </si>
  <si>
    <t>装置停工，检修更换胶带。</t>
  </si>
  <si>
    <t>单清燕</t>
  </si>
  <si>
    <t>20-11-15</t>
  </si>
  <si>
    <t>√ 更换刮煤板</t>
  </si>
  <si>
    <t>1人肋骨骨裂，就医休养3个月</t>
  </si>
  <si>
    <t>孟德强</t>
  </si>
  <si>
    <t>主控楼南楼梯处</t>
  </si>
  <si>
    <t>√ 外协防冻保温施工余料规整放置。
√ 保温完毕，立即清理现场，保持通道畅通。</t>
  </si>
  <si>
    <t>现场杂物已清理</t>
  </si>
  <si>
    <t>炼焦车间炉门站</t>
  </si>
  <si>
    <t>手腕骨折，损工一月</t>
  </si>
  <si>
    <t>爬梯附近</t>
  </si>
  <si>
    <t>√ 定置存放
√ 及时清理</t>
  </si>
  <si>
    <t>已由炉门站人员清理</t>
  </si>
  <si>
    <t>手部骨折，损工三月</t>
  </si>
  <si>
    <t>1#刮板机</t>
  </si>
  <si>
    <t>√ 及时恢复
√ 维修处理</t>
  </si>
  <si>
    <t>脚踝骨折，损工一月</t>
  </si>
  <si>
    <t>爬梯</t>
  </si>
  <si>
    <t>√ 维修处理
√ 焊接加固</t>
  </si>
  <si>
    <t>20-11-27</t>
  </si>
  <si>
    <t>手部骨折，损工一月</t>
  </si>
  <si>
    <t>炉顶南端</t>
  </si>
  <si>
    <t>住院治疗半个月的损工事故。</t>
  </si>
  <si>
    <t>高士国</t>
  </si>
  <si>
    <t>75t锅炉一楼</t>
  </si>
  <si>
    <t>光纤电缆线损坏，财产损失二万元。</t>
  </si>
  <si>
    <t>炉顶面北端</t>
  </si>
  <si>
    <t>汽轮机油站，热力车间</t>
  </si>
  <si>
    <t>造成肩部出血，缝了五针，在医院治疗三天限工三天</t>
  </si>
  <si>
    <t>油站上方</t>
  </si>
  <si>
    <t>× 清理铁管杂物
× 教育职工注意提高防范意识</t>
  </si>
  <si>
    <t>导致巡检人员腿部大面积烫伤住院质量两周损工两周</t>
  </si>
  <si>
    <t>张忠恩</t>
  </si>
  <si>
    <t>于观辉</t>
  </si>
  <si>
    <t>烘干加热器</t>
  </si>
  <si>
    <t>通知维修人员焊补</t>
  </si>
  <si>
    <t>审核与观察</t>
  </si>
  <si>
    <t>√ 通知维修人员焊补</t>
  </si>
  <si>
    <t>维修人员已完成经焊补</t>
  </si>
  <si>
    <t>一人头部受伤损工三天。</t>
  </si>
  <si>
    <t>刘钦亮</t>
  </si>
  <si>
    <t>√ 对问题窗扇进行维修或加固。</t>
  </si>
  <si>
    <t>胳膊轻微划伤</t>
  </si>
  <si>
    <t>刘金光</t>
  </si>
  <si>
    <t>东一</t>
  </si>
  <si>
    <t>√ 严格按照工具存放规定进行定点存放，落实制度，加强管理。</t>
  </si>
  <si>
    <t>设备非正常停机</t>
  </si>
  <si>
    <t>杨小军</t>
  </si>
  <si>
    <t>破碎机除尘平面</t>
  </si>
  <si>
    <t>√ 立即检修。</t>
  </si>
  <si>
    <t>一职工右手轻微擦伤，无损工。</t>
  </si>
  <si>
    <t>牟博勋</t>
  </si>
  <si>
    <t>√ 尽快将护栏套管安装到位。</t>
  </si>
  <si>
    <t>造成人员氨气中毒，送医院救治，损工七天</t>
  </si>
  <si>
    <t>化工厂吸氨岗位氨水槽</t>
  </si>
  <si>
    <t>× 效准或更换液位计</t>
  </si>
  <si>
    <t>一人扭伤脚踝，不影响工作。</t>
  </si>
  <si>
    <t>待核查</t>
  </si>
  <si>
    <t>刘庆平</t>
  </si>
  <si>
    <t>西五</t>
  </si>
  <si>
    <t>人员肩部软组织挫伤，就医休养3天。</t>
  </si>
  <si>
    <t>焦三带地面除尘站</t>
  </si>
  <si>
    <t>√ 巡查人员警示、告知、避让。
√ 将该半空吊挂铁皮安全取下；视该处通廊外观受损情况再定择机加固处理计划。</t>
  </si>
  <si>
    <t>住院治疗，损工30天。</t>
  </si>
  <si>
    <t>田清州</t>
  </si>
  <si>
    <t>主控室以北</t>
  </si>
  <si>
    <t>× 彻底清理并平整路面
× 教育职工注意提高防范意识</t>
  </si>
  <si>
    <t>一套装置停工</t>
  </si>
  <si>
    <t>20-12-19</t>
  </si>
  <si>
    <t>煤八皮带机</t>
  </si>
  <si>
    <t>√ 割掉翘起部分，防止扩大
√ 人员巡检时，发现问题及时处理</t>
  </si>
  <si>
    <t>干熄焦5号减温减压</t>
  </si>
  <si>
    <t>右小臂外侧烫伤严重，损工十天。</t>
  </si>
  <si>
    <t>潘增辉</t>
  </si>
  <si>
    <t>20-12-20</t>
  </si>
  <si>
    <t>5号减温减压分汽缸处</t>
  </si>
  <si>
    <t>加装保温，防止裸露部位烫伤</t>
  </si>
  <si>
    <t>√ 加装保温，防止裸露部位烫伤</t>
  </si>
  <si>
    <t>加装保温，防止人员烫伤</t>
  </si>
  <si>
    <t>右脚轻微扭伤，损工一天</t>
  </si>
  <si>
    <t>20-12-17</t>
  </si>
  <si>
    <t>主控楼PLC室</t>
  </si>
  <si>
    <t>整盖板保持平整，防止人员绊倒受伤</t>
  </si>
  <si>
    <t>√ 调整盖板保持平整，防止人员绊倒受伤</t>
  </si>
  <si>
    <t>调整地板平整</t>
  </si>
  <si>
    <t>化产车间，南化产</t>
  </si>
  <si>
    <t>触电 和触电后二次伤害</t>
  </si>
  <si>
    <t>20-12-22</t>
  </si>
  <si>
    <t>南冷凝澄清槽</t>
  </si>
  <si>
    <t>× 包覆裸露的线路</t>
  </si>
  <si>
    <t>线路漏电引发火灾</t>
  </si>
  <si>
    <t>赵伟</t>
  </si>
  <si>
    <t>左肩受轻伤，无损工</t>
  </si>
  <si>
    <t>煤棚西侧挡风墙</t>
  </si>
  <si>
    <t>√ 清除高层建筑杂物。</t>
  </si>
  <si>
    <t>手指受伤，未损工。</t>
  </si>
  <si>
    <t>秦小荣</t>
  </si>
  <si>
    <t>√ 尽快修复损坏部位护栏。</t>
  </si>
  <si>
    <t>一人右脚脚踝扭伤休息一会不影响工作</t>
  </si>
  <si>
    <t>郭焕雷</t>
  </si>
  <si>
    <t>张永生</t>
  </si>
  <si>
    <t>20-12-21</t>
  </si>
  <si>
    <t>西三楼道</t>
  </si>
  <si>
    <t>√ 加强巡查
√ 尽快修复</t>
  </si>
  <si>
    <t>右手受伤 损工一个月</t>
  </si>
  <si>
    <t>刘延安</t>
  </si>
  <si>
    <t>一人右手手腕扭伤休息一会不影响工作</t>
  </si>
  <si>
    <t>刘军伟</t>
  </si>
  <si>
    <t>东煤场</t>
  </si>
  <si>
    <t>√ 加强巡查
√ 尽快处理</t>
  </si>
  <si>
    <t>1618破碎机</t>
  </si>
  <si>
    <t>√ 加强巡查
√ 尽快整改</t>
  </si>
  <si>
    <t>刘根元</t>
  </si>
  <si>
    <t>√ 加强巡查</t>
  </si>
  <si>
    <t>一人右腿小腿骨折损工122天</t>
  </si>
  <si>
    <t>刘江</t>
  </si>
  <si>
    <t>输煤楼三楼</t>
  </si>
  <si>
    <t>一名操作工划伤手部，去医务室进行简单包扎，然后复工</t>
  </si>
  <si>
    <t>× 清理破碎玻璃
× 加强日常巡查</t>
  </si>
  <si>
    <t>停机2小时，财产损失5万元。</t>
  </si>
  <si>
    <t>于松国</t>
  </si>
  <si>
    <t>20-12-27</t>
  </si>
  <si>
    <t>锅炉二层</t>
  </si>
  <si>
    <t>维修紧固或更换</t>
  </si>
  <si>
    <t>√ 维修紧固戓更换</t>
  </si>
  <si>
    <t>√ 维修紧固或更换</t>
  </si>
  <si>
    <t>一巡检人员划伤右上臂，消毒包扎休息两小时，复工</t>
  </si>
  <si>
    <t>20-12-18</t>
  </si>
  <si>
    <t>汽轮机零米射水泵</t>
  </si>
  <si>
    <t>清除通道阻挡物，防止人员划伤</t>
  </si>
  <si>
    <t>√ 清除通道阻挡物，防止人员划伤</t>
  </si>
  <si>
    <t>联系维修把套管缩短</t>
  </si>
  <si>
    <t>巡检工脸部划伤</t>
  </si>
  <si>
    <t>宋祥芝</t>
  </si>
  <si>
    <t>锅炉七层汽包</t>
  </si>
  <si>
    <t>清除保温铝皮，防止掉落伤人</t>
  </si>
  <si>
    <t>√ 清除保温铝皮，防止掉落伤人</t>
  </si>
  <si>
    <t>保温铁皮清理</t>
  </si>
  <si>
    <t>汽轮机  炼焦车间</t>
  </si>
  <si>
    <t>左膝盖右手腕擦伤，损工两天。</t>
  </si>
  <si>
    <t>汽轮七米</t>
  </si>
  <si>
    <t>正确安装盖板，保持防护有效</t>
  </si>
  <si>
    <t>√ 正确安装盖板，保持防护有效</t>
  </si>
  <si>
    <t>整改安装盖板，保护防护有效</t>
  </si>
  <si>
    <t>化产车间深度脱硫</t>
  </si>
  <si>
    <t>操作工右胳膊砸伤，损工15天。</t>
  </si>
  <si>
    <t>深度脱硫塔中平台处</t>
  </si>
  <si>
    <t>× 清除悬挂废铁</t>
  </si>
  <si>
    <t>一人头部轻微撞伤，休息一会儿继续卸煤</t>
  </si>
  <si>
    <t>杨斌</t>
  </si>
  <si>
    <t>√ 加强管理，做好检查和监督。</t>
  </si>
  <si>
    <t>回液管线泄露造成一名操作工左边脸部烫伤</t>
  </si>
  <si>
    <t>深度脱硫熔硫釜</t>
  </si>
  <si>
    <t>× 处理管线漏点</t>
  </si>
  <si>
    <t>人员电伤</t>
  </si>
  <si>
    <t>西四</t>
  </si>
  <si>
    <t>√ 加装套管
√ 注意用电安全，防止触电事故</t>
  </si>
  <si>
    <t>右脚脚踝扭伤，损工22天</t>
  </si>
  <si>
    <t>除盐水站配电室</t>
  </si>
  <si>
    <t>盖板规范安装放置，防止人踏入</t>
  </si>
  <si>
    <t>√ 盖板规范安装放置，防止人踏入受伤</t>
  </si>
  <si>
    <t>整改安装盖板，防止人踏入受伤</t>
  </si>
  <si>
    <t>一人右小脚擦伤，消毒处理休息一会儿后，继续工作</t>
  </si>
  <si>
    <t>刘振国</t>
  </si>
  <si>
    <t>西四西墙边水沟</t>
  </si>
  <si>
    <t>√ 立即将盖板篦子复位</t>
  </si>
  <si>
    <t>一人脸部擦伤，消毒处理后继续工作</t>
  </si>
  <si>
    <t>陈兴友</t>
  </si>
  <si>
    <t>西一通廊</t>
  </si>
  <si>
    <t>√ 责令职工立即将包边拆掉</t>
  </si>
  <si>
    <t>造成一名操作工腿部多处擦伤，送医务室包扎后，立即复工</t>
  </si>
  <si>
    <t>朱桥贵</t>
  </si>
  <si>
    <t>碳化塔北侧</t>
  </si>
  <si>
    <t>× 覆盖塌陷处  做出警示标志</t>
  </si>
  <si>
    <t>一职工右脚踝扭伤，损工五天</t>
  </si>
  <si>
    <t>魏晓贞</t>
  </si>
  <si>
    <t>厂区西北角</t>
  </si>
  <si>
    <t>× 恢复盖板
× 盖好齐全</t>
  </si>
  <si>
    <t>四楼结晶槽</t>
  </si>
  <si>
    <t>× 吹扫置换后焊补漏点</t>
  </si>
  <si>
    <t>管道损坏，造成经济损失500元。</t>
  </si>
  <si>
    <t>刘顺</t>
  </si>
  <si>
    <t>六号地磅南</t>
  </si>
  <si>
    <t>√ 尽快组织抢修，做好防范措施。</t>
  </si>
  <si>
    <t>巡检工，右小腿骨折，住院治疗，损工四个月</t>
  </si>
  <si>
    <t>21-5-22</t>
  </si>
  <si>
    <t>精脱硫拆除现场</t>
  </si>
  <si>
    <t>× 添加警示标志
× 拆除填平</t>
  </si>
  <si>
    <t>20-12-11</t>
  </si>
  <si>
    <t>加盖板</t>
  </si>
  <si>
    <t>巡检工左脚脚踝扭伤，损工45天</t>
  </si>
  <si>
    <t>× 架设警示标志
√ 覆盖，硬支撑</t>
  </si>
  <si>
    <t>加盖板防护</t>
  </si>
  <si>
    <t>触电后经医院抢救无效死亡！</t>
  </si>
  <si>
    <t>保持接地电阻在规范要求值，防止触电</t>
  </si>
  <si>
    <t>联系电工接好接地线</t>
  </si>
  <si>
    <t>造成生产损失两万元</t>
  </si>
  <si>
    <t>李清涛</t>
  </si>
  <si>
    <t>碳化一楼</t>
  </si>
  <si>
    <t>× 及时修复支撑以免影响生产。</t>
  </si>
  <si>
    <t>送医院处理后，休息15天</t>
  </si>
  <si>
    <t>脱硫二楼</t>
  </si>
  <si>
    <t>× 安规范佩戴护目镜</t>
  </si>
  <si>
    <t>杨春鹏</t>
  </si>
  <si>
    <t>洗车机水池东北角</t>
  </si>
  <si>
    <t>√ 维修加装护栏
√ 人员经过时注意安全</t>
  </si>
  <si>
    <t>脚踝扭伤，损工7天</t>
  </si>
  <si>
    <t>杨兰</t>
  </si>
  <si>
    <t>初冷器底部</t>
  </si>
  <si>
    <t>× 清除现场管道</t>
  </si>
  <si>
    <t>人员受伤，误工三天。</t>
  </si>
  <si>
    <t>高彦兵</t>
  </si>
  <si>
    <t>东三卸料车</t>
  </si>
  <si>
    <t>√ 尽快悬挂警示牌，个人要加强安全辨识。</t>
  </si>
  <si>
    <t>一名操作工绊倒手腕受伤，送医务室检查后，继续上班</t>
  </si>
  <si>
    <t>给水泵</t>
  </si>
  <si>
    <t>一人右前臂骨折损工122天</t>
  </si>
  <si>
    <t>李洋洋</t>
  </si>
  <si>
    <t>20-12-24</t>
  </si>
  <si>
    <t>庞守湘</t>
  </si>
  <si>
    <t>钱发林</t>
  </si>
  <si>
    <t>点名室门口</t>
  </si>
  <si>
    <t>张宏涛</t>
  </si>
  <si>
    <t>1618下料筒</t>
  </si>
  <si>
    <t>煤七</t>
  </si>
  <si>
    <t>造成人员受伤。</t>
  </si>
  <si>
    <t>汽轮机一楼仓库</t>
  </si>
  <si>
    <t>更换玻璃，防止人员划伤</t>
  </si>
  <si>
    <t>√ 更换玻璃，防止人员划伤</t>
  </si>
  <si>
    <t>更换挡板</t>
  </si>
  <si>
    <t>一员工左侧脚踝扭伤，治疗十五天，修养三十天，造成损工事故。</t>
  </si>
  <si>
    <t>刘进杰</t>
  </si>
  <si>
    <t>除盐水站综合水池过道</t>
  </si>
  <si>
    <t>更换盖板，保持防护有效</t>
  </si>
  <si>
    <t>√ 更换盖板，保持防护有效</t>
  </si>
  <si>
    <t>更换盖板</t>
  </si>
  <si>
    <t>非正常停机一小时  经济损失200元</t>
  </si>
  <si>
    <t>洗车机</t>
  </si>
  <si>
    <t>√ 立即清除杂物，做好防护，加强巡查。</t>
  </si>
  <si>
    <t>一人绊倒，右侧膝盖骨骨裂，造成损工97天事故。</t>
  </si>
  <si>
    <t>干熄焦提升机七层</t>
  </si>
  <si>
    <t>焊接加固，保持完好有效</t>
  </si>
  <si>
    <t>√ 焊接加固，保持完好有效</t>
  </si>
  <si>
    <t>已焊补加固</t>
  </si>
  <si>
    <t>一员工手背划伤，未发生损工事件</t>
  </si>
  <si>
    <t>主控室内</t>
  </si>
  <si>
    <t>一人扳倒，右手小臂骨裂，造成97天损工事故。</t>
  </si>
  <si>
    <t>清除通道杂物，防止人员绊倒受伤</t>
  </si>
  <si>
    <t>√ 清除通道杂物，防止人员绊倒受伤</t>
  </si>
  <si>
    <t>现场已整理</t>
  </si>
  <si>
    <t>一员工右腿擦伤，无损工</t>
  </si>
  <si>
    <t>赵可霞</t>
  </si>
  <si>
    <t>20-12-26</t>
  </si>
  <si>
    <t>√ 立即关闭吊装门！防止造成人员伤害！</t>
  </si>
  <si>
    <t>一操作工右手腕扭伤，损工2天</t>
  </si>
  <si>
    <t>滕建雷</t>
  </si>
  <si>
    <t>√ 水池篦子立即复位，防止人员经过时造成人员伤害！</t>
  </si>
  <si>
    <t>左脚踝擦伤</t>
  </si>
  <si>
    <t>韩雪</t>
  </si>
  <si>
    <t>备煤煤五</t>
  </si>
  <si>
    <t>√ 严格遵守登高作业相关规定，做好安全监护，加强管理。</t>
  </si>
  <si>
    <t>胶带磨损，造成经济损失。</t>
  </si>
  <si>
    <t>张志军</t>
  </si>
  <si>
    <t>√ 尽快将卸料器刀头进行更换。</t>
  </si>
  <si>
    <t>右小腿划伤，无损工</t>
  </si>
  <si>
    <t>毕兵</t>
  </si>
  <si>
    <t>西一岗位</t>
  </si>
  <si>
    <t>√ 做好安全防范，立即更换加固。</t>
  </si>
  <si>
    <t>右肩受轻伤，无损工。</t>
  </si>
  <si>
    <t>刘兴业</t>
  </si>
  <si>
    <t>煤棚南侧管道架</t>
  </si>
  <si>
    <t>√ 清除杂物，加强隐患排查与治理，提高安全意识。</t>
  </si>
  <si>
    <t>造成一人触电休克，住院7天，损工15天。</t>
  </si>
  <si>
    <t>南脱硫硫磺室北侧</t>
  </si>
  <si>
    <t>× 更换线缆</t>
  </si>
  <si>
    <t>电灼伤，在家休息5天</t>
  </si>
  <si>
    <t>郭建忠</t>
  </si>
  <si>
    <t>划伤脸部，住院治疗一周。</t>
  </si>
  <si>
    <t>碳铵三楼顶</t>
  </si>
  <si>
    <t>√ 修复归位
× 加固确保安全</t>
  </si>
  <si>
    <t>污水处理1站生化工段</t>
  </si>
  <si>
    <t>一名操作人员左小腿多处轻微划伤，不影响工作。</t>
  </si>
  <si>
    <t>生化污泥浓缩池</t>
  </si>
  <si>
    <t>一名操作人员被铝皮砸中肩部，不影响工作。</t>
  </si>
  <si>
    <t>李明伟</t>
  </si>
  <si>
    <t>8000方东侧管架</t>
  </si>
  <si>
    <t>损失工时，致公司财产损失</t>
  </si>
  <si>
    <t>振动危害</t>
  </si>
  <si>
    <t>硫铵二楼</t>
  </si>
  <si>
    <t>损失工时致财产损失</t>
  </si>
  <si>
    <t>吴少明</t>
  </si>
  <si>
    <t>新化学水西浓水回收过</t>
  </si>
  <si>
    <t>一名员工有脚踝扭伤，在家休养7天</t>
  </si>
  <si>
    <t>刘涛</t>
  </si>
  <si>
    <t>碳化三楼北楼道</t>
  </si>
  <si>
    <t>事故调查</t>
  </si>
  <si>
    <t>√ 通知电工更换灯泡</t>
  </si>
  <si>
    <t>已经通知电工更换灯泡</t>
  </si>
  <si>
    <t>人员划伤</t>
  </si>
  <si>
    <t>刘清峰</t>
  </si>
  <si>
    <t>√ 立即清除彩钢瓦，防止脱落造成人员伤害！</t>
  </si>
  <si>
    <t>一操作工膝盖擦伤，简单处理不影响工作。</t>
  </si>
  <si>
    <t>35吨锅炉东门口</t>
  </si>
  <si>
    <t>炼焦车间除盐水</t>
  </si>
  <si>
    <t>脚踝扭伤，损工17天</t>
  </si>
  <si>
    <t>刘桂圣</t>
  </si>
  <si>
    <t>一楼泵房</t>
  </si>
  <si>
    <t>确保通道通畅，防止人员绊倒受伤</t>
  </si>
  <si>
    <t>√ 弯折钢筋使其与地面平齐，防止人员绊倒受伤</t>
  </si>
  <si>
    <t>到医务室包扎后，继续工作</t>
  </si>
  <si>
    <t>20-12-25</t>
  </si>
  <si>
    <t>环境除尘卸灰平台</t>
  </si>
  <si>
    <t>√ 清理或梳理电缆线</t>
  </si>
  <si>
    <t>电缆已清理</t>
  </si>
  <si>
    <t>滚筒损坏，经济损失800元。</t>
  </si>
  <si>
    <t>丁曰海</t>
  </si>
  <si>
    <t>煤七岗位</t>
  </si>
  <si>
    <t>√ 更换舌片。</t>
  </si>
  <si>
    <t>一操作工擦伤右手，消毒包扎后恢复工作。</t>
  </si>
  <si>
    <t>汽轮机房四米平台</t>
  </si>
  <si>
    <t>切除套管多余部分，确保不防碍通道畅通</t>
  </si>
  <si>
    <t>√ 切除套管多余部分，确保不防碍通道畅通</t>
  </si>
  <si>
    <t>更换短管</t>
  </si>
  <si>
    <t>一人左脚脚踝扭伤，在家休养十天</t>
  </si>
  <si>
    <t>一次除尘三层</t>
  </si>
  <si>
    <t>√ 清理现场</t>
  </si>
  <si>
    <t>铁板已清理</t>
  </si>
  <si>
    <t>阀门损坏  造成财产损失1000元</t>
  </si>
  <si>
    <t>消防水池上部</t>
  </si>
  <si>
    <t>提报位置不对，重新核实提报</t>
  </si>
  <si>
    <t>手部轻微擦伤</t>
  </si>
  <si>
    <t>35吨锅炉操作室</t>
  </si>
  <si>
    <t>× 电工整理线缆
× 加强日常巡查</t>
  </si>
  <si>
    <t>汽轮机循环水系统</t>
  </si>
  <si>
    <t>一名员工左手腕扭伤，损工五天。</t>
  </si>
  <si>
    <t>循环水泵房</t>
  </si>
  <si>
    <t>化产车间MVR工段</t>
  </si>
  <si>
    <t>MVR原料液长时间泄漏污染环境</t>
  </si>
  <si>
    <t>一楼换热器</t>
  </si>
  <si>
    <t>大量原料液泄漏至地面造成环境污染</t>
  </si>
  <si>
    <t>二楼原料管道</t>
  </si>
  <si>
    <t>× 焊补漏点</t>
  </si>
  <si>
    <t>马丛芳</t>
  </si>
  <si>
    <t>煤九后尾</t>
  </si>
  <si>
    <t>√ 维修焊补防护栏
√ 人员上下爬梯注意安全</t>
  </si>
  <si>
    <t>皮带划伤</t>
  </si>
  <si>
    <t>李祥村</t>
  </si>
  <si>
    <t>东五皮带机</t>
  </si>
  <si>
    <t>√ 更换托辊
√ 设备使用时发现问题及时处理</t>
  </si>
  <si>
    <t>一人轻微擦伤</t>
  </si>
  <si>
    <t>陈辉</t>
  </si>
  <si>
    <t>西四窗户外水沟</t>
  </si>
  <si>
    <t>√ 补好缺失盖板
√ 人员经过时注意安全</t>
  </si>
  <si>
    <t>一人左脚擦伤  不影响工作</t>
  </si>
  <si>
    <t>刘明源</t>
  </si>
  <si>
    <t>西大门南北路</t>
  </si>
  <si>
    <t>√ 更换盖板
√ 人员经过时注意安全</t>
  </si>
  <si>
    <t>脚踝划伤，在医务室包扎后回岗位继续上班，无损工</t>
  </si>
  <si>
    <t>2号水封</t>
  </si>
  <si>
    <t>× 对管线破损铝皮进行修复</t>
  </si>
  <si>
    <t>造成脚面骨骨折住院治疗两个月</t>
  </si>
  <si>
    <t>现场整改</t>
  </si>
  <si>
    <t>√ 现场整改</t>
  </si>
  <si>
    <t>因蒸汽疏水漏汽造成精馏塔停车4小时检修疏水管。</t>
  </si>
  <si>
    <t>35T锅炉东门</t>
  </si>
  <si>
    <t>× 焊接开裂处
× 加强日常巡查</t>
  </si>
  <si>
    <t>导巡检人员踩空掉入窒息抢救无效死亡</t>
  </si>
  <si>
    <t>吸氨母液槽顶部</t>
  </si>
  <si>
    <t>√ 通知维修人员盖好人孔固定螺丝</t>
  </si>
  <si>
    <t>左手手腕轻微扭伤，无损工</t>
  </si>
  <si>
    <t>煤十</t>
  </si>
  <si>
    <t>√ 工具立即放置工具存放处！并责令岗位人员工具按规定摆放！</t>
  </si>
  <si>
    <t>一员工右脚脚踝错位，损工68天</t>
  </si>
  <si>
    <t>王凤博</t>
  </si>
  <si>
    <t>1618加湿罐</t>
  </si>
  <si>
    <t>√ 立即联系维修焊接，防止造成人员伤害！</t>
  </si>
  <si>
    <t>造成人员腿部骨折住院治疗三个月损工三个月</t>
  </si>
  <si>
    <t>公司管理层</t>
  </si>
  <si>
    <t>郑召伦</t>
  </si>
  <si>
    <t>碳铵楼东侧</t>
  </si>
  <si>
    <t>√ 通知维修人员加设覆盖物</t>
  </si>
  <si>
    <t>通知维修人员加盖覆盖物</t>
  </si>
  <si>
    <t>人员右脸被硫酸大面积灼伤，治疗两个月后复工，损工两个月。</t>
  </si>
  <si>
    <t>西硫铵硫酸储槽</t>
  </si>
  <si>
    <t>右手掌擦伤，不影响工作</t>
  </si>
  <si>
    <t>一楼排水沟盖板</t>
  </si>
  <si>
    <t>√ 重新整理或加盖板</t>
  </si>
  <si>
    <t>现场盖板重新整理</t>
  </si>
  <si>
    <t>× 更换维修变频器</t>
  </si>
  <si>
    <t>一小托辊损坏，经济损失50元。</t>
  </si>
  <si>
    <t>李建伟</t>
  </si>
  <si>
    <t>√ 更换托辊。</t>
  </si>
  <si>
    <t>造成水资源浪费后，经电工和维修更换新电动阀</t>
  </si>
  <si>
    <t>刘海翠</t>
  </si>
  <si>
    <t>新化学2号原水箱补水</t>
  </si>
  <si>
    <t>造成脚部轻微擦伤，涂药立即复工。</t>
  </si>
  <si>
    <t>深度脱硫水封</t>
  </si>
  <si>
    <t>× 清理撤走扳手</t>
  </si>
  <si>
    <t>一名员工左腿骨折，损工100天。</t>
  </si>
  <si>
    <t>宋海泉</t>
  </si>
  <si>
    <t>汽轮机房零米</t>
  </si>
  <si>
    <t>加固联轴器护罩，防止伤人</t>
  </si>
  <si>
    <t>√ 加固联轴器护罩，防止伤人</t>
  </si>
  <si>
    <t>秦光义</t>
  </si>
  <si>
    <t>西北角地沟</t>
  </si>
  <si>
    <t>一名员工左臂烫伤，损工15天。</t>
  </si>
  <si>
    <t>曹青</t>
  </si>
  <si>
    <t>回复保温</t>
  </si>
  <si>
    <t>√ 回复保温</t>
  </si>
  <si>
    <t>化产车间南循环水</t>
  </si>
  <si>
    <t>操作工溺水死亡。</t>
  </si>
  <si>
    <t>南循环水</t>
  </si>
  <si>
    <t>一员工手部擦伤，简单包扎继续工作</t>
  </si>
  <si>
    <t>容易造成配料秤皮带划伤，影响生产</t>
  </si>
  <si>
    <t>王琳</t>
  </si>
  <si>
    <t>东四岗位</t>
  </si>
  <si>
    <t>√ 维修修复
√ 设备影响使用时及时处理</t>
  </si>
  <si>
    <t>一名操作人员腿部轻微擦伤，简单处理后继续上班。</t>
  </si>
  <si>
    <t>× 清理现场线路</t>
  </si>
  <si>
    <t>左脚脚踝骨折，送医治疗，休养100天</t>
  </si>
  <si>
    <t>锅炉六层</t>
  </si>
  <si>
    <t>护栏加高或悬挂警示标志</t>
  </si>
  <si>
    <t>√ 护栏加高或悬挂警示标志</t>
  </si>
  <si>
    <t>操作工掉下来摔伤</t>
  </si>
  <si>
    <t>刘金海</t>
  </si>
  <si>
    <t>刘春建</t>
  </si>
  <si>
    <t>东一一号给料机北侧</t>
  </si>
  <si>
    <t>销子掉了吊装门倾倒容易损坏设备及伤人</t>
  </si>
  <si>
    <t>毕玉军</t>
  </si>
  <si>
    <t>√ 立即联系维修加固铁销，防止事故发生！</t>
  </si>
  <si>
    <t>皮带划伤或撕裂，财产损失</t>
  </si>
  <si>
    <t>付喜洋</t>
  </si>
  <si>
    <t>√ 安装缺失托辊
√ 设备使用时发现问题及时处理</t>
  </si>
  <si>
    <t>踩空坠落，造成腿部擦伤，休息片刻后继续工作。</t>
  </si>
  <si>
    <t>张瑞涛</t>
  </si>
  <si>
    <t>北门口</t>
  </si>
  <si>
    <t>× 恢复地沟盖板</t>
  </si>
  <si>
    <t>防护罩震动偏移，造成电机磨损，缩短使用寿命。</t>
  </si>
  <si>
    <t>冷凝液泵</t>
  </si>
  <si>
    <t>× 加固防护罩，补齐螺栓</t>
  </si>
  <si>
    <t>左腿擦伤，无损工</t>
  </si>
  <si>
    <t>于观成</t>
  </si>
  <si>
    <t>破碎机爬梯</t>
  </si>
  <si>
    <t>√ 立即联系维修焊接！防止造成人员伤害！</t>
  </si>
  <si>
    <t>一人左小腿擦伤，消毒处理后继续工作</t>
  </si>
  <si>
    <t>赵延平</t>
  </si>
  <si>
    <t>煤棚水沟</t>
  </si>
  <si>
    <t>√ 联系维修更换盖板</t>
  </si>
  <si>
    <t>停机半小时，维修更换</t>
  </si>
  <si>
    <t>刘树杰</t>
  </si>
  <si>
    <t>√ 立即联系维修修复，确保生产！</t>
  </si>
  <si>
    <t>人员摔伤造成右手腕骨折，休息三月上班，损工</t>
  </si>
  <si>
    <t>熔硫釜改造现场</t>
  </si>
  <si>
    <t>× 清理废铁件杂物</t>
  </si>
  <si>
    <t>左小腿骨折住院治疗一个月，损工30天</t>
  </si>
  <si>
    <t>杨振武</t>
  </si>
  <si>
    <t>泵房排水沟</t>
  </si>
  <si>
    <t>× 恢复盖板
× 盖好，保持盖板齐全</t>
  </si>
  <si>
    <t>化学水老系统</t>
  </si>
  <si>
    <t>住院治疗，损工20天</t>
  </si>
  <si>
    <t>姜宁</t>
  </si>
  <si>
    <t>老化学水工业泵房</t>
  </si>
  <si>
    <t>住院治疗，损工两月。</t>
  </si>
  <si>
    <t>损工100天</t>
  </si>
  <si>
    <t>卸料车属活动车辆，人员一旦在前边，容易受到伤害，安装防护装置，防止卸料车突然前行，达到防护人员安全的</t>
  </si>
  <si>
    <t>√ 安装安全挡
√ 操作时不得在卸料车前边，保证安全</t>
  </si>
  <si>
    <t>刘伟伟</t>
  </si>
  <si>
    <t>3号门西侧挡风网</t>
  </si>
  <si>
    <t>√ 更换固定
√ 人员经过时注意高空落物</t>
  </si>
  <si>
    <t>小腿骨折</t>
  </si>
  <si>
    <t>邢志鹏</t>
  </si>
  <si>
    <t>煤棚西南角水沟</t>
  </si>
  <si>
    <t>√ 更换盖板
√ 人员车辆注意绕行</t>
  </si>
  <si>
    <t>提升机限位故障，走行失控导致影响生产。</t>
  </si>
  <si>
    <t>张琴</t>
  </si>
  <si>
    <t>提升机限位</t>
  </si>
  <si>
    <t>重新包装或加挡雨板</t>
  </si>
  <si>
    <t>√ 重新包装或加挡雨板</t>
  </si>
  <si>
    <t>巡检时将操作工绊倒或砸伤</t>
  </si>
  <si>
    <t>三楼除氧</t>
  </si>
  <si>
    <t>× 清走杂物
× 加强日常巡查</t>
  </si>
  <si>
    <t>干熄焦汽轮机</t>
  </si>
  <si>
    <t>住院治疗一个月，修养半年。</t>
  </si>
  <si>
    <t>杨金花</t>
  </si>
  <si>
    <t>滤油机旁</t>
  </si>
  <si>
    <t>现场整理或重新铺设</t>
  </si>
  <si>
    <t>√ 现场整理或重新铺设</t>
  </si>
  <si>
    <t>21-1-15</t>
  </si>
  <si>
    <t>环境除尘二层</t>
  </si>
  <si>
    <t>√ 更换新防护罩</t>
  </si>
  <si>
    <t>20-12-15</t>
  </si>
  <si>
    <t>干熄焦环境除尘</t>
  </si>
  <si>
    <t>焊补加固</t>
  </si>
  <si>
    <t>送往医院治疗7天，在家休养7天，造成损工14天</t>
  </si>
  <si>
    <t>周福利</t>
  </si>
  <si>
    <t>滤油机</t>
  </si>
  <si>
    <t>增加接地线</t>
  </si>
  <si>
    <t>√ 增加接地线</t>
  </si>
  <si>
    <t>一人损工</t>
  </si>
  <si>
    <t>焦炉炉顶南侧</t>
  </si>
  <si>
    <t>√ 更换阀门
√ 维修处理</t>
  </si>
  <si>
    <t>摔伤腰部，住院二月，损工半年！</t>
  </si>
  <si>
    <t>× 维修焊接恢复护栏
× 教育职工注意提高防范意识</t>
  </si>
  <si>
    <t>财产损失及环境污染</t>
  </si>
  <si>
    <t>常建磊</t>
  </si>
  <si>
    <t>5.5米筛焦除尘烟囱</t>
  </si>
  <si>
    <t>√ 焊补加固
√ 维修处理</t>
  </si>
  <si>
    <t>造成焦炉停产4小时，财产损失</t>
  </si>
  <si>
    <t>配电室顶部</t>
  </si>
  <si>
    <t>√ 堵漏防水
√ 增加防雨盖板</t>
  </si>
  <si>
    <t>电机漏电，损坏设备。</t>
  </si>
  <si>
    <t>√ 停车联系电工重新加固接地线，以防造成电机损坏！</t>
  </si>
  <si>
    <t>人员磕伤</t>
  </si>
  <si>
    <t>张立德</t>
  </si>
  <si>
    <t>2#煤场</t>
  </si>
  <si>
    <t>√ 联系维修割除！以防造成人员伤害</t>
  </si>
  <si>
    <t>住院治疗一周，在家休养一个月</t>
  </si>
  <si>
    <t>35t化学水厂房</t>
  </si>
  <si>
    <t>风险判定</t>
  </si>
  <si>
    <t>化产车间两盐岗位</t>
  </si>
  <si>
    <t>操作工上夜班时因视线不好掉入地沟中，造成腿部轻伤休息片刻工作</t>
  </si>
  <si>
    <t>刘滨</t>
  </si>
  <si>
    <t>化产车间两盐大门前面</t>
  </si>
  <si>
    <t>操作工脸部被硫酸灼伤，住院治疗三个月后康复，损工三个月</t>
  </si>
  <si>
    <t>西硫铵1＃满流槽</t>
  </si>
  <si>
    <t>× 更换腐蚀的管道</t>
  </si>
  <si>
    <t>一职工脚部轻微伤，无损工。</t>
  </si>
  <si>
    <t>于凤江</t>
  </si>
  <si>
    <t>√ 将备用滚筒进行固定。</t>
  </si>
  <si>
    <t>化产车间东风机</t>
  </si>
  <si>
    <t>可能会造成伤亡事故</t>
  </si>
  <si>
    <t>赵玉强</t>
  </si>
  <si>
    <t>东风机西侧</t>
  </si>
  <si>
    <t>× 停止作业，进行安全培训教育，安全带佩戴后高挂低用</t>
  </si>
  <si>
    <t>备煤车间中控室</t>
  </si>
  <si>
    <t>一职工左腿短时间麻痹，休息一会儿继续工作</t>
  </si>
  <si>
    <t>谢晓梅</t>
  </si>
  <si>
    <t>中控室</t>
  </si>
  <si>
    <t>√ 联系电工重新包扎接头</t>
  </si>
  <si>
    <t>代立峰</t>
  </si>
  <si>
    <t>20-12-28</t>
  </si>
  <si>
    <t>√ 立即整改！责令岗位人员工具按规定摆放！</t>
  </si>
  <si>
    <t>崔健</t>
  </si>
  <si>
    <t>√ 立即整改，责令岗位人员工具按规定摆放！</t>
  </si>
  <si>
    <t>皮带划伤，停车检修</t>
  </si>
  <si>
    <t>李述芳</t>
  </si>
  <si>
    <t>√ 停车更换，以防造成设备事故！</t>
  </si>
  <si>
    <t>导致巡检工摔倒致手腕扭伤</t>
  </si>
  <si>
    <t>污水反渗透</t>
  </si>
  <si>
    <t>隐患描述不准确</t>
  </si>
  <si>
    <t>损工N天，住院治疗N天</t>
  </si>
  <si>
    <t>综合泵房通道</t>
  </si>
  <si>
    <t>× 撤走梯子杂物
× 教育职工注意提高防范意识</t>
  </si>
  <si>
    <t>非正常停机一小时，经济损失500元。</t>
  </si>
  <si>
    <t>张勇</t>
  </si>
  <si>
    <t>1#给料机</t>
  </si>
  <si>
    <t>√ 尽快维修固定，做好防范和检查。</t>
  </si>
  <si>
    <t>化产车间北供水</t>
  </si>
  <si>
    <t>1人触电死亡</t>
  </si>
  <si>
    <t>北供水泵房</t>
  </si>
  <si>
    <t>支撑掉落，右臂受伤，限工三天</t>
  </si>
  <si>
    <t>东彩砖管道架</t>
  </si>
  <si>
    <t>× 加固支撑</t>
  </si>
  <si>
    <t>砸伤脚面休息三天。</t>
  </si>
  <si>
    <t>王来忠</t>
  </si>
  <si>
    <t>东二</t>
  </si>
  <si>
    <t>√ 立即整改铁钎放工具存放处！以防人员砸伤</t>
  </si>
  <si>
    <t>硫酸蹭到衣服上，皮肤灼伤。</t>
  </si>
  <si>
    <t>满流槽</t>
  </si>
  <si>
    <t>× 更换腐蚀管道</t>
  </si>
  <si>
    <t>生化压滤机房</t>
  </si>
  <si>
    <t>造成身体多处擦伤，脚腕扭伤，休工30天</t>
  </si>
  <si>
    <t>生化站</t>
  </si>
  <si>
    <t>一职工手掌擦伤，消毒处理后继续工作</t>
  </si>
  <si>
    <t>高洪吉</t>
  </si>
  <si>
    <t>√ 联系维修割除外露的钢筋</t>
  </si>
  <si>
    <t>一人颈部轻微擦伤，消毒处理后继续工作</t>
  </si>
  <si>
    <t>吴莉莉</t>
  </si>
  <si>
    <t>√ 联系维修更换锁扣并固定好</t>
  </si>
  <si>
    <t>赵兴辉</t>
  </si>
  <si>
    <t>20-12-29</t>
  </si>
  <si>
    <t>西线</t>
  </si>
  <si>
    <t>√ 立即整改！严格按规定摆放工具！</t>
  </si>
  <si>
    <t>液碱灼伤面部，损工三天。</t>
  </si>
  <si>
    <t>左腿擦伤，无损工。</t>
  </si>
  <si>
    <t>溶液泵西侧护栏</t>
  </si>
  <si>
    <t>× 加固护栏
× 添加照明灯</t>
  </si>
  <si>
    <t>一职工左腿膝盖磕伤，消毒处理后继续工作</t>
  </si>
  <si>
    <t>王李伟</t>
  </si>
  <si>
    <t>√ 责令岗位人员立即复位</t>
  </si>
  <si>
    <t>工作人员受伤</t>
  </si>
  <si>
    <t>王安磊</t>
  </si>
  <si>
    <t>√ 立即整改！严格按工具定制摆放！</t>
  </si>
  <si>
    <t>电机进油，造成绝缘降低，一操作工巡检时触电身亡</t>
  </si>
  <si>
    <t>输煤搂</t>
  </si>
  <si>
    <t>× 电工整改并彻底清理
× 加强日常巡查</t>
  </si>
  <si>
    <t>王秀莲</t>
  </si>
  <si>
    <t>南冷凝澄清槽附近</t>
  </si>
  <si>
    <t>经济损失1000元</t>
  </si>
  <si>
    <t>代向明</t>
  </si>
  <si>
    <t>煤六</t>
  </si>
  <si>
    <t>√ 尽快将胶带内侧积煤清除，并查找积煤进入胶带内侧的原因，做到防范于未然。</t>
  </si>
  <si>
    <t>一人员死亡</t>
  </si>
  <si>
    <t>苯回流槽</t>
  </si>
  <si>
    <t>× 清除脚手板</t>
  </si>
  <si>
    <t>35吨锅炉分气缸处</t>
  </si>
  <si>
    <t>× 刷警示色提示
× 教育职工注意提高防范意识</t>
  </si>
  <si>
    <t>小腿轻微擦伤，未影响正常工作。</t>
  </si>
  <si>
    <t>门前地沟</t>
  </si>
  <si>
    <t>× 更换盖板</t>
  </si>
  <si>
    <t>造成环保事故</t>
  </si>
  <si>
    <t>母液槽北</t>
  </si>
  <si>
    <t>× 清理更换垫子</t>
  </si>
  <si>
    <t>南风机岗位及配电室</t>
  </si>
  <si>
    <t>一人轻微煤气中毒损工三天</t>
  </si>
  <si>
    <t>张晓雷</t>
  </si>
  <si>
    <t>风机房西侧</t>
  </si>
  <si>
    <t>× 粘补泄漏点</t>
  </si>
  <si>
    <t>化产，深度脱硫</t>
  </si>
  <si>
    <t>操作工右手砸伤，损工2天。</t>
  </si>
  <si>
    <t>深度脱硫塔三层平台</t>
  </si>
  <si>
    <t>× 清除三层平台上的电缆线</t>
  </si>
  <si>
    <t>一名操作工眼部受伤，损工22天</t>
  </si>
  <si>
    <t>氨水制备器出口</t>
  </si>
  <si>
    <t>× 加强防范措施
× 漏点紧固</t>
  </si>
  <si>
    <t>一名操作工被大风吹落的铝皮划伤脸部，造成轻微伤</t>
  </si>
  <si>
    <t>张守勇</t>
  </si>
  <si>
    <t>粗苯南系统</t>
  </si>
  <si>
    <t>一巡检工右肩轻微受伤，无损工。</t>
  </si>
  <si>
    <t>粗苯终冷塔</t>
  </si>
  <si>
    <t>一人左脚踝扭伤，损工五天</t>
  </si>
</sst>
</file>

<file path=xl/styles.xml><?xml version="1.0" encoding="utf-8"?>
<styleSheet xmlns="http://schemas.openxmlformats.org/spreadsheetml/2006/main" xml:space="preserve">
  <numFmts count="0"/>
  <fonts count="6">
    <font>
      <b val="0"/>
      <i val="0"/>
      <strike val="0"/>
      <u val="none"/>
      <sz val="8"/>
      <color rgb="FF000000"/>
      <name val="Arial"/>
    </font>
    <font>
      <b val="1"/>
      <i val="0"/>
      <strike val="0"/>
      <u val="none"/>
      <sz val="16"/>
      <color rgb="FF000000"/>
      <name val="Arial"/>
    </font>
    <font>
      <b val="0"/>
      <i val="0"/>
      <strike val="0"/>
      <u val="none"/>
      <sz val="10"/>
      <color rgb="FF000000"/>
      <name val="Arial"/>
    </font>
    <font>
      <b val="0"/>
      <i val="0"/>
      <strike val="0"/>
      <u val="none"/>
      <sz val="8"/>
      <color rgb="000000"/>
      <name val="Arial"/>
    </font>
    <font>
      <b val="0"/>
      <i val="0"/>
      <strike val="0"/>
      <u val="none"/>
      <sz val="8"/>
      <color rgb="0000CD"/>
      <name val="Arial"/>
    </font>
    <font>
      <b val="0"/>
      <i val="0"/>
      <strike val="0"/>
      <u val="none"/>
      <sz val="8"/>
      <color rgb="DC143C"/>
      <name val="Arial"/>
    </font>
  </fonts>
  <fills count="10">
    <fill>
      <patternFill patternType="none"/>
    </fill>
    <fill>
      <patternFill patternType="gray125">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A0D565"/>
        <bgColor rgb="FF000000"/>
      </patternFill>
    </fill>
    <fill>
      <patternFill patternType="solid">
        <fgColor rgb="FFFFD85D"/>
        <bgColor rgb="FF000000"/>
      </patternFill>
    </fill>
    <fill>
      <patternFill patternType="solid">
        <fgColor rgb="FF90EE90"/>
        <bgColor rgb="FF000000"/>
      </patternFill>
    </fill>
    <fill>
      <patternFill patternType="solid">
        <fgColor rgb="FF3CB371"/>
        <bgColor rgb="FF000000"/>
      </patternFill>
    </fill>
    <fill>
      <patternFill patternType="solid">
        <fgColor rgb="FFF8F8FF"/>
        <bgColor rgb="FF000000"/>
      </patternFill>
    </fill>
    <fill>
      <patternFill patternType="solid">
        <fgColor rgb="FFFFD7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7">
    <xf xfId="0" fontId="0" numFmtId="0" fillId="0" borderId="0" applyFont="0" applyNumberFormat="0" applyFill="0" applyBorder="0" applyAlignment="0">
      <alignment horizontal="general" vertical="top" textRotation="0" wrapText="true" shrinkToFit="false"/>
    </xf>
    <xf xfId="0" fontId="0" numFmtId="0" fillId="0" borderId="0" applyFont="0" applyNumberFormat="0" applyFill="0" applyBorder="0" applyAlignment="1">
      <alignment horizontal="center" vertical="top" textRotation="0" wrapText="true" shrinkToFit="false"/>
    </xf>
    <xf xfId="0" fontId="1" numFmtId="0" fillId="0" borderId="0" applyFont="1" applyNumberFormat="0" applyFill="0" applyBorder="0" applyAlignment="1">
      <alignment horizontal="center" vertical="top" textRotation="0" wrapText="true" shrinkToFit="false"/>
    </xf>
    <xf xfId="0" fontId="0" numFmtId="0" fillId="2" borderId="1" applyFont="0" applyNumberFormat="0" applyFill="1" applyBorder="1" applyAlignment="1">
      <alignment horizontal="center" vertical="top" textRotation="0" wrapText="true" shrinkToFit="false"/>
    </xf>
    <xf xfId="0" fontId="0" numFmtId="0" fillId="2" borderId="1" applyFont="0" applyNumberFormat="0" applyFill="1" applyBorder="1" applyAlignment="0">
      <alignment horizontal="general" vertical="top" textRotation="0" wrapText="true" shrinkToFit="false"/>
    </xf>
    <xf xfId="0" fontId="0" numFmtId="0" fillId="3" borderId="1" applyFont="0" applyNumberFormat="0" applyFill="1" applyBorder="1" applyAlignment="1">
      <alignment horizontal="center" vertical="top" textRotation="0" wrapText="true" shrinkToFit="false"/>
    </xf>
    <xf xfId="0" fontId="0" numFmtId="0" fillId="3" borderId="1" applyFont="0" applyNumberFormat="0" applyFill="1" applyBorder="1" applyAlignment="0">
      <alignment horizontal="general" vertical="top" textRotation="0" wrapText="true" shrinkToFit="false"/>
    </xf>
    <xf xfId="0" fontId="0" numFmtId="0" fillId="4" borderId="1" applyFont="0" applyNumberFormat="0" applyFill="1" applyBorder="1" applyAlignment="0">
      <alignment horizontal="general" vertical="top" textRotation="0" wrapText="true" shrinkToFit="false"/>
    </xf>
    <xf xfId="0" fontId="0" numFmtId="0" fillId="5" borderId="1" applyFont="0" applyNumberFormat="0" applyFill="1" applyBorder="1" applyAlignment="1">
      <alignment horizontal="center" vertical="top" textRotation="0" wrapText="true" shrinkToFit="false"/>
    </xf>
    <xf xfId="0" fontId="0" numFmtId="0" fillId="5" borderId="1" applyFont="0" applyNumberFormat="0" applyFill="1" applyBorder="1" applyAlignment="0">
      <alignment horizontal="general" vertical="top" textRotation="0" wrapText="true" shrinkToFit="false"/>
    </xf>
    <xf xfId="0" fontId="2" numFmtId="0" fillId="2" borderId="1" applyFont="1" applyNumberFormat="0" applyFill="1" applyBorder="1" applyAlignment="1">
      <alignment horizontal="center" vertical="top" textRotation="0" wrapText="true" shrinkToFit="false"/>
    </xf>
    <xf xfId="0" fontId="2" numFmtId="0" fillId="2" borderId="1" applyFont="1" applyNumberFormat="0" applyFill="1" applyBorder="1" applyAlignment="0">
      <alignment horizontal="general" vertical="top" textRotation="0" wrapText="true" shrinkToFit="false"/>
    </xf>
    <xf xfId="0" fontId="2" numFmtId="0" fillId="3" borderId="1" applyFont="1" applyNumberFormat="0" applyFill="1" applyBorder="1" applyAlignment="1">
      <alignment horizontal="center" vertical="top" textRotation="0" wrapText="true" shrinkToFit="false"/>
    </xf>
    <xf xfId="0" fontId="2" numFmtId="0" fillId="3" borderId="1" applyFont="1" applyNumberFormat="0" applyFill="1" applyBorder="1" applyAlignment="0">
      <alignment horizontal="general" vertical="top" textRotation="0" wrapText="true" shrinkToFit="false"/>
    </xf>
    <xf xfId="0" fontId="2" numFmtId="0" fillId="4" borderId="1" applyFont="1" applyNumberFormat="0" applyFill="1" applyBorder="1" applyAlignment="1">
      <alignment horizontal="center" vertical="top" textRotation="0" wrapText="true" shrinkToFit="false"/>
    </xf>
    <xf xfId="0" fontId="2" numFmtId="0" fillId="4" borderId="1" applyFont="1" applyNumberFormat="0" applyFill="1" applyBorder="1" applyAlignment="0">
      <alignment horizontal="general" vertical="top" textRotation="0" wrapText="true" shrinkToFit="false"/>
    </xf>
    <xf xfId="0" fontId="2" numFmtId="0" fillId="5" borderId="1" applyFont="1" applyNumberFormat="0" applyFill="1" applyBorder="1" applyAlignment="1">
      <alignment horizontal="center" vertical="top" textRotation="0" wrapText="true" shrinkToFit="false"/>
    </xf>
    <xf xfId="0" fontId="2" numFmtId="0" fillId="5" borderId="1" applyFont="1" applyNumberFormat="0" applyFill="1" applyBorder="1" applyAlignment="0">
      <alignment horizontal="general" vertical="top" textRotation="0" wrapText="true" shrinkToFit="false"/>
    </xf>
    <xf xfId="0" fontId="2" numFmtId="0" fillId="0" borderId="0" applyFont="1" applyNumberFormat="0" applyFill="0" applyBorder="0" applyAlignment="0">
      <alignment horizontal="general" vertical="top" textRotation="0" wrapText="true" shrinkToFit="false"/>
    </xf>
    <xf xfId="0" fontId="0" numFmtId="0" fillId="0" borderId="1" applyFont="0" applyNumberFormat="0" applyFill="0" applyBorder="1" applyAlignment="0">
      <alignment horizontal="general" vertical="top" textRotation="0" wrapText="true" shrinkToFit="false"/>
    </xf>
    <xf xfId="0" fontId="0" numFmtId="0" fillId="6" borderId="1" applyFont="0" applyNumberFormat="0" applyFill="1" applyBorder="1" applyAlignment="0">
      <alignment horizontal="general" vertical="top" textRotation="0" wrapText="true" shrinkToFit="false"/>
    </xf>
    <xf xfId="0" fontId="3" numFmtId="0" fillId="0" borderId="1" applyFont="1" applyNumberFormat="0" applyFill="0" applyBorder="1" applyAlignment="0">
      <alignment horizontal="general" vertical="top" textRotation="0" wrapText="true" shrinkToFit="false"/>
    </xf>
    <xf xfId="0" fontId="4" numFmtId="0" fillId="0" borderId="1" applyFont="1" applyNumberFormat="0" applyFill="0" applyBorder="1" applyAlignment="0">
      <alignment horizontal="general" vertical="top" textRotation="0" wrapText="true" shrinkToFit="false"/>
    </xf>
    <xf xfId="0" fontId="0" numFmtId="0" fillId="7" borderId="1" applyFont="0" applyNumberFormat="0" applyFill="1" applyBorder="1" applyAlignment="0">
      <alignment horizontal="general" vertical="top" textRotation="0" wrapText="true" shrinkToFit="false"/>
    </xf>
    <xf xfId="0" fontId="5" numFmtId="0" fillId="0" borderId="1" applyFont="1" applyNumberFormat="0" applyFill="0" applyBorder="1" applyAlignment="0">
      <alignment horizontal="general" vertical="top" textRotation="0" wrapText="true" shrinkToFit="false"/>
    </xf>
    <xf xfId="0" fontId="0" numFmtId="0" fillId="8" borderId="1" applyFont="0" applyNumberFormat="0" applyFill="1" applyBorder="1" applyAlignment="0">
      <alignment horizontal="general" vertical="top" textRotation="0" wrapText="true" shrinkToFit="false"/>
    </xf>
    <xf xfId="0" fontId="0" numFmtId="0" fillId="9" borderId="1" applyFont="0" applyNumberFormat="0" applyFill="1" applyBorder="1" applyAlignment="0">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henontech.com/fieldsafety/harzard/harzard_show.php?rid=1059&amp;url=harzardrecs.php" TargetMode="External"/><Relationship Id="rId_hyperlink_2" Type="http://schemas.openxmlformats.org/officeDocument/2006/relationships/hyperlink" Target="http://henontech.com/fieldsafety/harzard/harzard_show.php?rid=1538&amp;url=harzardrecs.php" TargetMode="External"/><Relationship Id="rId_hyperlink_3" Type="http://schemas.openxmlformats.org/officeDocument/2006/relationships/hyperlink" Target="http://henontech.com/fieldsafety/harzard/harzard_show.php?rid=1575&amp;url=harzardrecs.php" TargetMode="External"/><Relationship Id="rId_hyperlink_4" Type="http://schemas.openxmlformats.org/officeDocument/2006/relationships/hyperlink" Target="http://henontech.com/fieldsafety/harzard/harzard_show.php?rid=1720&amp;url=harzardrecs.php" TargetMode="External"/><Relationship Id="rId_hyperlink_5" Type="http://schemas.openxmlformats.org/officeDocument/2006/relationships/hyperlink" Target="http://henontech.com/fieldsafety/harzard/harzard_show.php?rid=1745&amp;url=harzardrecs.php" TargetMode="External"/><Relationship Id="rId_hyperlink_6" Type="http://schemas.openxmlformats.org/officeDocument/2006/relationships/hyperlink" Target="http://henontech.com/fieldsafety/harzard/harzard_show.php?rid=1771&amp;url=harzardrecs.php" TargetMode="External"/><Relationship Id="rId_hyperlink_7" Type="http://schemas.openxmlformats.org/officeDocument/2006/relationships/hyperlink" Target="http://henontech.com/fieldsafety/harzard/harzard_show.php?rid=1772&amp;url=harzardrecs.php" TargetMode="External"/><Relationship Id="rId_hyperlink_8" Type="http://schemas.openxmlformats.org/officeDocument/2006/relationships/hyperlink" Target="http://henontech.com/fieldsafety/harzard/harzard_show.php?rid=1842&amp;url=harzardrecs.php" TargetMode="External"/><Relationship Id="rId_hyperlink_9" Type="http://schemas.openxmlformats.org/officeDocument/2006/relationships/hyperlink" Target="http://henontech.com/fieldsafety/harzard/harzard_show.php?rid=1853&amp;url=harzardrecs.php" TargetMode="External"/><Relationship Id="rId_hyperlink_10" Type="http://schemas.openxmlformats.org/officeDocument/2006/relationships/hyperlink" Target="http://henontech.com/fieldsafety/harzard/harzard_show.php?rid=1867&amp;url=harzardrecs.php" TargetMode="External"/><Relationship Id="rId_hyperlink_11" Type="http://schemas.openxmlformats.org/officeDocument/2006/relationships/hyperlink" Target="http://henontech.com/fieldsafety/harzard/harzard_show.php?rid=1871&amp;url=harzardrecs.php" TargetMode="External"/><Relationship Id="rId_hyperlink_12" Type="http://schemas.openxmlformats.org/officeDocument/2006/relationships/hyperlink" Target="http://henontech.com/fieldsafety/harzard/harzard_show.php?rid=1877&amp;url=harzardrecs.php" TargetMode="External"/><Relationship Id="rId_hyperlink_13" Type="http://schemas.openxmlformats.org/officeDocument/2006/relationships/hyperlink" Target="http://henontech.com/fieldsafety/harzard/harzard_show.php?rid=1897&amp;url=harzardrecs.php" TargetMode="External"/><Relationship Id="rId_hyperlink_14" Type="http://schemas.openxmlformats.org/officeDocument/2006/relationships/hyperlink" Target="http://henontech.com/fieldsafety/harzard/harzard_show.php?rid=1900&amp;url=harzardrecs.php" TargetMode="External"/><Relationship Id="rId_hyperlink_15" Type="http://schemas.openxmlformats.org/officeDocument/2006/relationships/hyperlink" Target="http://henontech.com/fieldsafety/harzard/harzard_show.php?rid=1917&amp;url=harzardrecs.php" TargetMode="External"/><Relationship Id="rId_hyperlink_16" Type="http://schemas.openxmlformats.org/officeDocument/2006/relationships/hyperlink" Target="http://henontech.com/fieldsafety/harzard/harzard_show.php?rid=1923&amp;url=harzardrecs.php" TargetMode="External"/><Relationship Id="rId_hyperlink_17" Type="http://schemas.openxmlformats.org/officeDocument/2006/relationships/hyperlink" Target="http://henontech.com/fieldsafety/harzard/harzard_show.php?rid=1924&amp;url=harzardrecs.php" TargetMode="External"/><Relationship Id="rId_hyperlink_18" Type="http://schemas.openxmlformats.org/officeDocument/2006/relationships/hyperlink" Target="http://henontech.com/fieldsafety/harzard/harzard_show.php?rid=1954&amp;url=harzardrecs.php" TargetMode="External"/><Relationship Id="rId_hyperlink_19" Type="http://schemas.openxmlformats.org/officeDocument/2006/relationships/hyperlink" Target="http://henontech.com/fieldsafety/harzard/harzard_show.php?rid=1961&amp;url=harzardrecs.php" TargetMode="External"/><Relationship Id="rId_hyperlink_20" Type="http://schemas.openxmlformats.org/officeDocument/2006/relationships/hyperlink" Target="http://henontech.com/fieldsafety/harzard/harzard_show.php?rid=1968&amp;url=harzardrecs.php" TargetMode="External"/><Relationship Id="rId_hyperlink_21" Type="http://schemas.openxmlformats.org/officeDocument/2006/relationships/hyperlink" Target="http://henontech.com/fieldsafety/harzard/harzard_show.php?rid=1972&amp;url=harzardrecs.php" TargetMode="External"/><Relationship Id="rId_hyperlink_22" Type="http://schemas.openxmlformats.org/officeDocument/2006/relationships/hyperlink" Target="http://henontech.com/fieldsafety/harzard/harzard_show.php?rid=1976&amp;url=harzardrecs.php" TargetMode="External"/><Relationship Id="rId_hyperlink_23" Type="http://schemas.openxmlformats.org/officeDocument/2006/relationships/hyperlink" Target="http://henontech.com/fieldsafety/harzard/harzard_show.php?rid=1977&amp;url=harzardrecs.php" TargetMode="External"/><Relationship Id="rId_hyperlink_24" Type="http://schemas.openxmlformats.org/officeDocument/2006/relationships/hyperlink" Target="http://henontech.com/fieldsafety/harzard/harzard_show.php?rid=1978&amp;url=harzardrecs.php" TargetMode="External"/><Relationship Id="rId_hyperlink_25" Type="http://schemas.openxmlformats.org/officeDocument/2006/relationships/hyperlink" Target="http://henontech.com/fieldsafety/harzard/harzard_show.php?rid=1981&amp;url=harzardrecs.php" TargetMode="External"/><Relationship Id="rId_hyperlink_26" Type="http://schemas.openxmlformats.org/officeDocument/2006/relationships/hyperlink" Target="http://henontech.com/fieldsafety/harzard/harzard_show.php?rid=1987&amp;url=harzardrecs.php" TargetMode="External"/><Relationship Id="rId_hyperlink_27" Type="http://schemas.openxmlformats.org/officeDocument/2006/relationships/hyperlink" Target="http://henontech.com/fieldsafety/harzard/harzard_show.php?rid=1997&amp;url=harzardrecs.php" TargetMode="External"/><Relationship Id="rId_hyperlink_28" Type="http://schemas.openxmlformats.org/officeDocument/2006/relationships/hyperlink" Target="http://henontech.com/fieldsafety/harzard/harzard_show.php?rid=1998&amp;url=harzardrecs.php" TargetMode="External"/><Relationship Id="rId_hyperlink_29" Type="http://schemas.openxmlformats.org/officeDocument/2006/relationships/hyperlink" Target="http://henontech.com/fieldsafety/harzard/harzard_show.php?rid=1999&amp;url=harzardrecs.php" TargetMode="External"/><Relationship Id="rId_hyperlink_30" Type="http://schemas.openxmlformats.org/officeDocument/2006/relationships/hyperlink" Target="http://henontech.com/fieldsafety/harzard/harzard_show.php?rid=2002&amp;url=harzardrecs.php" TargetMode="External"/><Relationship Id="rId_hyperlink_31" Type="http://schemas.openxmlformats.org/officeDocument/2006/relationships/hyperlink" Target="http://henontech.com/fieldsafety/harzard/harzard_show.php?rid=2003&amp;url=harzardrecs.php" TargetMode="External"/><Relationship Id="rId_hyperlink_32" Type="http://schemas.openxmlformats.org/officeDocument/2006/relationships/hyperlink" Target="http://henontech.com/fieldsafety/harzard/harzard_show.php?rid=2005&amp;url=harzardrecs.php" TargetMode="External"/><Relationship Id="rId_hyperlink_33" Type="http://schemas.openxmlformats.org/officeDocument/2006/relationships/hyperlink" Target="http://henontech.com/fieldsafety/harzard/harzard_show.php?rid=2008&amp;url=harzardrecs.php" TargetMode="External"/><Relationship Id="rId_hyperlink_34" Type="http://schemas.openxmlformats.org/officeDocument/2006/relationships/hyperlink" Target="http://henontech.com/fieldsafety/harzard/harzard_show.php?rid=2011&amp;url=harzardrecs.php" TargetMode="External"/><Relationship Id="rId_hyperlink_35" Type="http://schemas.openxmlformats.org/officeDocument/2006/relationships/hyperlink" Target="http://henontech.com/fieldsafety/harzard/harzard_show.php?rid=2012&amp;url=harzardrecs.php" TargetMode="External"/><Relationship Id="rId_hyperlink_36" Type="http://schemas.openxmlformats.org/officeDocument/2006/relationships/hyperlink" Target="http://henontech.com/fieldsafety/harzard/harzard_show.php?rid=2014&amp;url=harzardrecs.php" TargetMode="External"/><Relationship Id="rId_hyperlink_37" Type="http://schemas.openxmlformats.org/officeDocument/2006/relationships/hyperlink" Target="http://henontech.com/fieldsafety/harzard/harzard_show.php?rid=2015&amp;url=harzardrecs.php" TargetMode="External"/><Relationship Id="rId_hyperlink_38" Type="http://schemas.openxmlformats.org/officeDocument/2006/relationships/hyperlink" Target="http://henontech.com/fieldsafety/harzard/harzard_show.php?rid=2016&amp;url=harzardrecs.php" TargetMode="External"/><Relationship Id="rId_hyperlink_39" Type="http://schemas.openxmlformats.org/officeDocument/2006/relationships/hyperlink" Target="http://henontech.com/fieldsafety/harzard/harzard_show.php?rid=2017&amp;url=harzardrecs.php" TargetMode="External"/><Relationship Id="rId_hyperlink_40" Type="http://schemas.openxmlformats.org/officeDocument/2006/relationships/hyperlink" Target="http://henontech.com/fieldsafety/harzard/harzard_show.php?rid=2018&amp;url=harzardrecs.php" TargetMode="External"/><Relationship Id="rId_hyperlink_41" Type="http://schemas.openxmlformats.org/officeDocument/2006/relationships/hyperlink" Target="http://henontech.com/fieldsafety/harzard/harzard_show.php?rid=2019&amp;url=harzardrecs.php" TargetMode="External"/><Relationship Id="rId_hyperlink_42" Type="http://schemas.openxmlformats.org/officeDocument/2006/relationships/hyperlink" Target="http://henontech.com/fieldsafety/harzard/harzard_show.php?rid=2020&amp;url=harzardrecs.php" TargetMode="External"/><Relationship Id="rId_hyperlink_43" Type="http://schemas.openxmlformats.org/officeDocument/2006/relationships/hyperlink" Target="http://henontech.com/fieldsafety/harzard/harzard_show.php?rid=2021&amp;url=harzardrecs.php" TargetMode="External"/><Relationship Id="rId_hyperlink_44" Type="http://schemas.openxmlformats.org/officeDocument/2006/relationships/hyperlink" Target="http://henontech.com/fieldsafety/harzard/harzard_show.php?rid=2022&amp;url=harzardrecs.php" TargetMode="External"/><Relationship Id="rId_hyperlink_45" Type="http://schemas.openxmlformats.org/officeDocument/2006/relationships/hyperlink" Target="http://henontech.com/fieldsafety/harzard/harzard_show.php?rid=2024&amp;url=harzardrecs.php" TargetMode="External"/><Relationship Id="rId_hyperlink_46" Type="http://schemas.openxmlformats.org/officeDocument/2006/relationships/hyperlink" Target="http://henontech.com/fieldsafety/harzard/harzard_show.php?rid=2027&amp;url=harzardrecs.php" TargetMode="External"/><Relationship Id="rId_hyperlink_47" Type="http://schemas.openxmlformats.org/officeDocument/2006/relationships/hyperlink" Target="http://henontech.com/fieldsafety/harzard/harzard_show.php?rid=2028&amp;url=harzardrecs.php" TargetMode="External"/><Relationship Id="rId_hyperlink_48" Type="http://schemas.openxmlformats.org/officeDocument/2006/relationships/hyperlink" Target="http://henontech.com/fieldsafety/harzard/harzard_show.php?rid=2029&amp;url=harzardrecs.php" TargetMode="External"/><Relationship Id="rId_hyperlink_49" Type="http://schemas.openxmlformats.org/officeDocument/2006/relationships/hyperlink" Target="http://henontech.com/fieldsafety/harzard/harzard_show.php?rid=2030&amp;url=harzardrecs.php" TargetMode="External"/><Relationship Id="rId_hyperlink_50" Type="http://schemas.openxmlformats.org/officeDocument/2006/relationships/hyperlink" Target="http://henontech.com/fieldsafety/harzard/harzard_show.php?rid=2031&amp;url=harzardrecs.php" TargetMode="External"/><Relationship Id="rId_hyperlink_51" Type="http://schemas.openxmlformats.org/officeDocument/2006/relationships/hyperlink" Target="http://henontech.com/fieldsafety/harzard/harzard_show.php?rid=2032&amp;url=harzardrecs.php" TargetMode="External"/><Relationship Id="rId_hyperlink_52" Type="http://schemas.openxmlformats.org/officeDocument/2006/relationships/hyperlink" Target="http://henontech.com/fieldsafety/harzard/harzard_show.php?rid=2033&amp;url=harzardrecs.php" TargetMode="External"/><Relationship Id="rId_hyperlink_53" Type="http://schemas.openxmlformats.org/officeDocument/2006/relationships/hyperlink" Target="http://henontech.com/fieldsafety/harzard/harzard_show.php?rid=2034&amp;url=harzardrecs.php" TargetMode="External"/><Relationship Id="rId_hyperlink_54" Type="http://schemas.openxmlformats.org/officeDocument/2006/relationships/hyperlink" Target="http://henontech.com/fieldsafety/harzard/harzard_show.php?rid=2035&amp;url=harzardrecs.php" TargetMode="External"/><Relationship Id="rId_hyperlink_55" Type="http://schemas.openxmlformats.org/officeDocument/2006/relationships/hyperlink" Target="http://henontech.com/fieldsafety/harzard/harzard_show.php?rid=2037&amp;url=harzardrecs.php" TargetMode="External"/><Relationship Id="rId_hyperlink_56" Type="http://schemas.openxmlformats.org/officeDocument/2006/relationships/hyperlink" Target="http://henontech.com/fieldsafety/harzard/harzard_show.php?rid=2038&amp;url=harzardrecs.php" TargetMode="External"/><Relationship Id="rId_hyperlink_57" Type="http://schemas.openxmlformats.org/officeDocument/2006/relationships/hyperlink" Target="http://henontech.com/fieldsafety/harzard/harzard_show.php?rid=2039&amp;url=harzardrecs.php" TargetMode="External"/><Relationship Id="rId_hyperlink_58" Type="http://schemas.openxmlformats.org/officeDocument/2006/relationships/hyperlink" Target="http://henontech.com/fieldsafety/harzard/harzard_show.php?rid=2040&amp;url=harzardrecs.php" TargetMode="External"/><Relationship Id="rId_hyperlink_59" Type="http://schemas.openxmlformats.org/officeDocument/2006/relationships/hyperlink" Target="http://henontech.com/fieldsafety/harzard/harzard_show.php?rid=2041&amp;url=harzardrecs.php" TargetMode="External"/><Relationship Id="rId_hyperlink_60" Type="http://schemas.openxmlformats.org/officeDocument/2006/relationships/hyperlink" Target="http://henontech.com/fieldsafety/harzard/harzard_show.php?rid=2042&amp;url=harzardrecs.php" TargetMode="External"/><Relationship Id="rId_hyperlink_61" Type="http://schemas.openxmlformats.org/officeDocument/2006/relationships/hyperlink" Target="http://henontech.com/fieldsafety/harzard/harzard_show.php?rid=2043&amp;url=harzardrecs.php" TargetMode="External"/><Relationship Id="rId_hyperlink_62" Type="http://schemas.openxmlformats.org/officeDocument/2006/relationships/hyperlink" Target="http://henontech.com/fieldsafety/harzard/harzard_show.php?rid=2045&amp;url=harzardrecs.php" TargetMode="External"/><Relationship Id="rId_hyperlink_63" Type="http://schemas.openxmlformats.org/officeDocument/2006/relationships/hyperlink" Target="http://henontech.com/fieldsafety/harzard/harzard_show.php?rid=2046&amp;url=harzardrecs.php" TargetMode="External"/><Relationship Id="rId_hyperlink_64" Type="http://schemas.openxmlformats.org/officeDocument/2006/relationships/hyperlink" Target="http://henontech.com/fieldsafety/harzard/harzard_show.php?rid=2047&amp;url=harzardrecs.php" TargetMode="External"/><Relationship Id="rId_hyperlink_65" Type="http://schemas.openxmlformats.org/officeDocument/2006/relationships/hyperlink" Target="http://henontech.com/fieldsafety/harzard/harzard_show.php?rid=2048&amp;url=harzardrecs.php" TargetMode="External"/><Relationship Id="rId_hyperlink_66" Type="http://schemas.openxmlformats.org/officeDocument/2006/relationships/hyperlink" Target="http://henontech.com/fieldsafety/harzard/harzard_show.php?rid=2049&amp;url=harzardrecs.php" TargetMode="External"/><Relationship Id="rId_hyperlink_67" Type="http://schemas.openxmlformats.org/officeDocument/2006/relationships/hyperlink" Target="http://henontech.com/fieldsafety/harzard/harzard_show.php?rid=2050&amp;url=harzardrecs.php" TargetMode="External"/><Relationship Id="rId_hyperlink_68" Type="http://schemas.openxmlformats.org/officeDocument/2006/relationships/hyperlink" Target="http://henontech.com/fieldsafety/harzard/harzard_show.php?rid=2051&amp;url=harzardrecs.php" TargetMode="External"/><Relationship Id="rId_hyperlink_69" Type="http://schemas.openxmlformats.org/officeDocument/2006/relationships/hyperlink" Target="http://henontech.com/fieldsafety/harzard/harzard_show.php?rid=2052&amp;url=harzardrecs.php" TargetMode="External"/><Relationship Id="rId_hyperlink_70" Type="http://schemas.openxmlformats.org/officeDocument/2006/relationships/hyperlink" Target="http://henontech.com/fieldsafety/harzard/harzard_show.php?rid=2053&amp;url=harzardrecs.php" TargetMode="External"/><Relationship Id="rId_hyperlink_71" Type="http://schemas.openxmlformats.org/officeDocument/2006/relationships/hyperlink" Target="http://henontech.com/fieldsafety/harzard/harzard_show.php?rid=2054&amp;url=harzardrecs.php" TargetMode="External"/><Relationship Id="rId_hyperlink_72" Type="http://schemas.openxmlformats.org/officeDocument/2006/relationships/hyperlink" Target="http://henontech.com/fieldsafety/harzard/harzard_show.php?rid=2055&amp;url=harzardrecs.php" TargetMode="External"/><Relationship Id="rId_hyperlink_73" Type="http://schemas.openxmlformats.org/officeDocument/2006/relationships/hyperlink" Target="http://henontech.com/fieldsafety/harzard/harzard_show.php?rid=2056&amp;url=harzardrecs.php" TargetMode="External"/><Relationship Id="rId_hyperlink_74" Type="http://schemas.openxmlformats.org/officeDocument/2006/relationships/hyperlink" Target="http://henontech.com/fieldsafety/harzard/harzard_show.php?rid=2057&amp;url=harzardrecs.php" TargetMode="External"/><Relationship Id="rId_hyperlink_75" Type="http://schemas.openxmlformats.org/officeDocument/2006/relationships/hyperlink" Target="http://henontech.com/fieldsafety/harzard/harzard_show.php?rid=2058&amp;url=harzardrecs.php" TargetMode="External"/><Relationship Id="rId_hyperlink_76" Type="http://schemas.openxmlformats.org/officeDocument/2006/relationships/hyperlink" Target="http://henontech.com/fieldsafety/harzard/harzard_show.php?rid=2059&amp;url=harzardrecs.php" TargetMode="External"/><Relationship Id="rId_hyperlink_77" Type="http://schemas.openxmlformats.org/officeDocument/2006/relationships/hyperlink" Target="http://henontech.com/fieldsafety/harzard/harzard_show.php?rid=2060&amp;url=harzardrecs.php" TargetMode="External"/><Relationship Id="rId_hyperlink_78" Type="http://schemas.openxmlformats.org/officeDocument/2006/relationships/hyperlink" Target="http://henontech.com/fieldsafety/harzard/harzard_show.php?rid=2061&amp;url=harzardrecs.php" TargetMode="External"/><Relationship Id="rId_hyperlink_79" Type="http://schemas.openxmlformats.org/officeDocument/2006/relationships/hyperlink" Target="http://henontech.com/fieldsafety/harzard/harzard_show.php?rid=2062&amp;url=harzardrecs.php" TargetMode="External"/><Relationship Id="rId_hyperlink_80" Type="http://schemas.openxmlformats.org/officeDocument/2006/relationships/hyperlink" Target="http://henontech.com/fieldsafety/harzard/harzard_show.php?rid=2063&amp;url=harzardrecs.php" TargetMode="External"/><Relationship Id="rId_hyperlink_81" Type="http://schemas.openxmlformats.org/officeDocument/2006/relationships/hyperlink" Target="http://henontech.com/fieldsafety/harzard/harzard_show.php?rid=2064&amp;url=harzardrecs.php" TargetMode="External"/><Relationship Id="rId_hyperlink_82" Type="http://schemas.openxmlformats.org/officeDocument/2006/relationships/hyperlink" Target="http://henontech.com/fieldsafety/harzard/harzard_show.php?rid=2065&amp;url=harzardrecs.php" TargetMode="External"/><Relationship Id="rId_hyperlink_83" Type="http://schemas.openxmlformats.org/officeDocument/2006/relationships/hyperlink" Target="http://henontech.com/fieldsafety/harzard/harzard_show.php?rid=2066&amp;url=harzardrecs.php" TargetMode="External"/><Relationship Id="rId_hyperlink_84" Type="http://schemas.openxmlformats.org/officeDocument/2006/relationships/hyperlink" Target="http://henontech.com/fieldsafety/harzard/harzard_show.php?rid=2068&amp;url=harzardrecs.php" TargetMode="External"/><Relationship Id="rId_hyperlink_85" Type="http://schemas.openxmlformats.org/officeDocument/2006/relationships/hyperlink" Target="http://henontech.com/fieldsafety/harzard/harzard_show.php?rid=2071&amp;url=harzardrecs.php" TargetMode="External"/><Relationship Id="rId_hyperlink_86" Type="http://schemas.openxmlformats.org/officeDocument/2006/relationships/hyperlink" Target="http://henontech.com/fieldsafety/harzard/harzard_show.php?rid=2074&amp;url=harzardrecs.php" TargetMode="External"/><Relationship Id="rId_hyperlink_87" Type="http://schemas.openxmlformats.org/officeDocument/2006/relationships/hyperlink" Target="http://henontech.com/fieldsafety/harzard/harzard_show.php?rid=2075&amp;url=harzardrecs.php" TargetMode="External"/><Relationship Id="rId_hyperlink_88" Type="http://schemas.openxmlformats.org/officeDocument/2006/relationships/hyperlink" Target="http://henontech.com/fieldsafety/harzard/harzard_show.php?rid=2077&amp;url=harzardrecs.php" TargetMode="External"/><Relationship Id="rId_hyperlink_89" Type="http://schemas.openxmlformats.org/officeDocument/2006/relationships/hyperlink" Target="http://henontech.com/fieldsafety/harzard/harzard_show.php?rid=2078&amp;url=harzardrecs.php" TargetMode="External"/><Relationship Id="rId_hyperlink_90" Type="http://schemas.openxmlformats.org/officeDocument/2006/relationships/hyperlink" Target="http://henontech.com/fieldsafety/harzard/harzard_show.php?rid=2079&amp;url=harzardrecs.php" TargetMode="External"/><Relationship Id="rId_hyperlink_91" Type="http://schemas.openxmlformats.org/officeDocument/2006/relationships/hyperlink" Target="http://henontech.com/fieldsafety/harzard/harzard_show.php?rid=2080&amp;url=harzardrecs.php" TargetMode="External"/><Relationship Id="rId_hyperlink_92" Type="http://schemas.openxmlformats.org/officeDocument/2006/relationships/hyperlink" Target="http://henontech.com/fieldsafety/harzard/harzard_show.php?rid=2081&amp;url=harzardrecs.php" TargetMode="External"/><Relationship Id="rId_hyperlink_93" Type="http://schemas.openxmlformats.org/officeDocument/2006/relationships/hyperlink" Target="http://henontech.com/fieldsafety/harzard/harzard_show.php?rid=2083&amp;url=harzardrecs.php" TargetMode="External"/><Relationship Id="rId_hyperlink_94" Type="http://schemas.openxmlformats.org/officeDocument/2006/relationships/hyperlink" Target="http://henontech.com/fieldsafety/harzard/harzard_show.php?rid=2084&amp;url=harzardrecs.php" TargetMode="External"/><Relationship Id="rId_hyperlink_95" Type="http://schemas.openxmlformats.org/officeDocument/2006/relationships/hyperlink" Target="http://henontech.com/fieldsafety/harzard/harzard_show.php?rid=2085&amp;url=harzardrecs.php" TargetMode="External"/><Relationship Id="rId_hyperlink_96" Type="http://schemas.openxmlformats.org/officeDocument/2006/relationships/hyperlink" Target="http://henontech.com/fieldsafety/harzard/harzard_show.php?rid=2086&amp;url=harzardrecs.php" TargetMode="External"/><Relationship Id="rId_hyperlink_97" Type="http://schemas.openxmlformats.org/officeDocument/2006/relationships/hyperlink" Target="http://henontech.com/fieldsafety/harzard/harzard_show.php?rid=2087&amp;url=harzardrecs.php" TargetMode="External"/><Relationship Id="rId_hyperlink_98" Type="http://schemas.openxmlformats.org/officeDocument/2006/relationships/hyperlink" Target="http://henontech.com/fieldsafety/harzard/harzard_show.php?rid=2088&amp;url=harzardrecs.php" TargetMode="External"/><Relationship Id="rId_hyperlink_99" Type="http://schemas.openxmlformats.org/officeDocument/2006/relationships/hyperlink" Target="http://henontech.com/fieldsafety/harzard/harzard_show.php?rid=2089&amp;url=harzardrecs.php" TargetMode="External"/><Relationship Id="rId_hyperlink_100" Type="http://schemas.openxmlformats.org/officeDocument/2006/relationships/hyperlink" Target="http://henontech.com/fieldsafety/harzard/harzard_show.php?rid=2090&amp;url=harzardrecs.php" TargetMode="External"/><Relationship Id="rId_hyperlink_101" Type="http://schemas.openxmlformats.org/officeDocument/2006/relationships/hyperlink" Target="http://henontech.com/fieldsafety/harzard/harzard_show.php?rid=2091&amp;url=harzardrecs.php" TargetMode="External"/><Relationship Id="rId_hyperlink_102" Type="http://schemas.openxmlformats.org/officeDocument/2006/relationships/hyperlink" Target="http://henontech.com/fieldsafety/harzard/harzard_show.php?rid=2092&amp;url=harzardrecs.php" TargetMode="External"/><Relationship Id="rId_hyperlink_103" Type="http://schemas.openxmlformats.org/officeDocument/2006/relationships/hyperlink" Target="http://henontech.com/fieldsafety/harzard/harzard_show.php?rid=2093&amp;url=harzardrecs.php" TargetMode="External"/><Relationship Id="rId_hyperlink_104" Type="http://schemas.openxmlformats.org/officeDocument/2006/relationships/hyperlink" Target="http://henontech.com/fieldsafety/harzard/harzard_show.php?rid=2094&amp;url=harzardrecs.php" TargetMode="External"/><Relationship Id="rId_hyperlink_105" Type="http://schemas.openxmlformats.org/officeDocument/2006/relationships/hyperlink" Target="http://henontech.com/fieldsafety/harzard/harzard_show.php?rid=2095&amp;url=harzardrecs.php" TargetMode="External"/><Relationship Id="rId_hyperlink_106" Type="http://schemas.openxmlformats.org/officeDocument/2006/relationships/hyperlink" Target="http://henontech.com/fieldsafety/harzard/harzard_show.php?rid=2097&amp;url=harzardrecs.php" TargetMode="External"/><Relationship Id="rId_hyperlink_107" Type="http://schemas.openxmlformats.org/officeDocument/2006/relationships/hyperlink" Target="http://henontech.com/fieldsafety/harzard/harzard_show.php?rid=2098&amp;url=harzardrecs.php" TargetMode="External"/><Relationship Id="rId_hyperlink_108" Type="http://schemas.openxmlformats.org/officeDocument/2006/relationships/hyperlink" Target="http://henontech.com/fieldsafety/harzard/harzard_show.php?rid=2099&amp;url=harzardrecs.php" TargetMode="External"/><Relationship Id="rId_hyperlink_109" Type="http://schemas.openxmlformats.org/officeDocument/2006/relationships/hyperlink" Target="http://henontech.com/fieldsafety/harzard/harzard_show.php?rid=2100&amp;url=harzardrecs.php" TargetMode="External"/><Relationship Id="rId_hyperlink_110" Type="http://schemas.openxmlformats.org/officeDocument/2006/relationships/hyperlink" Target="http://henontech.com/fieldsafety/harzard/harzard_show.php?rid=2101&amp;url=harzardrecs.php" TargetMode="External"/><Relationship Id="rId_hyperlink_111" Type="http://schemas.openxmlformats.org/officeDocument/2006/relationships/hyperlink" Target="http://henontech.com/fieldsafety/harzard/harzard_show.php?rid=2102&amp;url=harzardrecs.php" TargetMode="External"/><Relationship Id="rId_hyperlink_112" Type="http://schemas.openxmlformats.org/officeDocument/2006/relationships/hyperlink" Target="http://henontech.com/fieldsafety/harzard/harzard_show.php?rid=2103&amp;url=harzardrecs.php" TargetMode="External"/><Relationship Id="rId_hyperlink_113" Type="http://schemas.openxmlformats.org/officeDocument/2006/relationships/hyperlink" Target="http://henontech.com/fieldsafety/harzard/harzard_show.php?rid=2104&amp;url=harzardrecs.php" TargetMode="External"/><Relationship Id="rId_hyperlink_114" Type="http://schemas.openxmlformats.org/officeDocument/2006/relationships/hyperlink" Target="http://henontech.com/fieldsafety/harzard/harzard_show.php?rid=2105&amp;url=harzardrecs.php" TargetMode="External"/><Relationship Id="rId_hyperlink_115" Type="http://schemas.openxmlformats.org/officeDocument/2006/relationships/hyperlink" Target="http://henontech.com/fieldsafety/harzard/harzard_show.php?rid=2106&amp;url=harzardrecs.php" TargetMode="External"/><Relationship Id="rId_hyperlink_116" Type="http://schemas.openxmlformats.org/officeDocument/2006/relationships/hyperlink" Target="http://henontech.com/fieldsafety/harzard/harzard_show.php?rid=2107&amp;url=harzardrecs.php" TargetMode="External"/><Relationship Id="rId_hyperlink_117" Type="http://schemas.openxmlformats.org/officeDocument/2006/relationships/hyperlink" Target="http://henontech.com/fieldsafety/harzard/harzard_show.php?rid=2108&amp;url=harzardrecs.php" TargetMode="External"/><Relationship Id="rId_hyperlink_118" Type="http://schemas.openxmlformats.org/officeDocument/2006/relationships/hyperlink" Target="http://henontech.com/fieldsafety/harzard/harzard_show.php?rid=2109&amp;url=harzardrecs.php" TargetMode="External"/><Relationship Id="rId_hyperlink_119" Type="http://schemas.openxmlformats.org/officeDocument/2006/relationships/hyperlink" Target="http://henontech.com/fieldsafety/harzard/harzard_show.php?rid=2109&amp;url=harzardrecs.php" TargetMode="External"/><Relationship Id="rId_hyperlink_120" Type="http://schemas.openxmlformats.org/officeDocument/2006/relationships/hyperlink" Target="http://henontech.com/fieldsafety/harzard/harzard_show.php?rid=2110&amp;url=harzardrecs.php" TargetMode="External"/><Relationship Id="rId_hyperlink_121" Type="http://schemas.openxmlformats.org/officeDocument/2006/relationships/hyperlink" Target="http://henontech.com/fieldsafety/harzard/harzard_show.php?rid=2111&amp;url=harzardrecs.php" TargetMode="External"/><Relationship Id="rId_hyperlink_122" Type="http://schemas.openxmlformats.org/officeDocument/2006/relationships/hyperlink" Target="http://henontech.com/fieldsafety/harzard/harzard_show.php?rid=2112&amp;url=harzardrecs.php" TargetMode="External"/><Relationship Id="rId_hyperlink_123" Type="http://schemas.openxmlformats.org/officeDocument/2006/relationships/hyperlink" Target="http://henontech.com/fieldsafety/harzard/harzard_show.php?rid=2113&amp;url=harzardrecs.php" TargetMode="External"/><Relationship Id="rId_hyperlink_124" Type="http://schemas.openxmlformats.org/officeDocument/2006/relationships/hyperlink" Target="http://henontech.com/fieldsafety/harzard/harzard_show.php?rid=2115&amp;url=harzardrecs.php" TargetMode="External"/><Relationship Id="rId_hyperlink_125" Type="http://schemas.openxmlformats.org/officeDocument/2006/relationships/hyperlink" Target="http://henontech.com/fieldsafety/harzard/harzard_show.php?rid=2117&amp;url=harzardrecs.php" TargetMode="External"/><Relationship Id="rId_hyperlink_126" Type="http://schemas.openxmlformats.org/officeDocument/2006/relationships/hyperlink" Target="http://henontech.com/fieldsafety/harzard/harzard_show.php?rid=2118&amp;url=harzardrecs.php" TargetMode="External"/><Relationship Id="rId_hyperlink_127" Type="http://schemas.openxmlformats.org/officeDocument/2006/relationships/hyperlink" Target="http://henontech.com/fieldsafety/harzard/harzard_show.php?rid=2119&amp;url=harzardrecs.php" TargetMode="External"/><Relationship Id="rId_hyperlink_128" Type="http://schemas.openxmlformats.org/officeDocument/2006/relationships/hyperlink" Target="http://henontech.com/fieldsafety/harzard/harzard_show.php?rid=2120&amp;url=harzardrecs.php" TargetMode="External"/><Relationship Id="rId_hyperlink_129" Type="http://schemas.openxmlformats.org/officeDocument/2006/relationships/hyperlink" Target="http://henontech.com/fieldsafety/harzard/harzard_show.php?rid=2121&amp;url=harzardrecs.php" TargetMode="External"/><Relationship Id="rId_hyperlink_130" Type="http://schemas.openxmlformats.org/officeDocument/2006/relationships/hyperlink" Target="http://henontech.com/fieldsafety/harzard/harzard_show.php?rid=2121&amp;url=harzardrecs.php" TargetMode="External"/><Relationship Id="rId_hyperlink_131" Type="http://schemas.openxmlformats.org/officeDocument/2006/relationships/hyperlink" Target="http://henontech.com/fieldsafety/harzard/harzard_show.php?rid=2122&amp;url=harzardrecs.php" TargetMode="External"/><Relationship Id="rId_hyperlink_132" Type="http://schemas.openxmlformats.org/officeDocument/2006/relationships/hyperlink" Target="http://henontech.com/fieldsafety/harzard/harzard_show.php?rid=2123&amp;url=harzardrecs.php" TargetMode="External"/><Relationship Id="rId_hyperlink_133" Type="http://schemas.openxmlformats.org/officeDocument/2006/relationships/hyperlink" Target="http://henontech.com/fieldsafety/harzard/harzard_show.php?rid=2124&amp;url=harzardrecs.php" TargetMode="External"/><Relationship Id="rId_hyperlink_134" Type="http://schemas.openxmlformats.org/officeDocument/2006/relationships/hyperlink" Target="http://henontech.com/fieldsafety/harzard/harzard_show.php?rid=2125&amp;url=harzardrecs.php" TargetMode="External"/><Relationship Id="rId_hyperlink_135" Type="http://schemas.openxmlformats.org/officeDocument/2006/relationships/hyperlink" Target="http://henontech.com/fieldsafety/harzard/harzard_show.php?rid=2127&amp;url=harzardrecs.php" TargetMode="External"/><Relationship Id="rId_hyperlink_136" Type="http://schemas.openxmlformats.org/officeDocument/2006/relationships/hyperlink" Target="http://henontech.com/fieldsafety/harzard/harzard_show.php?rid=2128&amp;url=harzardrecs.php" TargetMode="External"/><Relationship Id="rId_hyperlink_137" Type="http://schemas.openxmlformats.org/officeDocument/2006/relationships/hyperlink" Target="http://henontech.com/fieldsafety/harzard/harzard_show.php?rid=2129&amp;url=harzardrecs.php" TargetMode="External"/><Relationship Id="rId_hyperlink_138" Type="http://schemas.openxmlformats.org/officeDocument/2006/relationships/hyperlink" Target="http://henontech.com/fieldsafety/harzard/harzard_show.php?rid=2130&amp;url=harzardrecs.php" TargetMode="External"/><Relationship Id="rId_hyperlink_139" Type="http://schemas.openxmlformats.org/officeDocument/2006/relationships/hyperlink" Target="http://henontech.com/fieldsafety/harzard/harzard_show.php?rid=2131&amp;url=harzardrecs.php" TargetMode="External"/><Relationship Id="rId_hyperlink_140" Type="http://schemas.openxmlformats.org/officeDocument/2006/relationships/hyperlink" Target="http://henontech.com/fieldsafety/harzard/harzard_show.php?rid=2132&amp;url=harzardrecs.php" TargetMode="External"/><Relationship Id="rId_hyperlink_141" Type="http://schemas.openxmlformats.org/officeDocument/2006/relationships/hyperlink" Target="http://henontech.com/fieldsafety/harzard/harzard_show.php?rid=2133&amp;url=harzardrecs.php" TargetMode="External"/><Relationship Id="rId_hyperlink_142" Type="http://schemas.openxmlformats.org/officeDocument/2006/relationships/hyperlink" Target="http://henontech.com/fieldsafety/harzard/harzard_show.php?rid=2134&amp;url=harzardrecs.php" TargetMode="External"/><Relationship Id="rId_hyperlink_143" Type="http://schemas.openxmlformats.org/officeDocument/2006/relationships/hyperlink" Target="http://henontech.com/fieldsafety/harzard/harzard_show.php?rid=2135&amp;url=harzardrecs.php" TargetMode="External"/><Relationship Id="rId_hyperlink_144" Type="http://schemas.openxmlformats.org/officeDocument/2006/relationships/hyperlink" Target="http://henontech.com/fieldsafety/harzard/harzard_show.php?rid=2136&amp;url=harzardrecs.php" TargetMode="External"/><Relationship Id="rId_hyperlink_145" Type="http://schemas.openxmlformats.org/officeDocument/2006/relationships/hyperlink" Target="http://henontech.com/fieldsafety/harzard/harzard_show.php?rid=2137&amp;url=harzardrecs.php" TargetMode="External"/><Relationship Id="rId_hyperlink_146" Type="http://schemas.openxmlformats.org/officeDocument/2006/relationships/hyperlink" Target="http://henontech.com/fieldsafety/harzard/harzard_show.php?rid=2138&amp;url=harzardrecs.php" TargetMode="External"/><Relationship Id="rId_hyperlink_147" Type="http://schemas.openxmlformats.org/officeDocument/2006/relationships/hyperlink" Target="http://henontech.com/fieldsafety/harzard/harzard_show.php?rid=2139&amp;url=harzardrecs.php" TargetMode="External"/><Relationship Id="rId_hyperlink_148" Type="http://schemas.openxmlformats.org/officeDocument/2006/relationships/hyperlink" Target="http://henontech.com/fieldsafety/harzard/harzard_show.php?rid=2140&amp;url=harzardrecs.php" TargetMode="External"/><Relationship Id="rId_hyperlink_149" Type="http://schemas.openxmlformats.org/officeDocument/2006/relationships/hyperlink" Target="http://henontech.com/fieldsafety/harzard/harzard_show.php?rid=2141&amp;url=harzardrecs.php" TargetMode="External"/><Relationship Id="rId_hyperlink_150" Type="http://schemas.openxmlformats.org/officeDocument/2006/relationships/hyperlink" Target="http://henontech.com/fieldsafety/harzard/harzard_show.php?rid=2142&amp;url=harzardrecs.php" TargetMode="External"/><Relationship Id="rId_hyperlink_151" Type="http://schemas.openxmlformats.org/officeDocument/2006/relationships/hyperlink" Target="http://henontech.com/fieldsafety/harzard/harzard_show.php?rid=2143&amp;url=harzardrecs.php" TargetMode="External"/><Relationship Id="rId_hyperlink_152" Type="http://schemas.openxmlformats.org/officeDocument/2006/relationships/hyperlink" Target="http://henontech.com/fieldsafety/harzard/harzard_show.php?rid=2144&amp;url=harzardrecs.php" TargetMode="External"/><Relationship Id="rId_hyperlink_153" Type="http://schemas.openxmlformats.org/officeDocument/2006/relationships/hyperlink" Target="http://henontech.com/fieldsafety/harzard/harzard_show.php?rid=2145&amp;url=harzardrecs.php" TargetMode="External"/><Relationship Id="rId_hyperlink_154" Type="http://schemas.openxmlformats.org/officeDocument/2006/relationships/hyperlink" Target="http://henontech.com/fieldsafety/harzard/harzard_show.php?rid=2147&amp;url=harzardrecs.php" TargetMode="External"/><Relationship Id="rId_hyperlink_155" Type="http://schemas.openxmlformats.org/officeDocument/2006/relationships/hyperlink" Target="http://henontech.com/fieldsafety/harzard/harzard_show.php?rid=2148&amp;url=harzardrecs.php" TargetMode="External"/><Relationship Id="rId_hyperlink_156" Type="http://schemas.openxmlformats.org/officeDocument/2006/relationships/hyperlink" Target="http://henontech.com/fieldsafety/harzard/harzard_show.php?rid=2149&amp;url=harzardrecs.php" TargetMode="External"/><Relationship Id="rId_hyperlink_157" Type="http://schemas.openxmlformats.org/officeDocument/2006/relationships/hyperlink" Target="http://henontech.com/fieldsafety/harzard/harzard_show.php?rid=2150&amp;url=harzardrecs.php" TargetMode="External"/><Relationship Id="rId_hyperlink_158" Type="http://schemas.openxmlformats.org/officeDocument/2006/relationships/hyperlink" Target="http://henontech.com/fieldsafety/harzard/harzard_show.php?rid=2151&amp;url=harzardrecs.php" TargetMode="External"/><Relationship Id="rId_hyperlink_159" Type="http://schemas.openxmlformats.org/officeDocument/2006/relationships/hyperlink" Target="http://henontech.com/fieldsafety/harzard/harzard_show.php?rid=2153&amp;url=harzardrecs.php" TargetMode="External"/><Relationship Id="rId_hyperlink_160" Type="http://schemas.openxmlformats.org/officeDocument/2006/relationships/hyperlink" Target="http://henontech.com/fieldsafety/harzard/harzard_show.php?rid=2154&amp;url=harzardrecs.php" TargetMode="External"/><Relationship Id="rId_hyperlink_161" Type="http://schemas.openxmlformats.org/officeDocument/2006/relationships/hyperlink" Target="http://henontech.com/fieldsafety/harzard/harzard_show.php?rid=2155&amp;url=harzardrecs.php" TargetMode="External"/><Relationship Id="rId_hyperlink_162" Type="http://schemas.openxmlformats.org/officeDocument/2006/relationships/hyperlink" Target="http://henontech.com/fieldsafety/harzard/harzard_show.php?rid=2156&amp;url=harzardrecs.php" TargetMode="External"/><Relationship Id="rId_hyperlink_163" Type="http://schemas.openxmlformats.org/officeDocument/2006/relationships/hyperlink" Target="http://henontech.com/fieldsafety/harzard/harzard_show.php?rid=2157&amp;url=harzardrecs.php" TargetMode="External"/><Relationship Id="rId_hyperlink_164" Type="http://schemas.openxmlformats.org/officeDocument/2006/relationships/hyperlink" Target="http://henontech.com/fieldsafety/harzard/harzard_show.php?rid=2158&amp;url=harzardrecs.php" TargetMode="External"/><Relationship Id="rId_hyperlink_165" Type="http://schemas.openxmlformats.org/officeDocument/2006/relationships/hyperlink" Target="http://henontech.com/fieldsafety/harzard/harzard_show.php?rid=2159&amp;url=harzardrecs.php" TargetMode="External"/><Relationship Id="rId_hyperlink_166" Type="http://schemas.openxmlformats.org/officeDocument/2006/relationships/hyperlink" Target="http://henontech.com/fieldsafety/harzard/harzard_show.php?rid=2160&amp;url=harzardrecs.php" TargetMode="External"/><Relationship Id="rId_hyperlink_167" Type="http://schemas.openxmlformats.org/officeDocument/2006/relationships/hyperlink" Target="http://henontech.com/fieldsafety/harzard/harzard_show.php?rid=2161&amp;url=harzardrecs.php" TargetMode="External"/><Relationship Id="rId_hyperlink_168" Type="http://schemas.openxmlformats.org/officeDocument/2006/relationships/hyperlink" Target="http://henontech.com/fieldsafety/harzard/harzard_show.php?rid=2162&amp;url=harzardrecs.php" TargetMode="External"/><Relationship Id="rId_hyperlink_169" Type="http://schemas.openxmlformats.org/officeDocument/2006/relationships/hyperlink" Target="http://henontech.com/fieldsafety/harzard/harzard_show.php?rid=2163&amp;url=harzardrecs.php" TargetMode="External"/><Relationship Id="rId_hyperlink_170" Type="http://schemas.openxmlformats.org/officeDocument/2006/relationships/hyperlink" Target="http://henontech.com/fieldsafety/harzard/harzard_show.php?rid=2164&amp;url=harzardrecs.php" TargetMode="External"/><Relationship Id="rId_hyperlink_171" Type="http://schemas.openxmlformats.org/officeDocument/2006/relationships/hyperlink" Target="http://henontech.com/fieldsafety/harzard/harzard_show.php?rid=2165&amp;url=harzardrecs.php" TargetMode="External"/><Relationship Id="rId_hyperlink_172" Type="http://schemas.openxmlformats.org/officeDocument/2006/relationships/hyperlink" Target="http://henontech.com/fieldsafety/harzard/harzard_show.php?rid=2166&amp;url=harzardrecs.php" TargetMode="External"/><Relationship Id="rId_hyperlink_173" Type="http://schemas.openxmlformats.org/officeDocument/2006/relationships/hyperlink" Target="http://henontech.com/fieldsafety/harzard/harzard_show.php?rid=2167&amp;url=harzardrecs.php" TargetMode="External"/><Relationship Id="rId_hyperlink_174" Type="http://schemas.openxmlformats.org/officeDocument/2006/relationships/hyperlink" Target="http://henontech.com/fieldsafety/harzard/harzard_show.php?rid=2168&amp;url=harzardrecs.php" TargetMode="External"/><Relationship Id="rId_hyperlink_175" Type="http://schemas.openxmlformats.org/officeDocument/2006/relationships/hyperlink" Target="http://henontech.com/fieldsafety/harzard/harzard_show.php?rid=2169&amp;url=harzardrecs.php" TargetMode="External"/><Relationship Id="rId_hyperlink_176" Type="http://schemas.openxmlformats.org/officeDocument/2006/relationships/hyperlink" Target="http://henontech.com/fieldsafety/harzard/harzard_show.php?rid=2171&amp;url=harzardrecs.php" TargetMode="External"/><Relationship Id="rId_hyperlink_177" Type="http://schemas.openxmlformats.org/officeDocument/2006/relationships/hyperlink" Target="http://henontech.com/fieldsafety/harzard/harzard_show.php?rid=2172&amp;url=harzardrecs.php" TargetMode="External"/><Relationship Id="rId_hyperlink_178" Type="http://schemas.openxmlformats.org/officeDocument/2006/relationships/hyperlink" Target="http://henontech.com/fieldsafety/harzard/harzard_show.php?rid=2173&amp;url=harzardrecs.php" TargetMode="External"/><Relationship Id="rId_hyperlink_179" Type="http://schemas.openxmlformats.org/officeDocument/2006/relationships/hyperlink" Target="http://henontech.com/fieldsafety/harzard/harzard_show.php?rid=2175&amp;url=harzardrecs.php" TargetMode="External"/><Relationship Id="rId_hyperlink_180" Type="http://schemas.openxmlformats.org/officeDocument/2006/relationships/hyperlink" Target="http://henontech.com/fieldsafety/harzard/harzard_show.php?rid=2177&amp;url=harzardrecs.php" TargetMode="External"/><Relationship Id="rId_hyperlink_181" Type="http://schemas.openxmlformats.org/officeDocument/2006/relationships/hyperlink" Target="http://henontech.com/fieldsafety/harzard/harzard_show.php?rid=2180&amp;url=harzardrecs.php" TargetMode="External"/><Relationship Id="rId_hyperlink_182" Type="http://schemas.openxmlformats.org/officeDocument/2006/relationships/hyperlink" Target="http://henontech.com/fieldsafety/harzard/harzard_show.php?rid=2181&amp;url=harzardrecs.php" TargetMode="External"/><Relationship Id="rId_hyperlink_183" Type="http://schemas.openxmlformats.org/officeDocument/2006/relationships/hyperlink" Target="http://henontech.com/fieldsafety/harzard/harzard_show.php?rid=2182&amp;url=harzardrecs.php" TargetMode="External"/><Relationship Id="rId_hyperlink_184" Type="http://schemas.openxmlformats.org/officeDocument/2006/relationships/hyperlink" Target="http://henontech.com/fieldsafety/harzard/harzard_show.php?rid=2183&amp;url=harzardrecs.php" TargetMode="External"/><Relationship Id="rId_hyperlink_185" Type="http://schemas.openxmlformats.org/officeDocument/2006/relationships/hyperlink" Target="http://henontech.com/fieldsafety/harzard/harzard_show.php?rid=2184&amp;url=harzardrecs.php" TargetMode="External"/><Relationship Id="rId_hyperlink_186" Type="http://schemas.openxmlformats.org/officeDocument/2006/relationships/hyperlink" Target="http://henontech.com/fieldsafety/harzard/harzard_show.php?rid=2185&amp;url=harzardrecs.php" TargetMode="External"/><Relationship Id="rId_hyperlink_187" Type="http://schemas.openxmlformats.org/officeDocument/2006/relationships/hyperlink" Target="http://henontech.com/fieldsafety/harzard/harzard_show.php?rid=2186&amp;url=harzardrecs.php" TargetMode="External"/><Relationship Id="rId_hyperlink_188" Type="http://schemas.openxmlformats.org/officeDocument/2006/relationships/hyperlink" Target="http://henontech.com/fieldsafety/harzard/harzard_show.php?rid=2187&amp;url=harzardrecs.php" TargetMode="External"/><Relationship Id="rId_hyperlink_189" Type="http://schemas.openxmlformats.org/officeDocument/2006/relationships/hyperlink" Target="http://henontech.com/fieldsafety/harzard/harzard_show.php?rid=2188&amp;url=harzardrecs.php" TargetMode="External"/><Relationship Id="rId_hyperlink_190" Type="http://schemas.openxmlformats.org/officeDocument/2006/relationships/hyperlink" Target="http://henontech.com/fieldsafety/harzard/harzard_show.php?rid=2189&amp;url=harzardrecs.php" TargetMode="External"/><Relationship Id="rId_hyperlink_191" Type="http://schemas.openxmlformats.org/officeDocument/2006/relationships/hyperlink" Target="http://henontech.com/fieldsafety/harzard/harzard_show.php?rid=2190&amp;url=harzardrecs.php" TargetMode="External"/><Relationship Id="rId_hyperlink_192" Type="http://schemas.openxmlformats.org/officeDocument/2006/relationships/hyperlink" Target="http://henontech.com/fieldsafety/harzard/harzard_show.php?rid=2191&amp;url=harzardrecs.php" TargetMode="External"/><Relationship Id="rId_hyperlink_193" Type="http://schemas.openxmlformats.org/officeDocument/2006/relationships/hyperlink" Target="http://henontech.com/fieldsafety/harzard/harzard_show.php?rid=2192&amp;url=harzardrecs.php" TargetMode="External"/><Relationship Id="rId_hyperlink_194" Type="http://schemas.openxmlformats.org/officeDocument/2006/relationships/hyperlink" Target="http://henontech.com/fieldsafety/harzard/harzard_show.php?rid=2193&amp;url=harzardrecs.php" TargetMode="External"/><Relationship Id="rId_hyperlink_195" Type="http://schemas.openxmlformats.org/officeDocument/2006/relationships/hyperlink" Target="http://henontech.com/fieldsafety/harzard/harzard_show.php?rid=2195&amp;url=harzardrecs.php" TargetMode="External"/><Relationship Id="rId_hyperlink_196" Type="http://schemas.openxmlformats.org/officeDocument/2006/relationships/hyperlink" Target="http://henontech.com/fieldsafety/harzard/harzard_show.php?rid=2196&amp;url=harzardrecs.php" TargetMode="External"/><Relationship Id="rId_hyperlink_197" Type="http://schemas.openxmlformats.org/officeDocument/2006/relationships/hyperlink" Target="http://henontech.com/fieldsafety/harzard/harzard_show.php?rid=2197&amp;url=harzardrecs.php" TargetMode="External"/><Relationship Id="rId_hyperlink_198" Type="http://schemas.openxmlformats.org/officeDocument/2006/relationships/hyperlink" Target="http://henontech.com/fieldsafety/harzard/harzard_show.php?rid=2198&amp;url=harzardrecs.php" TargetMode="External"/><Relationship Id="rId_hyperlink_199" Type="http://schemas.openxmlformats.org/officeDocument/2006/relationships/hyperlink" Target="http://henontech.com/fieldsafety/harzard/harzard_show.php?rid=2199&amp;url=harzardrecs.php" TargetMode="External"/><Relationship Id="rId_hyperlink_200" Type="http://schemas.openxmlformats.org/officeDocument/2006/relationships/hyperlink" Target="http://henontech.com/fieldsafety/harzard/harzard_show.php?rid=2200&amp;url=harzardrecs.php" TargetMode="External"/><Relationship Id="rId_hyperlink_201" Type="http://schemas.openxmlformats.org/officeDocument/2006/relationships/hyperlink" Target="http://henontech.com/fieldsafety/harzard/harzard_show.php?rid=2201&amp;url=harzardrecs.php" TargetMode="External"/><Relationship Id="rId_hyperlink_202" Type="http://schemas.openxmlformats.org/officeDocument/2006/relationships/hyperlink" Target="http://henontech.com/fieldsafety/harzard/harzard_show.php?rid=2202&amp;url=harzardrecs.php" TargetMode="External"/><Relationship Id="rId_hyperlink_203" Type="http://schemas.openxmlformats.org/officeDocument/2006/relationships/hyperlink" Target="http://henontech.com/fieldsafety/harzard/harzard_show.php?rid=2203&amp;url=harzardrecs.php" TargetMode="External"/><Relationship Id="rId_hyperlink_204" Type="http://schemas.openxmlformats.org/officeDocument/2006/relationships/hyperlink" Target="http://henontech.com/fieldsafety/harzard/harzard_show.php?rid=2204&amp;url=harzardrecs.php" TargetMode="External"/><Relationship Id="rId_hyperlink_205" Type="http://schemas.openxmlformats.org/officeDocument/2006/relationships/hyperlink" Target="http://henontech.com/fieldsafety/harzard/harzard_show.php?rid=2205&amp;url=harzardrecs.php" TargetMode="External"/><Relationship Id="rId_hyperlink_206" Type="http://schemas.openxmlformats.org/officeDocument/2006/relationships/hyperlink" Target="http://henontech.com/fieldsafety/harzard/harzard_show.php?rid=2206&amp;url=harzardrecs.php" TargetMode="External"/><Relationship Id="rId_hyperlink_207" Type="http://schemas.openxmlformats.org/officeDocument/2006/relationships/hyperlink" Target="http://henontech.com/fieldsafety/harzard/harzard_show.php?rid=2207&amp;url=harzardrecs.php" TargetMode="External"/><Relationship Id="rId_hyperlink_208" Type="http://schemas.openxmlformats.org/officeDocument/2006/relationships/hyperlink" Target="http://henontech.com/fieldsafety/harzard/harzard_show.php?rid=2208&amp;url=harzardrecs.php" TargetMode="External"/><Relationship Id="rId_hyperlink_209" Type="http://schemas.openxmlformats.org/officeDocument/2006/relationships/hyperlink" Target="http://henontech.com/fieldsafety/harzard/harzard_show.php?rid=2209&amp;url=harzardrecs.php" TargetMode="External"/><Relationship Id="rId_hyperlink_210" Type="http://schemas.openxmlformats.org/officeDocument/2006/relationships/hyperlink" Target="http://henontech.com/fieldsafety/harzard/harzard_show.php?rid=2210&amp;url=harzardrecs.php" TargetMode="External"/><Relationship Id="rId_hyperlink_211" Type="http://schemas.openxmlformats.org/officeDocument/2006/relationships/hyperlink" Target="http://henontech.com/fieldsafety/harzard/harzard_show.php?rid=2211&amp;url=harzardrecs.php" TargetMode="External"/><Relationship Id="rId_hyperlink_212" Type="http://schemas.openxmlformats.org/officeDocument/2006/relationships/hyperlink" Target="http://henontech.com/fieldsafety/harzard/harzard_show.php?rid=2213&amp;url=harzardrecs.php" TargetMode="External"/><Relationship Id="rId_hyperlink_213" Type="http://schemas.openxmlformats.org/officeDocument/2006/relationships/hyperlink" Target="http://henontech.com/fieldsafety/harzard/harzard_show.php?rid=2214&amp;url=harzardrecs.php" TargetMode="External"/><Relationship Id="rId_hyperlink_214" Type="http://schemas.openxmlformats.org/officeDocument/2006/relationships/hyperlink" Target="http://henontech.com/fieldsafety/harzard/harzard_show.php?rid=2215&amp;url=harzardrecs.php" TargetMode="External"/><Relationship Id="rId_hyperlink_215" Type="http://schemas.openxmlformats.org/officeDocument/2006/relationships/hyperlink" Target="http://henontech.com/fieldsafety/harzard/harzard_show.php?rid=2216&amp;url=harzardrecs.php" TargetMode="External"/><Relationship Id="rId_hyperlink_216" Type="http://schemas.openxmlformats.org/officeDocument/2006/relationships/hyperlink" Target="http://henontech.com/fieldsafety/harzard/harzard_show.php?rid=2217&amp;url=harzardrecs.php" TargetMode="External"/><Relationship Id="rId_hyperlink_217" Type="http://schemas.openxmlformats.org/officeDocument/2006/relationships/hyperlink" Target="http://henontech.com/fieldsafety/harzard/harzard_show.php?rid=2218&amp;url=harzardrecs.php" TargetMode="External"/><Relationship Id="rId_hyperlink_218" Type="http://schemas.openxmlformats.org/officeDocument/2006/relationships/hyperlink" Target="http://henontech.com/fieldsafety/harzard/harzard_show.php?rid=2220&amp;url=harzardrecs.php" TargetMode="External"/><Relationship Id="rId_hyperlink_219" Type="http://schemas.openxmlformats.org/officeDocument/2006/relationships/hyperlink" Target="http://henontech.com/fieldsafety/harzard/harzard_show.php?rid=2221&amp;url=harzardrecs.php" TargetMode="External"/><Relationship Id="rId_hyperlink_220" Type="http://schemas.openxmlformats.org/officeDocument/2006/relationships/hyperlink" Target="http://henontech.com/fieldsafety/harzard/harzard_show.php?rid=2222&amp;url=harzardrecs.php" TargetMode="External"/><Relationship Id="rId_hyperlink_221" Type="http://schemas.openxmlformats.org/officeDocument/2006/relationships/hyperlink" Target="http://henontech.com/fieldsafety/harzard/harzard_show.php?rid=2223&amp;url=harzardrecs.php" TargetMode="External"/><Relationship Id="rId_hyperlink_222" Type="http://schemas.openxmlformats.org/officeDocument/2006/relationships/hyperlink" Target="http://henontech.com/fieldsafety/harzard/harzard_show.php?rid=2224&amp;url=harzardrecs.php" TargetMode="External"/><Relationship Id="rId_hyperlink_223" Type="http://schemas.openxmlformats.org/officeDocument/2006/relationships/hyperlink" Target="http://henontech.com/fieldsafety/harzard/harzard_show.php?rid=2224&amp;url=harzardrecs.php" TargetMode="External"/><Relationship Id="rId_hyperlink_224" Type="http://schemas.openxmlformats.org/officeDocument/2006/relationships/hyperlink" Target="http://henontech.com/fieldsafety/harzard/harzard_show.php?rid=2225&amp;url=harzardrecs.php" TargetMode="External"/><Relationship Id="rId_hyperlink_225" Type="http://schemas.openxmlformats.org/officeDocument/2006/relationships/hyperlink" Target="http://henontech.com/fieldsafety/harzard/harzard_show.php?rid=2228&amp;url=harzardrecs.php" TargetMode="External"/><Relationship Id="rId_hyperlink_226" Type="http://schemas.openxmlformats.org/officeDocument/2006/relationships/hyperlink" Target="http://henontech.com/fieldsafety/harzard/harzard_show.php?rid=2229&amp;url=harzardrecs.php" TargetMode="External"/><Relationship Id="rId_hyperlink_227" Type="http://schemas.openxmlformats.org/officeDocument/2006/relationships/hyperlink" Target="http://henontech.com/fieldsafety/harzard/harzard_show.php?rid=2230&amp;url=harzardrecs.php" TargetMode="External"/><Relationship Id="rId_hyperlink_228" Type="http://schemas.openxmlformats.org/officeDocument/2006/relationships/hyperlink" Target="http://henontech.com/fieldsafety/harzard/harzard_show.php?rid=2231&amp;url=harzardrecs.php" TargetMode="External"/><Relationship Id="rId_hyperlink_229" Type="http://schemas.openxmlformats.org/officeDocument/2006/relationships/hyperlink" Target="http://henontech.com/fieldsafety/harzard/harzard_show.php?rid=2232&amp;url=harzardrecs.php" TargetMode="External"/><Relationship Id="rId_hyperlink_230" Type="http://schemas.openxmlformats.org/officeDocument/2006/relationships/hyperlink" Target="http://henontech.com/fieldsafety/harzard/harzard_show.php?rid=2234&amp;url=harzardrecs.php" TargetMode="External"/><Relationship Id="rId_hyperlink_231" Type="http://schemas.openxmlformats.org/officeDocument/2006/relationships/hyperlink" Target="http://henontech.com/fieldsafety/harzard/harzard_show.php?rid=2235&amp;url=harzardrecs.php" TargetMode="External"/><Relationship Id="rId_hyperlink_232" Type="http://schemas.openxmlformats.org/officeDocument/2006/relationships/hyperlink" Target="http://henontech.com/fieldsafety/harzard/harzard_show.php?rid=2236&amp;url=harzardrecs.php" TargetMode="External"/><Relationship Id="rId_hyperlink_233" Type="http://schemas.openxmlformats.org/officeDocument/2006/relationships/hyperlink" Target="http://henontech.com/fieldsafety/harzard/harzard_show.php?rid=2237&amp;url=harzardrecs.php" TargetMode="External"/><Relationship Id="rId_hyperlink_234" Type="http://schemas.openxmlformats.org/officeDocument/2006/relationships/hyperlink" Target="http://henontech.com/fieldsafety/harzard/harzard_show.php?rid=2238&amp;url=harzardrecs.php" TargetMode="External"/><Relationship Id="rId_hyperlink_235" Type="http://schemas.openxmlformats.org/officeDocument/2006/relationships/hyperlink" Target="http://henontech.com/fieldsafety/harzard/harzard_show.php?rid=2239&amp;url=harzardrecs.php" TargetMode="External"/><Relationship Id="rId_hyperlink_236" Type="http://schemas.openxmlformats.org/officeDocument/2006/relationships/hyperlink" Target="http://henontech.com/fieldsafety/harzard/harzard_show.php?rid=2240&amp;url=harzardrecs.php" TargetMode="External"/><Relationship Id="rId_hyperlink_237" Type="http://schemas.openxmlformats.org/officeDocument/2006/relationships/hyperlink" Target="http://henontech.com/fieldsafety/harzard/harzard_show.php?rid=2241&amp;url=harzardrecs.php" TargetMode="External"/><Relationship Id="rId_hyperlink_238" Type="http://schemas.openxmlformats.org/officeDocument/2006/relationships/hyperlink" Target="http://henontech.com/fieldsafety/harzard/harzard_show.php?rid=2242&amp;url=harzardrecs.php" TargetMode="External"/><Relationship Id="rId_hyperlink_239" Type="http://schemas.openxmlformats.org/officeDocument/2006/relationships/hyperlink" Target="http://henontech.com/fieldsafety/harzard/harzard_show.php?rid=2243&amp;url=harzardrecs.php" TargetMode="External"/><Relationship Id="rId_hyperlink_240" Type="http://schemas.openxmlformats.org/officeDocument/2006/relationships/hyperlink" Target="http://henontech.com/fieldsafety/harzard/harzard_show.php?rid=2244&amp;url=harzardrecs.php" TargetMode="External"/><Relationship Id="rId_hyperlink_241" Type="http://schemas.openxmlformats.org/officeDocument/2006/relationships/hyperlink" Target="http://henontech.com/fieldsafety/harzard/harzard_show.php?rid=2245&amp;url=harzardrecs.php" TargetMode="External"/><Relationship Id="rId_hyperlink_242" Type="http://schemas.openxmlformats.org/officeDocument/2006/relationships/hyperlink" Target="http://henontech.com/fieldsafety/harzard/harzard_show.php?rid=2246&amp;url=harzardrecs.php" TargetMode="External"/><Relationship Id="rId_hyperlink_243" Type="http://schemas.openxmlformats.org/officeDocument/2006/relationships/hyperlink" Target="http://henontech.com/fieldsafety/harzard/harzard_show.php?rid=2247&amp;url=harzardrecs.php" TargetMode="External"/><Relationship Id="rId_hyperlink_244" Type="http://schemas.openxmlformats.org/officeDocument/2006/relationships/hyperlink" Target="http://henontech.com/fieldsafety/harzard/harzard_show.php?rid=2248&amp;url=harzardrecs.php" TargetMode="External"/><Relationship Id="rId_hyperlink_245" Type="http://schemas.openxmlformats.org/officeDocument/2006/relationships/hyperlink" Target="http://henontech.com/fieldsafety/harzard/harzard_show.php?rid=2253&amp;url=harzardrecs.php" TargetMode="External"/><Relationship Id="rId_hyperlink_246" Type="http://schemas.openxmlformats.org/officeDocument/2006/relationships/hyperlink" Target="http://henontech.com/fieldsafety/harzard/harzard_show.php?rid=2254&amp;url=harzardrecs.php" TargetMode="External"/><Relationship Id="rId_hyperlink_247" Type="http://schemas.openxmlformats.org/officeDocument/2006/relationships/hyperlink" Target="http://henontech.com/fieldsafety/harzard/harzard_show.php?rid=2258&amp;url=harzardrecs.php" TargetMode="External"/><Relationship Id="rId_hyperlink_248" Type="http://schemas.openxmlformats.org/officeDocument/2006/relationships/hyperlink" Target="http://henontech.com/fieldsafety/harzard/harzard_show.php?rid=2260&amp;url=harzardrecs.php" TargetMode="External"/><Relationship Id="rId_hyperlink_249" Type="http://schemas.openxmlformats.org/officeDocument/2006/relationships/hyperlink" Target="http://henontech.com/fieldsafety/harzard/harzard_show.php?rid=2262&amp;url=harzardrecs.php" TargetMode="External"/><Relationship Id="rId_hyperlink_250" Type="http://schemas.openxmlformats.org/officeDocument/2006/relationships/hyperlink" Target="http://henontech.com/fieldsafety/harzard/harzard_show.php?rid=2264&amp;url=harzardrecs.php" TargetMode="External"/><Relationship Id="rId_hyperlink_251" Type="http://schemas.openxmlformats.org/officeDocument/2006/relationships/hyperlink" Target="http://henontech.com/fieldsafety/harzard/harzard_show.php?rid=2265&amp;url=harzardrecs.php" TargetMode="External"/><Relationship Id="rId_hyperlink_252" Type="http://schemas.openxmlformats.org/officeDocument/2006/relationships/hyperlink" Target="http://henontech.com/fieldsafety/harzard/harzard_show.php?rid=2269&amp;url=harzardrecs.php" TargetMode="External"/><Relationship Id="rId_hyperlink_253" Type="http://schemas.openxmlformats.org/officeDocument/2006/relationships/hyperlink" Target="http://henontech.com/fieldsafety/harzard/harzard_show.php?rid=2270&amp;url=harzardrecs.php" TargetMode="External"/><Relationship Id="rId_hyperlink_254" Type="http://schemas.openxmlformats.org/officeDocument/2006/relationships/hyperlink" Target="http://henontech.com/fieldsafety/harzard/harzard_show.php?rid=2272&amp;url=harzardrecs.php" TargetMode="External"/><Relationship Id="rId_hyperlink_255" Type="http://schemas.openxmlformats.org/officeDocument/2006/relationships/hyperlink" Target="http://henontech.com/fieldsafety/harzard/harzard_show.php?rid=2275&amp;url=harzardrecs.php" TargetMode="External"/><Relationship Id="rId_hyperlink_256" Type="http://schemas.openxmlformats.org/officeDocument/2006/relationships/hyperlink" Target="http://henontech.com/fieldsafety/harzard/harzard_show.php?rid=2280&amp;url=harzardrecs.php" TargetMode="External"/><Relationship Id="rId_hyperlink_257" Type="http://schemas.openxmlformats.org/officeDocument/2006/relationships/hyperlink" Target="http://henontech.com/fieldsafety/harzard/harzard_show.php?rid=2281&amp;url=harzardrecs.php" TargetMode="External"/><Relationship Id="rId_hyperlink_258" Type="http://schemas.openxmlformats.org/officeDocument/2006/relationships/hyperlink" Target="http://henontech.com/fieldsafety/harzard/harzard_show.php?rid=2283&amp;url=harzardrecs.php" TargetMode="External"/><Relationship Id="rId_hyperlink_259" Type="http://schemas.openxmlformats.org/officeDocument/2006/relationships/hyperlink" Target="http://henontech.com/fieldsafety/harzard/harzard_show.php?rid=2284&amp;url=harzardrecs.php" TargetMode="External"/><Relationship Id="rId_hyperlink_260" Type="http://schemas.openxmlformats.org/officeDocument/2006/relationships/hyperlink" Target="http://henontech.com/fieldsafety/harzard/harzard_show.php?rid=2285&amp;url=harzardrecs.php" TargetMode="External"/><Relationship Id="rId_hyperlink_261" Type="http://schemas.openxmlformats.org/officeDocument/2006/relationships/hyperlink" Target="http://henontech.com/fieldsafety/harzard/harzard_show.php?rid=2287&amp;url=harzardrecs.php" TargetMode="External"/><Relationship Id="rId_hyperlink_262" Type="http://schemas.openxmlformats.org/officeDocument/2006/relationships/hyperlink" Target="http://henontech.com/fieldsafety/harzard/harzard_show.php?rid=2288&amp;url=harzardrecs.php" TargetMode="External"/><Relationship Id="rId_hyperlink_263" Type="http://schemas.openxmlformats.org/officeDocument/2006/relationships/hyperlink" Target="http://henontech.com/fieldsafety/harzard/harzard_show.php?rid=2289&amp;url=harzardrecs.php" TargetMode="External"/><Relationship Id="rId_hyperlink_264" Type="http://schemas.openxmlformats.org/officeDocument/2006/relationships/hyperlink" Target="http://henontech.com/fieldsafety/harzard/harzard_show.php?rid=2291&amp;url=harzardrecs.php" TargetMode="External"/><Relationship Id="rId_hyperlink_265" Type="http://schemas.openxmlformats.org/officeDocument/2006/relationships/hyperlink" Target="http://henontech.com/fieldsafety/harzard/harzard_show.php?rid=2293&amp;url=harzardrecs.php" TargetMode="External"/><Relationship Id="rId_hyperlink_266" Type="http://schemas.openxmlformats.org/officeDocument/2006/relationships/hyperlink" Target="http://henontech.com/fieldsafety/harzard/harzard_show.php?rid=2303&amp;url=harzardrecs.php" TargetMode="External"/><Relationship Id="rId_hyperlink_267" Type="http://schemas.openxmlformats.org/officeDocument/2006/relationships/hyperlink" Target="http://henontech.com/fieldsafety/harzard/harzard_show.php?rid=2311&amp;url=harzardrecs.php" TargetMode="External"/><Relationship Id="rId_hyperlink_268" Type="http://schemas.openxmlformats.org/officeDocument/2006/relationships/hyperlink" Target="http://henontech.com/fieldsafety/harzard/harzard_show.php?rid=2312&amp;url=harzardrecs.php" TargetMode="External"/><Relationship Id="rId_hyperlink_269" Type="http://schemas.openxmlformats.org/officeDocument/2006/relationships/hyperlink" Target="http://henontech.com/fieldsafety/harzard/harzard_show.php?rid=2314&amp;url=harzardrecs.php" TargetMode="External"/><Relationship Id="rId_hyperlink_270" Type="http://schemas.openxmlformats.org/officeDocument/2006/relationships/hyperlink" Target="http://henontech.com/fieldsafety/harzard/harzard_show.php?rid=2315&amp;url=harzardrecs.php" TargetMode="External"/><Relationship Id="rId_hyperlink_271" Type="http://schemas.openxmlformats.org/officeDocument/2006/relationships/hyperlink" Target="http://henontech.com/fieldsafety/harzard/harzard_show.php?rid=2316&amp;url=harzardrecs.php" TargetMode="External"/><Relationship Id="rId_hyperlink_272" Type="http://schemas.openxmlformats.org/officeDocument/2006/relationships/hyperlink" Target="http://henontech.com/fieldsafety/harzard/harzard_show.php?rid=2317&amp;url=harzardrecs.php" TargetMode="External"/><Relationship Id="rId_hyperlink_273" Type="http://schemas.openxmlformats.org/officeDocument/2006/relationships/hyperlink" Target="http://henontech.com/fieldsafety/harzard/harzard_show.php?rid=2318&amp;url=harzardrecs.php" TargetMode="External"/><Relationship Id="rId_hyperlink_274" Type="http://schemas.openxmlformats.org/officeDocument/2006/relationships/hyperlink" Target="http://henontech.com/fieldsafety/harzard/harzard_show.php?rid=2330&amp;url=harzardrecs.php" TargetMode="External"/><Relationship Id="rId_hyperlink_275" Type="http://schemas.openxmlformats.org/officeDocument/2006/relationships/hyperlink" Target="http://henontech.com/fieldsafety/harzard/harzard_show.php?rid=3155&amp;url=harzardrecs.php" TargetMode="External"/><Relationship Id="rId_hyperlink_276" Type="http://schemas.openxmlformats.org/officeDocument/2006/relationships/hyperlink" Target="http://henontech.com/fieldsafety/harzard/harzard_show.php?rid=3267&amp;url=harzardrecs.php" TargetMode="External"/><Relationship Id="rId_hyperlink_277" Type="http://schemas.openxmlformats.org/officeDocument/2006/relationships/hyperlink" Target="http://henontech.com/fieldsafety/harzard/harzard_show.php?rid=3431&amp;url=harzardrecs.php" TargetMode="External"/><Relationship Id="rId_hyperlink_278" Type="http://schemas.openxmlformats.org/officeDocument/2006/relationships/hyperlink" Target="http://henontech.com/fieldsafety/harzard/harzard_show.php?rid=3641&amp;url=harzardrecs.php" TargetMode="External"/><Relationship Id="rId_hyperlink_279" Type="http://schemas.openxmlformats.org/officeDocument/2006/relationships/hyperlink" Target="http://henontech.com/fieldsafety/harzard/harzard_show.php?rid=4190&amp;url=harzardrecs.php" TargetMode="External"/><Relationship Id="rId_hyperlink_280" Type="http://schemas.openxmlformats.org/officeDocument/2006/relationships/hyperlink" Target="http://henontech.com/fieldsafety/harzard/harzard_show.php?rid=4284&amp;url=harzardrecs.php" TargetMode="External"/><Relationship Id="rId_hyperlink_281" Type="http://schemas.openxmlformats.org/officeDocument/2006/relationships/hyperlink" Target="http://henontech.com/fieldsafety/harzard/harzard_show.php?rid=4785&amp;url=harzardrecs.php" TargetMode="External"/><Relationship Id="rId_hyperlink_282" Type="http://schemas.openxmlformats.org/officeDocument/2006/relationships/hyperlink" Target="http://henontech.com/fieldsafety/harzard/harzard_show.php?rid=4875&amp;url=harzardrecs.php" TargetMode="External"/><Relationship Id="rId_hyperlink_283" Type="http://schemas.openxmlformats.org/officeDocument/2006/relationships/hyperlink" Target="http://henontech.com/fieldsafety/harzard/harzard_show.php?rid=5668&amp;url=harzardrecs.php" TargetMode="External"/><Relationship Id="rId_hyperlink_284" Type="http://schemas.openxmlformats.org/officeDocument/2006/relationships/hyperlink" Target="http://henontech.com/fieldsafety/harzard/harzard_show.php?rid=5736&amp;url=harzardrecs.php" TargetMode="External"/><Relationship Id="rId_hyperlink_285" Type="http://schemas.openxmlformats.org/officeDocument/2006/relationships/hyperlink" Target="http://henontech.com/fieldsafety/harzard/harzard_show.php?rid=5950&amp;url=harzardrecs.php" TargetMode="External"/><Relationship Id="rId_hyperlink_286" Type="http://schemas.openxmlformats.org/officeDocument/2006/relationships/hyperlink" Target="http://henontech.com/fieldsafety/harzard/harzard_show.php?rid=6325&amp;url=harzardrecs.php" TargetMode="External"/><Relationship Id="rId_hyperlink_287" Type="http://schemas.openxmlformats.org/officeDocument/2006/relationships/hyperlink" Target="http://henontech.com/fieldsafety/harzard/harzard_show.php?rid=6523&amp;url=harzardrecs.php" TargetMode="External"/><Relationship Id="rId_hyperlink_288" Type="http://schemas.openxmlformats.org/officeDocument/2006/relationships/hyperlink" Target="http://henontech.com/fieldsafety/harzard/harzard_show.php?rid=11309&amp;url=harzardrecs.php" TargetMode="External"/><Relationship Id="rId_hyperlink_289" Type="http://schemas.openxmlformats.org/officeDocument/2006/relationships/hyperlink" Target="http://henontech.com/fieldsafety/harzard/harzard_show.php?rid=11378&amp;url=harzardrecs.php" TargetMode="External"/><Relationship Id="rId_hyperlink_290" Type="http://schemas.openxmlformats.org/officeDocument/2006/relationships/hyperlink" Target="http://henontech.com/fieldsafety/harzard/harzard_show.php?rid=11408&amp;url=harzardrecs.php" TargetMode="External"/><Relationship Id="rId_hyperlink_291" Type="http://schemas.openxmlformats.org/officeDocument/2006/relationships/hyperlink" Target="http://henontech.com/fieldsafety/harzard/harzard_show.php?rid=11581&amp;url=harzardrecs.php" TargetMode="External"/><Relationship Id="rId_hyperlink_292" Type="http://schemas.openxmlformats.org/officeDocument/2006/relationships/hyperlink" Target="http://henontech.com/fieldsafety/harzard/harzard_show.php?rid=12110&amp;url=harzardrecs.php" TargetMode="External"/><Relationship Id="rId_hyperlink_293" Type="http://schemas.openxmlformats.org/officeDocument/2006/relationships/hyperlink" Target="http://henontech.com/fieldsafety/harzard/harzard_show.php?rid=12404&amp;url=harzardrecs.php" TargetMode="External"/><Relationship Id="rId_hyperlink_294" Type="http://schemas.openxmlformats.org/officeDocument/2006/relationships/hyperlink" Target="http://henontech.com/fieldsafety/harzard/harzard_show.php?rid=15197&amp;url=harzardrecs.php" TargetMode="External"/><Relationship Id="rId_hyperlink_295" Type="http://schemas.openxmlformats.org/officeDocument/2006/relationships/hyperlink" Target="http://henontech.com/fieldsafety/harzard/harzard_show.php?rid=15352&amp;url=harzardrecs.php" TargetMode="External"/><Relationship Id="rId_hyperlink_296" Type="http://schemas.openxmlformats.org/officeDocument/2006/relationships/hyperlink" Target="http://henontech.com/fieldsafety/harzard/harzard_show.php?rid=15665&amp;url=harzardrecs.php" TargetMode="External"/><Relationship Id="rId_hyperlink_297" Type="http://schemas.openxmlformats.org/officeDocument/2006/relationships/hyperlink" Target="http://henontech.com/fieldsafety/harzard/harzard_show.php?rid=15726&amp;url=harzardrecs.php" TargetMode="External"/><Relationship Id="rId_hyperlink_298" Type="http://schemas.openxmlformats.org/officeDocument/2006/relationships/hyperlink" Target="http://henontech.com/fieldsafety/harzard/harzard_show.php?rid=16014&amp;url=harzardrecs.php" TargetMode="External"/><Relationship Id="rId_hyperlink_299" Type="http://schemas.openxmlformats.org/officeDocument/2006/relationships/hyperlink" Target="http://henontech.com/fieldsafety/harzard/harzard_show.php?rid=16242&amp;url=harzardrecs.php" TargetMode="External"/><Relationship Id="rId_hyperlink_300" Type="http://schemas.openxmlformats.org/officeDocument/2006/relationships/hyperlink" Target="http://henontech.com/fieldsafety/harzard/harzard_show.php?rid=16808&amp;url=harzardrecs.php" TargetMode="External"/><Relationship Id="rId_hyperlink_301" Type="http://schemas.openxmlformats.org/officeDocument/2006/relationships/hyperlink" Target="http://henontech.com/fieldsafety/harzard/harzard_show.php?rid=16813&amp;url=harzardrecs.php" TargetMode="External"/><Relationship Id="rId_hyperlink_302" Type="http://schemas.openxmlformats.org/officeDocument/2006/relationships/hyperlink" Target="http://henontech.com/fieldsafety/harzard/harzard_show.php?rid=16873&amp;url=harzardrecs.php" TargetMode="External"/><Relationship Id="rId_hyperlink_303" Type="http://schemas.openxmlformats.org/officeDocument/2006/relationships/hyperlink" Target="http://henontech.com/fieldsafety/harzard/harzard_show.php?rid=16876&amp;url=harzardrecs.php" TargetMode="External"/><Relationship Id="rId_hyperlink_304" Type="http://schemas.openxmlformats.org/officeDocument/2006/relationships/hyperlink" Target="http://henontech.com/fieldsafety/harzard/harzard_show.php?rid=16893&amp;url=harzardrecs.php" TargetMode="External"/><Relationship Id="rId_hyperlink_305" Type="http://schemas.openxmlformats.org/officeDocument/2006/relationships/hyperlink" Target="http://henontech.com/fieldsafety/harzard/harzard_show.php?rid=16899&amp;url=harzardrecs.php" TargetMode="External"/><Relationship Id="rId_hyperlink_306" Type="http://schemas.openxmlformats.org/officeDocument/2006/relationships/hyperlink" Target="http://henontech.com/fieldsafety/harzard/harzard_show.php?rid=17030&amp;url=harzardrecs.php" TargetMode="External"/><Relationship Id="rId_hyperlink_307" Type="http://schemas.openxmlformats.org/officeDocument/2006/relationships/hyperlink" Target="http://henontech.com/fieldsafety/harzard/harzard_show.php?rid=17340&amp;url=harzardrecs.php" TargetMode="External"/><Relationship Id="rId_hyperlink_308" Type="http://schemas.openxmlformats.org/officeDocument/2006/relationships/hyperlink" Target="http://henontech.com/fieldsafety/harzard/harzard_show.php?rid=17374&amp;url=harzardrecs.php" TargetMode="External"/><Relationship Id="rId_hyperlink_309" Type="http://schemas.openxmlformats.org/officeDocument/2006/relationships/hyperlink" Target="http://henontech.com/fieldsafety/harzard/harzard_show.php?rid=17517&amp;url=harzardrecs.php" TargetMode="External"/><Relationship Id="rId_hyperlink_310" Type="http://schemas.openxmlformats.org/officeDocument/2006/relationships/hyperlink" Target="http://henontech.com/fieldsafety/harzard/harzard_show.php?rid=17661&amp;url=harzardrecs.php" TargetMode="External"/><Relationship Id="rId_hyperlink_311" Type="http://schemas.openxmlformats.org/officeDocument/2006/relationships/hyperlink" Target="http://henontech.com/fieldsafety/harzard/harzard_show.php?rid=17716&amp;url=harzardrecs.php" TargetMode="External"/><Relationship Id="rId_hyperlink_312" Type="http://schemas.openxmlformats.org/officeDocument/2006/relationships/hyperlink" Target="http://henontech.com/fieldsafety/harzard/harzard_show.php?rid=17787&amp;url=harzardrecs.php" TargetMode="External"/><Relationship Id="rId_hyperlink_313" Type="http://schemas.openxmlformats.org/officeDocument/2006/relationships/hyperlink" Target="http://henontech.com/fieldsafety/harzard/harzard_show.php?rid=17995&amp;url=harzardrecs.php" TargetMode="External"/><Relationship Id="rId_hyperlink_314" Type="http://schemas.openxmlformats.org/officeDocument/2006/relationships/hyperlink" Target="http://henontech.com/fieldsafety/harzard/harzard_show.php?rid=18041&amp;url=harzardrecs.php" TargetMode="External"/><Relationship Id="rId_hyperlink_315" Type="http://schemas.openxmlformats.org/officeDocument/2006/relationships/hyperlink" Target="http://henontech.com/fieldsafety/harzard/harzard_show.php?rid=18071&amp;url=harzardrecs.php" TargetMode="External"/><Relationship Id="rId_hyperlink_316" Type="http://schemas.openxmlformats.org/officeDocument/2006/relationships/hyperlink" Target="http://henontech.com/fieldsafety/harzard/harzard_show.php?rid=18091&amp;url=harzardrecs.php" TargetMode="External"/><Relationship Id="rId_hyperlink_317" Type="http://schemas.openxmlformats.org/officeDocument/2006/relationships/hyperlink" Target="http://henontech.com/fieldsafety/harzard/harzard_show.php?rid=18105&amp;url=harzardrecs.php" TargetMode="External"/><Relationship Id="rId_hyperlink_318" Type="http://schemas.openxmlformats.org/officeDocument/2006/relationships/hyperlink" Target="http://henontech.com/fieldsafety/harzard/harzard_show.php?rid=18152&amp;url=harzardrecs.php" TargetMode="External"/><Relationship Id="rId_hyperlink_319" Type="http://schemas.openxmlformats.org/officeDocument/2006/relationships/hyperlink" Target="http://henontech.com/fieldsafety/harzard/harzard_show.php?rid=18162&amp;url=harzardrecs.php" TargetMode="External"/><Relationship Id="rId_hyperlink_320" Type="http://schemas.openxmlformats.org/officeDocument/2006/relationships/hyperlink" Target="http://henontech.com/fieldsafety/harzard/harzard_show.php?rid=18204&amp;url=harzardrecs.php" TargetMode="External"/><Relationship Id="rId_hyperlink_321" Type="http://schemas.openxmlformats.org/officeDocument/2006/relationships/hyperlink" Target="http://henontech.com/fieldsafety/harzard/harzard_show.php?rid=18380&amp;url=harzardrecs.php" TargetMode="External"/><Relationship Id="rId_hyperlink_322" Type="http://schemas.openxmlformats.org/officeDocument/2006/relationships/hyperlink" Target="http://henontech.com/fieldsafety/harzard/harzard_show.php?rid=18422&amp;url=harzardrecs.php" TargetMode="External"/><Relationship Id="rId_hyperlink_323" Type="http://schemas.openxmlformats.org/officeDocument/2006/relationships/hyperlink" Target="http://henontech.com/fieldsafety/harzard/harzard_show.php?rid=18491&amp;url=harzardrecs.php" TargetMode="External"/><Relationship Id="rId_hyperlink_324" Type="http://schemas.openxmlformats.org/officeDocument/2006/relationships/hyperlink" Target="http://henontech.com/fieldsafety/harzard/harzard_show.php?rid=18773&amp;url=harzardrecs.php" TargetMode="External"/><Relationship Id="rId_hyperlink_325" Type="http://schemas.openxmlformats.org/officeDocument/2006/relationships/hyperlink" Target="http://henontech.com/fieldsafety/harzard/harzard_show.php?rid=18856&amp;url=harzardrecs.php" TargetMode="External"/><Relationship Id="rId_hyperlink_326" Type="http://schemas.openxmlformats.org/officeDocument/2006/relationships/hyperlink" Target="http://henontech.com/fieldsafety/harzard/harzard_show.php?rid=18858&amp;url=harzardrecs.php" TargetMode="External"/><Relationship Id="rId_hyperlink_327" Type="http://schemas.openxmlformats.org/officeDocument/2006/relationships/hyperlink" Target="http://henontech.com/fieldsafety/harzard/harzard_show.php?rid=18860&amp;url=harzardrecs.php" TargetMode="External"/><Relationship Id="rId_hyperlink_328" Type="http://schemas.openxmlformats.org/officeDocument/2006/relationships/hyperlink" Target="http://henontech.com/fieldsafety/harzard/harzard_show.php?rid=18861&amp;url=harzardrecs.php" TargetMode="External"/><Relationship Id="rId_hyperlink_329" Type="http://schemas.openxmlformats.org/officeDocument/2006/relationships/hyperlink" Target="http://henontech.com/fieldsafety/harzard/harzard_show.php?rid=18862&amp;url=harzardrecs.php" TargetMode="External"/><Relationship Id="rId_hyperlink_330" Type="http://schemas.openxmlformats.org/officeDocument/2006/relationships/hyperlink" Target="http://henontech.com/fieldsafety/harzard/harzard_show.php?rid=18881&amp;url=harzardrecs.php" TargetMode="External"/><Relationship Id="rId_hyperlink_331" Type="http://schemas.openxmlformats.org/officeDocument/2006/relationships/hyperlink" Target="http://henontech.com/fieldsafety/harzard/harzard_show.php?rid=18922&amp;url=harzardrecs.php" TargetMode="External"/><Relationship Id="rId_hyperlink_332" Type="http://schemas.openxmlformats.org/officeDocument/2006/relationships/hyperlink" Target="http://henontech.com/fieldsafety/harzard/harzard_show.php?rid=18988&amp;url=harzardrecs.php" TargetMode="External"/><Relationship Id="rId_hyperlink_333" Type="http://schemas.openxmlformats.org/officeDocument/2006/relationships/hyperlink" Target="http://henontech.com/fieldsafety/harzard/harzard_show.php?rid=19069&amp;url=harzardrecs.php" TargetMode="External"/><Relationship Id="rId_hyperlink_334" Type="http://schemas.openxmlformats.org/officeDocument/2006/relationships/hyperlink" Target="http://henontech.com/fieldsafety/harzard/harzard_show.php?rid=19530&amp;url=harzardrecs.php" TargetMode="External"/><Relationship Id="rId_hyperlink_335" Type="http://schemas.openxmlformats.org/officeDocument/2006/relationships/hyperlink" Target="http://henontech.com/fieldsafety/harzard/harzard_show.php?rid=19716&amp;url=harzardrecs.php" TargetMode="External"/><Relationship Id="rId_hyperlink_336" Type="http://schemas.openxmlformats.org/officeDocument/2006/relationships/hyperlink" Target="http://henontech.com/fieldsafety/harzard/harzard_show.php?rid=20241&amp;url=harzardrecs.php" TargetMode="External"/><Relationship Id="rId_hyperlink_337" Type="http://schemas.openxmlformats.org/officeDocument/2006/relationships/hyperlink" Target="http://henontech.com/fieldsafety/harzard/harzard_show.php?rid=20423&amp;url=harzardrecs.php" TargetMode="External"/><Relationship Id="rId_hyperlink_338" Type="http://schemas.openxmlformats.org/officeDocument/2006/relationships/hyperlink" Target="http://henontech.com/fieldsafety/harzard/harzard_show.php?rid=20660&amp;url=harzardrecs.php" TargetMode="External"/><Relationship Id="rId_hyperlink_339" Type="http://schemas.openxmlformats.org/officeDocument/2006/relationships/hyperlink" Target="http://henontech.com/fieldsafety/harzard/harzard_show.php?rid=20666&amp;url=harzardrecs.php" TargetMode="External"/><Relationship Id="rId_hyperlink_340" Type="http://schemas.openxmlformats.org/officeDocument/2006/relationships/hyperlink" Target="http://henontech.com/fieldsafety/harzard/harzard_show.php?rid=20688&amp;url=harzardrecs.php" TargetMode="External"/><Relationship Id="rId_hyperlink_341" Type="http://schemas.openxmlformats.org/officeDocument/2006/relationships/hyperlink" Target="http://henontech.com/fieldsafety/harzard/harzard_show.php?rid=20699&amp;url=harzardrecs.php" TargetMode="External"/><Relationship Id="rId_hyperlink_342" Type="http://schemas.openxmlformats.org/officeDocument/2006/relationships/hyperlink" Target="http://henontech.com/fieldsafety/harzard/harzard_show.php?rid=20947&amp;url=harzardrecs.php" TargetMode="External"/><Relationship Id="rId_hyperlink_343" Type="http://schemas.openxmlformats.org/officeDocument/2006/relationships/hyperlink" Target="http://henontech.com/fieldsafety/harzard/harzard_show.php?rid=20980&amp;url=harzardrecs.php" TargetMode="External"/><Relationship Id="rId_hyperlink_344" Type="http://schemas.openxmlformats.org/officeDocument/2006/relationships/hyperlink" Target="http://henontech.com/fieldsafety/harzard/harzard_show.php?rid=21035&amp;url=harzardrecs.php" TargetMode="External"/><Relationship Id="rId_hyperlink_345" Type="http://schemas.openxmlformats.org/officeDocument/2006/relationships/hyperlink" Target="http://henontech.com/fieldsafety/harzard/harzard_show.php?rid=21036&amp;url=harzardrecs.php" TargetMode="External"/><Relationship Id="rId_hyperlink_346" Type="http://schemas.openxmlformats.org/officeDocument/2006/relationships/hyperlink" Target="http://henontech.com/fieldsafety/harzard/harzard_show.php?rid=21042&amp;url=harzardrecs.php" TargetMode="External"/><Relationship Id="rId_hyperlink_347" Type="http://schemas.openxmlformats.org/officeDocument/2006/relationships/hyperlink" Target="http://henontech.com/fieldsafety/harzard/harzard_show.php?rid=21056&amp;url=harzardrecs.php" TargetMode="External"/><Relationship Id="rId_hyperlink_348" Type="http://schemas.openxmlformats.org/officeDocument/2006/relationships/hyperlink" Target="http://henontech.com/fieldsafety/harzard/harzard_show.php?rid=21059&amp;url=harzardrecs.php" TargetMode="External"/><Relationship Id="rId_hyperlink_349" Type="http://schemas.openxmlformats.org/officeDocument/2006/relationships/hyperlink" Target="http://henontech.com/fieldsafety/harzard/harzard_show.php?rid=21167&amp;url=harzardrecs.php" TargetMode="External"/><Relationship Id="rId_hyperlink_350" Type="http://schemas.openxmlformats.org/officeDocument/2006/relationships/hyperlink" Target="http://henontech.com/fieldsafety/harzard/harzard_show.php?rid=21168&amp;url=harzardrecs.php" TargetMode="External"/><Relationship Id="rId_hyperlink_351" Type="http://schemas.openxmlformats.org/officeDocument/2006/relationships/hyperlink" Target="http://henontech.com/fieldsafety/harzard/harzard_show.php?rid=21169&amp;url=harzardrecs.php" TargetMode="External"/><Relationship Id="rId_hyperlink_352" Type="http://schemas.openxmlformats.org/officeDocument/2006/relationships/hyperlink" Target="http://henontech.com/fieldsafety/harzard/harzard_show.php?rid=21186&amp;url=harzardrecs.php" TargetMode="External"/><Relationship Id="rId_hyperlink_353" Type="http://schemas.openxmlformats.org/officeDocument/2006/relationships/hyperlink" Target="http://henontech.com/fieldsafety/harzard/harzard_show.php?rid=21509&amp;url=harzardrecs.php" TargetMode="External"/><Relationship Id="rId_hyperlink_354" Type="http://schemas.openxmlformats.org/officeDocument/2006/relationships/hyperlink" Target="http://henontech.com/fieldsafety/harzard/harzard_show.php?rid=21582&amp;url=harzardrecs.php" TargetMode="External"/><Relationship Id="rId_hyperlink_355" Type="http://schemas.openxmlformats.org/officeDocument/2006/relationships/hyperlink" Target="http://henontech.com/fieldsafety/harzard/harzard_show.php?rid=21636&amp;url=harzardrecs.php" TargetMode="External"/><Relationship Id="rId_hyperlink_356" Type="http://schemas.openxmlformats.org/officeDocument/2006/relationships/hyperlink" Target="http://henontech.com/fieldsafety/harzard/harzard_show.php?rid=21733&amp;url=harzardrecs.php" TargetMode="External"/><Relationship Id="rId_hyperlink_357" Type="http://schemas.openxmlformats.org/officeDocument/2006/relationships/hyperlink" Target="http://henontech.com/fieldsafety/harzard/harzard_show.php?rid=21766&amp;url=harzardrecs.php" TargetMode="External"/><Relationship Id="rId_hyperlink_358" Type="http://schemas.openxmlformats.org/officeDocument/2006/relationships/hyperlink" Target="http://henontech.com/fieldsafety/harzard/harzard_show.php?rid=21789&amp;url=harzardrecs.php" TargetMode="External"/><Relationship Id="rId_hyperlink_359" Type="http://schemas.openxmlformats.org/officeDocument/2006/relationships/hyperlink" Target="http://henontech.com/fieldsafety/harzard/harzard_show.php?rid=21966&amp;url=harzardrecs.php" TargetMode="External"/><Relationship Id="rId_hyperlink_360" Type="http://schemas.openxmlformats.org/officeDocument/2006/relationships/hyperlink" Target="http://henontech.com/fieldsafety/harzard/harzard_show.php?rid=22007&amp;url=harzardrecs.php" TargetMode="External"/><Relationship Id="rId_hyperlink_361" Type="http://schemas.openxmlformats.org/officeDocument/2006/relationships/hyperlink" Target="http://henontech.com/fieldsafety/harzard/harzard_show.php?rid=22018&amp;url=harzardrecs.php" TargetMode="External"/><Relationship Id="rId_hyperlink_362" Type="http://schemas.openxmlformats.org/officeDocument/2006/relationships/hyperlink" Target="http://henontech.com/fieldsafety/harzard/harzard_show.php?rid=22019&amp;url=harzardrecs.php" TargetMode="External"/><Relationship Id="rId_hyperlink_363" Type="http://schemas.openxmlformats.org/officeDocument/2006/relationships/hyperlink" Target="http://henontech.com/fieldsafety/harzard/harzard_show.php?rid=22165&amp;url=harzardrecs.php" TargetMode="External"/><Relationship Id="rId_hyperlink_364" Type="http://schemas.openxmlformats.org/officeDocument/2006/relationships/hyperlink" Target="http://henontech.com/fieldsafety/harzard/harzard_show.php?rid=22230&amp;url=harzardrecs.php" TargetMode="External"/><Relationship Id="rId_hyperlink_365" Type="http://schemas.openxmlformats.org/officeDocument/2006/relationships/hyperlink" Target="http://henontech.com/fieldsafety/harzard/harzard_show.php?rid=22381&amp;url=harzardrecs.php" TargetMode="External"/><Relationship Id="rId_hyperlink_366" Type="http://schemas.openxmlformats.org/officeDocument/2006/relationships/hyperlink" Target="http://henontech.com/fieldsafety/harzard/harzard_show.php?rid=22538&amp;url=harzardrecs.php" TargetMode="External"/><Relationship Id="rId_hyperlink_367" Type="http://schemas.openxmlformats.org/officeDocument/2006/relationships/hyperlink" Target="http://henontech.com/fieldsafety/harzard/harzard_show.php?rid=22540&amp;url=harzardrecs.php" TargetMode="External"/><Relationship Id="rId_hyperlink_368" Type="http://schemas.openxmlformats.org/officeDocument/2006/relationships/hyperlink" Target="http://henontech.com/fieldsafety/harzard/harzard_show.php?rid=22567&amp;url=harzardrecs.php" TargetMode="External"/><Relationship Id="rId_hyperlink_369" Type="http://schemas.openxmlformats.org/officeDocument/2006/relationships/hyperlink" Target="http://henontech.com/fieldsafety/harzard/harzard_show.php?rid=22585&amp;url=harzardrecs.php" TargetMode="External"/><Relationship Id="rId_hyperlink_370" Type="http://schemas.openxmlformats.org/officeDocument/2006/relationships/hyperlink" Target="http://henontech.com/fieldsafety/harzard/harzard_show.php?rid=22606&amp;url=harzardrecs.php" TargetMode="External"/><Relationship Id="rId_hyperlink_371" Type="http://schemas.openxmlformats.org/officeDocument/2006/relationships/hyperlink" Target="http://henontech.com/fieldsafety/harzard/harzard_show.php?rid=22640&amp;url=harzardrecs.php" TargetMode="External"/><Relationship Id="rId_hyperlink_372" Type="http://schemas.openxmlformats.org/officeDocument/2006/relationships/hyperlink" Target="http://henontech.com/fieldsafety/harzard/harzard_show.php?rid=22684&amp;url=harzardrecs.php" TargetMode="External"/><Relationship Id="rId_hyperlink_373" Type="http://schemas.openxmlformats.org/officeDocument/2006/relationships/hyperlink" Target="http://henontech.com/fieldsafety/harzard/harzard_show.php?rid=22685&amp;url=harzardrecs.php" TargetMode="External"/><Relationship Id="rId_hyperlink_374" Type="http://schemas.openxmlformats.org/officeDocument/2006/relationships/hyperlink" Target="http://henontech.com/fieldsafety/harzard/harzard_show.php?rid=22686&amp;url=harzardrecs.php" TargetMode="External"/><Relationship Id="rId_hyperlink_375" Type="http://schemas.openxmlformats.org/officeDocument/2006/relationships/hyperlink" Target="http://henontech.com/fieldsafety/harzard/harzard_show.php?rid=22693&amp;url=harzardrecs.php" TargetMode="External"/><Relationship Id="rId_hyperlink_376" Type="http://schemas.openxmlformats.org/officeDocument/2006/relationships/hyperlink" Target="http://henontech.com/fieldsafety/harzard/harzard_show.php?rid=22701&amp;url=harzardrecs.php" TargetMode="External"/><Relationship Id="rId_hyperlink_377" Type="http://schemas.openxmlformats.org/officeDocument/2006/relationships/hyperlink" Target="http://henontech.com/fieldsafety/harzard/harzard_show.php?rid=22721&amp;url=harzardrecs.php" TargetMode="External"/><Relationship Id="rId_hyperlink_378" Type="http://schemas.openxmlformats.org/officeDocument/2006/relationships/hyperlink" Target="http://henontech.com/fieldsafety/harzard/harzard_show.php?rid=22747&amp;url=harzardrecs.php" TargetMode="External"/><Relationship Id="rId_hyperlink_379" Type="http://schemas.openxmlformats.org/officeDocument/2006/relationships/hyperlink" Target="http://henontech.com/fieldsafety/harzard/harzard_show.php?rid=22750&amp;url=harzardrecs.php" TargetMode="External"/><Relationship Id="rId_hyperlink_380" Type="http://schemas.openxmlformats.org/officeDocument/2006/relationships/hyperlink" Target="http://henontech.com/fieldsafety/harzard/harzard_show.php?rid=22776&amp;url=harzardrecs.php" TargetMode="External"/><Relationship Id="rId_hyperlink_381" Type="http://schemas.openxmlformats.org/officeDocument/2006/relationships/hyperlink" Target="http://henontech.com/fieldsafety/harzard/harzard_show.php?rid=22781&amp;url=harzardrecs.php" TargetMode="External"/><Relationship Id="rId_hyperlink_382" Type="http://schemas.openxmlformats.org/officeDocument/2006/relationships/hyperlink" Target="http://henontech.com/fieldsafety/harzard/harzard_show.php?rid=22806&amp;url=harzardrecs.php" TargetMode="External"/><Relationship Id="rId_hyperlink_383" Type="http://schemas.openxmlformats.org/officeDocument/2006/relationships/hyperlink" Target="http://henontech.com/fieldsafety/harzard/harzard_show.php?rid=22912&amp;url=harzardrecs.php" TargetMode="External"/><Relationship Id="rId_hyperlink_384" Type="http://schemas.openxmlformats.org/officeDocument/2006/relationships/hyperlink" Target="http://henontech.com/fieldsafety/harzard/harzard_show.php?rid=23013&amp;url=harzardrecs.php" TargetMode="External"/><Relationship Id="rId_hyperlink_385" Type="http://schemas.openxmlformats.org/officeDocument/2006/relationships/hyperlink" Target="http://henontech.com/fieldsafety/harzard/harzard_show.php?rid=23016&amp;url=harzardrecs.php" TargetMode="External"/><Relationship Id="rId_hyperlink_386" Type="http://schemas.openxmlformats.org/officeDocument/2006/relationships/hyperlink" Target="http://henontech.com/fieldsafety/harzard/harzard_show.php?rid=23049&amp;url=harzardrecs.php" TargetMode="External"/><Relationship Id="rId_hyperlink_387" Type="http://schemas.openxmlformats.org/officeDocument/2006/relationships/hyperlink" Target="http://henontech.com/fieldsafety/harzard/harzard_show.php?rid=23215&amp;url=harzardrecs.php" TargetMode="External"/><Relationship Id="rId_hyperlink_388" Type="http://schemas.openxmlformats.org/officeDocument/2006/relationships/hyperlink" Target="http://henontech.com/fieldsafety/harzard/harzard_show.php?rid=23221&amp;url=harzardrecs.php" TargetMode="External"/><Relationship Id="rId_hyperlink_389" Type="http://schemas.openxmlformats.org/officeDocument/2006/relationships/hyperlink" Target="http://henontech.com/fieldsafety/harzard/harzard_show.php?rid=23236&amp;url=harzardrecs.php" TargetMode="External"/><Relationship Id="rId_hyperlink_390" Type="http://schemas.openxmlformats.org/officeDocument/2006/relationships/hyperlink" Target="http://henontech.com/fieldsafety/harzard/harzard_show.php?rid=23288&amp;url=harzardrecs.php" TargetMode="External"/><Relationship Id="rId_hyperlink_391" Type="http://schemas.openxmlformats.org/officeDocument/2006/relationships/hyperlink" Target="http://henontech.com/fieldsafety/harzard/harzard_show.php?rid=23289&amp;url=harzardrecs.php" TargetMode="External"/><Relationship Id="rId_hyperlink_392" Type="http://schemas.openxmlformats.org/officeDocument/2006/relationships/hyperlink" Target="http://henontech.com/fieldsafety/harzard/harzard_show.php?rid=23368&amp;url=harzardrecs.php" TargetMode="External"/><Relationship Id="rId_hyperlink_393" Type="http://schemas.openxmlformats.org/officeDocument/2006/relationships/hyperlink" Target="http://henontech.com/fieldsafety/harzard/harzard_show.php?rid=23391&amp;url=harzardrecs.php" TargetMode="External"/><Relationship Id="rId_hyperlink_394" Type="http://schemas.openxmlformats.org/officeDocument/2006/relationships/hyperlink" Target="http://henontech.com/fieldsafety/harzard/harzard_show.php?rid=23393&amp;url=harzardrecs.php" TargetMode="External"/><Relationship Id="rId_hyperlink_395" Type="http://schemas.openxmlformats.org/officeDocument/2006/relationships/hyperlink" Target="http://henontech.com/fieldsafety/harzard/harzard_show.php?rid=23396&amp;url=harzardrecs.php" TargetMode="External"/><Relationship Id="rId_hyperlink_396" Type="http://schemas.openxmlformats.org/officeDocument/2006/relationships/hyperlink" Target="http://henontech.com/fieldsafety/harzard/harzard_show.php?rid=23398&amp;url=harzardrecs.php" TargetMode="External"/><Relationship Id="rId_hyperlink_397" Type="http://schemas.openxmlformats.org/officeDocument/2006/relationships/hyperlink" Target="http://henontech.com/fieldsafety/harzard/harzard_show.php?rid=23404&amp;url=harzardrecs.php" TargetMode="External"/><Relationship Id="rId_hyperlink_398" Type="http://schemas.openxmlformats.org/officeDocument/2006/relationships/hyperlink" Target="http://henontech.com/fieldsafety/harzard/harzard_show.php?rid=23405&amp;url=harzardrecs.php" TargetMode="External"/><Relationship Id="rId_hyperlink_399" Type="http://schemas.openxmlformats.org/officeDocument/2006/relationships/hyperlink" Target="http://henontech.com/fieldsafety/harzard/harzard_show.php?rid=23407&amp;url=harzardrecs.php" TargetMode="External"/><Relationship Id="rId_hyperlink_400" Type="http://schemas.openxmlformats.org/officeDocument/2006/relationships/hyperlink" Target="http://henontech.com/fieldsafety/harzard/harzard_show.php?rid=23426&amp;url=harzardrecs.php" TargetMode="External"/><Relationship Id="rId_hyperlink_401" Type="http://schemas.openxmlformats.org/officeDocument/2006/relationships/hyperlink" Target="http://henontech.com/fieldsafety/harzard/harzard_show.php?rid=23428&amp;url=harzardrecs.php" TargetMode="External"/><Relationship Id="rId_hyperlink_402" Type="http://schemas.openxmlformats.org/officeDocument/2006/relationships/hyperlink" Target="http://henontech.com/fieldsafety/harzard/harzard_show.php?rid=23445&amp;url=harzardrecs.php" TargetMode="External"/><Relationship Id="rId_hyperlink_403" Type="http://schemas.openxmlformats.org/officeDocument/2006/relationships/hyperlink" Target="http://henontech.com/fieldsafety/harzard/harzard_show.php?rid=23490&amp;url=harzardrecs.php" TargetMode="External"/><Relationship Id="rId_hyperlink_404" Type="http://schemas.openxmlformats.org/officeDocument/2006/relationships/hyperlink" Target="http://henontech.com/fieldsafety/harzard/harzard_show.php?rid=23526&amp;url=harzardrecs.php" TargetMode="External"/><Relationship Id="rId_hyperlink_405" Type="http://schemas.openxmlformats.org/officeDocument/2006/relationships/hyperlink" Target="http://henontech.com/fieldsafety/harzard/harzard_show.php?rid=23542&amp;url=harzardrecs.php" TargetMode="External"/><Relationship Id="rId_hyperlink_406" Type="http://schemas.openxmlformats.org/officeDocument/2006/relationships/hyperlink" Target="http://henontech.com/fieldsafety/harzard/harzard_show.php?rid=23693&amp;url=harzardrecs.php" TargetMode="External"/><Relationship Id="rId_hyperlink_407" Type="http://schemas.openxmlformats.org/officeDocument/2006/relationships/hyperlink" Target="http://henontech.com/fieldsafety/harzard/harzard_show.php?rid=23890&amp;url=harzardrecs.php" TargetMode="External"/><Relationship Id="rId_hyperlink_408" Type="http://schemas.openxmlformats.org/officeDocument/2006/relationships/hyperlink" Target="http://henontech.com/fieldsafety/harzard/harzard_show.php?rid=23896&amp;url=harzardrecs.php" TargetMode="External"/><Relationship Id="rId_hyperlink_409" Type="http://schemas.openxmlformats.org/officeDocument/2006/relationships/hyperlink" Target="http://henontech.com/fieldsafety/harzard/harzard_show.php?rid=23963&amp;url=harzardrecs.php" TargetMode="External"/><Relationship Id="rId_hyperlink_410" Type="http://schemas.openxmlformats.org/officeDocument/2006/relationships/hyperlink" Target="http://henontech.com/fieldsafety/harzard/harzard_show.php?rid=24011&amp;url=harzardrecs.php" TargetMode="External"/><Relationship Id="rId_hyperlink_411" Type="http://schemas.openxmlformats.org/officeDocument/2006/relationships/hyperlink" Target="http://henontech.com/fieldsafety/harzard/harzard_show.php?rid=24056&amp;url=harzardrecs.php" TargetMode="External"/><Relationship Id="rId_hyperlink_412" Type="http://schemas.openxmlformats.org/officeDocument/2006/relationships/hyperlink" Target="http://henontech.com/fieldsafety/harzard/harzard_show.php?rid=24133&amp;url=harzardrecs.php" TargetMode="External"/><Relationship Id="rId_hyperlink_413" Type="http://schemas.openxmlformats.org/officeDocument/2006/relationships/hyperlink" Target="http://henontech.com/fieldsafety/harzard/harzard_show.php?rid=24145&amp;url=harzardrecs.php" TargetMode="External"/><Relationship Id="rId_hyperlink_414" Type="http://schemas.openxmlformats.org/officeDocument/2006/relationships/hyperlink" Target="http://henontech.com/fieldsafety/harzard/harzard_show.php?rid=24151&amp;url=harzardrecs.php" TargetMode="External"/><Relationship Id="rId_hyperlink_415" Type="http://schemas.openxmlformats.org/officeDocument/2006/relationships/hyperlink" Target="http://henontech.com/fieldsafety/harzard/harzard_show.php?rid=24163&amp;url=harzardrecs.php" TargetMode="External"/><Relationship Id="rId_hyperlink_416" Type="http://schemas.openxmlformats.org/officeDocument/2006/relationships/hyperlink" Target="http://henontech.com/fieldsafety/harzard/harzard_show.php?rid=24175&amp;url=harzardrecs.php" TargetMode="External"/><Relationship Id="rId_hyperlink_417" Type="http://schemas.openxmlformats.org/officeDocument/2006/relationships/hyperlink" Target="http://henontech.com/fieldsafety/harzard/harzard_show.php?rid=24182&amp;url=harzardrecs.php" TargetMode="External"/><Relationship Id="rId_hyperlink_418" Type="http://schemas.openxmlformats.org/officeDocument/2006/relationships/hyperlink" Target="http://henontech.com/fieldsafety/harzard/harzard_show.php?rid=24188&amp;url=harzardrecs.php" TargetMode="External"/><Relationship Id="rId_hyperlink_419" Type="http://schemas.openxmlformats.org/officeDocument/2006/relationships/hyperlink" Target="http://henontech.com/fieldsafety/harzard/harzard_show.php?rid=24226&amp;url=harzardrecs.php" TargetMode="External"/><Relationship Id="rId_hyperlink_420" Type="http://schemas.openxmlformats.org/officeDocument/2006/relationships/hyperlink" Target="http://henontech.com/fieldsafety/harzard/harzard_show.php?rid=24254&amp;url=harzardrecs.php" TargetMode="External"/><Relationship Id="rId_hyperlink_421" Type="http://schemas.openxmlformats.org/officeDocument/2006/relationships/hyperlink" Target="http://henontech.com/fieldsafety/harzard/harzard_show.php?rid=24258&amp;url=harzardrecs.php" TargetMode="External"/><Relationship Id="rId_hyperlink_422" Type="http://schemas.openxmlformats.org/officeDocument/2006/relationships/hyperlink" Target="http://henontech.com/fieldsafety/harzard/harzard_show.php?rid=24266&amp;url=harzardrecs.php" TargetMode="External"/><Relationship Id="rId_hyperlink_423" Type="http://schemas.openxmlformats.org/officeDocument/2006/relationships/hyperlink" Target="http://henontech.com/fieldsafety/harzard/harzard_show.php?rid=24270&amp;url=harzardrecs.php" TargetMode="External"/><Relationship Id="rId_hyperlink_424" Type="http://schemas.openxmlformats.org/officeDocument/2006/relationships/hyperlink" Target="http://henontech.com/fieldsafety/harzard/harzard_show.php?rid=24274&amp;url=harzardrecs.php" TargetMode="External"/><Relationship Id="rId_hyperlink_425" Type="http://schemas.openxmlformats.org/officeDocument/2006/relationships/hyperlink" Target="http://henontech.com/fieldsafety/harzard/harzard_show.php?rid=24276&amp;url=harzardrecs.php" TargetMode="External"/><Relationship Id="rId_hyperlink_426" Type="http://schemas.openxmlformats.org/officeDocument/2006/relationships/hyperlink" Target="http://henontech.com/fieldsafety/harzard/harzard_show.php?rid=24281&amp;url=harzardrecs.php" TargetMode="External"/><Relationship Id="rId_hyperlink_427" Type="http://schemas.openxmlformats.org/officeDocument/2006/relationships/hyperlink" Target="http://henontech.com/fieldsafety/harzard/harzard_show.php?rid=24311&amp;url=harzardrecs.php" TargetMode="External"/><Relationship Id="rId_hyperlink_428" Type="http://schemas.openxmlformats.org/officeDocument/2006/relationships/hyperlink" Target="http://henontech.com/fieldsafety/harzard/harzard_show.php?rid=24323&amp;url=harzardrecs.php" TargetMode="External"/><Relationship Id="rId_hyperlink_429" Type="http://schemas.openxmlformats.org/officeDocument/2006/relationships/hyperlink" Target="http://henontech.com/fieldsafety/harzard/harzard_show.php?rid=24339&amp;url=harzardrecs.php" TargetMode="External"/><Relationship Id="rId_hyperlink_430" Type="http://schemas.openxmlformats.org/officeDocument/2006/relationships/hyperlink" Target="http://henontech.com/fieldsafety/harzard/harzard_show.php?rid=24353&amp;url=harzardrecs.php" TargetMode="External"/><Relationship Id="rId_hyperlink_431" Type="http://schemas.openxmlformats.org/officeDocument/2006/relationships/hyperlink" Target="http://henontech.com/fieldsafety/harzard/harzard_show.php?rid=24386&amp;url=harzardrecs.php" TargetMode="External"/><Relationship Id="rId_hyperlink_432" Type="http://schemas.openxmlformats.org/officeDocument/2006/relationships/hyperlink" Target="http://henontech.com/fieldsafety/harzard/harzard_show.php?rid=24397&amp;url=harzardrecs.php" TargetMode="External"/><Relationship Id="rId_hyperlink_433" Type="http://schemas.openxmlformats.org/officeDocument/2006/relationships/hyperlink" Target="http://henontech.com/fieldsafety/harzard/harzard_show.php?rid=24402&amp;url=harzardrecs.php" TargetMode="External"/><Relationship Id="rId_hyperlink_434" Type="http://schemas.openxmlformats.org/officeDocument/2006/relationships/hyperlink" Target="http://henontech.com/fieldsafety/harzard/harzard_show.php?rid=24406&amp;url=harzardrecs.php" TargetMode="External"/><Relationship Id="rId_hyperlink_435" Type="http://schemas.openxmlformats.org/officeDocument/2006/relationships/hyperlink" Target="http://henontech.com/fieldsafety/harzard/harzard_show.php?rid=24515&amp;url=harzardrecs.php" TargetMode="External"/><Relationship Id="rId_hyperlink_436" Type="http://schemas.openxmlformats.org/officeDocument/2006/relationships/hyperlink" Target="http://henontech.com/fieldsafety/harzard/harzard_show.php?rid=24537&amp;url=harzardrecs.php" TargetMode="External"/><Relationship Id="rId_hyperlink_437" Type="http://schemas.openxmlformats.org/officeDocument/2006/relationships/hyperlink" Target="http://henontech.com/fieldsafety/harzard/harzard_show.php?rid=24544&amp;url=harzardrecs.php" TargetMode="External"/><Relationship Id="rId_hyperlink_438" Type="http://schemas.openxmlformats.org/officeDocument/2006/relationships/hyperlink" Target="http://henontech.com/fieldsafety/harzard/harzard_show.php?rid=24545&amp;url=harzardrecs.php" TargetMode="External"/><Relationship Id="rId_hyperlink_439" Type="http://schemas.openxmlformats.org/officeDocument/2006/relationships/hyperlink" Target="http://henontech.com/fieldsafety/harzard/harzard_show.php?rid=24546&amp;url=harzardrecs.php" TargetMode="External"/><Relationship Id="rId_hyperlink_440" Type="http://schemas.openxmlformats.org/officeDocument/2006/relationships/hyperlink" Target="http://henontech.com/fieldsafety/harzard/harzard_show.php?rid=24547&amp;url=harzardrecs.php" TargetMode="External"/><Relationship Id="rId_hyperlink_441" Type="http://schemas.openxmlformats.org/officeDocument/2006/relationships/hyperlink" Target="http://henontech.com/fieldsafety/harzard/harzard_show.php?rid=24549&amp;url=harzardrecs.php" TargetMode="External"/><Relationship Id="rId_hyperlink_442" Type="http://schemas.openxmlformats.org/officeDocument/2006/relationships/hyperlink" Target="http://henontech.com/fieldsafety/harzard/harzard_show.php?rid=24551&amp;url=harzardrecs.php" TargetMode="External"/><Relationship Id="rId_hyperlink_443" Type="http://schemas.openxmlformats.org/officeDocument/2006/relationships/hyperlink" Target="http://henontech.com/fieldsafety/harzard/harzard_show.php?rid=24555&amp;url=harzardrecs.php" TargetMode="External"/><Relationship Id="rId_hyperlink_444" Type="http://schemas.openxmlformats.org/officeDocument/2006/relationships/hyperlink" Target="http://henontech.com/fieldsafety/harzard/harzard_show.php?rid=24563&amp;url=harzardrecs.php" TargetMode="External"/><Relationship Id="rId_hyperlink_445" Type="http://schemas.openxmlformats.org/officeDocument/2006/relationships/hyperlink" Target="http://henontech.com/fieldsafety/harzard/harzard_show.php?rid=24620&amp;url=harzardrecs.php" TargetMode="External"/><Relationship Id="rId_hyperlink_446" Type="http://schemas.openxmlformats.org/officeDocument/2006/relationships/hyperlink" Target="http://henontech.com/fieldsafety/harzard/harzard_show.php?rid=24658&amp;url=harzardrecs.php" TargetMode="External"/><Relationship Id="rId_hyperlink_447" Type="http://schemas.openxmlformats.org/officeDocument/2006/relationships/hyperlink" Target="http://henontech.com/fieldsafety/harzard/harzard_show.php?rid=24670&amp;url=harzardrecs.php" TargetMode="External"/><Relationship Id="rId_hyperlink_448" Type="http://schemas.openxmlformats.org/officeDocument/2006/relationships/hyperlink" Target="http://henontech.com/fieldsafety/harzard/harzard_show.php?rid=24674&amp;url=harzardrecs.php" TargetMode="External"/><Relationship Id="rId_hyperlink_449" Type="http://schemas.openxmlformats.org/officeDocument/2006/relationships/hyperlink" Target="http://henontech.com/fieldsafety/harzard/harzard_show.php?rid=24867&amp;url=harzardrecs.php" TargetMode="External"/><Relationship Id="rId_hyperlink_450" Type="http://schemas.openxmlformats.org/officeDocument/2006/relationships/hyperlink" Target="http://henontech.com/fieldsafety/harzard/harzard_show.php?rid=24907&amp;url=harzardrecs.php" TargetMode="External"/><Relationship Id="rId_hyperlink_451" Type="http://schemas.openxmlformats.org/officeDocument/2006/relationships/hyperlink" Target="http://henontech.com/fieldsafety/harzard/harzard_show.php?rid=24908&amp;url=harzardrecs.php" TargetMode="External"/><Relationship Id="rId_hyperlink_452" Type="http://schemas.openxmlformats.org/officeDocument/2006/relationships/hyperlink" Target="http://henontech.com/fieldsafety/harzard/harzard_show.php?rid=24909&amp;url=harzardrecs.php" TargetMode="External"/><Relationship Id="rId_hyperlink_453" Type="http://schemas.openxmlformats.org/officeDocument/2006/relationships/hyperlink" Target="http://henontech.com/fieldsafety/harzard/harzard_show.php?rid=24944&amp;url=harzardrecs.php" TargetMode="External"/><Relationship Id="rId_hyperlink_454" Type="http://schemas.openxmlformats.org/officeDocument/2006/relationships/hyperlink" Target="http://henontech.com/fieldsafety/harzard/harzard_show.php?rid=24948&amp;url=harzardrecs.php" TargetMode="External"/><Relationship Id="rId_hyperlink_455" Type="http://schemas.openxmlformats.org/officeDocument/2006/relationships/hyperlink" Target="http://henontech.com/fieldsafety/harzard/harzard_show.php?rid=24949&amp;url=harzardrecs.php" TargetMode="External"/><Relationship Id="rId_hyperlink_456" Type="http://schemas.openxmlformats.org/officeDocument/2006/relationships/hyperlink" Target="http://henontech.com/fieldsafety/harzard/harzard_show.php?rid=25007&amp;url=harzardrecs.php" TargetMode="External"/><Relationship Id="rId_hyperlink_457" Type="http://schemas.openxmlformats.org/officeDocument/2006/relationships/hyperlink" Target="http://henontech.com/fieldsafety/harzard/harzard_show.php?rid=25054&amp;url=harzardrecs.php" TargetMode="External"/><Relationship Id="rId_hyperlink_458" Type="http://schemas.openxmlformats.org/officeDocument/2006/relationships/hyperlink" Target="http://henontech.com/fieldsafety/harzard/harzard_show.php?rid=25062&amp;url=harzardrecs.php" TargetMode="External"/><Relationship Id="rId_hyperlink_459" Type="http://schemas.openxmlformats.org/officeDocument/2006/relationships/hyperlink" Target="http://henontech.com/fieldsafety/harzard/harzard_show.php?rid=25064&amp;url=harzardrecs.php" TargetMode="External"/><Relationship Id="rId_hyperlink_460" Type="http://schemas.openxmlformats.org/officeDocument/2006/relationships/hyperlink" Target="http://henontech.com/fieldsafety/harzard/harzard_show.php?rid=25069&amp;url=harzardrecs.php" TargetMode="External"/><Relationship Id="rId_hyperlink_461" Type="http://schemas.openxmlformats.org/officeDocument/2006/relationships/hyperlink" Target="http://henontech.com/fieldsafety/harzard/harzard_show.php?rid=25099&amp;url=harzardrecs.php" TargetMode="External"/><Relationship Id="rId_hyperlink_462" Type="http://schemas.openxmlformats.org/officeDocument/2006/relationships/hyperlink" Target="http://henontech.com/fieldsafety/harzard/harzard_show.php?rid=25126&amp;url=harzardrecs.php" TargetMode="External"/><Relationship Id="rId_hyperlink_463" Type="http://schemas.openxmlformats.org/officeDocument/2006/relationships/hyperlink" Target="http://henontech.com/fieldsafety/harzard/harzard_show.php?rid=25132&amp;url=harzardrecs.php" TargetMode="External"/><Relationship Id="rId_hyperlink_464" Type="http://schemas.openxmlformats.org/officeDocument/2006/relationships/hyperlink" Target="http://henontech.com/fieldsafety/harzard/harzard_show.php?rid=25141&amp;url=harzardrecs.php" TargetMode="External"/><Relationship Id="rId_hyperlink_465" Type="http://schemas.openxmlformats.org/officeDocument/2006/relationships/hyperlink" Target="http://henontech.com/fieldsafety/harzard/harzard_show.php?rid=25185&amp;url=harzardrecs.php" TargetMode="External"/><Relationship Id="rId_hyperlink_466" Type="http://schemas.openxmlformats.org/officeDocument/2006/relationships/hyperlink" Target="http://henontech.com/fieldsafety/harzard/harzard_show.php?rid=25186&amp;url=harzardrecs.php" TargetMode="External"/><Relationship Id="rId_hyperlink_467" Type="http://schemas.openxmlformats.org/officeDocument/2006/relationships/hyperlink" Target="http://henontech.com/fieldsafety/harzard/harzard_show.php?rid=25187&amp;url=harzardrecs.php" TargetMode="External"/><Relationship Id="rId_hyperlink_468" Type="http://schemas.openxmlformats.org/officeDocument/2006/relationships/hyperlink" Target="http://henontech.com/fieldsafety/harzard/harzard_show.php?rid=25198&amp;url=harzardrecs.php" TargetMode="External"/><Relationship Id="rId_hyperlink_469" Type="http://schemas.openxmlformats.org/officeDocument/2006/relationships/hyperlink" Target="http://henontech.com/fieldsafety/harzard/harzard_show.php?rid=25245&amp;url=harzardrecs.php" TargetMode="External"/><Relationship Id="rId_hyperlink_470" Type="http://schemas.openxmlformats.org/officeDocument/2006/relationships/hyperlink" Target="http://henontech.com/fieldsafety/harzard/harzard_show.php?rid=25268&amp;url=harzardrecs.php" TargetMode="External"/><Relationship Id="rId_hyperlink_471" Type="http://schemas.openxmlformats.org/officeDocument/2006/relationships/hyperlink" Target="http://henontech.com/fieldsafety/harzard/harzard_show.php?rid=25351&amp;url=harzardrecs.php" TargetMode="External"/><Relationship Id="rId_hyperlink_472" Type="http://schemas.openxmlformats.org/officeDocument/2006/relationships/hyperlink" Target="http://henontech.com/fieldsafety/harzard/harzard_show.php?rid=25568&amp;url=harzardrecs.php" TargetMode="External"/><Relationship Id="rId_hyperlink_473" Type="http://schemas.openxmlformats.org/officeDocument/2006/relationships/hyperlink" Target="http://henontech.com/fieldsafety/harzard/harzard_show.php?rid=25597&amp;url=harzardrecs.php" TargetMode="External"/><Relationship Id="rId_hyperlink_474" Type="http://schemas.openxmlformats.org/officeDocument/2006/relationships/hyperlink" Target="http://henontech.com/fieldsafety/harzard/harzard_show.php?rid=25652&amp;url=harzardrecs.php" TargetMode="External"/><Relationship Id="rId_hyperlink_475" Type="http://schemas.openxmlformats.org/officeDocument/2006/relationships/hyperlink" Target="http://henontech.com/fieldsafety/harzard/harzard_show.php?rid=25658&amp;url=harzardrecs.php" TargetMode="External"/><Relationship Id="rId_hyperlink_476" Type="http://schemas.openxmlformats.org/officeDocument/2006/relationships/hyperlink" Target="http://henontech.com/fieldsafety/harzard/harzard_show.php?rid=25668&amp;url=harzardrecs.php" TargetMode="External"/><Relationship Id="rId_hyperlink_477" Type="http://schemas.openxmlformats.org/officeDocument/2006/relationships/hyperlink" Target="http://henontech.com/fieldsafety/harzard/harzard_show.php?rid=25669&amp;url=harzardrecs.php" TargetMode="External"/><Relationship Id="rId_hyperlink_478" Type="http://schemas.openxmlformats.org/officeDocument/2006/relationships/hyperlink" Target="http://henontech.com/fieldsafety/harzard/harzard_show.php?rid=25680&amp;url=harzardrecs.php" TargetMode="External"/><Relationship Id="rId_hyperlink_479" Type="http://schemas.openxmlformats.org/officeDocument/2006/relationships/hyperlink" Target="http://henontech.com/fieldsafety/harzard/harzard_show.php?rid=25693&amp;url=harzardrecs.php" TargetMode="External"/><Relationship Id="rId_hyperlink_480" Type="http://schemas.openxmlformats.org/officeDocument/2006/relationships/hyperlink" Target="http://henontech.com/fieldsafety/harzard/harzard_show.php?rid=25701&amp;url=harzardrecs.php" TargetMode="External"/><Relationship Id="rId_hyperlink_481" Type="http://schemas.openxmlformats.org/officeDocument/2006/relationships/hyperlink" Target="http://henontech.com/fieldsafety/harzard/harzard_show.php?rid=25793&amp;url=harzardrecs.php" TargetMode="External"/><Relationship Id="rId_hyperlink_482" Type="http://schemas.openxmlformats.org/officeDocument/2006/relationships/hyperlink" Target="http://henontech.com/fieldsafety/harzard/harzard_show.php?rid=25830&amp;url=harzardrecs.php" TargetMode="External"/><Relationship Id="rId_hyperlink_483" Type="http://schemas.openxmlformats.org/officeDocument/2006/relationships/hyperlink" Target="http://henontech.com/fieldsafety/harzard/harzard_show.php?rid=25831&amp;url=harzardrecs.php" TargetMode="External"/><Relationship Id="rId_hyperlink_484" Type="http://schemas.openxmlformats.org/officeDocument/2006/relationships/hyperlink" Target="http://henontech.com/fieldsafety/harzard/harzard_show.php?rid=25921&amp;url=harzardrecs.php" TargetMode="External"/><Relationship Id="rId_hyperlink_485" Type="http://schemas.openxmlformats.org/officeDocument/2006/relationships/hyperlink" Target="http://henontech.com/fieldsafety/harzard/harzard_show.php?rid=26111&amp;url=harzardrecs.php" TargetMode="External"/><Relationship Id="rId_hyperlink_486" Type="http://schemas.openxmlformats.org/officeDocument/2006/relationships/hyperlink" Target="http://henontech.com/fieldsafety/harzard/harzard_show.php?rid=26114&amp;url=harzardrecs.php" TargetMode="External"/><Relationship Id="rId_hyperlink_487" Type="http://schemas.openxmlformats.org/officeDocument/2006/relationships/hyperlink" Target="http://henontech.com/fieldsafety/harzard/harzard_show.php?rid=26139&amp;url=harzardrecs.php" TargetMode="External"/><Relationship Id="rId_hyperlink_488" Type="http://schemas.openxmlformats.org/officeDocument/2006/relationships/hyperlink" Target="http://henontech.com/fieldsafety/harzard/harzard_show.php?rid=26163&amp;url=harzardrecs.php" TargetMode="External"/><Relationship Id="rId_hyperlink_489" Type="http://schemas.openxmlformats.org/officeDocument/2006/relationships/hyperlink" Target="http://henontech.com/fieldsafety/harzard/harzard_show.php?rid=26171&amp;url=harzardrecs.php" TargetMode="External"/><Relationship Id="rId_hyperlink_490" Type="http://schemas.openxmlformats.org/officeDocument/2006/relationships/hyperlink" Target="http://henontech.com/fieldsafety/harzard/harzard_show.php?rid=26181&amp;url=harzardrecs.php" TargetMode="External"/><Relationship Id="rId_hyperlink_491" Type="http://schemas.openxmlformats.org/officeDocument/2006/relationships/hyperlink" Target="http://henontech.com/fieldsafety/harzard/harzard_show.php?rid=26186&amp;url=harzardrecs.php" TargetMode="External"/><Relationship Id="rId_hyperlink_492" Type="http://schemas.openxmlformats.org/officeDocument/2006/relationships/hyperlink" Target="http://henontech.com/fieldsafety/harzard/harzard_show.php?rid=26191&amp;url=harzardrecs.php" TargetMode="External"/><Relationship Id="rId_hyperlink_493" Type="http://schemas.openxmlformats.org/officeDocument/2006/relationships/hyperlink" Target="http://henontech.com/fieldsafety/harzard/harzard_show.php?rid=26229&amp;url=harzardrecs.php" TargetMode="External"/><Relationship Id="rId_hyperlink_494" Type="http://schemas.openxmlformats.org/officeDocument/2006/relationships/hyperlink" Target="http://henontech.com/fieldsafety/harzard/harzard_show.php?rid=26235&amp;url=harzardrecs.php" TargetMode="External"/><Relationship Id="rId_hyperlink_495" Type="http://schemas.openxmlformats.org/officeDocument/2006/relationships/hyperlink" Target="http://henontech.com/fieldsafety/harzard/harzard_show.php?rid=26240&amp;url=harzardrecs.php" TargetMode="External"/><Relationship Id="rId_hyperlink_496" Type="http://schemas.openxmlformats.org/officeDocument/2006/relationships/hyperlink" Target="http://henontech.com/fieldsafety/harzard/harzard_show.php?rid=26241&amp;url=harzardrecs.php" TargetMode="External"/><Relationship Id="rId_hyperlink_497" Type="http://schemas.openxmlformats.org/officeDocument/2006/relationships/hyperlink" Target="http://henontech.com/fieldsafety/harzard/harzard_show.php?rid=26254&amp;url=harzardrecs.php" TargetMode="External"/><Relationship Id="rId_hyperlink_498" Type="http://schemas.openxmlformats.org/officeDocument/2006/relationships/hyperlink" Target="http://henontech.com/fieldsafety/harzard/harzard_show.php?rid=26256&amp;url=harzardrecs.php" TargetMode="External"/><Relationship Id="rId_hyperlink_499" Type="http://schemas.openxmlformats.org/officeDocument/2006/relationships/hyperlink" Target="http://henontech.com/fieldsafety/harzard/harzard_show.php?rid=26258&amp;url=harzardrecs.php" TargetMode="External"/><Relationship Id="rId_hyperlink_500" Type="http://schemas.openxmlformats.org/officeDocument/2006/relationships/hyperlink" Target="http://henontech.com/fieldsafety/harzard/harzard_show.php?rid=26259&amp;url=harzardrecs.php" TargetMode="External"/><Relationship Id="rId_hyperlink_501" Type="http://schemas.openxmlformats.org/officeDocument/2006/relationships/hyperlink" Target="http://henontech.com/fieldsafety/harzard/harzard_show.php?rid=26260&amp;url=harzardrecs.php" TargetMode="External"/><Relationship Id="rId_hyperlink_502" Type="http://schemas.openxmlformats.org/officeDocument/2006/relationships/hyperlink" Target="http://henontech.com/fieldsafety/harzard/harzard_show.php?rid=26261&amp;url=harzardrecs.php" TargetMode="External"/><Relationship Id="rId_hyperlink_503" Type="http://schemas.openxmlformats.org/officeDocument/2006/relationships/hyperlink" Target="http://henontech.com/fieldsafety/harzard/harzard_show.php?rid=26478&amp;url=harzardrecs.php" TargetMode="External"/><Relationship Id="rId_hyperlink_504" Type="http://schemas.openxmlformats.org/officeDocument/2006/relationships/hyperlink" Target="http://henontech.com/fieldsafety/harzard/harzard_show.php?rid=26484&amp;url=harzardrecs.php" TargetMode="External"/><Relationship Id="rId_hyperlink_505" Type="http://schemas.openxmlformats.org/officeDocument/2006/relationships/hyperlink" Target="http://henontech.com/fieldsafety/harzard/harzard_show.php?rid=26485&amp;url=harzardrecs.php" TargetMode="External"/><Relationship Id="rId_hyperlink_506" Type="http://schemas.openxmlformats.org/officeDocument/2006/relationships/hyperlink" Target="http://henontech.com/fieldsafety/harzard/harzard_show.php?rid=26487&amp;url=harzardrecs.php" TargetMode="External"/><Relationship Id="rId_hyperlink_507" Type="http://schemas.openxmlformats.org/officeDocument/2006/relationships/hyperlink" Target="http://henontech.com/fieldsafety/harzard/harzard_show.php?rid=26489&amp;url=harzardrecs.php" TargetMode="External"/><Relationship Id="rId_hyperlink_508" Type="http://schemas.openxmlformats.org/officeDocument/2006/relationships/hyperlink" Target="http://henontech.com/fieldsafety/harzard/harzard_show.php?rid=26490&amp;url=harzardrecs.php" TargetMode="External"/><Relationship Id="rId_hyperlink_509" Type="http://schemas.openxmlformats.org/officeDocument/2006/relationships/hyperlink" Target="http://henontech.com/fieldsafety/harzard/harzard_show.php?rid=26491&amp;url=harzardrecs.php" TargetMode="External"/><Relationship Id="rId_hyperlink_510" Type="http://schemas.openxmlformats.org/officeDocument/2006/relationships/hyperlink" Target="http://henontech.com/fieldsafety/harzard/harzard_show.php?rid=26649&amp;url=harzardrecs.php" TargetMode="External"/><Relationship Id="rId_hyperlink_511" Type="http://schemas.openxmlformats.org/officeDocument/2006/relationships/hyperlink" Target="http://henontech.com/fieldsafety/harzard/harzard_show.php?rid=26846&amp;url=harzardrecs.php" TargetMode="External"/><Relationship Id="rId_hyperlink_512" Type="http://schemas.openxmlformats.org/officeDocument/2006/relationships/hyperlink" Target="http://henontech.com/fieldsafety/harzard/harzard_show.php?rid=26868&amp;url=harzardrecs.php" TargetMode="External"/><Relationship Id="rId_hyperlink_513" Type="http://schemas.openxmlformats.org/officeDocument/2006/relationships/hyperlink" Target="http://henontech.com/fieldsafety/harzard/harzard_show.php?rid=26999&amp;url=harzardrecs.php" TargetMode="External"/><Relationship Id="rId_hyperlink_514" Type="http://schemas.openxmlformats.org/officeDocument/2006/relationships/hyperlink" Target="http://henontech.com/fieldsafety/harzard/harzard_show.php?rid=27016&amp;url=harzardrecs.php" TargetMode="External"/><Relationship Id="rId_hyperlink_515" Type="http://schemas.openxmlformats.org/officeDocument/2006/relationships/hyperlink" Target="http://henontech.com/fieldsafety/harzard/harzard_show.php?rid=27029&amp;url=harzardrecs.php" TargetMode="External"/><Relationship Id="rId_hyperlink_516" Type="http://schemas.openxmlformats.org/officeDocument/2006/relationships/hyperlink" Target="http://henontech.com/fieldsafety/harzard/harzard_show.php?rid=27093&amp;url=harzardrecs.php" TargetMode="External"/><Relationship Id="rId_hyperlink_517" Type="http://schemas.openxmlformats.org/officeDocument/2006/relationships/hyperlink" Target="http://henontech.com/fieldsafety/harzard/harzard_show.php?rid=27098&amp;url=harzardrecs.php" TargetMode="External"/><Relationship Id="rId_hyperlink_518" Type="http://schemas.openxmlformats.org/officeDocument/2006/relationships/hyperlink" Target="http://henontech.com/fieldsafety/harzard/harzard_show.php?rid=27099&amp;url=harzardrecs.php" TargetMode="External"/><Relationship Id="rId_hyperlink_519" Type="http://schemas.openxmlformats.org/officeDocument/2006/relationships/hyperlink" Target="http://henontech.com/fieldsafety/harzard/harzard_show.php?rid=27292&amp;url=harzardrecs.php" TargetMode="External"/><Relationship Id="rId_hyperlink_520" Type="http://schemas.openxmlformats.org/officeDocument/2006/relationships/hyperlink" Target="http://henontech.com/fieldsafety/harzard/harzard_show.php?rid=27323&amp;url=harzardrecs.php" TargetMode="External"/><Relationship Id="rId_hyperlink_521" Type="http://schemas.openxmlformats.org/officeDocument/2006/relationships/hyperlink" Target="http://henontech.com/fieldsafety/harzard/harzard_show.php?rid=27324&amp;url=harzardrecs.php" TargetMode="External"/><Relationship Id="rId_hyperlink_522" Type="http://schemas.openxmlformats.org/officeDocument/2006/relationships/hyperlink" Target="http://henontech.com/fieldsafety/harzard/harzard_show.php?rid=27340&amp;url=harzardrecs.php" TargetMode="External"/><Relationship Id="rId_hyperlink_523" Type="http://schemas.openxmlformats.org/officeDocument/2006/relationships/hyperlink" Target="http://henontech.com/fieldsafety/harzard/harzard_show.php?rid=27439&amp;url=harzardrecs.php" TargetMode="External"/><Relationship Id="rId_hyperlink_524" Type="http://schemas.openxmlformats.org/officeDocument/2006/relationships/hyperlink" Target="http://henontech.com/fieldsafety/harzard/harzard_show.php?rid=27451&amp;url=harzardrecs.php" TargetMode="External"/><Relationship Id="rId_hyperlink_525" Type="http://schemas.openxmlformats.org/officeDocument/2006/relationships/hyperlink" Target="http://henontech.com/fieldsafety/harzard/harzard_show.php?rid=27579&amp;url=harzardrecs.php" TargetMode="External"/><Relationship Id="rId_hyperlink_526" Type="http://schemas.openxmlformats.org/officeDocument/2006/relationships/hyperlink" Target="http://henontech.com/fieldsafety/harzard/harzard_show.php?rid=27657&amp;url=harzardrecs.php" TargetMode="External"/><Relationship Id="rId_hyperlink_527" Type="http://schemas.openxmlformats.org/officeDocument/2006/relationships/hyperlink" Target="http://henontech.com/fieldsafety/harzard/harzard_show.php?rid=27664&amp;url=harzardrecs.php" TargetMode="External"/><Relationship Id="rId_hyperlink_528" Type="http://schemas.openxmlformats.org/officeDocument/2006/relationships/hyperlink" Target="http://henontech.com/fieldsafety/harzard/harzard_show.php?rid=27685&amp;url=harzardrecs.php" TargetMode="External"/><Relationship Id="rId_hyperlink_529" Type="http://schemas.openxmlformats.org/officeDocument/2006/relationships/hyperlink" Target="http://henontech.com/fieldsafety/harzard/harzard_show.php?rid=27695&amp;url=harzardrecs.php" TargetMode="External"/><Relationship Id="rId_hyperlink_530" Type="http://schemas.openxmlformats.org/officeDocument/2006/relationships/hyperlink" Target="http://henontech.com/fieldsafety/harzard/harzard_show.php?rid=27696&amp;url=harzardrecs.php" TargetMode="External"/><Relationship Id="rId_hyperlink_531" Type="http://schemas.openxmlformats.org/officeDocument/2006/relationships/hyperlink" Target="http://henontech.com/fieldsafety/harzard/harzard_show.php?rid=27697&amp;url=harzardrecs.php" TargetMode="External"/><Relationship Id="rId_hyperlink_532" Type="http://schemas.openxmlformats.org/officeDocument/2006/relationships/hyperlink" Target="http://henontech.com/fieldsafety/harzard/harzard_show.php?rid=27698&amp;url=harzardrecs.php" TargetMode="External"/><Relationship Id="rId_hyperlink_533" Type="http://schemas.openxmlformats.org/officeDocument/2006/relationships/hyperlink" Target="http://henontech.com/fieldsafety/harzard/harzard_show.php?rid=27699&amp;url=harzardrecs.php" TargetMode="External"/><Relationship Id="rId_hyperlink_534" Type="http://schemas.openxmlformats.org/officeDocument/2006/relationships/hyperlink" Target="http://henontech.com/fieldsafety/harzard/harzard_show.php?rid=27751&amp;url=harzardrecs.php" TargetMode="External"/><Relationship Id="rId_hyperlink_535" Type="http://schemas.openxmlformats.org/officeDocument/2006/relationships/hyperlink" Target="http://henontech.com/fieldsafety/harzard/harzard_show.php?rid=27753&amp;url=harzardrecs.php" TargetMode="External"/><Relationship Id="rId_hyperlink_536" Type="http://schemas.openxmlformats.org/officeDocument/2006/relationships/hyperlink" Target="http://henontech.com/fieldsafety/harzard/harzard_show.php?rid=27760&amp;url=harzardrecs.php" TargetMode="External"/><Relationship Id="rId_hyperlink_537" Type="http://schemas.openxmlformats.org/officeDocument/2006/relationships/hyperlink" Target="http://henontech.com/fieldsafety/harzard/harzard_show.php?rid=27763&amp;url=harzardrecs.php" TargetMode="External"/><Relationship Id="rId_hyperlink_538" Type="http://schemas.openxmlformats.org/officeDocument/2006/relationships/hyperlink" Target="http://henontech.com/fieldsafety/harzard/harzard_show.php?rid=27850&amp;url=harzardrecs.php" TargetMode="External"/><Relationship Id="rId_hyperlink_539" Type="http://schemas.openxmlformats.org/officeDocument/2006/relationships/hyperlink" Target="http://henontech.com/fieldsafety/harzard/harzard_show.php?rid=27852&amp;url=harzardrecs.php" TargetMode="External"/><Relationship Id="rId_hyperlink_540" Type="http://schemas.openxmlformats.org/officeDocument/2006/relationships/hyperlink" Target="http://henontech.com/fieldsafety/harzard/harzard_show.php?rid=27854&amp;url=harzardrecs.php" TargetMode="External"/><Relationship Id="rId_hyperlink_541" Type="http://schemas.openxmlformats.org/officeDocument/2006/relationships/hyperlink" Target="http://henontech.com/fieldsafety/harzard/harzard_show.php?rid=27861&amp;url=harzardrecs.php" TargetMode="External"/><Relationship Id="rId_hyperlink_542" Type="http://schemas.openxmlformats.org/officeDocument/2006/relationships/hyperlink" Target="http://henontech.com/fieldsafety/harzard/harzard_show.php?rid=27931&amp;url=harzardrecs.php" TargetMode="External"/><Relationship Id="rId_hyperlink_543" Type="http://schemas.openxmlformats.org/officeDocument/2006/relationships/hyperlink" Target="http://henontech.com/fieldsafety/harzard/harzard_show.php?rid=27932&amp;url=harzardrecs.php" TargetMode="External"/><Relationship Id="rId_hyperlink_544" Type="http://schemas.openxmlformats.org/officeDocument/2006/relationships/hyperlink" Target="http://henontech.com/fieldsafety/harzard/harzard_show.php?rid=27933&amp;url=harzardrecs.php" TargetMode="External"/><Relationship Id="rId_hyperlink_545" Type="http://schemas.openxmlformats.org/officeDocument/2006/relationships/hyperlink" Target="http://henontech.com/fieldsafety/harzard/harzard_show.php?rid=27935&amp;url=harzardrecs.php" TargetMode="External"/><Relationship Id="rId_hyperlink_546" Type="http://schemas.openxmlformats.org/officeDocument/2006/relationships/hyperlink" Target="http://henontech.com/fieldsafety/harzard/harzard_show.php?rid=27990&amp;url=harzardrecs.php" TargetMode="External"/><Relationship Id="rId_hyperlink_547" Type="http://schemas.openxmlformats.org/officeDocument/2006/relationships/hyperlink" Target="http://henontech.com/fieldsafety/harzard/harzard_show.php?rid=27991&amp;url=harzardrecs.php" TargetMode="External"/><Relationship Id="rId_hyperlink_548" Type="http://schemas.openxmlformats.org/officeDocument/2006/relationships/hyperlink" Target="http://henontech.com/fieldsafety/harzard/harzard_show.php?rid=28006&amp;url=harzardrecs.php" TargetMode="External"/><Relationship Id="rId_hyperlink_549" Type="http://schemas.openxmlformats.org/officeDocument/2006/relationships/hyperlink" Target="http://henontech.com/fieldsafety/harzard/harzard_show.php?rid=28011&amp;url=harzardrecs.php" TargetMode="External"/><Relationship Id="rId_hyperlink_550" Type="http://schemas.openxmlformats.org/officeDocument/2006/relationships/hyperlink" Target="http://henontech.com/fieldsafety/harzard/harzard_show.php?rid=28016&amp;url=harzardrecs.php" TargetMode="External"/><Relationship Id="rId_hyperlink_551" Type="http://schemas.openxmlformats.org/officeDocument/2006/relationships/hyperlink" Target="http://henontech.com/fieldsafety/harzard/harzard_show.php?rid=28036&amp;url=harzardrecs.php" TargetMode="External"/><Relationship Id="rId_hyperlink_552" Type="http://schemas.openxmlformats.org/officeDocument/2006/relationships/hyperlink" Target="http://henontech.com/fieldsafety/harzard/harzard_show.php?rid=28038&amp;url=harzardrecs.php" TargetMode="External"/><Relationship Id="rId_hyperlink_553" Type="http://schemas.openxmlformats.org/officeDocument/2006/relationships/hyperlink" Target="http://henontech.com/fieldsafety/harzard/harzard_show.php?rid=28067&amp;url=harzardrecs.php" TargetMode="External"/><Relationship Id="rId_hyperlink_554" Type="http://schemas.openxmlformats.org/officeDocument/2006/relationships/hyperlink" Target="http://henontech.com/fieldsafety/harzard/harzard_show.php?rid=28076&amp;url=harzardrecs.php" TargetMode="External"/><Relationship Id="rId_hyperlink_555" Type="http://schemas.openxmlformats.org/officeDocument/2006/relationships/hyperlink" Target="http://henontech.com/fieldsafety/harzard/harzard_show.php?rid=28094&amp;url=harzardrecs.php" TargetMode="External"/><Relationship Id="rId_hyperlink_556" Type="http://schemas.openxmlformats.org/officeDocument/2006/relationships/hyperlink" Target="http://henontech.com/fieldsafety/harzard/harzard_show.php?rid=28105&amp;url=harzardrecs.php" TargetMode="External"/><Relationship Id="rId_hyperlink_557" Type="http://schemas.openxmlformats.org/officeDocument/2006/relationships/hyperlink" Target="http://henontech.com/fieldsafety/harzard/harzard_show.php?rid=28113&amp;url=harzardrecs.php" TargetMode="External"/><Relationship Id="rId_hyperlink_558" Type="http://schemas.openxmlformats.org/officeDocument/2006/relationships/hyperlink" Target="http://henontech.com/fieldsafety/harzard/harzard_show.php?rid=28116&amp;url=harzardrecs.php" TargetMode="External"/><Relationship Id="rId_hyperlink_559" Type="http://schemas.openxmlformats.org/officeDocument/2006/relationships/hyperlink" Target="http://henontech.com/fieldsafety/harzard/harzard_show.php?rid=28119&amp;url=harzardrecs.php" TargetMode="External"/><Relationship Id="rId_hyperlink_560" Type="http://schemas.openxmlformats.org/officeDocument/2006/relationships/hyperlink" Target="http://henontech.com/fieldsafety/harzard/harzard_show.php?rid=28120&amp;url=harzardrecs.php" TargetMode="External"/><Relationship Id="rId_hyperlink_561" Type="http://schemas.openxmlformats.org/officeDocument/2006/relationships/hyperlink" Target="http://henontech.com/fieldsafety/harzard/harzard_show.php?rid=28123&amp;url=harzardrecs.php" TargetMode="External"/><Relationship Id="rId_hyperlink_562" Type="http://schemas.openxmlformats.org/officeDocument/2006/relationships/hyperlink" Target="http://henontech.com/fieldsafety/harzard/harzard_show.php?rid=28151&amp;url=harzardrecs.php" TargetMode="External"/><Relationship Id="rId_hyperlink_563" Type="http://schemas.openxmlformats.org/officeDocument/2006/relationships/hyperlink" Target="http://henontech.com/fieldsafety/harzard/harzard_show.php?rid=28168&amp;url=harzardrecs.php" TargetMode="External"/><Relationship Id="rId_hyperlink_564" Type="http://schemas.openxmlformats.org/officeDocument/2006/relationships/hyperlink" Target="http://henontech.com/fieldsafety/harzard/harzard_show.php?rid=28171&amp;url=harzardrecs.php" TargetMode="External"/><Relationship Id="rId_hyperlink_565" Type="http://schemas.openxmlformats.org/officeDocument/2006/relationships/hyperlink" Target="http://henontech.com/fieldsafety/harzard/harzard_show.php?rid=28175&amp;url=harzardrecs.php" TargetMode="External"/><Relationship Id="rId_hyperlink_566" Type="http://schemas.openxmlformats.org/officeDocument/2006/relationships/hyperlink" Target="http://henontech.com/fieldsafety/harzard/harzard_show.php?rid=28178&amp;url=harzardrecs.php" TargetMode="External"/><Relationship Id="rId_hyperlink_567" Type="http://schemas.openxmlformats.org/officeDocument/2006/relationships/hyperlink" Target="http://henontech.com/fieldsafety/harzard/harzard_show.php?rid=28183&amp;url=harzardrecs.php" TargetMode="External"/><Relationship Id="rId_hyperlink_568" Type="http://schemas.openxmlformats.org/officeDocument/2006/relationships/hyperlink" Target="http://henontech.com/fieldsafety/harzard/harzard_show.php?rid=28184&amp;url=harzardrecs.php" TargetMode="External"/><Relationship Id="rId_hyperlink_569" Type="http://schemas.openxmlformats.org/officeDocument/2006/relationships/hyperlink" Target="http://henontech.com/fieldsafety/harzard/harzard_show.php?rid=28185&amp;url=harzardrecs.php" TargetMode="External"/><Relationship Id="rId_hyperlink_570" Type="http://schemas.openxmlformats.org/officeDocument/2006/relationships/hyperlink" Target="http://henontech.com/fieldsafety/harzard/harzard_show.php?rid=28187&amp;url=harzardrecs.php" TargetMode="External"/><Relationship Id="rId_hyperlink_571" Type="http://schemas.openxmlformats.org/officeDocument/2006/relationships/hyperlink" Target="http://henontech.com/fieldsafety/harzard/harzard_show.php?rid=28191&amp;url=harzardrecs.php" TargetMode="External"/><Relationship Id="rId_hyperlink_572" Type="http://schemas.openxmlformats.org/officeDocument/2006/relationships/hyperlink" Target="http://henontech.com/fieldsafety/harzard/harzard_show.php?rid=28219&amp;url=harzardrecs.php" TargetMode="External"/><Relationship Id="rId_hyperlink_573" Type="http://schemas.openxmlformats.org/officeDocument/2006/relationships/hyperlink" Target="http://henontech.com/fieldsafety/harzard/harzard_show.php?rid=28237&amp;url=harzardrecs.php" TargetMode="External"/><Relationship Id="rId_hyperlink_574" Type="http://schemas.openxmlformats.org/officeDocument/2006/relationships/hyperlink" Target="http://henontech.com/fieldsafety/harzard/harzard_show.php?rid=28244&amp;url=harzardrecs.php" TargetMode="External"/><Relationship Id="rId_hyperlink_575" Type="http://schemas.openxmlformats.org/officeDocument/2006/relationships/hyperlink" Target="http://henontech.com/fieldsafety/harzard/harzard_show.php?rid=28247&amp;url=harzardrecs.php" TargetMode="External"/><Relationship Id="rId_hyperlink_576" Type="http://schemas.openxmlformats.org/officeDocument/2006/relationships/hyperlink" Target="http://henontech.com/fieldsafety/harzard/harzard_show.php?rid=28250&amp;url=harzardrecs.php" TargetMode="External"/><Relationship Id="rId_hyperlink_577" Type="http://schemas.openxmlformats.org/officeDocument/2006/relationships/hyperlink" Target="http://henontech.com/fieldsafety/harzard/harzard_show.php?rid=28259&amp;url=harzardrecs.php" TargetMode="External"/><Relationship Id="rId_hyperlink_578" Type="http://schemas.openxmlformats.org/officeDocument/2006/relationships/hyperlink" Target="http://henontech.com/fieldsafety/harzard/harzard_show.php?rid=28260&amp;url=harzardrecs.php" TargetMode="External"/><Relationship Id="rId_hyperlink_579" Type="http://schemas.openxmlformats.org/officeDocument/2006/relationships/hyperlink" Target="http://henontech.com/fieldsafety/harzard/harzard_show.php?rid=28275&amp;url=harzardrecs.php" TargetMode="External"/><Relationship Id="rId_hyperlink_580" Type="http://schemas.openxmlformats.org/officeDocument/2006/relationships/hyperlink" Target="http://henontech.com/fieldsafety/harzard/harzard_show.php?rid=28279&amp;url=harzardrecs.php" TargetMode="External"/><Relationship Id="rId_hyperlink_581" Type="http://schemas.openxmlformats.org/officeDocument/2006/relationships/hyperlink" Target="http://henontech.com/fieldsafety/harzard/harzard_show.php?rid=28280&amp;url=harzardrecs.php" TargetMode="External"/><Relationship Id="rId_hyperlink_582" Type="http://schemas.openxmlformats.org/officeDocument/2006/relationships/hyperlink" Target="http://henontech.com/fieldsafety/harzard/harzard_show.php?rid=28291&amp;url=harzardrecs.php" TargetMode="External"/><Relationship Id="rId_hyperlink_583" Type="http://schemas.openxmlformats.org/officeDocument/2006/relationships/hyperlink" Target="http://henontech.com/fieldsafety/harzard/harzard_show.php?rid=28297&amp;url=harzardrecs.php" TargetMode="External"/><Relationship Id="rId_hyperlink_584" Type="http://schemas.openxmlformats.org/officeDocument/2006/relationships/hyperlink" Target="http://henontech.com/fieldsafety/harzard/harzard_show.php?rid=28304&amp;url=harzardrecs.php" TargetMode="External"/><Relationship Id="rId_hyperlink_585" Type="http://schemas.openxmlformats.org/officeDocument/2006/relationships/hyperlink" Target="http://henontech.com/fieldsafety/harzard/harzard_show.php?rid=28307&amp;url=harzardrecs.php" TargetMode="External"/><Relationship Id="rId_hyperlink_586" Type="http://schemas.openxmlformats.org/officeDocument/2006/relationships/hyperlink" Target="http://henontech.com/fieldsafety/harzard/harzard_show.php?rid=28312&amp;url=harzardrecs.php" TargetMode="External"/><Relationship Id="rId_hyperlink_587" Type="http://schemas.openxmlformats.org/officeDocument/2006/relationships/hyperlink" Target="http://henontech.com/fieldsafety/harzard/harzard_show.php?rid=28316&amp;url=harzardrecs.php" TargetMode="External"/><Relationship Id="rId_hyperlink_588" Type="http://schemas.openxmlformats.org/officeDocument/2006/relationships/hyperlink" Target="http://henontech.com/fieldsafety/harzard/harzard_show.php?rid=28324&amp;url=harzardrecs.php" TargetMode="External"/><Relationship Id="rId_hyperlink_589" Type="http://schemas.openxmlformats.org/officeDocument/2006/relationships/hyperlink" Target="http://henontech.com/fieldsafety/harzard/harzard_show.php?rid=28349&amp;url=harzardrecs.php" TargetMode="External"/><Relationship Id="rId_hyperlink_590" Type="http://schemas.openxmlformats.org/officeDocument/2006/relationships/hyperlink" Target="http://henontech.com/fieldsafety/harzard/harzard_show.php?rid=28350&amp;url=harzardrecs.php" TargetMode="External"/><Relationship Id="rId_hyperlink_591" Type="http://schemas.openxmlformats.org/officeDocument/2006/relationships/hyperlink" Target="http://henontech.com/fieldsafety/harzard/harzard_show.php?rid=28366&amp;url=harzardrecs.php" TargetMode="External"/><Relationship Id="rId_hyperlink_592" Type="http://schemas.openxmlformats.org/officeDocument/2006/relationships/hyperlink" Target="http://henontech.com/fieldsafety/harzard/harzard_show.php?rid=28431&amp;url=harzardrecs.php" TargetMode="External"/><Relationship Id="rId_hyperlink_593" Type="http://schemas.openxmlformats.org/officeDocument/2006/relationships/hyperlink" Target="http://henontech.com/fieldsafety/harzard/harzard_show.php?rid=28432&amp;url=harzardrecs.php" TargetMode="External"/><Relationship Id="rId_hyperlink_594" Type="http://schemas.openxmlformats.org/officeDocument/2006/relationships/hyperlink" Target="http://henontech.com/fieldsafety/harzard/harzard_show.php?rid=28433&amp;url=harzardrecs.php" TargetMode="External"/><Relationship Id="rId_hyperlink_595" Type="http://schemas.openxmlformats.org/officeDocument/2006/relationships/hyperlink" Target="http://henontech.com/fieldsafety/harzard/harzard_show.php?rid=28451&amp;url=harzardrecs.php" TargetMode="External"/><Relationship Id="rId_hyperlink_596" Type="http://schemas.openxmlformats.org/officeDocument/2006/relationships/hyperlink" Target="http://henontech.com/fieldsafety/harzard/harzard_show.php?rid=28455&amp;url=harzardrecs.php" TargetMode="External"/><Relationship Id="rId_hyperlink_597" Type="http://schemas.openxmlformats.org/officeDocument/2006/relationships/hyperlink" Target="http://henontech.com/fieldsafety/harzard/harzard_show.php?rid=28457&amp;url=harzardrecs.php" TargetMode="External"/><Relationship Id="rId_hyperlink_598" Type="http://schemas.openxmlformats.org/officeDocument/2006/relationships/hyperlink" Target="http://henontech.com/fieldsafety/harzard/harzard_show.php?rid=28459&amp;url=harzardrecs.php" TargetMode="External"/><Relationship Id="rId_hyperlink_599" Type="http://schemas.openxmlformats.org/officeDocument/2006/relationships/hyperlink" Target="http://henontech.com/fieldsafety/harzard/harzard_show.php?rid=28461&amp;url=harzardrecs.php" TargetMode="External"/><Relationship Id="rId_hyperlink_600" Type="http://schemas.openxmlformats.org/officeDocument/2006/relationships/hyperlink" Target="http://henontech.com/fieldsafety/harzard/harzard_show.php?rid=28470&amp;url=harzardrecs.php" TargetMode="External"/><Relationship Id="rId_hyperlink_601" Type="http://schemas.openxmlformats.org/officeDocument/2006/relationships/hyperlink" Target="http://henontech.com/fieldsafety/harzard/harzard_show.php?rid=28474&amp;url=harzardrecs.php" TargetMode="External"/><Relationship Id="rId_hyperlink_602" Type="http://schemas.openxmlformats.org/officeDocument/2006/relationships/hyperlink" Target="http://henontech.com/fieldsafety/harzard/harzard_show.php?rid=28497&amp;url=harzardrecs.php" TargetMode="External"/><Relationship Id="rId_hyperlink_603" Type="http://schemas.openxmlformats.org/officeDocument/2006/relationships/hyperlink" Target="http://henontech.com/fieldsafety/harzard/harzard_show.php?rid=28532&amp;url=harzardrecs.php" TargetMode="External"/><Relationship Id="rId_hyperlink_604" Type="http://schemas.openxmlformats.org/officeDocument/2006/relationships/hyperlink" Target="http://henontech.com/fieldsafety/harzard/harzard_show.php?rid=28557&amp;url=harzardrecs.php" TargetMode="External"/><Relationship Id="rId_hyperlink_605" Type="http://schemas.openxmlformats.org/officeDocument/2006/relationships/hyperlink" Target="http://henontech.com/fieldsafety/harzard/harzard_show.php?rid=28572&amp;url=harzardrecs.php" TargetMode="External"/><Relationship Id="rId_hyperlink_606" Type="http://schemas.openxmlformats.org/officeDocument/2006/relationships/hyperlink" Target="http://henontech.com/fieldsafety/harzard/harzard_show.php?rid=28576&amp;url=harzardrecs.php" TargetMode="External"/><Relationship Id="rId_hyperlink_607" Type="http://schemas.openxmlformats.org/officeDocument/2006/relationships/hyperlink" Target="http://henontech.com/fieldsafety/harzard/harzard_show.php?rid=28582&amp;url=harzardrecs.php" TargetMode="External"/><Relationship Id="rId_hyperlink_608" Type="http://schemas.openxmlformats.org/officeDocument/2006/relationships/hyperlink" Target="http://henontech.com/fieldsafety/harzard/harzard_show.php?rid=28585&amp;url=harzardrecs.php" TargetMode="External"/><Relationship Id="rId_hyperlink_609" Type="http://schemas.openxmlformats.org/officeDocument/2006/relationships/hyperlink" Target="http://henontech.com/fieldsafety/harzard/harzard_show.php?rid=28591&amp;url=harzardrecs.php" TargetMode="External"/><Relationship Id="rId_hyperlink_610" Type="http://schemas.openxmlformats.org/officeDocument/2006/relationships/hyperlink" Target="http://henontech.com/fieldsafety/harzard/harzard_show.php?rid=28592&amp;url=harzardrecs.php" TargetMode="External"/><Relationship Id="rId_hyperlink_611" Type="http://schemas.openxmlformats.org/officeDocument/2006/relationships/hyperlink" Target="http://henontech.com/fieldsafety/harzard/harzard_show.php?rid=28593&amp;url=harzardrecs.php" TargetMode="External"/><Relationship Id="rId_hyperlink_612" Type="http://schemas.openxmlformats.org/officeDocument/2006/relationships/hyperlink" Target="http://henontech.com/fieldsafety/harzard/harzard_show.php?rid=28595&amp;url=harzardrecs.php" TargetMode="External"/><Relationship Id="rId_hyperlink_613" Type="http://schemas.openxmlformats.org/officeDocument/2006/relationships/hyperlink" Target="http://henontech.com/fieldsafety/harzard/harzard_show.php?rid=28603&amp;url=harzardrecs.php" TargetMode="External"/><Relationship Id="rId_hyperlink_614" Type="http://schemas.openxmlformats.org/officeDocument/2006/relationships/hyperlink" Target="http://henontech.com/fieldsafety/harzard/harzard_show.php?rid=28617&amp;url=harzardrecs.php" TargetMode="External"/><Relationship Id="rId_hyperlink_615" Type="http://schemas.openxmlformats.org/officeDocument/2006/relationships/hyperlink" Target="http://henontech.com/fieldsafety/harzard/harzard_show.php?rid=28636&amp;url=harzardrecs.php" TargetMode="External"/><Relationship Id="rId_hyperlink_616" Type="http://schemas.openxmlformats.org/officeDocument/2006/relationships/hyperlink" Target="http://henontech.com/fieldsafety/harzard/harzard_show.php?rid=28680&amp;url=harzardrecs.php" TargetMode="External"/><Relationship Id="rId_hyperlink_617" Type="http://schemas.openxmlformats.org/officeDocument/2006/relationships/hyperlink" Target="http://henontech.com/fieldsafety/harzard/harzard_show.php?rid=28699&amp;url=harzardrecs.php" TargetMode="External"/><Relationship Id="rId_hyperlink_618" Type="http://schemas.openxmlformats.org/officeDocument/2006/relationships/hyperlink" Target="http://henontech.com/fieldsafety/harzard/harzard_show.php?rid=28729&amp;url=harzardrecs.php" TargetMode="External"/><Relationship Id="rId_hyperlink_619" Type="http://schemas.openxmlformats.org/officeDocument/2006/relationships/hyperlink" Target="http://henontech.com/fieldsafety/harzard/harzard_show.php?rid=28736&amp;url=harzardrecs.php" TargetMode="External"/><Relationship Id="rId_hyperlink_620" Type="http://schemas.openxmlformats.org/officeDocument/2006/relationships/hyperlink" Target="http://henontech.com/fieldsafety/harzard/harzard_show.php?rid=28771&amp;url=harzardrecs.php" TargetMode="External"/><Relationship Id="rId_hyperlink_621" Type="http://schemas.openxmlformats.org/officeDocument/2006/relationships/hyperlink" Target="http://henontech.com/fieldsafety/harzard/harzard_show.php?rid=28778&amp;url=harzardrecs.php" TargetMode="External"/><Relationship Id="rId_hyperlink_622" Type="http://schemas.openxmlformats.org/officeDocument/2006/relationships/hyperlink" Target="http://henontech.com/fieldsafety/harzard/harzard_show.php?rid=28789&amp;url=harzardrecs.php" TargetMode="External"/><Relationship Id="rId_hyperlink_623" Type="http://schemas.openxmlformats.org/officeDocument/2006/relationships/hyperlink" Target="http://henontech.com/fieldsafety/harzard/harzard_show.php?rid=28797&amp;url=harzardrecs.php" TargetMode="External"/><Relationship Id="rId_hyperlink_624" Type="http://schemas.openxmlformats.org/officeDocument/2006/relationships/hyperlink" Target="http://henontech.com/fieldsafety/harzard/harzard_show.php?rid=28902&amp;url=harzardrecs.php" TargetMode="External"/><Relationship Id="rId_hyperlink_625" Type="http://schemas.openxmlformats.org/officeDocument/2006/relationships/hyperlink" Target="http://henontech.com/fieldsafety/harzard/harzard_show.php?rid=28976&amp;url=harzardrecs.php" TargetMode="External"/><Relationship Id="rId_hyperlink_626" Type="http://schemas.openxmlformats.org/officeDocument/2006/relationships/hyperlink" Target="http://henontech.com/fieldsafety/harzard/harzard_show.php?rid=29170&amp;url=harzardrecs.php" TargetMode="External"/><Relationship Id="rId_hyperlink_627" Type="http://schemas.openxmlformats.org/officeDocument/2006/relationships/hyperlink" Target="http://henontech.com/fieldsafety/harzard/harzard_show.php?rid=29172&amp;url=harzardrecs.php" TargetMode="External"/><Relationship Id="rId_hyperlink_628" Type="http://schemas.openxmlformats.org/officeDocument/2006/relationships/hyperlink" Target="http://henontech.com/fieldsafety/harzard/harzard_show.php?rid=29212&amp;url=harzardrecs.php" TargetMode="External"/><Relationship Id="rId_hyperlink_629" Type="http://schemas.openxmlformats.org/officeDocument/2006/relationships/hyperlink" Target="http://henontech.com/fieldsafety/harzard/harzard_show.php?rid=29245&amp;url=harzardrecs.php" TargetMode="External"/><Relationship Id="rId_hyperlink_630" Type="http://schemas.openxmlformats.org/officeDocument/2006/relationships/hyperlink" Target="http://henontech.com/fieldsafety/harzard/harzard_show.php?rid=29247&amp;url=harzardrecs.php" TargetMode="External"/><Relationship Id="rId_hyperlink_631" Type="http://schemas.openxmlformats.org/officeDocument/2006/relationships/hyperlink" Target="http://henontech.com/fieldsafety/harzard/harzard_show.php?rid=29272&amp;url=harzardrecs.php" TargetMode="External"/><Relationship Id="rId_hyperlink_632" Type="http://schemas.openxmlformats.org/officeDocument/2006/relationships/hyperlink" Target="http://henontech.com/fieldsafety/harzard/harzard_show.php?rid=29312&amp;url=harzardrecs.php" TargetMode="External"/><Relationship Id="rId_hyperlink_633" Type="http://schemas.openxmlformats.org/officeDocument/2006/relationships/hyperlink" Target="http://henontech.com/fieldsafety/harzard/harzard_show.php?rid=29332&amp;url=harzardrecs.php" TargetMode="External"/><Relationship Id="rId_hyperlink_634" Type="http://schemas.openxmlformats.org/officeDocument/2006/relationships/hyperlink" Target="http://henontech.com/fieldsafety/harzard/harzard_show.php?rid=29412&amp;url=harzardrecs.php" TargetMode="External"/><Relationship Id="rId_hyperlink_635" Type="http://schemas.openxmlformats.org/officeDocument/2006/relationships/hyperlink" Target="http://henontech.com/fieldsafety/harzard/harzard_show.php?rid=29413&amp;url=harzardrecs.php" TargetMode="External"/><Relationship Id="rId_hyperlink_636" Type="http://schemas.openxmlformats.org/officeDocument/2006/relationships/hyperlink" Target="http://henontech.com/fieldsafety/harzard/harzard_show.php?rid=29415&amp;url=harzardrecs.php" TargetMode="External"/><Relationship Id="rId_hyperlink_637" Type="http://schemas.openxmlformats.org/officeDocument/2006/relationships/hyperlink" Target="http://henontech.com/fieldsafety/harzard/harzard_show.php?rid=29449&amp;url=harzardrecs.php" TargetMode="External"/><Relationship Id="rId_hyperlink_638" Type="http://schemas.openxmlformats.org/officeDocument/2006/relationships/hyperlink" Target="http://henontech.com/fieldsafety/harzard/harzard_show.php?rid=29452&amp;url=harzardrecs.php" TargetMode="External"/><Relationship Id="rId_hyperlink_639" Type="http://schemas.openxmlformats.org/officeDocument/2006/relationships/hyperlink" Target="http://henontech.com/fieldsafety/harzard/harzard_show.php?rid=29463&amp;url=harzardrecs.php" TargetMode="External"/><Relationship Id="rId_hyperlink_640" Type="http://schemas.openxmlformats.org/officeDocument/2006/relationships/hyperlink" Target="http://henontech.com/fieldsafety/harzard/harzard_show.php?rid=29464&amp;url=harzardrecs.php" TargetMode="External"/><Relationship Id="rId_hyperlink_641" Type="http://schemas.openxmlformats.org/officeDocument/2006/relationships/hyperlink" Target="http://henontech.com/fieldsafety/harzard/harzard_show.php?rid=29481&amp;url=harzardrecs.php" TargetMode="External"/><Relationship Id="rId_hyperlink_642" Type="http://schemas.openxmlformats.org/officeDocument/2006/relationships/hyperlink" Target="http://henontech.com/fieldsafety/harzard/harzard_show.php?rid=29554&amp;url=harzardrecs.php" TargetMode="External"/><Relationship Id="rId_hyperlink_643" Type="http://schemas.openxmlformats.org/officeDocument/2006/relationships/hyperlink" Target="http://henontech.com/fieldsafety/harzard/harzard_show.php?rid=29575&amp;url=harzardrecs.php" TargetMode="External"/><Relationship Id="rId_hyperlink_644" Type="http://schemas.openxmlformats.org/officeDocument/2006/relationships/hyperlink" Target="http://henontech.com/fieldsafety/harzard/harzard_show.php?rid=29588&amp;url=harzardrecs.php" TargetMode="External"/><Relationship Id="rId_hyperlink_645" Type="http://schemas.openxmlformats.org/officeDocument/2006/relationships/hyperlink" Target="http://henontech.com/fieldsafety/harzard/harzard_show.php?rid=29614&amp;url=harzardrecs.php" TargetMode="External"/><Relationship Id="rId_hyperlink_646" Type="http://schemas.openxmlformats.org/officeDocument/2006/relationships/hyperlink" Target="http://henontech.com/fieldsafety/harzard/harzard_show.php?rid=29628&amp;url=harzardrecs.php" TargetMode="External"/><Relationship Id="rId_hyperlink_647" Type="http://schemas.openxmlformats.org/officeDocument/2006/relationships/hyperlink" Target="http://henontech.com/fieldsafety/harzard/harzard_show.php?rid=29676&amp;url=harzardrecs.php" TargetMode="External"/><Relationship Id="rId_hyperlink_648" Type="http://schemas.openxmlformats.org/officeDocument/2006/relationships/hyperlink" Target="http://henontech.com/fieldsafety/harzard/harzard_show.php?rid=29697&amp;url=harzardrecs.php" TargetMode="External"/><Relationship Id="rId_hyperlink_649" Type="http://schemas.openxmlformats.org/officeDocument/2006/relationships/hyperlink" Target="http://henontech.com/fieldsafety/harzard/harzard_show.php?rid=29716&amp;url=harzardrecs.php" TargetMode="External"/><Relationship Id="rId_hyperlink_650" Type="http://schemas.openxmlformats.org/officeDocument/2006/relationships/hyperlink" Target="http://henontech.com/fieldsafety/harzard/harzard_show.php?rid=29748&amp;url=harzardrecs.php" TargetMode="External"/><Relationship Id="rId_hyperlink_651" Type="http://schemas.openxmlformats.org/officeDocument/2006/relationships/hyperlink" Target="http://henontech.com/fieldsafety/harzard/harzard_show.php?rid=29768&amp;url=harzardrecs.php" TargetMode="External"/><Relationship Id="rId_hyperlink_652" Type="http://schemas.openxmlformats.org/officeDocument/2006/relationships/hyperlink" Target="http://henontech.com/fieldsafety/harzard/harzard_show.php?rid=29769&amp;url=harzardrecs.php" TargetMode="External"/><Relationship Id="rId_hyperlink_653" Type="http://schemas.openxmlformats.org/officeDocument/2006/relationships/hyperlink" Target="http://henontech.com/fieldsafety/harzard/harzard_show.php?rid=29793&amp;url=harzardrecs.php" TargetMode="External"/><Relationship Id="rId_hyperlink_654" Type="http://schemas.openxmlformats.org/officeDocument/2006/relationships/hyperlink" Target="http://henontech.com/fieldsafety/harzard/harzard_show.php?rid=29907&amp;url=harzardrecs.php" TargetMode="External"/><Relationship Id="rId_hyperlink_655" Type="http://schemas.openxmlformats.org/officeDocument/2006/relationships/hyperlink" Target="http://henontech.com/fieldsafety/harzard/harzard_show.php?rid=29908&amp;url=harzardrecs.php" TargetMode="External"/><Relationship Id="rId_hyperlink_656" Type="http://schemas.openxmlformats.org/officeDocument/2006/relationships/hyperlink" Target="http://henontech.com/fieldsafety/harzard/harzard_show.php?rid=29910&amp;url=harzardrecs.php"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H661"/>
  <sheetViews>
    <sheetView tabSelected="1" workbookViewId="0" showGridLines="true" showRowColHeaders="1">
      <pane xSplit="4" ySplit="5" topLeftCell="E6" activePane="bottomRight" state="frozen"/>
      <selection pane="topRight"/>
      <selection pane="bottomLeft"/>
      <selection pane="bottomRight" activeCell="E6" sqref="E6"/>
    </sheetView>
  </sheetViews>
  <sheetFormatPr defaultRowHeight="14.4" outlineLevelRow="0" outlineLevelCol="0"/>
  <cols>
    <col min="1" max="1" width="5" customWidth="true" style="0"/>
    <col min="2" max="2" width="9" customWidth="true" style="0"/>
    <col min="4" max="4" width="65" customWidth="true" style="0"/>
    <col min="5" max="5" width="36" customWidth="true" style="0"/>
    <col min="6" max="6" width="9" customWidth="true" style="0"/>
    <col min="9" max="9" width="12" customWidth="true" style="0"/>
    <col min="10" max="10" width="12" customWidth="true" style="0"/>
    <col min="11" max="11" width="12" customWidth="true" style="0"/>
    <col min="12" max="12" width="12" customWidth="true" style="0"/>
    <col min="13" max="13" width="13" customWidth="true" style="0"/>
    <col min="15" max="15" width="13" customWidth="true" style="0"/>
    <col min="18" max="18" width="18" customWidth="true" style="0"/>
    <col min="19" max="19" width="30" customWidth="true" style="0"/>
    <col min="24" max="24" width="16" customWidth="true" style="0"/>
    <col min="25" max="25" width="16" customWidth="true" style="0"/>
    <col min="26" max="26" width="65" customWidth="true" style="0"/>
    <col min="32" max="32" width="50" customWidth="true" style="0"/>
  </cols>
  <sheetData>
    <row r="1" spans="1:34" customHeight="1" ht="30">
      <c r="E1" s="2" t="s">
        <v>0</v>
      </c>
      <c r="F1" s="2"/>
      <c r="G1" s="2"/>
      <c r="H1" s="2"/>
      <c r="I1" s="2"/>
      <c r="J1" s="2"/>
      <c r="K1" s="2"/>
      <c r="L1" s="2"/>
      <c r="M1" s="2"/>
    </row>
    <row r="2" spans="1:34">
      <c r="E2" s="1" t="s">
        <v>1</v>
      </c>
      <c r="F2" s="1"/>
      <c r="G2" s="1"/>
      <c r="H2" s="1"/>
      <c r="I2" s="1"/>
      <c r="J2" s="1"/>
      <c r="K2" s="1"/>
      <c r="L2" s="1"/>
      <c r="M2" s="1"/>
    </row>
    <row r="3" spans="1:34">
      <c r="E3"/>
    </row>
    <row r="4" spans="1:34">
      <c r="A4" s="10" t="s">
        <v>2</v>
      </c>
      <c r="B4" s="11"/>
      <c r="C4" s="11"/>
      <c r="D4" s="11"/>
      <c r="E4" s="11"/>
      <c r="F4" s="11"/>
      <c r="G4" s="12" t="s">
        <v>3</v>
      </c>
      <c r="H4" s="13"/>
      <c r="I4" s="13"/>
      <c r="J4" s="13"/>
      <c r="K4" s="13"/>
      <c r="L4" s="13"/>
      <c r="M4" s="13"/>
      <c r="N4" s="13"/>
      <c r="O4" s="13"/>
      <c r="P4" s="13"/>
      <c r="Q4" s="13"/>
      <c r="R4" s="13"/>
      <c r="S4" s="13"/>
      <c r="T4" s="10" t="s">
        <v>4</v>
      </c>
      <c r="U4" s="11"/>
      <c r="V4" s="11"/>
      <c r="W4" s="11"/>
      <c r="X4" s="14" t="s">
        <v>5</v>
      </c>
      <c r="Y4" s="15"/>
      <c r="Z4" s="16" t="s">
        <v>6</v>
      </c>
      <c r="AA4" s="17"/>
      <c r="AB4" s="17"/>
      <c r="AC4" s="17"/>
      <c r="AD4" s="17"/>
      <c r="AE4" s="17"/>
      <c r="AF4" s="17"/>
      <c r="AG4" s="18"/>
      <c r="AH4" s="18"/>
    </row>
    <row r="5" spans="1:34">
      <c r="A5" s="4" t="s">
        <v>7</v>
      </c>
      <c r="B5" s="4" t="s">
        <v>8</v>
      </c>
      <c r="C5" s="4" t="s">
        <v>9</v>
      </c>
      <c r="D5" s="3" t="s">
        <v>10</v>
      </c>
      <c r="E5" s="3" t="s">
        <v>11</v>
      </c>
      <c r="F5" s="4" t="s">
        <v>12</v>
      </c>
      <c r="G5" s="6" t="s">
        <v>13</v>
      </c>
      <c r="H5" s="6" t="s">
        <v>14</v>
      </c>
      <c r="I5" s="6" t="s">
        <v>15</v>
      </c>
      <c r="J5" s="6" t="s">
        <v>16</v>
      </c>
      <c r="K5" s="6" t="s">
        <v>17</v>
      </c>
      <c r="L5" s="6" t="s">
        <v>18</v>
      </c>
      <c r="M5" s="6" t="s">
        <v>19</v>
      </c>
      <c r="N5" s="6" t="s">
        <v>20</v>
      </c>
      <c r="O5" s="6" t="s">
        <v>21</v>
      </c>
      <c r="P5" s="6" t="s">
        <v>22</v>
      </c>
      <c r="Q5" s="6" t="s">
        <v>23</v>
      </c>
      <c r="R5" s="5" t="s">
        <v>24</v>
      </c>
      <c r="S5" s="5" t="s">
        <v>25</v>
      </c>
      <c r="T5" s="4" t="s">
        <v>26</v>
      </c>
      <c r="U5" s="4" t="s">
        <v>27</v>
      </c>
      <c r="V5" s="4" t="s">
        <v>28</v>
      </c>
      <c r="W5" s="4" t="s">
        <v>29</v>
      </c>
      <c r="X5" s="7" t="s">
        <v>30</v>
      </c>
      <c r="Y5" s="7" t="s">
        <v>31</v>
      </c>
      <c r="Z5" s="8" t="s">
        <v>32</v>
      </c>
      <c r="AA5" s="9" t="s">
        <v>33</v>
      </c>
      <c r="AB5" s="9" t="s">
        <v>34</v>
      </c>
      <c r="AC5" s="9" t="s">
        <v>35</v>
      </c>
      <c r="AD5" s="9" t="s">
        <v>36</v>
      </c>
      <c r="AE5" s="9" t="s">
        <v>37</v>
      </c>
      <c r="AF5" s="8" t="s">
        <v>38</v>
      </c>
    </row>
    <row r="6" spans="1:34" customHeight="1" ht="42">
      <c r="A6" s="19">
        <v>1</v>
      </c>
      <c r="B6" s="19" t="s">
        <v>39</v>
      </c>
      <c r="C6" s="19" t="s">
        <v>40</v>
      </c>
      <c r="D6" s="19" t="str">
        <f>HYPERLINK("http://henontech.com/fieldsafety/harzard/harzard_show.php?rid=1059&amp;url=harzardrecs.php","假如一名脱硝操作人员巡检时不慎踏入电缆沟内，小腿部分磕碰到电缆沟沟壁，造成小腿流血，送医治疗休养3天后恢复健康")</f>
        <v>假如一名脱硝操作人员巡检时不慎踏入电缆沟内，小腿部分磕碰到电缆沟沟壁，造成小腿流血，送医治疗休养3天后恢复健康</v>
      </c>
      <c r="E6" s="19" t="s">
        <v>41</v>
      </c>
      <c r="F6" s="20" t="s">
        <v>42</v>
      </c>
      <c r="G6" s="21" t="s">
        <v>43</v>
      </c>
      <c r="H6" s="19" t="s">
        <v>44</v>
      </c>
      <c r="I6" s="19"/>
      <c r="J6" s="19" t="s">
        <v>45</v>
      </c>
      <c r="K6" s="19" t="s">
        <v>46</v>
      </c>
      <c r="L6" s="19"/>
      <c r="M6" s="19" t="s">
        <v>47</v>
      </c>
      <c r="N6" s="19" t="s">
        <v>48</v>
      </c>
      <c r="O6" s="19" t="s">
        <v>49</v>
      </c>
      <c r="P6" s="19" t="s">
        <v>50</v>
      </c>
      <c r="Q6" s="19" t="s">
        <v>51</v>
      </c>
      <c r="R6" s="19" t="s">
        <v>49</v>
      </c>
      <c r="S6" s="19" t="s">
        <v>52</v>
      </c>
      <c r="T6" s="19" t="s">
        <v>53</v>
      </c>
      <c r="U6" s="19" t="s">
        <v>54</v>
      </c>
      <c r="V6" s="19" t="s">
        <v>55</v>
      </c>
      <c r="W6" s="19" t="s">
        <v>56</v>
      </c>
      <c r="X6" s="19" t="s">
        <v>57</v>
      </c>
      <c r="Y6" s="19"/>
      <c r="Z6" s="19" t="s">
        <v>58</v>
      </c>
      <c r="AA6" s="19">
        <v>2</v>
      </c>
      <c r="AB6" s="19">
        <v>2</v>
      </c>
      <c r="AC6" s="19" t="s">
        <v>59</v>
      </c>
      <c r="AD6" s="19" t="s">
        <v>50</v>
      </c>
      <c r="AE6" s="19" t="s">
        <v>60</v>
      </c>
      <c r="AF6" s="19"/>
    </row>
    <row r="7" spans="1:34">
      <c r="A7" s="19">
        <v>2</v>
      </c>
      <c r="B7" s="19" t="s">
        <v>61</v>
      </c>
      <c r="C7" s="19" t="s">
        <v>62</v>
      </c>
      <c r="D7" s="19" t="str">
        <f>HYPERLINK("http://henontech.com/fieldsafety/harzard/harzard_show.php?rid=1538&amp;url=harzardrecs.php","东风机房一楼东侧窗户上部（一号风机煤气进口阀门下部）有一小块彩钢瓦倾斜，如果操作人员在擦窗户时彩钢瓦掉落，砸到操作人员左侧肩膀，造成左侧肩膀擦伤，轻微人身伤害，不影响工作")</f>
        <v>东风机房一楼东侧窗户上部（一号风机煤气进口阀门下部）有一小块彩钢瓦倾斜，如果操作人员在擦窗户时彩钢瓦掉落，砸到操作人员左侧肩膀，造成左侧肩膀擦伤，轻微人身伤害，不影响工作</v>
      </c>
      <c r="E7" s="19" t="s">
        <v>63</v>
      </c>
      <c r="F7" s="20" t="s">
        <v>42</v>
      </c>
      <c r="G7" s="21" t="s">
        <v>43</v>
      </c>
      <c r="H7" s="19" t="s">
        <v>44</v>
      </c>
      <c r="I7" s="19"/>
      <c r="J7" s="19" t="s">
        <v>64</v>
      </c>
      <c r="K7" s="19" t="s">
        <v>46</v>
      </c>
      <c r="L7" s="19" t="s">
        <v>65</v>
      </c>
      <c r="M7" s="19" t="s">
        <v>66</v>
      </c>
      <c r="N7" s="19" t="s">
        <v>67</v>
      </c>
      <c r="O7" s="19" t="s">
        <v>66</v>
      </c>
      <c r="P7" s="19" t="s">
        <v>68</v>
      </c>
      <c r="Q7" s="19" t="s">
        <v>69</v>
      </c>
      <c r="R7" s="19" t="s">
        <v>70</v>
      </c>
      <c r="S7" s="19"/>
      <c r="T7" s="19" t="s">
        <v>53</v>
      </c>
      <c r="U7" s="19" t="s">
        <v>71</v>
      </c>
      <c r="V7" s="19" t="s">
        <v>55</v>
      </c>
      <c r="W7" s="19" t="s">
        <v>72</v>
      </c>
      <c r="X7" s="19"/>
      <c r="Y7" s="19"/>
      <c r="Z7" s="19" t="s">
        <v>73</v>
      </c>
      <c r="AA7" s="19">
        <v>1</v>
      </c>
      <c r="AB7" s="19">
        <v>1</v>
      </c>
      <c r="AC7" s="19" t="s">
        <v>59</v>
      </c>
      <c r="AD7" s="19" t="s">
        <v>68</v>
      </c>
      <c r="AE7" s="19" t="s">
        <v>74</v>
      </c>
      <c r="AF7" s="19"/>
    </row>
    <row r="8" spans="1:34">
      <c r="A8" s="19">
        <v>3</v>
      </c>
      <c r="B8" s="19" t="s">
        <v>75</v>
      </c>
      <c r="C8" s="19" t="s">
        <v>76</v>
      </c>
      <c r="D8" s="19" t="str">
        <f>HYPERLINK("http://henontech.com/fieldsafety/harzard/harzard_show.php?rid=1575&amp;url=harzardrecs.php","北供水5#循环泵由于长时间使用，联轴器防护罩固定螺栓发生松动，螺母掉落，造成防护罩不牢靠，起不到防护作用，如果一名操作人员在巡检或擦拭该设备时不注意，可能被联轴器伤到手，住院治疗15天康复，损工半月！")</f>
        <v>北供水5#循环泵由于长时间使用，联轴器防护罩固定螺栓发生松动，螺母掉落，造成防护罩不牢靠，起不到防护作用，如果一名操作人员在巡检或擦拭该设备时不注意，可能被联轴器伤到手，住院治疗15天康复，损工半月！</v>
      </c>
      <c r="E8" s="19" t="s">
        <v>77</v>
      </c>
      <c r="F8" s="20" t="s">
        <v>42</v>
      </c>
      <c r="G8" s="21" t="s">
        <v>43</v>
      </c>
      <c r="H8" s="19" t="s">
        <v>44</v>
      </c>
      <c r="I8" s="19" t="s">
        <v>78</v>
      </c>
      <c r="J8" s="19" t="s">
        <v>64</v>
      </c>
      <c r="K8" s="19" t="s">
        <v>79</v>
      </c>
      <c r="L8" s="19" t="s">
        <v>65</v>
      </c>
      <c r="M8" s="19" t="s">
        <v>66</v>
      </c>
      <c r="N8" s="19" t="s">
        <v>80</v>
      </c>
      <c r="O8" s="19" t="s">
        <v>66</v>
      </c>
      <c r="P8" s="19" t="s">
        <v>68</v>
      </c>
      <c r="Q8" s="19" t="s">
        <v>81</v>
      </c>
      <c r="R8" s="19" t="s">
        <v>82</v>
      </c>
      <c r="S8" s="19"/>
      <c r="T8" s="19" t="s">
        <v>53</v>
      </c>
      <c r="U8" s="19" t="s">
        <v>54</v>
      </c>
      <c r="V8" s="19" t="s">
        <v>55</v>
      </c>
      <c r="W8" s="19" t="s">
        <v>56</v>
      </c>
      <c r="X8" s="19"/>
      <c r="Y8" s="19"/>
      <c r="Z8" s="19" t="s">
        <v>83</v>
      </c>
      <c r="AA8" s="19">
        <v>1</v>
      </c>
      <c r="AB8" s="19">
        <v>1</v>
      </c>
      <c r="AC8" s="19" t="s">
        <v>59</v>
      </c>
      <c r="AD8" s="19" t="s">
        <v>68</v>
      </c>
      <c r="AE8" s="19" t="s">
        <v>74</v>
      </c>
      <c r="AF8" s="19"/>
    </row>
    <row r="9" spans="1:34">
      <c r="A9" s="19">
        <v>4</v>
      </c>
      <c r="B9" s="19" t="s">
        <v>84</v>
      </c>
      <c r="C9" s="19" t="s">
        <v>85</v>
      </c>
      <c r="D9" s="19" t="str">
        <f>HYPERLINK("http://henontech.com/fieldsafety/harzard/harzard_show.php?rid=1720&amp;url=harzardrecs.php","加药间废弃的阀门太低，外来人来卸药时需要用清水，进去开阀门时由于空间太窄正好被废弃的阀门碰到头，造成头部磕伤")</f>
        <v>加药间废弃的阀门太低，外来人来卸药时需要用清水，进去开阀门时由于空间太窄正好被废弃的阀门碰到头，造成头部磕伤</v>
      </c>
      <c r="E9" s="19" t="s">
        <v>86</v>
      </c>
      <c r="F9" s="20" t="s">
        <v>42</v>
      </c>
      <c r="G9" s="21" t="s">
        <v>43</v>
      </c>
      <c r="H9" s="19" t="s">
        <v>44</v>
      </c>
      <c r="I9" s="19" t="s">
        <v>78</v>
      </c>
      <c r="J9" s="19" t="s">
        <v>87</v>
      </c>
      <c r="K9" s="19" t="s">
        <v>88</v>
      </c>
      <c r="L9" s="19" t="s">
        <v>65</v>
      </c>
      <c r="M9" s="19" t="s">
        <v>89</v>
      </c>
      <c r="N9" s="19" t="s">
        <v>90</v>
      </c>
      <c r="O9" s="19" t="s">
        <v>89</v>
      </c>
      <c r="P9" s="19" t="s">
        <v>91</v>
      </c>
      <c r="Q9" s="19" t="s">
        <v>92</v>
      </c>
      <c r="R9" s="19" t="s">
        <v>93</v>
      </c>
      <c r="S9" s="19"/>
      <c r="T9" s="19" t="s">
        <v>53</v>
      </c>
      <c r="U9" s="19" t="s">
        <v>94</v>
      </c>
      <c r="V9" s="19" t="s">
        <v>95</v>
      </c>
      <c r="W9" s="19" t="s">
        <v>96</v>
      </c>
      <c r="X9" s="19" t="s">
        <v>57</v>
      </c>
      <c r="Y9" s="19" t="s">
        <v>57</v>
      </c>
      <c r="Z9" s="19" t="s">
        <v>97</v>
      </c>
      <c r="AA9" s="19">
        <v>1</v>
      </c>
      <c r="AB9" s="19">
        <v>1</v>
      </c>
      <c r="AC9" s="19" t="s">
        <v>59</v>
      </c>
      <c r="AD9" s="19" t="s">
        <v>91</v>
      </c>
      <c r="AE9" s="19" t="s">
        <v>74</v>
      </c>
      <c r="AF9" s="19"/>
    </row>
    <row r="10" spans="1:34">
      <c r="A10" s="19">
        <v>5</v>
      </c>
      <c r="B10" s="19" t="s">
        <v>98</v>
      </c>
      <c r="C10" s="19" t="s">
        <v>99</v>
      </c>
      <c r="D10" s="19" t="str">
        <f>HYPERLINK("http://henontech.com/fieldsafety/harzard/harzard_show.php?rid=1745&amp;url=harzardrecs.php","南风机2#电捕高压发生器进线口电缆线裸露，如果与铁壳长期磨擦造成绝缘层破损可能引起短路，引发电器火灾烧坏电捕高压发生器和控制柜")</f>
        <v>南风机2#电捕高压发生器进线口电缆线裸露，如果与铁壳长期磨擦造成绝缘层破损可能引起短路，引发电器火灾烧坏电捕高压发生器和控制柜</v>
      </c>
      <c r="E10" s="19" t="s">
        <v>100</v>
      </c>
      <c r="F10" s="20" t="s">
        <v>42</v>
      </c>
      <c r="G10" s="21" t="s">
        <v>43</v>
      </c>
      <c r="H10" s="19" t="s">
        <v>44</v>
      </c>
      <c r="I10" s="19"/>
      <c r="J10" s="19" t="s">
        <v>45</v>
      </c>
      <c r="K10" s="19"/>
      <c r="L10" s="19"/>
      <c r="M10" s="19" t="s">
        <v>66</v>
      </c>
      <c r="N10" s="19" t="s">
        <v>101</v>
      </c>
      <c r="O10" s="19" t="s">
        <v>66</v>
      </c>
      <c r="P10" s="19" t="s">
        <v>68</v>
      </c>
      <c r="Q10" s="19" t="s">
        <v>102</v>
      </c>
      <c r="R10" s="19" t="s">
        <v>103</v>
      </c>
      <c r="S10" s="19"/>
      <c r="T10" s="19" t="s">
        <v>104</v>
      </c>
      <c r="U10" s="19" t="s">
        <v>94</v>
      </c>
      <c r="V10" s="19" t="s">
        <v>105</v>
      </c>
      <c r="W10" s="19" t="s">
        <v>96</v>
      </c>
      <c r="X10" s="19"/>
      <c r="Y10" s="19"/>
      <c r="Z10" s="19" t="s">
        <v>106</v>
      </c>
      <c r="AA10" s="19">
        <v>1</v>
      </c>
      <c r="AB10" s="19">
        <v>1</v>
      </c>
      <c r="AC10" s="19" t="s">
        <v>59</v>
      </c>
      <c r="AD10" s="19" t="s">
        <v>68</v>
      </c>
      <c r="AE10" s="19" t="s">
        <v>107</v>
      </c>
      <c r="AF10" s="19"/>
    </row>
    <row r="11" spans="1:34">
      <c r="A11" s="19">
        <v>6</v>
      </c>
      <c r="B11" s="19" t="s">
        <v>108</v>
      </c>
      <c r="C11" s="19" t="s">
        <v>109</v>
      </c>
      <c r="D11" s="19" t="str">
        <f>HYPERLINK("http://henontech.com/fieldsafety/harzard/harzard_show.php?rid=1771&amp;url=harzardrecs.php","粗苯终冷器东水封液下泵电机接线盒绝缘胶布与穿线软管脱落，进水连电，一名操作工在巡检过程中发现电机冒烟，立即用手触摸，可能造成当场触电身亡")</f>
        <v>粗苯终冷器东水封液下泵电机接线盒绝缘胶布与穿线软管脱落，进水连电，一名操作工在巡检过程中发现电机冒烟，立即用手触摸，可能造成当场触电身亡</v>
      </c>
      <c r="E11" s="19" t="s">
        <v>110</v>
      </c>
      <c r="F11" s="20" t="s">
        <v>42</v>
      </c>
      <c r="G11" s="22" t="s">
        <v>111</v>
      </c>
      <c r="H11" s="19" t="s">
        <v>44</v>
      </c>
      <c r="I11" s="19" t="s">
        <v>78</v>
      </c>
      <c r="J11" s="19" t="s">
        <v>112</v>
      </c>
      <c r="K11" s="19" t="s">
        <v>46</v>
      </c>
      <c r="L11" s="19" t="s">
        <v>65</v>
      </c>
      <c r="M11" s="19" t="s">
        <v>66</v>
      </c>
      <c r="N11" s="19" t="s">
        <v>113</v>
      </c>
      <c r="O11" s="19" t="s">
        <v>66</v>
      </c>
      <c r="P11" s="19" t="s">
        <v>68</v>
      </c>
      <c r="Q11" s="19" t="s">
        <v>114</v>
      </c>
      <c r="R11" s="19" t="s">
        <v>115</v>
      </c>
      <c r="S11" s="19"/>
      <c r="T11" s="19" t="s">
        <v>53</v>
      </c>
      <c r="U11" s="19" t="s">
        <v>116</v>
      </c>
      <c r="V11" s="19" t="s">
        <v>55</v>
      </c>
      <c r="W11" s="19" t="s">
        <v>117</v>
      </c>
      <c r="X11" s="19"/>
      <c r="Y11" s="19"/>
      <c r="Z11" s="19" t="s">
        <v>118</v>
      </c>
      <c r="AA11" s="19">
        <v>1</v>
      </c>
      <c r="AB11" s="19">
        <v>1</v>
      </c>
      <c r="AC11" s="19" t="s">
        <v>59</v>
      </c>
      <c r="AD11" s="19" t="s">
        <v>68</v>
      </c>
      <c r="AE11" s="19" t="s">
        <v>74</v>
      </c>
      <c r="AF11" s="19"/>
    </row>
    <row r="12" spans="1:34">
      <c r="A12" s="19">
        <v>7</v>
      </c>
      <c r="B12" s="19" t="s">
        <v>119</v>
      </c>
      <c r="C12" s="19" t="s">
        <v>120</v>
      </c>
      <c r="D12" s="19" t="str">
        <f>HYPERLINK("http://henontech.com/fieldsafety/harzard/harzard_show.php?rid=1772&amp;url=harzardrecs.php","一名操作工在蒸氨塔底放空焦油时，由于蒸汽管道破裂，假如操作工躲闪不及，会造成蒸汽烫伤，去医务室敷药后在家休养两天复工。")</f>
        <v>一名操作工在蒸氨塔底放空焦油时，由于蒸汽管道破裂，假如操作工躲闪不及，会造成蒸汽烫伤，去医务室敷药后在家休养两天复工。</v>
      </c>
      <c r="E12" s="19" t="s">
        <v>121</v>
      </c>
      <c r="F12" s="20" t="s">
        <v>42</v>
      </c>
      <c r="G12" s="21" t="s">
        <v>43</v>
      </c>
      <c r="H12" s="19" t="s">
        <v>44</v>
      </c>
      <c r="I12" s="19" t="s">
        <v>78</v>
      </c>
      <c r="J12" s="19" t="s">
        <v>64</v>
      </c>
      <c r="K12" s="19" t="s">
        <v>46</v>
      </c>
      <c r="L12" s="19" t="s">
        <v>65</v>
      </c>
      <c r="M12" s="19" t="s">
        <v>66</v>
      </c>
      <c r="N12" s="19" t="s">
        <v>122</v>
      </c>
      <c r="O12" s="19" t="s">
        <v>66</v>
      </c>
      <c r="P12" s="19" t="s">
        <v>68</v>
      </c>
      <c r="Q12" s="19" t="s">
        <v>114</v>
      </c>
      <c r="R12" s="19" t="s">
        <v>123</v>
      </c>
      <c r="S12" s="19"/>
      <c r="T12" s="19" t="s">
        <v>53</v>
      </c>
      <c r="U12" s="19" t="s">
        <v>54</v>
      </c>
      <c r="V12" s="19" t="s">
        <v>55</v>
      </c>
      <c r="W12" s="19" t="s">
        <v>56</v>
      </c>
      <c r="X12" s="19"/>
      <c r="Y12" s="19"/>
      <c r="Z12" s="19" t="s">
        <v>124</v>
      </c>
      <c r="AA12" s="19">
        <v>1</v>
      </c>
      <c r="AB12" s="19">
        <v>1</v>
      </c>
      <c r="AC12" s="19" t="s">
        <v>59</v>
      </c>
      <c r="AD12" s="19" t="s">
        <v>68</v>
      </c>
      <c r="AE12" s="19" t="s">
        <v>125</v>
      </c>
      <c r="AF12" s="19"/>
    </row>
    <row r="13" spans="1:34">
      <c r="A13" s="19">
        <v>8</v>
      </c>
      <c r="B13" s="19" t="s">
        <v>126</v>
      </c>
      <c r="C13" s="19" t="s">
        <v>127</v>
      </c>
      <c r="D13" s="19" t="str">
        <f>HYPERLINK("http://henontech.com/fieldsafety/harzard/harzard_show.php?rid=1842&amp;url=harzardrecs.php","南脱硫洗眼器喷淋阀门坏，如果一操作工在操作时上身溅上脱硫液，由于喷淋阀门坏无法及时冲洗，致使皮肤轻微灼伤，医务室简单处理，正常工作。")</f>
        <v>南脱硫洗眼器喷淋阀门坏，如果一操作工在操作时上身溅上脱硫液，由于喷淋阀门坏无法及时冲洗，致使皮肤轻微灼伤，医务室简单处理，正常工作。</v>
      </c>
      <c r="E13" s="19" t="s">
        <v>128</v>
      </c>
      <c r="F13" s="20" t="s">
        <v>42</v>
      </c>
      <c r="G13" s="21" t="s">
        <v>43</v>
      </c>
      <c r="H13" s="19" t="s">
        <v>44</v>
      </c>
      <c r="I13" s="19" t="s">
        <v>129</v>
      </c>
      <c r="J13" s="19" t="s">
        <v>64</v>
      </c>
      <c r="K13" s="19" t="s">
        <v>79</v>
      </c>
      <c r="L13" s="19" t="s">
        <v>65</v>
      </c>
      <c r="M13" s="19" t="s">
        <v>66</v>
      </c>
      <c r="N13" s="19" t="s">
        <v>130</v>
      </c>
      <c r="O13" s="19" t="s">
        <v>66</v>
      </c>
      <c r="P13" s="19" t="s">
        <v>68</v>
      </c>
      <c r="Q13" s="19" t="s">
        <v>131</v>
      </c>
      <c r="R13" s="19" t="s">
        <v>132</v>
      </c>
      <c r="S13" s="19"/>
      <c r="T13" s="19" t="s">
        <v>53</v>
      </c>
      <c r="U13" s="19" t="s">
        <v>71</v>
      </c>
      <c r="V13" s="19" t="s">
        <v>105</v>
      </c>
      <c r="W13" s="19" t="s">
        <v>96</v>
      </c>
      <c r="X13" s="19"/>
      <c r="Y13" s="19"/>
      <c r="Z13" s="19" t="s">
        <v>133</v>
      </c>
      <c r="AA13" s="19">
        <v>1</v>
      </c>
      <c r="AB13" s="19">
        <v>1</v>
      </c>
      <c r="AC13" s="19" t="s">
        <v>59</v>
      </c>
      <c r="AD13" s="19" t="s">
        <v>68</v>
      </c>
      <c r="AE13" s="19" t="s">
        <v>74</v>
      </c>
      <c r="AF13" s="19"/>
    </row>
    <row r="14" spans="1:34" customHeight="1" ht="42">
      <c r="A14" s="19">
        <v>9</v>
      </c>
      <c r="B14" s="19" t="s">
        <v>134</v>
      </c>
      <c r="C14" s="19" t="s">
        <v>135</v>
      </c>
      <c r="D14" s="19" t="str">
        <f>HYPERLINK("http://henontech.com/fieldsafety/harzard/harzard_show.php?rid=1853&amp;url=harzardrecs.php","干熄焦地下室冷焦带北侧台阶处照明不良，存在死角，巡检人员清理冷焦带下部卫生，沿北侧向上行走时被台阶绊倒，右臂被皮带支架尖锐处割伤，创口10公分大量出血，送医治疗，缝合创口，损工7天")</f>
        <v>干熄焦地下室冷焦带北侧台阶处照明不良，存在死角，巡检人员清理冷焦带下部卫生，沿北侧向上行走时被台阶绊倒，右臂被皮带支架尖锐处割伤，创口10公分大量出血，送医治疗，缝合创口，损工7天</v>
      </c>
      <c r="E14" s="19" t="s">
        <v>136</v>
      </c>
      <c r="F14" s="20" t="s">
        <v>42</v>
      </c>
      <c r="G14" s="21" t="s">
        <v>43</v>
      </c>
      <c r="H14" s="19" t="s">
        <v>44</v>
      </c>
      <c r="I14" s="19"/>
      <c r="J14" s="19"/>
      <c r="K14" s="19" t="s">
        <v>88</v>
      </c>
      <c r="L14" s="19"/>
      <c r="M14" s="19" t="s">
        <v>49</v>
      </c>
      <c r="N14" s="19" t="s">
        <v>137</v>
      </c>
      <c r="O14" s="19" t="s">
        <v>49</v>
      </c>
      <c r="P14" s="19" t="s">
        <v>138</v>
      </c>
      <c r="Q14" s="19" t="s">
        <v>139</v>
      </c>
      <c r="R14" s="19" t="s">
        <v>140</v>
      </c>
      <c r="S14" s="19"/>
      <c r="T14" s="19" t="s">
        <v>53</v>
      </c>
      <c r="U14" s="19" t="s">
        <v>54</v>
      </c>
      <c r="V14" s="19" t="s">
        <v>55</v>
      </c>
      <c r="W14" s="19" t="s">
        <v>56</v>
      </c>
      <c r="X14" s="19" t="s">
        <v>141</v>
      </c>
      <c r="Y14" s="19" t="s">
        <v>141</v>
      </c>
      <c r="Z14" s="19" t="s">
        <v>142</v>
      </c>
      <c r="AA14" s="19">
        <v>2</v>
      </c>
      <c r="AB14" s="19">
        <v>2</v>
      </c>
      <c r="AC14" s="19" t="s">
        <v>59</v>
      </c>
      <c r="AD14" s="19" t="s">
        <v>138</v>
      </c>
      <c r="AE14" s="19" t="s">
        <v>131</v>
      </c>
      <c r="AF14" s="19"/>
    </row>
    <row r="15" spans="1:34">
      <c r="A15" s="19">
        <v>10</v>
      </c>
      <c r="B15" s="19" t="s">
        <v>143</v>
      </c>
      <c r="C15" s="19" t="s">
        <v>144</v>
      </c>
      <c r="D15" s="19" t="str">
        <f>HYPERLINK("http://henontech.com/fieldsafety/harzard/harzard_show.php?rid=1867&amp;url=harzardrecs.php","压缩更换活门维修未及时清理现场，巡检人员在夜间巡检经过时被绊倒，扭伤脚踝送医救治。")</f>
        <v>压缩更换活门维修未及时清理现场，巡检人员在夜间巡检经过时被绊倒，扭伤脚踝送医救治。</v>
      </c>
      <c r="E15" s="19" t="s">
        <v>145</v>
      </c>
      <c r="F15" s="20" t="s">
        <v>42</v>
      </c>
      <c r="G15" s="21" t="s">
        <v>43</v>
      </c>
      <c r="H15" s="19" t="s">
        <v>44</v>
      </c>
      <c r="I15" s="19" t="s">
        <v>78</v>
      </c>
      <c r="J15" s="19" t="s">
        <v>87</v>
      </c>
      <c r="K15" s="19" t="s">
        <v>88</v>
      </c>
      <c r="L15" s="19" t="s">
        <v>65</v>
      </c>
      <c r="M15" s="19" t="s">
        <v>146</v>
      </c>
      <c r="N15" s="19" t="s">
        <v>147</v>
      </c>
      <c r="O15" s="19" t="s">
        <v>146</v>
      </c>
      <c r="P15" s="19" t="s">
        <v>148</v>
      </c>
      <c r="Q15" s="19" t="s">
        <v>74</v>
      </c>
      <c r="R15" s="19" t="s">
        <v>149</v>
      </c>
      <c r="S15" s="19"/>
      <c r="T15" s="19" t="s">
        <v>53</v>
      </c>
      <c r="U15" s="19" t="s">
        <v>54</v>
      </c>
      <c r="V15" s="19" t="s">
        <v>55</v>
      </c>
      <c r="W15" s="19" t="s">
        <v>56</v>
      </c>
      <c r="X15" s="19" t="s">
        <v>150</v>
      </c>
      <c r="Y15" s="19" t="s">
        <v>150</v>
      </c>
      <c r="Z15" s="19" t="s">
        <v>151</v>
      </c>
      <c r="AA15" s="19">
        <v>1</v>
      </c>
      <c r="AB15" s="19">
        <v>1</v>
      </c>
      <c r="AC15" s="19" t="s">
        <v>59</v>
      </c>
      <c r="AD15" s="19" t="s">
        <v>148</v>
      </c>
      <c r="AE15" s="19" t="s">
        <v>152</v>
      </c>
      <c r="AF15" s="19" t="s">
        <v>153</v>
      </c>
    </row>
    <row r="16" spans="1:34">
      <c r="A16" s="19">
        <v>11</v>
      </c>
      <c r="B16" s="19" t="s">
        <v>143</v>
      </c>
      <c r="C16" s="19" t="s">
        <v>154</v>
      </c>
      <c r="D16" s="19" t="str">
        <f>HYPERLINK("http://henontech.com/fieldsafety/harzard/harzard_show.php?rid=1871&amp;url=harzardrecs.php","吸氨岗位氨水循环槽处地沟盖板损坏，一名操作工巡检过程中，不慎踩空跌入地沟内，造成腿部擦伤脚腕扭伤的轻伤事故。")</f>
        <v>吸氨岗位氨水循环槽处地沟盖板损坏，一名操作工巡检过程中，不慎踩空跌入地沟内，造成腿部擦伤脚腕扭伤的轻伤事故。</v>
      </c>
      <c r="E16" s="19" t="s">
        <v>155</v>
      </c>
      <c r="F16" s="20" t="s">
        <v>42</v>
      </c>
      <c r="G16" s="21" t="s">
        <v>43</v>
      </c>
      <c r="H16" s="19" t="s">
        <v>44</v>
      </c>
      <c r="I16" s="19"/>
      <c r="J16" s="19" t="s">
        <v>64</v>
      </c>
      <c r="K16" s="19" t="s">
        <v>46</v>
      </c>
      <c r="L16" s="19" t="s">
        <v>65</v>
      </c>
      <c r="M16" s="19" t="s">
        <v>146</v>
      </c>
      <c r="N16" s="19" t="s">
        <v>156</v>
      </c>
      <c r="O16" s="19" t="s">
        <v>146</v>
      </c>
      <c r="P16" s="19" t="s">
        <v>148</v>
      </c>
      <c r="Q16" s="19" t="s">
        <v>157</v>
      </c>
      <c r="R16" s="19" t="s">
        <v>158</v>
      </c>
      <c r="S16" s="19"/>
      <c r="T16" s="19" t="s">
        <v>53</v>
      </c>
      <c r="U16" s="19" t="s">
        <v>54</v>
      </c>
      <c r="V16" s="19" t="s">
        <v>105</v>
      </c>
      <c r="W16" s="19" t="s">
        <v>72</v>
      </c>
      <c r="X16" s="19" t="s">
        <v>159</v>
      </c>
      <c r="Y16" s="19" t="s">
        <v>159</v>
      </c>
      <c r="Z16" s="19" t="s">
        <v>160</v>
      </c>
      <c r="AA16" s="19">
        <v>1</v>
      </c>
      <c r="AB16" s="19">
        <v>1</v>
      </c>
      <c r="AC16" s="19" t="s">
        <v>59</v>
      </c>
      <c r="AD16" s="19" t="s">
        <v>148</v>
      </c>
      <c r="AE16" s="19" t="s">
        <v>152</v>
      </c>
      <c r="AF16" s="19" t="s">
        <v>161</v>
      </c>
    </row>
    <row r="17" spans="1:34" customHeight="1" ht="42">
      <c r="A17" s="19">
        <v>12</v>
      </c>
      <c r="B17" s="19" t="s">
        <v>162</v>
      </c>
      <c r="C17" s="19" t="s">
        <v>163</v>
      </c>
      <c r="D17" s="19" t="str">
        <f>HYPERLINK("http://henontech.com/fieldsafety/harzard/harzard_show.php?rid=1877&amp;url=harzardrecs.php","超浓水水池西侧蒸汽阀门无保温层，一员工在清理池子夹缝卫生后返回时，因空间较窄，右肩及上臂与高温阀门接触，造成烫伤，离岗就医治疗，在家休养5天后复工。")</f>
        <v>超浓水水池西侧蒸汽阀门无保温层，一员工在清理池子夹缝卫生后返回时，因空间较窄，右肩及上臂与高温阀门接触，造成烫伤，离岗就医治疗，在家休养5天后复工。</v>
      </c>
      <c r="E17" s="19" t="s">
        <v>164</v>
      </c>
      <c r="F17" s="20" t="s">
        <v>42</v>
      </c>
      <c r="G17" s="21" t="s">
        <v>43</v>
      </c>
      <c r="H17" s="19" t="s">
        <v>44</v>
      </c>
      <c r="I17" s="19"/>
      <c r="J17" s="19" t="s">
        <v>165</v>
      </c>
      <c r="K17" s="19" t="s">
        <v>46</v>
      </c>
      <c r="L17" s="19" t="s">
        <v>65</v>
      </c>
      <c r="M17" s="19" t="s">
        <v>49</v>
      </c>
      <c r="N17" s="19" t="s">
        <v>166</v>
      </c>
      <c r="O17" s="19" t="s">
        <v>49</v>
      </c>
      <c r="P17" s="19" t="s">
        <v>138</v>
      </c>
      <c r="Q17" s="19" t="s">
        <v>167</v>
      </c>
      <c r="R17" s="19" t="s">
        <v>168</v>
      </c>
      <c r="S17" s="19" t="s">
        <v>169</v>
      </c>
      <c r="T17" s="19" t="s">
        <v>53</v>
      </c>
      <c r="U17" s="19" t="s">
        <v>54</v>
      </c>
      <c r="V17" s="19" t="s">
        <v>55</v>
      </c>
      <c r="W17" s="19" t="s">
        <v>56</v>
      </c>
      <c r="X17" s="19" t="s">
        <v>150</v>
      </c>
      <c r="Y17" s="19" t="s">
        <v>57</v>
      </c>
      <c r="Z17" s="19" t="s">
        <v>170</v>
      </c>
      <c r="AA17" s="19">
        <v>2</v>
      </c>
      <c r="AB17" s="19">
        <v>2</v>
      </c>
      <c r="AC17" s="19" t="s">
        <v>59</v>
      </c>
      <c r="AD17" s="19" t="s">
        <v>138</v>
      </c>
      <c r="AE17" s="19" t="s">
        <v>131</v>
      </c>
      <c r="AF17" s="19"/>
    </row>
    <row r="18" spans="1:34">
      <c r="A18" s="19">
        <v>13</v>
      </c>
      <c r="B18" s="19" t="s">
        <v>171</v>
      </c>
      <c r="C18" s="19" t="s">
        <v>163</v>
      </c>
      <c r="D18" s="19" t="str">
        <f>HYPERLINK("http://henontech.com/fieldsafety/harzard/harzard_show.php?rid=1897&amp;url=harzardrecs.php","除盐水污水池排污沟杂物隔网上部钢筋凸起，夜间光线不良一巡检人员进行巡检时因地沟盖板不平整摔倒，腹部被凸起钢筋刺入，送医治疗抢救及时，损工100天。")</f>
        <v>除盐水污水池排污沟杂物隔网上部钢筋凸起，夜间光线不良一巡检人员进行巡检时因地沟盖板不平整摔倒，腹部被凸起钢筋刺入，送医治疗抢救及时，损工100天。</v>
      </c>
      <c r="E18" s="19" t="s">
        <v>172</v>
      </c>
      <c r="F18" s="20" t="s">
        <v>42</v>
      </c>
      <c r="G18" s="21" t="s">
        <v>43</v>
      </c>
      <c r="H18" s="19" t="s">
        <v>44</v>
      </c>
      <c r="I18" s="19"/>
      <c r="J18" s="19" t="s">
        <v>64</v>
      </c>
      <c r="K18" s="19" t="s">
        <v>46</v>
      </c>
      <c r="L18" s="19"/>
      <c r="M18" s="19" t="s">
        <v>49</v>
      </c>
      <c r="N18" s="19" t="s">
        <v>173</v>
      </c>
      <c r="O18" s="19" t="s">
        <v>49</v>
      </c>
      <c r="P18" s="19" t="s">
        <v>138</v>
      </c>
      <c r="Q18" s="19" t="s">
        <v>167</v>
      </c>
      <c r="R18" s="19" t="s">
        <v>174</v>
      </c>
      <c r="S18" s="19" t="s">
        <v>175</v>
      </c>
      <c r="T18" s="19" t="s">
        <v>53</v>
      </c>
      <c r="U18" s="19" t="s">
        <v>54</v>
      </c>
      <c r="V18" s="19" t="s">
        <v>105</v>
      </c>
      <c r="W18" s="19" t="s">
        <v>72</v>
      </c>
      <c r="X18" s="19" t="s">
        <v>57</v>
      </c>
      <c r="Y18" s="19"/>
      <c r="Z18" s="19" t="s">
        <v>176</v>
      </c>
      <c r="AA18" s="19">
        <v>1</v>
      </c>
      <c r="AB18" s="19">
        <v>1</v>
      </c>
      <c r="AC18" s="19" t="s">
        <v>59</v>
      </c>
      <c r="AD18" s="19" t="s">
        <v>138</v>
      </c>
      <c r="AE18" s="19" t="s">
        <v>131</v>
      </c>
      <c r="AF18" s="19"/>
    </row>
    <row r="19" spans="1:34">
      <c r="A19" s="19">
        <v>14</v>
      </c>
      <c r="B19" s="19" t="s">
        <v>177</v>
      </c>
      <c r="C19" s="19" t="s">
        <v>178</v>
      </c>
      <c r="D19" s="19" t="str">
        <f>HYPERLINK("http://henontech.com/fieldsafety/harzard/harzard_show.php?rid=1900&amp;url=harzardrecs.php","一员工在巡检3#减温减压时，由于减温水管道破裂，不慎被104℃的汽水混合物喷溅至左小腿，送医救治，诊断为左小腿浅二度烫伤。")</f>
        <v>一员工在巡检3#减温减压时，由于减温水管道破裂，不慎被104℃的汽水混合物喷溅至左小腿，送医救治，诊断为左小腿浅二度烫伤。</v>
      </c>
      <c r="E19" s="19" t="s">
        <v>179</v>
      </c>
      <c r="F19" s="20" t="s">
        <v>42</v>
      </c>
      <c r="G19" s="21" t="s">
        <v>43</v>
      </c>
      <c r="H19" s="19" t="s">
        <v>44</v>
      </c>
      <c r="I19" s="19" t="s">
        <v>129</v>
      </c>
      <c r="J19" s="19" t="s">
        <v>165</v>
      </c>
      <c r="K19" s="19" t="s">
        <v>79</v>
      </c>
      <c r="L19" s="19"/>
      <c r="M19" s="19" t="s">
        <v>49</v>
      </c>
      <c r="N19" s="19" t="s">
        <v>180</v>
      </c>
      <c r="O19" s="19" t="s">
        <v>49</v>
      </c>
      <c r="P19" s="19" t="s">
        <v>181</v>
      </c>
      <c r="Q19" s="19" t="s">
        <v>182</v>
      </c>
      <c r="R19" s="19" t="s">
        <v>183</v>
      </c>
      <c r="S19" s="19" t="s">
        <v>184</v>
      </c>
      <c r="T19" s="19" t="s">
        <v>53</v>
      </c>
      <c r="U19" s="19" t="s">
        <v>54</v>
      </c>
      <c r="V19" s="19" t="s">
        <v>55</v>
      </c>
      <c r="W19" s="19" t="s">
        <v>56</v>
      </c>
      <c r="X19" s="19" t="s">
        <v>57</v>
      </c>
      <c r="Y19" s="19"/>
      <c r="Z19" s="19" t="s">
        <v>185</v>
      </c>
      <c r="AA19" s="19">
        <v>1</v>
      </c>
      <c r="AB19" s="19">
        <v>1</v>
      </c>
      <c r="AC19" s="19" t="s">
        <v>59</v>
      </c>
      <c r="AD19" s="19" t="s">
        <v>181</v>
      </c>
      <c r="AE19" s="19" t="s">
        <v>186</v>
      </c>
      <c r="AF19" s="19"/>
    </row>
    <row r="20" spans="1:34">
      <c r="A20" s="19">
        <v>15</v>
      </c>
      <c r="B20" s="19" t="s">
        <v>187</v>
      </c>
      <c r="C20" s="19" t="s">
        <v>188</v>
      </c>
      <c r="D20" s="19" t="str">
        <f>HYPERLINK("http://henontech.com/fieldsafety/harzard/harzard_show.php?rid=1917&amp;url=harzardrecs.php","DEC碱再生排水管道有漏点，泄露到管道沟内，造成管道沟内管道腐蚀，及时发现，一天内处理完毕。")</f>
        <v>DEC碱再生排水管道有漏点，泄露到管道沟内，造成管道沟内管道腐蚀，及时发现，一天内处理完毕。</v>
      </c>
      <c r="E20" s="19" t="s">
        <v>189</v>
      </c>
      <c r="F20" s="20" t="s">
        <v>42</v>
      </c>
      <c r="G20" s="21" t="s">
        <v>43</v>
      </c>
      <c r="H20" s="19" t="s">
        <v>44</v>
      </c>
      <c r="I20" s="19"/>
      <c r="J20" s="19" t="s">
        <v>64</v>
      </c>
      <c r="K20" s="19" t="s">
        <v>79</v>
      </c>
      <c r="L20" s="19"/>
      <c r="M20" s="19" t="s">
        <v>89</v>
      </c>
      <c r="N20" s="19" t="s">
        <v>190</v>
      </c>
      <c r="O20" s="19" t="s">
        <v>89</v>
      </c>
      <c r="P20" s="19" t="s">
        <v>91</v>
      </c>
      <c r="Q20" s="19" t="s">
        <v>182</v>
      </c>
      <c r="R20" s="19" t="s">
        <v>191</v>
      </c>
      <c r="S20" s="19" t="s">
        <v>192</v>
      </c>
      <c r="T20" s="19" t="s">
        <v>104</v>
      </c>
      <c r="U20" s="19" t="s">
        <v>94</v>
      </c>
      <c r="V20" s="19" t="s">
        <v>193</v>
      </c>
      <c r="W20" s="19" t="s">
        <v>96</v>
      </c>
      <c r="X20" s="19" t="s">
        <v>57</v>
      </c>
      <c r="Y20" s="19" t="s">
        <v>57</v>
      </c>
      <c r="Z20" s="19" t="s">
        <v>194</v>
      </c>
      <c r="AA20" s="19">
        <v>1</v>
      </c>
      <c r="AB20" s="19">
        <v>1</v>
      </c>
      <c r="AC20" s="19" t="s">
        <v>59</v>
      </c>
      <c r="AD20" s="19" t="s">
        <v>91</v>
      </c>
      <c r="AE20" s="19" t="s">
        <v>195</v>
      </c>
      <c r="AF20" s="19" t="s">
        <v>196</v>
      </c>
    </row>
    <row r="21" spans="1:34">
      <c r="A21" s="19">
        <v>16</v>
      </c>
      <c r="B21" s="19" t="s">
        <v>197</v>
      </c>
      <c r="C21" s="19" t="s">
        <v>178</v>
      </c>
      <c r="D21" s="19" t="str">
        <f>HYPERLINK("http://henontech.com/fieldsafety/harzard/harzard_show.php?rid=1923&amp;url=harzardrecs.php","汽轮机油箱溢油阀阀杆漏油，如果漏油量过大会造成汽轮机润滑油压降低，导致汽轮机轴瓦烧毁、停机，甚至引发火灾。")</f>
        <v>汽轮机油箱溢油阀阀杆漏油，如果漏油量过大会造成汽轮机润滑油压降低，导致汽轮机轴瓦烧毁、停机，甚至引发火灾。</v>
      </c>
      <c r="E21" s="19" t="s">
        <v>198</v>
      </c>
      <c r="F21" s="20" t="s">
        <v>42</v>
      </c>
      <c r="G21" s="21" t="s">
        <v>43</v>
      </c>
      <c r="H21" s="19" t="s">
        <v>44</v>
      </c>
      <c r="I21" s="19" t="s">
        <v>129</v>
      </c>
      <c r="J21" s="19" t="s">
        <v>64</v>
      </c>
      <c r="K21" s="19" t="s">
        <v>88</v>
      </c>
      <c r="L21" s="19" t="s">
        <v>65</v>
      </c>
      <c r="M21" s="19" t="s">
        <v>49</v>
      </c>
      <c r="N21" s="19" t="s">
        <v>199</v>
      </c>
      <c r="O21" s="19" t="s">
        <v>49</v>
      </c>
      <c r="P21" s="19" t="s">
        <v>138</v>
      </c>
      <c r="Q21" s="19" t="s">
        <v>182</v>
      </c>
      <c r="R21" s="19" t="s">
        <v>200</v>
      </c>
      <c r="S21" s="19" t="s">
        <v>201</v>
      </c>
      <c r="T21" s="19" t="s">
        <v>104</v>
      </c>
      <c r="U21" s="19" t="s">
        <v>116</v>
      </c>
      <c r="V21" s="19" t="s">
        <v>55</v>
      </c>
      <c r="W21" s="19" t="s">
        <v>117</v>
      </c>
      <c r="X21" s="19" t="s">
        <v>57</v>
      </c>
      <c r="Y21" s="19"/>
      <c r="Z21" s="19" t="s">
        <v>202</v>
      </c>
      <c r="AA21" s="19">
        <v>1</v>
      </c>
      <c r="AB21" s="19">
        <v>1</v>
      </c>
      <c r="AC21" s="19" t="s">
        <v>59</v>
      </c>
      <c r="AD21" s="19" t="s">
        <v>138</v>
      </c>
      <c r="AE21" s="19" t="s">
        <v>186</v>
      </c>
      <c r="AF21" s="19"/>
    </row>
    <row r="22" spans="1:34">
      <c r="A22" s="19">
        <v>17</v>
      </c>
      <c r="B22" s="19" t="s">
        <v>197</v>
      </c>
      <c r="C22" s="19" t="s">
        <v>203</v>
      </c>
      <c r="D22" s="19" t="str">
        <f>HYPERLINK("http://henontech.com/fieldsafety/harzard/harzard_show.php?rid=1924&amp;url=harzardrecs.php","操作工在调节蒸汽旁通阀门时，正对蒸汽管线，因未发现黑胶管老化，阀门开启过大，蒸汽压力升高，导致黑胶管炸裂，蒸汽喷出，由于区域空间障碍物较多，人员躲避不及时，造成人员小腿灼伤，住院治疗一个月。")</f>
        <v>操作工在调节蒸汽旁通阀门时，正对蒸汽管线，因未发现黑胶管老化，阀门开启过大，蒸汽压力升高，导致黑胶管炸裂，蒸汽喷出，由于区域空间障碍物较多，人员躲避不及时，造成人员小腿灼伤，住院治疗一个月。</v>
      </c>
      <c r="E22" s="19" t="s">
        <v>204</v>
      </c>
      <c r="F22" s="20" t="s">
        <v>42</v>
      </c>
      <c r="G22" s="21" t="s">
        <v>43</v>
      </c>
      <c r="H22" s="19" t="s">
        <v>44</v>
      </c>
      <c r="I22" s="19" t="s">
        <v>205</v>
      </c>
      <c r="J22" s="19" t="s">
        <v>165</v>
      </c>
      <c r="K22" s="19"/>
      <c r="L22" s="19"/>
      <c r="M22" s="19" t="s">
        <v>89</v>
      </c>
      <c r="N22" s="19" t="s">
        <v>206</v>
      </c>
      <c r="O22" s="19" t="s">
        <v>89</v>
      </c>
      <c r="P22" s="19" t="s">
        <v>91</v>
      </c>
      <c r="Q22" s="19" t="s">
        <v>74</v>
      </c>
      <c r="R22" s="19" t="s">
        <v>207</v>
      </c>
      <c r="S22" s="19"/>
      <c r="T22" s="19" t="s">
        <v>53</v>
      </c>
      <c r="U22" s="19" t="s">
        <v>54</v>
      </c>
      <c r="V22" s="19" t="s">
        <v>95</v>
      </c>
      <c r="W22" s="19" t="s">
        <v>117</v>
      </c>
      <c r="X22" s="19" t="s">
        <v>57</v>
      </c>
      <c r="Y22" s="19" t="s">
        <v>57</v>
      </c>
      <c r="Z22" s="19" t="s">
        <v>208</v>
      </c>
      <c r="AA22" s="19">
        <v>1</v>
      </c>
      <c r="AB22" s="19">
        <v>1</v>
      </c>
      <c r="AC22" s="19" t="s">
        <v>59</v>
      </c>
      <c r="AD22" s="19" t="s">
        <v>91</v>
      </c>
      <c r="AE22" s="19" t="s">
        <v>209</v>
      </c>
      <c r="AF22" s="19" t="s">
        <v>210</v>
      </c>
    </row>
    <row r="23" spans="1:34">
      <c r="A23" s="19">
        <v>18</v>
      </c>
      <c r="B23" s="19" t="s">
        <v>195</v>
      </c>
      <c r="C23" s="19" t="s">
        <v>211</v>
      </c>
      <c r="D23" s="19" t="str">
        <f>HYPERLINK("http://henontech.com/fieldsafety/harzard/harzard_show.php?rid=1954&amp;url=harzardrecs.php","化验用电炉恒温器开关电源防护罩脱落，化验员在频繁蒸样合闸过程中，不小心触碰开关金属片")</f>
        <v>化验用电炉恒温器开关电源防护罩脱落，化验员在频繁蒸样合闸过程中，不小心触碰开关金属片</v>
      </c>
      <c r="E23" s="19" t="s">
        <v>212</v>
      </c>
      <c r="F23" s="20" t="s">
        <v>42</v>
      </c>
      <c r="G23" s="21" t="s">
        <v>43</v>
      </c>
      <c r="H23" s="19" t="s">
        <v>44</v>
      </c>
      <c r="I23" s="19" t="s">
        <v>78</v>
      </c>
      <c r="J23" s="19" t="s">
        <v>64</v>
      </c>
      <c r="K23" s="19" t="s">
        <v>88</v>
      </c>
      <c r="L23" s="19" t="s">
        <v>65</v>
      </c>
      <c r="M23" s="19" t="s">
        <v>89</v>
      </c>
      <c r="N23" s="19" t="s">
        <v>213</v>
      </c>
      <c r="O23" s="19" t="s">
        <v>89</v>
      </c>
      <c r="P23" s="19" t="s">
        <v>91</v>
      </c>
      <c r="Q23" s="19" t="s">
        <v>214</v>
      </c>
      <c r="R23" s="19" t="s">
        <v>215</v>
      </c>
      <c r="S23" s="19" t="s">
        <v>216</v>
      </c>
      <c r="T23" s="19" t="s">
        <v>53</v>
      </c>
      <c r="U23" s="19" t="s">
        <v>71</v>
      </c>
      <c r="V23" s="19" t="s">
        <v>95</v>
      </c>
      <c r="W23" s="19" t="s">
        <v>56</v>
      </c>
      <c r="X23" s="19" t="s">
        <v>57</v>
      </c>
      <c r="Y23" s="19" t="s">
        <v>57</v>
      </c>
      <c r="Z23" s="19" t="s">
        <v>217</v>
      </c>
      <c r="AA23" s="19">
        <v>1</v>
      </c>
      <c r="AB23" s="19">
        <v>1</v>
      </c>
      <c r="AC23" s="19" t="s">
        <v>59</v>
      </c>
      <c r="AD23" s="19" t="s">
        <v>91</v>
      </c>
      <c r="AE23" s="19" t="s">
        <v>186</v>
      </c>
      <c r="AF23" s="19"/>
    </row>
    <row r="24" spans="1:34" customHeight="1" ht="42">
      <c r="A24" s="19">
        <v>19</v>
      </c>
      <c r="B24" s="19" t="s">
        <v>218</v>
      </c>
      <c r="C24" s="19" t="s">
        <v>219</v>
      </c>
      <c r="D24" s="19" t="str">
        <f>HYPERLINK("http://henontech.com/fieldsafety/harzard/harzard_show.php?rid=1961&amp;url=harzardrecs.php","北脱硫西南角氨水泵电机护罩破损，螺栓掉落，如果操作工在擦拭设备时，脱落的电机护罩起不到防护作用，会让风扇翅子划伤手指，造成右手手指划伤，经医务室包扎后继续工作。，")</f>
        <v>北脱硫西南角氨水泵电机护罩破损，螺栓掉落，如果操作工在擦拭设备时，脱落的电机护罩起不到防护作用，会让风扇翅子划伤手指，造成右手手指划伤，经医务室包扎后继续工作。，</v>
      </c>
      <c r="E24" s="19" t="s">
        <v>220</v>
      </c>
      <c r="F24" s="20" t="s">
        <v>42</v>
      </c>
      <c r="G24" s="21" t="s">
        <v>43</v>
      </c>
      <c r="H24" s="19" t="s">
        <v>44</v>
      </c>
      <c r="I24" s="19" t="s">
        <v>78</v>
      </c>
      <c r="J24" s="19" t="s">
        <v>64</v>
      </c>
      <c r="K24" s="19" t="s">
        <v>46</v>
      </c>
      <c r="L24" s="19" t="s">
        <v>65</v>
      </c>
      <c r="M24" s="19" t="s">
        <v>66</v>
      </c>
      <c r="N24" s="19" t="s">
        <v>221</v>
      </c>
      <c r="O24" s="19" t="s">
        <v>66</v>
      </c>
      <c r="P24" s="19" t="s">
        <v>68</v>
      </c>
      <c r="Q24" s="19" t="s">
        <v>222</v>
      </c>
      <c r="R24" s="19" t="s">
        <v>223</v>
      </c>
      <c r="S24" s="19"/>
      <c r="T24" s="19" t="s">
        <v>53</v>
      </c>
      <c r="U24" s="19" t="s">
        <v>71</v>
      </c>
      <c r="V24" s="19" t="s">
        <v>105</v>
      </c>
      <c r="W24" s="19" t="s">
        <v>96</v>
      </c>
      <c r="X24" s="19"/>
      <c r="Y24" s="19"/>
      <c r="Z24" s="19" t="s">
        <v>224</v>
      </c>
      <c r="AA24" s="19">
        <v>2</v>
      </c>
      <c r="AB24" s="19">
        <v>2</v>
      </c>
      <c r="AC24" s="19" t="s">
        <v>59</v>
      </c>
      <c r="AD24" s="19" t="s">
        <v>68</v>
      </c>
      <c r="AE24" s="19" t="s">
        <v>139</v>
      </c>
      <c r="AF24" s="19"/>
    </row>
    <row r="25" spans="1:34">
      <c r="A25" s="19">
        <v>20</v>
      </c>
      <c r="B25" s="19" t="s">
        <v>218</v>
      </c>
      <c r="C25" s="19" t="s">
        <v>225</v>
      </c>
      <c r="D25" s="19" t="str">
        <f>HYPERLINK("http://henontech.com/fieldsafety/harzard/harzard_show.php?rid=1968&amp;url=harzardrecs.php","除盐水池四周无防护栏，人员操作或巡检时存在坠落危险，造成人员伤害")</f>
        <v>除盐水池四周无防护栏，人员操作或巡检时存在坠落危险，造成人员伤害</v>
      </c>
      <c r="E25" s="19" t="s">
        <v>226</v>
      </c>
      <c r="F25" s="23" t="s">
        <v>227</v>
      </c>
      <c r="G25" s="21" t="s">
        <v>43</v>
      </c>
      <c r="H25" s="19" t="s">
        <v>44</v>
      </c>
      <c r="I25" s="19" t="s">
        <v>129</v>
      </c>
      <c r="J25" s="19" t="s">
        <v>64</v>
      </c>
      <c r="K25" s="19" t="s">
        <v>46</v>
      </c>
      <c r="L25" s="19" t="s">
        <v>228</v>
      </c>
      <c r="M25" s="19" t="s">
        <v>229</v>
      </c>
      <c r="N25" s="19" t="s">
        <v>230</v>
      </c>
      <c r="O25" s="19"/>
      <c r="P25" s="19"/>
      <c r="Q25" s="19"/>
      <c r="R25" s="19" t="s">
        <v>231</v>
      </c>
      <c r="S25" s="19" t="s">
        <v>232</v>
      </c>
      <c r="T25" s="19" t="s">
        <v>53</v>
      </c>
      <c r="U25" s="19" t="s">
        <v>54</v>
      </c>
      <c r="V25" s="19" t="s">
        <v>55</v>
      </c>
      <c r="W25" s="19" t="s">
        <v>56</v>
      </c>
      <c r="X25" s="19"/>
      <c r="Y25" s="19"/>
      <c r="Z25" s="19"/>
      <c r="AA25" s="19">
        <v>0</v>
      </c>
      <c r="AB25" s="19"/>
      <c r="AC25" s="19" t="s">
        <v>233</v>
      </c>
      <c r="AD25" s="19"/>
      <c r="AE25" s="19"/>
      <c r="AF25" s="19"/>
    </row>
    <row r="26" spans="1:34">
      <c r="A26" s="19">
        <v>21</v>
      </c>
      <c r="B26" s="19" t="s">
        <v>234</v>
      </c>
      <c r="C26" s="19" t="s">
        <v>99</v>
      </c>
      <c r="D26" s="19" t="str">
        <f>HYPERLINK("http://henontech.com/fieldsafety/harzard/harzard_show.php?rid=1972&amp;url=harzardrecs.php","下段冷凝液罐平台腐蚀破损。如果一名操作工廵检时，不慎踩入破损处，造成腿部划伤，住院治疗。")</f>
        <v>下段冷凝液罐平台腐蚀破损。如果一名操作工廵检时，不慎踩入破损处，造成腿部划伤，住院治疗。</v>
      </c>
      <c r="E26" s="19" t="s">
        <v>235</v>
      </c>
      <c r="F26" s="20" t="s">
        <v>42</v>
      </c>
      <c r="G26" s="21" t="s">
        <v>43</v>
      </c>
      <c r="H26" s="19" t="s">
        <v>44</v>
      </c>
      <c r="I26" s="19" t="s">
        <v>129</v>
      </c>
      <c r="J26" s="19" t="s">
        <v>64</v>
      </c>
      <c r="K26" s="19" t="s">
        <v>79</v>
      </c>
      <c r="L26" s="19"/>
      <c r="M26" s="19" t="s">
        <v>66</v>
      </c>
      <c r="N26" s="19" t="s">
        <v>236</v>
      </c>
      <c r="O26" s="19" t="s">
        <v>66</v>
      </c>
      <c r="P26" s="19" t="s">
        <v>68</v>
      </c>
      <c r="Q26" s="19" t="s">
        <v>237</v>
      </c>
      <c r="R26" s="19" t="s">
        <v>238</v>
      </c>
      <c r="S26" s="19" t="s">
        <v>239</v>
      </c>
      <c r="T26" s="19" t="s">
        <v>53</v>
      </c>
      <c r="U26" s="19" t="s">
        <v>54</v>
      </c>
      <c r="V26" s="19" t="s">
        <v>55</v>
      </c>
      <c r="W26" s="19" t="s">
        <v>56</v>
      </c>
      <c r="X26" s="19"/>
      <c r="Y26" s="19"/>
      <c r="Z26" s="19" t="s">
        <v>240</v>
      </c>
      <c r="AA26" s="19">
        <v>1</v>
      </c>
      <c r="AB26" s="19">
        <v>1</v>
      </c>
      <c r="AC26" s="19" t="s">
        <v>59</v>
      </c>
      <c r="AD26" s="19" t="s">
        <v>68</v>
      </c>
      <c r="AE26" s="19" t="s">
        <v>107</v>
      </c>
      <c r="AF26" s="19"/>
    </row>
    <row r="27" spans="1:34">
      <c r="A27" s="19">
        <v>22</v>
      </c>
      <c r="B27" s="19" t="s">
        <v>234</v>
      </c>
      <c r="C27" s="19" t="s">
        <v>241</v>
      </c>
      <c r="D27" s="19" t="str">
        <f>HYPERLINK("http://henontech.com/fieldsafety/harzard/harzard_show.php?rid=1976&amp;url=harzardrecs.php","东硫铵小母液泵电机后防护罩损坏变形，造成电机后降温风扇破损，无法起到降温效果。巡检人员未发现长时间使用会造成电机发热烧毁。")</f>
        <v>东硫铵小母液泵电机后防护罩损坏变形，造成电机后降温风扇破损，无法起到降温效果。巡检人员未发现长时间使用会造成电机发热烧毁。</v>
      </c>
      <c r="E27" s="19" t="s">
        <v>242</v>
      </c>
      <c r="F27" s="20" t="s">
        <v>42</v>
      </c>
      <c r="G27" s="21" t="s">
        <v>43</v>
      </c>
      <c r="H27" s="19" t="s">
        <v>44</v>
      </c>
      <c r="I27" s="19"/>
      <c r="J27" s="19" t="s">
        <v>64</v>
      </c>
      <c r="K27" s="19" t="s">
        <v>46</v>
      </c>
      <c r="L27" s="19"/>
      <c r="M27" s="19" t="s">
        <v>66</v>
      </c>
      <c r="N27" s="19" t="s">
        <v>243</v>
      </c>
      <c r="O27" s="19" t="s">
        <v>66</v>
      </c>
      <c r="P27" s="19" t="s">
        <v>68</v>
      </c>
      <c r="Q27" s="19" t="s">
        <v>214</v>
      </c>
      <c r="R27" s="19" t="s">
        <v>244</v>
      </c>
      <c r="S27" s="19"/>
      <c r="T27" s="19" t="s">
        <v>104</v>
      </c>
      <c r="U27" s="19" t="s">
        <v>94</v>
      </c>
      <c r="V27" s="19" t="s">
        <v>105</v>
      </c>
      <c r="W27" s="19" t="s">
        <v>96</v>
      </c>
      <c r="X27" s="19"/>
      <c r="Y27" s="19"/>
      <c r="Z27" s="19" t="s">
        <v>245</v>
      </c>
      <c r="AA27" s="19">
        <v>1</v>
      </c>
      <c r="AB27" s="19">
        <v>1</v>
      </c>
      <c r="AC27" s="19" t="s">
        <v>59</v>
      </c>
      <c r="AD27" s="19" t="s">
        <v>68</v>
      </c>
      <c r="AE27" s="19" t="s">
        <v>139</v>
      </c>
      <c r="AF27" s="19"/>
    </row>
    <row r="28" spans="1:34">
      <c r="A28" s="19">
        <v>23</v>
      </c>
      <c r="B28" s="19" t="s">
        <v>234</v>
      </c>
      <c r="C28" s="19" t="s">
        <v>246</v>
      </c>
      <c r="D28" s="19" t="str">
        <f>HYPERLINK("http://henontech.com/fieldsafety/harzard/harzard_show.php?rid=1977&amp;url=harzardrecs.php","化工厂氨水储槽浓氨槽氨水取样阀乳胶管老化，一名操作工在取样时，氨水不慎溅入眼内，送医务室救治。")</f>
        <v>化工厂氨水储槽浓氨槽氨水取样阀乳胶管老化，一名操作工在取样时，氨水不慎溅入眼内，送医务室救治。</v>
      </c>
      <c r="E28" s="19" t="s">
        <v>247</v>
      </c>
      <c r="F28" s="20" t="s">
        <v>42</v>
      </c>
      <c r="G28" s="21" t="s">
        <v>43</v>
      </c>
      <c r="H28" s="19" t="s">
        <v>44</v>
      </c>
      <c r="I28" s="19" t="s">
        <v>205</v>
      </c>
      <c r="J28" s="19" t="s">
        <v>64</v>
      </c>
      <c r="K28" s="19" t="s">
        <v>46</v>
      </c>
      <c r="L28" s="19" t="s">
        <v>65</v>
      </c>
      <c r="M28" s="19" t="s">
        <v>146</v>
      </c>
      <c r="N28" s="19" t="s">
        <v>248</v>
      </c>
      <c r="O28" s="19" t="s">
        <v>146</v>
      </c>
      <c r="P28" s="19" t="s">
        <v>249</v>
      </c>
      <c r="Q28" s="19" t="s">
        <v>152</v>
      </c>
      <c r="R28" s="19" t="s">
        <v>250</v>
      </c>
      <c r="S28" s="19"/>
      <c r="T28" s="19" t="s">
        <v>53</v>
      </c>
      <c r="U28" s="19" t="s">
        <v>54</v>
      </c>
      <c r="V28" s="19" t="s">
        <v>55</v>
      </c>
      <c r="W28" s="19" t="s">
        <v>56</v>
      </c>
      <c r="X28" s="19" t="s">
        <v>141</v>
      </c>
      <c r="Y28" s="19" t="s">
        <v>141</v>
      </c>
      <c r="Z28" s="19" t="s">
        <v>251</v>
      </c>
      <c r="AA28" s="19">
        <v>1</v>
      </c>
      <c r="AB28" s="19">
        <v>1</v>
      </c>
      <c r="AC28" s="19" t="s">
        <v>59</v>
      </c>
      <c r="AD28" s="19" t="s">
        <v>249</v>
      </c>
      <c r="AE28" s="19" t="s">
        <v>157</v>
      </c>
      <c r="AF28" s="19"/>
    </row>
    <row r="29" spans="1:34">
      <c r="A29" s="19">
        <v>24</v>
      </c>
      <c r="B29" s="19" t="s">
        <v>252</v>
      </c>
      <c r="C29" s="19" t="s">
        <v>241</v>
      </c>
      <c r="D29" s="19" t="str">
        <f>HYPERLINK("http://henontech.com/fieldsafety/harzard/harzard_show.php?rid=1978&amp;url=harzardrecs.php","西硫铵地沟水泥盖板腐蚀，操作工晚上经过此处时没住意，不慎掉入地沟，造成左腿皮肤擦伤和骨折。")</f>
        <v>西硫铵地沟水泥盖板腐蚀，操作工晚上经过此处时没住意，不慎掉入地沟，造成左腿皮肤擦伤和骨折。</v>
      </c>
      <c r="E29" s="19" t="s">
        <v>253</v>
      </c>
      <c r="F29" s="20" t="s">
        <v>42</v>
      </c>
      <c r="G29" s="21" t="s">
        <v>43</v>
      </c>
      <c r="H29" s="19" t="s">
        <v>44</v>
      </c>
      <c r="I29" s="19" t="s">
        <v>78</v>
      </c>
      <c r="J29" s="19" t="s">
        <v>64</v>
      </c>
      <c r="K29" s="19" t="s">
        <v>46</v>
      </c>
      <c r="L29" s="19" t="s">
        <v>65</v>
      </c>
      <c r="M29" s="19" t="s">
        <v>66</v>
      </c>
      <c r="N29" s="19" t="s">
        <v>254</v>
      </c>
      <c r="O29" s="19" t="s">
        <v>66</v>
      </c>
      <c r="P29" s="19" t="s">
        <v>68</v>
      </c>
      <c r="Q29" s="19" t="s">
        <v>255</v>
      </c>
      <c r="R29" s="19" t="s">
        <v>256</v>
      </c>
      <c r="S29" s="19" t="s">
        <v>257</v>
      </c>
      <c r="T29" s="19" t="s">
        <v>53</v>
      </c>
      <c r="U29" s="19" t="s">
        <v>71</v>
      </c>
      <c r="V29" s="19" t="s">
        <v>105</v>
      </c>
      <c r="W29" s="19" t="s">
        <v>96</v>
      </c>
      <c r="X29" s="19"/>
      <c r="Y29" s="19"/>
      <c r="Z29" s="19" t="s">
        <v>258</v>
      </c>
      <c r="AA29" s="19">
        <v>1</v>
      </c>
      <c r="AB29" s="19">
        <v>1</v>
      </c>
      <c r="AC29" s="19" t="s">
        <v>59</v>
      </c>
      <c r="AD29" s="19" t="s">
        <v>68</v>
      </c>
      <c r="AE29" s="19" t="s">
        <v>107</v>
      </c>
      <c r="AF29" s="19"/>
    </row>
    <row r="30" spans="1:34">
      <c r="A30" s="19">
        <v>25</v>
      </c>
      <c r="B30" s="19" t="s">
        <v>252</v>
      </c>
      <c r="C30" s="19" t="s">
        <v>219</v>
      </c>
      <c r="D30" s="19" t="str">
        <f>HYPERLINK("http://henontech.com/fieldsafety/harzard/harzard_show.php?rid=1981&amp;url=harzardrecs.php","维修人员维修碱液泵，未按要求佩戴防护罩，以及防护手套，如果碱液泵拆卸过程中有碱液喷溅，会造成维修人员脸部被碱液灼伤红肿，上医务室处理后回家休养三天后复工，正常上班。")</f>
        <v>维修人员维修碱液泵，未按要求佩戴防护罩，以及防护手套，如果碱液泵拆卸过程中有碱液喷溅，会造成维修人员脸部被碱液灼伤红肿，上医务室处理后回家休养三天后复工，正常上班。</v>
      </c>
      <c r="E30" s="19" t="s">
        <v>259</v>
      </c>
      <c r="F30" s="20" t="s">
        <v>42</v>
      </c>
      <c r="G30" s="21" t="s">
        <v>43</v>
      </c>
      <c r="H30" s="19" t="s">
        <v>44</v>
      </c>
      <c r="I30" s="19" t="s">
        <v>205</v>
      </c>
      <c r="J30" s="19" t="s">
        <v>64</v>
      </c>
      <c r="K30" s="19" t="s">
        <v>46</v>
      </c>
      <c r="L30" s="19"/>
      <c r="M30" s="19" t="s">
        <v>66</v>
      </c>
      <c r="N30" s="19" t="s">
        <v>260</v>
      </c>
      <c r="O30" s="19" t="s">
        <v>66</v>
      </c>
      <c r="P30" s="19" t="s">
        <v>68</v>
      </c>
      <c r="Q30" s="19" t="s">
        <v>255</v>
      </c>
      <c r="R30" s="19" t="s">
        <v>261</v>
      </c>
      <c r="S30" s="19"/>
      <c r="T30" s="19" t="s">
        <v>53</v>
      </c>
      <c r="U30" s="19" t="s">
        <v>54</v>
      </c>
      <c r="V30" s="19" t="s">
        <v>105</v>
      </c>
      <c r="W30" s="19" t="s">
        <v>72</v>
      </c>
      <c r="X30" s="19"/>
      <c r="Y30" s="19"/>
      <c r="Z30" s="19" t="s">
        <v>262</v>
      </c>
      <c r="AA30" s="19">
        <v>1</v>
      </c>
      <c r="AB30" s="19">
        <v>1</v>
      </c>
      <c r="AC30" s="19" t="s">
        <v>59</v>
      </c>
      <c r="AD30" s="19" t="s">
        <v>68</v>
      </c>
      <c r="AE30" s="19" t="s">
        <v>152</v>
      </c>
      <c r="AF30" s="19"/>
    </row>
    <row r="31" spans="1:34">
      <c r="A31" s="19">
        <v>26</v>
      </c>
      <c r="B31" s="19" t="s">
        <v>252</v>
      </c>
      <c r="C31" s="19" t="s">
        <v>263</v>
      </c>
      <c r="D31" s="19" t="str">
        <f>HYPERLINK("http://henontech.com/fieldsafety/harzard/harzard_show.php?rid=1987&amp;url=harzardrecs.php","阿特拉斯空压机供油温度高，操作工加降温水冷却，通知维修清洗油冷器后，冷却水管未及时收起，夜间操作工巡检时，由于视线不清，不慎被水管绊倒，造成脚踝扭伤，送医救治。")</f>
        <v>阿特拉斯空压机供油温度高，操作工加降温水冷却，通知维修清洗油冷器后，冷却水管未及时收起，夜间操作工巡检时，由于视线不清，不慎被水管绊倒，造成脚踝扭伤，送医救治。</v>
      </c>
      <c r="E31" s="19" t="s">
        <v>264</v>
      </c>
      <c r="F31" s="20" t="s">
        <v>42</v>
      </c>
      <c r="G31" s="21" t="s">
        <v>43</v>
      </c>
      <c r="H31" s="19" t="s">
        <v>44</v>
      </c>
      <c r="I31" s="19" t="s">
        <v>205</v>
      </c>
      <c r="J31" s="19" t="s">
        <v>64</v>
      </c>
      <c r="K31" s="19" t="s">
        <v>79</v>
      </c>
      <c r="L31" s="19" t="s">
        <v>65</v>
      </c>
      <c r="M31" s="19" t="s">
        <v>146</v>
      </c>
      <c r="N31" s="19" t="s">
        <v>265</v>
      </c>
      <c r="O31" s="19" t="s">
        <v>146</v>
      </c>
      <c r="P31" s="19" t="s">
        <v>148</v>
      </c>
      <c r="Q31" s="19" t="s">
        <v>255</v>
      </c>
      <c r="R31" s="19" t="s">
        <v>266</v>
      </c>
      <c r="S31" s="19"/>
      <c r="T31" s="19" t="s">
        <v>53</v>
      </c>
      <c r="U31" s="19" t="s">
        <v>54</v>
      </c>
      <c r="V31" s="19" t="s">
        <v>95</v>
      </c>
      <c r="W31" s="19" t="s">
        <v>117</v>
      </c>
      <c r="X31" s="19" t="s">
        <v>267</v>
      </c>
      <c r="Y31" s="19" t="s">
        <v>159</v>
      </c>
      <c r="Z31" s="19" t="s">
        <v>268</v>
      </c>
      <c r="AA31" s="19">
        <v>1</v>
      </c>
      <c r="AB31" s="19">
        <v>1</v>
      </c>
      <c r="AC31" s="19" t="s">
        <v>59</v>
      </c>
      <c r="AD31" s="19" t="s">
        <v>148</v>
      </c>
      <c r="AE31" s="19" t="s">
        <v>152</v>
      </c>
      <c r="AF31" s="19" t="s">
        <v>269</v>
      </c>
    </row>
    <row r="32" spans="1:34">
      <c r="A32" s="19">
        <v>27</v>
      </c>
      <c r="B32" s="19" t="s">
        <v>209</v>
      </c>
      <c r="C32" s="19" t="s">
        <v>270</v>
      </c>
      <c r="D32" s="19" t="str">
        <f>HYPERLINK("http://henontech.com/fieldsafety/harzard/harzard_show.php?rid=1997&amp;url=harzardrecs.php","一名巡检工到2号废锅液位计处巡检发现法兰电传液位计垫子破蒸汽泄露通知维修，维修工维修时防护不当被蒸汽烫伤脸部送医院治疗")</f>
        <v>一名巡检工到2号废锅液位计处巡检发现法兰电传液位计垫子破蒸汽泄露通知维修，维修工维修时防护不当被蒸汽烫伤脸部送医院治疗</v>
      </c>
      <c r="E32" s="19" t="s">
        <v>271</v>
      </c>
      <c r="F32" s="20" t="s">
        <v>42</v>
      </c>
      <c r="G32" s="21" t="s">
        <v>43</v>
      </c>
      <c r="H32" s="19" t="s">
        <v>44</v>
      </c>
      <c r="I32" s="19" t="s">
        <v>78</v>
      </c>
      <c r="J32" s="19" t="s">
        <v>64</v>
      </c>
      <c r="K32" s="19" t="s">
        <v>79</v>
      </c>
      <c r="L32" s="19" t="s">
        <v>65</v>
      </c>
      <c r="M32" s="19" t="s">
        <v>146</v>
      </c>
      <c r="N32" s="19" t="s">
        <v>272</v>
      </c>
      <c r="O32" s="19" t="s">
        <v>146</v>
      </c>
      <c r="P32" s="19" t="s">
        <v>148</v>
      </c>
      <c r="Q32" s="19" t="s">
        <v>255</v>
      </c>
      <c r="R32" s="19" t="s">
        <v>273</v>
      </c>
      <c r="S32" s="19"/>
      <c r="T32" s="19" t="s">
        <v>53</v>
      </c>
      <c r="U32" s="19" t="s">
        <v>54</v>
      </c>
      <c r="V32" s="19" t="s">
        <v>95</v>
      </c>
      <c r="W32" s="19" t="s">
        <v>117</v>
      </c>
      <c r="X32" s="19" t="s">
        <v>267</v>
      </c>
      <c r="Y32" s="19" t="s">
        <v>159</v>
      </c>
      <c r="Z32" s="19" t="s">
        <v>274</v>
      </c>
      <c r="AA32" s="19">
        <v>1</v>
      </c>
      <c r="AB32" s="19">
        <v>1</v>
      </c>
      <c r="AC32" s="19" t="s">
        <v>59</v>
      </c>
      <c r="AD32" s="19" t="s">
        <v>148</v>
      </c>
      <c r="AE32" s="19" t="s">
        <v>152</v>
      </c>
      <c r="AF32" s="19" t="s">
        <v>275</v>
      </c>
    </row>
    <row r="33" spans="1:34">
      <c r="A33" s="19">
        <v>28</v>
      </c>
      <c r="B33" s="19" t="s">
        <v>209</v>
      </c>
      <c r="C33" s="19" t="s">
        <v>276</v>
      </c>
      <c r="D33" s="19" t="str">
        <f>HYPERLINK("http://henontech.com/fieldsafety/harzard/harzard_show.php?rid=1998&amp;url=harzardrecs.php","离心晶分池入口管线阀门泄露，一名操作工在夜间操作时因为光线暗，又没有佩戴防护镜导致泄露的氨水溅入眼中，导致眼睛灼伤，紧急清理后送医治疗一周。")</f>
        <v>离心晶分池入口管线阀门泄露，一名操作工在夜间操作时因为光线暗，又没有佩戴防护镜导致泄露的氨水溅入眼中，导致眼睛灼伤，紧急清理后送医治疗一周。</v>
      </c>
      <c r="E33" s="19" t="s">
        <v>277</v>
      </c>
      <c r="F33" s="20" t="s">
        <v>42</v>
      </c>
      <c r="G33" s="21" t="s">
        <v>43</v>
      </c>
      <c r="H33" s="19" t="s">
        <v>44</v>
      </c>
      <c r="I33" s="19" t="s">
        <v>129</v>
      </c>
      <c r="J33" s="19" t="s">
        <v>64</v>
      </c>
      <c r="K33" s="19" t="s">
        <v>46</v>
      </c>
      <c r="L33" s="19" t="s">
        <v>65</v>
      </c>
      <c r="M33" s="19" t="s">
        <v>146</v>
      </c>
      <c r="N33" s="19" t="s">
        <v>278</v>
      </c>
      <c r="O33" s="19" t="s">
        <v>146</v>
      </c>
      <c r="P33" s="19" t="s">
        <v>148</v>
      </c>
      <c r="Q33" s="19" t="s">
        <v>255</v>
      </c>
      <c r="R33" s="19" t="s">
        <v>279</v>
      </c>
      <c r="S33" s="19"/>
      <c r="T33" s="19" t="s">
        <v>53</v>
      </c>
      <c r="U33" s="19" t="s">
        <v>54</v>
      </c>
      <c r="V33" s="19" t="s">
        <v>95</v>
      </c>
      <c r="W33" s="19" t="s">
        <v>117</v>
      </c>
      <c r="X33" s="19" t="s">
        <v>150</v>
      </c>
      <c r="Y33" s="19" t="s">
        <v>150</v>
      </c>
      <c r="Z33" s="19" t="s">
        <v>280</v>
      </c>
      <c r="AA33" s="19">
        <v>1</v>
      </c>
      <c r="AB33" s="19">
        <v>1</v>
      </c>
      <c r="AC33" s="19" t="s">
        <v>59</v>
      </c>
      <c r="AD33" s="19" t="s">
        <v>148</v>
      </c>
      <c r="AE33" s="19" t="s">
        <v>152</v>
      </c>
      <c r="AF33" s="19" t="s">
        <v>281</v>
      </c>
    </row>
    <row r="34" spans="1:34">
      <c r="A34" s="19">
        <v>29</v>
      </c>
      <c r="B34" s="19" t="s">
        <v>209</v>
      </c>
      <c r="C34" s="19" t="s">
        <v>263</v>
      </c>
      <c r="D34" s="19" t="str">
        <f>HYPERLINK("http://henontech.com/fieldsafety/harzard/harzard_show.php?rid=1999&amp;url=harzardrecs.php","操作工往液氧储槽排放液氧时发现取样阀垫子泄露，通知维修。维修工维修时因防护不当不慎被液氧冻伤右手，送医院简单治疗。")</f>
        <v>操作工往液氧储槽排放液氧时发现取样阀垫子泄露，通知维修。维修工维修时因防护不当不慎被液氧冻伤右手，送医院简单治疗。</v>
      </c>
      <c r="E34" s="19" t="s">
        <v>282</v>
      </c>
      <c r="F34" s="20" t="s">
        <v>42</v>
      </c>
      <c r="G34" s="21" t="s">
        <v>43</v>
      </c>
      <c r="H34" s="19" t="s">
        <v>44</v>
      </c>
      <c r="I34" s="19" t="s">
        <v>78</v>
      </c>
      <c r="J34" s="19" t="s">
        <v>64</v>
      </c>
      <c r="K34" s="19" t="s">
        <v>79</v>
      </c>
      <c r="L34" s="19" t="s">
        <v>65</v>
      </c>
      <c r="M34" s="19" t="s">
        <v>146</v>
      </c>
      <c r="N34" s="19" t="s">
        <v>283</v>
      </c>
      <c r="O34" s="19" t="s">
        <v>146</v>
      </c>
      <c r="P34" s="19" t="s">
        <v>148</v>
      </c>
      <c r="Q34" s="19" t="s">
        <v>284</v>
      </c>
      <c r="R34" s="19" t="s">
        <v>285</v>
      </c>
      <c r="S34" s="19"/>
      <c r="T34" s="19" t="s">
        <v>53</v>
      </c>
      <c r="U34" s="19" t="s">
        <v>54</v>
      </c>
      <c r="V34" s="19" t="s">
        <v>95</v>
      </c>
      <c r="W34" s="19" t="s">
        <v>117</v>
      </c>
      <c r="X34" s="19" t="s">
        <v>267</v>
      </c>
      <c r="Y34" s="19" t="s">
        <v>159</v>
      </c>
      <c r="Z34" s="19" t="s">
        <v>286</v>
      </c>
      <c r="AA34" s="19">
        <v>1</v>
      </c>
      <c r="AB34" s="19">
        <v>1</v>
      </c>
      <c r="AC34" s="19" t="s">
        <v>59</v>
      </c>
      <c r="AD34" s="19" t="s">
        <v>148</v>
      </c>
      <c r="AE34" s="19" t="s">
        <v>152</v>
      </c>
      <c r="AF34" s="19" t="s">
        <v>287</v>
      </c>
    </row>
    <row r="35" spans="1:34">
      <c r="A35" s="19">
        <v>30</v>
      </c>
      <c r="B35" s="19" t="s">
        <v>288</v>
      </c>
      <c r="C35" s="19" t="s">
        <v>289</v>
      </c>
      <c r="D35" s="19" t="str">
        <f>HYPERLINK("http://henontech.com/fieldsafety/harzard/harzard_show.php?rid=2002&amp;url=harzardrecs.php","叉车停车后未拉手刹，叉车司机在上车时突然溜车，压伤右脚拇指，送医院治疗。")</f>
        <v>叉车停车后未拉手刹，叉车司机在上车时突然溜车，压伤右脚拇指，送医院治疗。</v>
      </c>
      <c r="E35" s="19" t="s">
        <v>290</v>
      </c>
      <c r="F35" s="20" t="s">
        <v>42</v>
      </c>
      <c r="G35" s="22" t="s">
        <v>111</v>
      </c>
      <c r="H35" s="19" t="s">
        <v>44</v>
      </c>
      <c r="I35" s="19"/>
      <c r="J35" s="19" t="s">
        <v>87</v>
      </c>
      <c r="K35" s="19" t="s">
        <v>79</v>
      </c>
      <c r="L35" s="19"/>
      <c r="M35" s="19" t="s">
        <v>146</v>
      </c>
      <c r="N35" s="19" t="s">
        <v>291</v>
      </c>
      <c r="O35" s="19" t="s">
        <v>146</v>
      </c>
      <c r="P35" s="19" t="s">
        <v>249</v>
      </c>
      <c r="Q35" s="19" t="s">
        <v>292</v>
      </c>
      <c r="R35" s="19" t="s">
        <v>293</v>
      </c>
      <c r="S35" s="19"/>
      <c r="T35" s="19" t="s">
        <v>53</v>
      </c>
      <c r="U35" s="19" t="s">
        <v>54</v>
      </c>
      <c r="V35" s="19" t="s">
        <v>55</v>
      </c>
      <c r="W35" s="19" t="s">
        <v>56</v>
      </c>
      <c r="X35" s="19" t="s">
        <v>141</v>
      </c>
      <c r="Y35" s="19" t="s">
        <v>141</v>
      </c>
      <c r="Z35" s="19" t="s">
        <v>294</v>
      </c>
      <c r="AA35" s="19">
        <v>1</v>
      </c>
      <c r="AB35" s="19">
        <v>1</v>
      </c>
      <c r="AC35" s="19" t="s">
        <v>59</v>
      </c>
      <c r="AD35" s="19" t="s">
        <v>249</v>
      </c>
      <c r="AE35" s="19" t="s">
        <v>157</v>
      </c>
      <c r="AF35" s="19"/>
    </row>
    <row r="36" spans="1:34">
      <c r="A36" s="19">
        <v>31</v>
      </c>
      <c r="B36" s="19" t="s">
        <v>288</v>
      </c>
      <c r="C36" s="19" t="s">
        <v>295</v>
      </c>
      <c r="D36" s="19" t="str">
        <f>HYPERLINK("http://henontech.com/fieldsafety/harzard/harzard_show.php?rid=2003&amp;url=harzardrecs.php","化工厂2#压缩机电机基础侧有宽缝隙，未进行覆盖。如果压缩机巡检工对压缩机电机进行巡检时，脚不慎掉入该缝隙，造成崴伤脚腕，损工治疗。")</f>
        <v>化工厂2#压缩机电机基础侧有宽缝隙，未进行覆盖。如果压缩机巡检工对压缩机电机进行巡检时，脚不慎掉入该缝隙，造成崴伤脚腕，损工治疗。</v>
      </c>
      <c r="E36" s="19" t="s">
        <v>296</v>
      </c>
      <c r="F36" s="20" t="s">
        <v>42</v>
      </c>
      <c r="G36" s="21" t="s">
        <v>43</v>
      </c>
      <c r="H36" s="19" t="s">
        <v>44</v>
      </c>
      <c r="I36" s="19" t="s">
        <v>297</v>
      </c>
      <c r="J36" s="19" t="s">
        <v>64</v>
      </c>
      <c r="K36" s="19" t="s">
        <v>88</v>
      </c>
      <c r="L36" s="19" t="s">
        <v>65</v>
      </c>
      <c r="M36" s="19" t="s">
        <v>146</v>
      </c>
      <c r="N36" s="19" t="s">
        <v>298</v>
      </c>
      <c r="O36" s="19" t="s">
        <v>146</v>
      </c>
      <c r="P36" s="19" t="s">
        <v>249</v>
      </c>
      <c r="Q36" s="19" t="s">
        <v>152</v>
      </c>
      <c r="R36" s="19" t="s">
        <v>299</v>
      </c>
      <c r="S36" s="19"/>
      <c r="T36" s="19" t="s">
        <v>53</v>
      </c>
      <c r="U36" s="19" t="s">
        <v>54</v>
      </c>
      <c r="V36" s="19" t="s">
        <v>55</v>
      </c>
      <c r="W36" s="19" t="s">
        <v>56</v>
      </c>
      <c r="X36" s="19" t="s">
        <v>141</v>
      </c>
      <c r="Y36" s="19" t="s">
        <v>141</v>
      </c>
      <c r="Z36" s="19" t="s">
        <v>300</v>
      </c>
      <c r="AA36" s="19">
        <v>1</v>
      </c>
      <c r="AB36" s="19">
        <v>1</v>
      </c>
      <c r="AC36" s="19" t="s">
        <v>59</v>
      </c>
      <c r="AD36" s="19" t="s">
        <v>249</v>
      </c>
      <c r="AE36" s="19" t="s">
        <v>157</v>
      </c>
      <c r="AF36" s="19"/>
    </row>
    <row r="37" spans="1:34">
      <c r="A37" s="19">
        <v>32</v>
      </c>
      <c r="B37" s="19" t="s">
        <v>288</v>
      </c>
      <c r="C37" s="19" t="s">
        <v>99</v>
      </c>
      <c r="D37" s="19" t="str">
        <f>HYPERLINK("http://henontech.com/fieldsafety/harzard/harzard_show.php?rid=2005&amp;url=harzardrecs.php","3#初冷器冲洗下液管的蒸汽阀门盘根漏蒸汽，一名操作工在开蒸汽冲洗下液管时如果手部防护措施不到位导致蒸汽把右手面烫伤，经医务室简单处理，正常工作。")</f>
        <v>3#初冷器冲洗下液管的蒸汽阀门盘根漏蒸汽，一名操作工在开蒸汽冲洗下液管时如果手部防护措施不到位导致蒸汽把右手面烫伤，经医务室简单处理，正常工作。</v>
      </c>
      <c r="E37" s="19" t="s">
        <v>301</v>
      </c>
      <c r="F37" s="20" t="s">
        <v>42</v>
      </c>
      <c r="G37" s="21" t="s">
        <v>43</v>
      </c>
      <c r="H37" s="19" t="s">
        <v>44</v>
      </c>
      <c r="I37" s="19" t="s">
        <v>78</v>
      </c>
      <c r="J37" s="19" t="s">
        <v>64</v>
      </c>
      <c r="K37" s="19" t="s">
        <v>302</v>
      </c>
      <c r="L37" s="19" t="s">
        <v>65</v>
      </c>
      <c r="M37" s="19" t="s">
        <v>66</v>
      </c>
      <c r="N37" s="19" t="s">
        <v>130</v>
      </c>
      <c r="O37" s="19" t="s">
        <v>66</v>
      </c>
      <c r="P37" s="19" t="s">
        <v>68</v>
      </c>
      <c r="Q37" s="19" t="s">
        <v>284</v>
      </c>
      <c r="R37" s="19" t="s">
        <v>303</v>
      </c>
      <c r="S37" s="19"/>
      <c r="T37" s="19" t="s">
        <v>53</v>
      </c>
      <c r="U37" s="19" t="s">
        <v>71</v>
      </c>
      <c r="V37" s="19" t="s">
        <v>105</v>
      </c>
      <c r="W37" s="19" t="s">
        <v>96</v>
      </c>
      <c r="X37" s="19"/>
      <c r="Y37" s="19"/>
      <c r="Z37" s="19" t="s">
        <v>304</v>
      </c>
      <c r="AA37" s="19">
        <v>1</v>
      </c>
      <c r="AB37" s="19">
        <v>1</v>
      </c>
      <c r="AC37" s="19" t="s">
        <v>59</v>
      </c>
      <c r="AD37" s="19" t="s">
        <v>68</v>
      </c>
      <c r="AE37" s="19" t="s">
        <v>305</v>
      </c>
      <c r="AF37" s="19"/>
    </row>
    <row r="38" spans="1:34" customHeight="1" ht="42">
      <c r="A38" s="19">
        <v>33</v>
      </c>
      <c r="B38" s="19" t="s">
        <v>288</v>
      </c>
      <c r="C38" s="19" t="s">
        <v>306</v>
      </c>
      <c r="D38" s="19" t="str">
        <f>HYPERLINK("http://henontech.com/fieldsafety/harzard/harzard_show.php?rid=2008&amp;url=harzardrecs.php","焦护栏因使用年限较长，腐蚀严重，造成人员摔伤")</f>
        <v>焦护栏因使用年限较长，腐蚀严重，造成人员摔伤</v>
      </c>
      <c r="E38" s="19" t="s">
        <v>307</v>
      </c>
      <c r="F38" s="20" t="s">
        <v>42</v>
      </c>
      <c r="G38" s="21" t="s">
        <v>43</v>
      </c>
      <c r="H38" s="19" t="s">
        <v>44</v>
      </c>
      <c r="I38" s="19"/>
      <c r="J38" s="19" t="s">
        <v>308</v>
      </c>
      <c r="K38" s="19" t="s">
        <v>46</v>
      </c>
      <c r="L38" s="19"/>
      <c r="M38" s="19" t="s">
        <v>49</v>
      </c>
      <c r="N38" s="19" t="s">
        <v>309</v>
      </c>
      <c r="O38" s="19" t="s">
        <v>49</v>
      </c>
      <c r="P38" s="19" t="s">
        <v>310</v>
      </c>
      <c r="Q38" s="19" t="s">
        <v>284</v>
      </c>
      <c r="R38" s="19" t="s">
        <v>311</v>
      </c>
      <c r="S38" s="19"/>
      <c r="T38" s="19" t="s">
        <v>53</v>
      </c>
      <c r="U38" s="19" t="s">
        <v>71</v>
      </c>
      <c r="V38" s="19" t="s">
        <v>105</v>
      </c>
      <c r="W38" s="19" t="s">
        <v>96</v>
      </c>
      <c r="X38" s="19" t="s">
        <v>141</v>
      </c>
      <c r="Y38" s="19" t="s">
        <v>141</v>
      </c>
      <c r="Z38" s="19" t="s">
        <v>312</v>
      </c>
      <c r="AA38" s="19">
        <v>2</v>
      </c>
      <c r="AB38" s="19">
        <v>0</v>
      </c>
      <c r="AC38" s="19" t="s">
        <v>59</v>
      </c>
      <c r="AD38" s="19" t="s">
        <v>310</v>
      </c>
      <c r="AE38" s="19" t="s">
        <v>313</v>
      </c>
      <c r="AF38" s="19" t="s">
        <v>314</v>
      </c>
    </row>
    <row r="39" spans="1:34">
      <c r="A39" s="19">
        <v>34</v>
      </c>
      <c r="B39" s="19" t="s">
        <v>288</v>
      </c>
      <c r="C39" s="19" t="s">
        <v>306</v>
      </c>
      <c r="D39" s="19" t="str">
        <f>HYPERLINK("http://henontech.com/fieldsafety/harzard/harzard_show.php?rid=2011&amp;url=harzardrecs.php","4.3米焦炉脱硫脱硝风机联轴器护罩未复位，假如一名操作人员在设备运转时，靠近设备检查轴承温度，可能会造成手臂骨折，住院治疗30天")</f>
        <v>4.3米焦炉脱硫脱硝风机联轴器护罩未复位，假如一名操作人员在设备运转时，靠近设备检查轴承温度，可能会造成手臂骨折，住院治疗30天</v>
      </c>
      <c r="E39" s="19" t="s">
        <v>315</v>
      </c>
      <c r="F39" s="23" t="s">
        <v>227</v>
      </c>
      <c r="G39" s="21" t="s">
        <v>43</v>
      </c>
      <c r="H39" s="19" t="s">
        <v>44</v>
      </c>
      <c r="I39" s="19" t="s">
        <v>129</v>
      </c>
      <c r="J39" s="19" t="s">
        <v>64</v>
      </c>
      <c r="K39" s="19" t="s">
        <v>79</v>
      </c>
      <c r="L39" s="19" t="s">
        <v>65</v>
      </c>
      <c r="M39" s="19" t="s">
        <v>49</v>
      </c>
      <c r="N39" s="19" t="s">
        <v>316</v>
      </c>
      <c r="O39" s="19"/>
      <c r="P39" s="19"/>
      <c r="Q39" s="19"/>
      <c r="R39" s="19" t="s">
        <v>317</v>
      </c>
      <c r="S39" s="19" t="s">
        <v>318</v>
      </c>
      <c r="T39" s="19" t="s">
        <v>53</v>
      </c>
      <c r="U39" s="19" t="s">
        <v>54</v>
      </c>
      <c r="V39" s="19" t="s">
        <v>55</v>
      </c>
      <c r="W39" s="19" t="s">
        <v>56</v>
      </c>
      <c r="X39" s="19"/>
      <c r="Y39" s="19"/>
      <c r="Z39" s="19"/>
      <c r="AA39" s="19">
        <v>0</v>
      </c>
      <c r="AB39" s="19"/>
      <c r="AC39" s="19" t="s">
        <v>233</v>
      </c>
      <c r="AD39" s="19"/>
      <c r="AE39" s="19"/>
      <c r="AF39" s="19"/>
    </row>
    <row r="40" spans="1:34" customHeight="1" ht="42">
      <c r="A40" s="19">
        <v>35</v>
      </c>
      <c r="B40" s="19" t="s">
        <v>288</v>
      </c>
      <c r="C40" s="19" t="s">
        <v>319</v>
      </c>
      <c r="D40" s="19" t="str">
        <f>HYPERLINK("http://henontech.com/fieldsafety/harzard/harzard_show.php?rid=2012&amp;url=harzardrecs.php","4.3米脱硫脱硝高压风机护栏及降温水管绑有多处铁丝，如果一名巡检工高速行走时不慎碰触铁丝，造成脸部被铁丝划伤，送医务室轻微包扎后恢复健康。")</f>
        <v>4.3米脱硫脱硝高压风机护栏及降温水管绑有多处铁丝，如果一名巡检工高速行走时不慎碰触铁丝，造成脸部被铁丝划伤，送医务室轻微包扎后恢复健康。</v>
      </c>
      <c r="E40" s="19" t="s">
        <v>320</v>
      </c>
      <c r="F40" s="20" t="s">
        <v>42</v>
      </c>
      <c r="G40" s="21" t="s">
        <v>43</v>
      </c>
      <c r="H40" s="19" t="s">
        <v>44</v>
      </c>
      <c r="I40" s="19"/>
      <c r="J40" s="19"/>
      <c r="K40" s="19" t="s">
        <v>46</v>
      </c>
      <c r="L40" s="19"/>
      <c r="M40" s="19" t="s">
        <v>47</v>
      </c>
      <c r="N40" s="19" t="s">
        <v>321</v>
      </c>
      <c r="O40" s="19" t="s">
        <v>49</v>
      </c>
      <c r="P40" s="19" t="s">
        <v>310</v>
      </c>
      <c r="Q40" s="19" t="s">
        <v>284</v>
      </c>
      <c r="R40" s="19" t="s">
        <v>322</v>
      </c>
      <c r="S40" s="19"/>
      <c r="T40" s="19" t="s">
        <v>53</v>
      </c>
      <c r="U40" s="19" t="s">
        <v>71</v>
      </c>
      <c r="V40" s="19" t="s">
        <v>55</v>
      </c>
      <c r="W40" s="19" t="s">
        <v>72</v>
      </c>
      <c r="X40" s="19" t="s">
        <v>141</v>
      </c>
      <c r="Y40" s="19" t="s">
        <v>141</v>
      </c>
      <c r="Z40" s="19" t="s">
        <v>323</v>
      </c>
      <c r="AA40" s="19">
        <v>2</v>
      </c>
      <c r="AB40" s="19">
        <v>0</v>
      </c>
      <c r="AC40" s="19" t="s">
        <v>59</v>
      </c>
      <c r="AD40" s="19" t="s">
        <v>310</v>
      </c>
      <c r="AE40" s="19" t="s">
        <v>313</v>
      </c>
      <c r="AF40" s="19" t="s">
        <v>314</v>
      </c>
    </row>
    <row r="41" spans="1:34">
      <c r="A41" s="19">
        <v>36</v>
      </c>
      <c r="B41" s="19" t="s">
        <v>288</v>
      </c>
      <c r="C41" s="19" t="s">
        <v>324</v>
      </c>
      <c r="D41" s="19" t="str">
        <f>HYPERLINK("http://henontech.com/fieldsafety/harzard/harzard_show.php?rid=2014&amp;url=harzardrecs.php","冰机操作工在停2号冰机期间，突然出口阀填料漏氨气，操作工当时感到胸闷，呼吸困难，立即跑到空气流畅地方休息片刻，并送医务室救治。")</f>
        <v>冰机操作工在停2号冰机期间，突然出口阀填料漏氨气，操作工当时感到胸闷，呼吸困难，立即跑到空气流畅地方休息片刻，并送医务室救治。</v>
      </c>
      <c r="E41" s="19" t="s">
        <v>325</v>
      </c>
      <c r="F41" s="20" t="s">
        <v>42</v>
      </c>
      <c r="G41" s="22" t="s">
        <v>111</v>
      </c>
      <c r="H41" s="19" t="s">
        <v>44</v>
      </c>
      <c r="I41" s="19" t="s">
        <v>129</v>
      </c>
      <c r="J41" s="19" t="s">
        <v>64</v>
      </c>
      <c r="K41" s="19" t="s">
        <v>88</v>
      </c>
      <c r="L41" s="19"/>
      <c r="M41" s="19" t="s">
        <v>146</v>
      </c>
      <c r="N41" s="19" t="s">
        <v>326</v>
      </c>
      <c r="O41" s="19" t="s">
        <v>146</v>
      </c>
      <c r="P41" s="19" t="s">
        <v>249</v>
      </c>
      <c r="Q41" s="19" t="s">
        <v>327</v>
      </c>
      <c r="R41" s="19" t="s">
        <v>328</v>
      </c>
      <c r="S41" s="19"/>
      <c r="T41" s="19" t="s">
        <v>53</v>
      </c>
      <c r="U41" s="19" t="s">
        <v>71</v>
      </c>
      <c r="V41" s="19" t="s">
        <v>55</v>
      </c>
      <c r="W41" s="19" t="s">
        <v>72</v>
      </c>
      <c r="X41" s="19" t="s">
        <v>57</v>
      </c>
      <c r="Y41" s="19" t="s">
        <v>57</v>
      </c>
      <c r="Z41" s="19" t="s">
        <v>329</v>
      </c>
      <c r="AA41" s="19">
        <v>1</v>
      </c>
      <c r="AB41" s="19">
        <v>1</v>
      </c>
      <c r="AC41" s="19" t="s">
        <v>59</v>
      </c>
      <c r="AD41" s="19" t="s">
        <v>249</v>
      </c>
      <c r="AE41" s="19" t="s">
        <v>157</v>
      </c>
      <c r="AF41" s="19"/>
    </row>
    <row r="42" spans="1:34">
      <c r="A42" s="19">
        <v>37</v>
      </c>
      <c r="B42" s="19" t="s">
        <v>288</v>
      </c>
      <c r="C42" s="19" t="s">
        <v>330</v>
      </c>
      <c r="D42" s="19" t="str">
        <f>HYPERLINK("http://henontech.com/fieldsafety/harzard/harzard_show.php?rid=2015&amp;url=harzardrecs.php","在操作过程中由于工具放置不牢一名操作工巡检时工具滑落将操作工脚面砸伤送院治疗")</f>
        <v>在操作过程中由于工具放置不牢一名操作工巡检时工具滑落将操作工脚面砸伤送院治疗</v>
      </c>
      <c r="E42" s="19" t="s">
        <v>331</v>
      </c>
      <c r="F42" s="20" t="s">
        <v>42</v>
      </c>
      <c r="G42" s="21" t="s">
        <v>43</v>
      </c>
      <c r="H42" s="19" t="s">
        <v>44</v>
      </c>
      <c r="I42" s="19"/>
      <c r="J42" s="19" t="s">
        <v>64</v>
      </c>
      <c r="K42" s="19" t="s">
        <v>88</v>
      </c>
      <c r="L42" s="19"/>
      <c r="M42" s="19" t="s">
        <v>146</v>
      </c>
      <c r="N42" s="19" t="s">
        <v>332</v>
      </c>
      <c r="O42" s="19" t="s">
        <v>146</v>
      </c>
      <c r="P42" s="19" t="s">
        <v>249</v>
      </c>
      <c r="Q42" s="19" t="s">
        <v>284</v>
      </c>
      <c r="R42" s="19" t="s">
        <v>146</v>
      </c>
      <c r="S42" s="19"/>
      <c r="T42" s="19" t="s">
        <v>53</v>
      </c>
      <c r="U42" s="19" t="s">
        <v>71</v>
      </c>
      <c r="V42" s="19" t="s">
        <v>95</v>
      </c>
      <c r="W42" s="19" t="s">
        <v>56</v>
      </c>
      <c r="X42" s="19" t="s">
        <v>141</v>
      </c>
      <c r="Y42" s="19" t="s">
        <v>141</v>
      </c>
      <c r="Z42" s="19" t="s">
        <v>333</v>
      </c>
      <c r="AA42" s="19">
        <v>1</v>
      </c>
      <c r="AB42" s="19">
        <v>1</v>
      </c>
      <c r="AC42" s="19" t="s">
        <v>59</v>
      </c>
      <c r="AD42" s="19" t="s">
        <v>249</v>
      </c>
      <c r="AE42" s="19" t="s">
        <v>334</v>
      </c>
      <c r="AF42" s="19"/>
    </row>
    <row r="43" spans="1:34">
      <c r="A43" s="19">
        <v>38</v>
      </c>
      <c r="B43" s="19" t="s">
        <v>74</v>
      </c>
      <c r="C43" s="19" t="s">
        <v>99</v>
      </c>
      <c r="D43" s="19" t="str">
        <f>HYPERLINK("http://henontech.com/fieldsafety/harzard/harzard_show.php?rid=2016&amp;url=harzardrecs.php","一号初冷器下液管蒸汽吹扫阀门盘根漏蒸汽，一名操作人员开蒸汽吹散管道时防护措施不到位会导致双手烫伤，不影响正常工作")</f>
        <v>一号初冷器下液管蒸汽吹扫阀门盘根漏蒸汽，一名操作人员开蒸汽吹散管道时防护措施不到位会导致双手烫伤，不影响正常工作</v>
      </c>
      <c r="E43" s="19" t="s">
        <v>335</v>
      </c>
      <c r="F43" s="20" t="s">
        <v>42</v>
      </c>
      <c r="G43" s="21" t="s">
        <v>43</v>
      </c>
      <c r="H43" s="19" t="s">
        <v>44</v>
      </c>
      <c r="I43" s="19" t="s">
        <v>129</v>
      </c>
      <c r="J43" s="19" t="s">
        <v>165</v>
      </c>
      <c r="K43" s="19" t="s">
        <v>46</v>
      </c>
      <c r="L43" s="19" t="s">
        <v>65</v>
      </c>
      <c r="M43" s="19" t="s">
        <v>66</v>
      </c>
      <c r="N43" s="19" t="s">
        <v>336</v>
      </c>
      <c r="O43" s="19" t="s">
        <v>66</v>
      </c>
      <c r="P43" s="19" t="s">
        <v>68</v>
      </c>
      <c r="Q43" s="19" t="s">
        <v>284</v>
      </c>
      <c r="R43" s="19" t="s">
        <v>337</v>
      </c>
      <c r="S43" s="19"/>
      <c r="T43" s="19" t="s">
        <v>53</v>
      </c>
      <c r="U43" s="19" t="s">
        <v>71</v>
      </c>
      <c r="V43" s="19" t="s">
        <v>105</v>
      </c>
      <c r="W43" s="19" t="s">
        <v>96</v>
      </c>
      <c r="X43" s="19"/>
      <c r="Y43" s="19"/>
      <c r="Z43" s="19" t="s">
        <v>338</v>
      </c>
      <c r="AA43" s="19">
        <v>1</v>
      </c>
      <c r="AB43" s="19">
        <v>1</v>
      </c>
      <c r="AC43" s="19" t="s">
        <v>59</v>
      </c>
      <c r="AD43" s="19" t="s">
        <v>68</v>
      </c>
      <c r="AE43" s="19" t="s">
        <v>74</v>
      </c>
      <c r="AF43" s="19"/>
    </row>
    <row r="44" spans="1:34">
      <c r="A44" s="19">
        <v>39</v>
      </c>
      <c r="B44" s="19" t="s">
        <v>74</v>
      </c>
      <c r="C44" s="19" t="s">
        <v>99</v>
      </c>
      <c r="D44" s="19" t="str">
        <f>HYPERLINK("http://henontech.com/fieldsafety/harzard/harzard_show.php?rid=2017&amp;url=harzardrecs.php","保运人员在离地面3米高的管线上置换螺丝，未佩戴安全带，如果人员在作业中不慎绊倒摔落地面，左手臂先着地，造成左手臂骨折，住院一个月康复出院。")</f>
        <v>保运人员在离地面3米高的管线上置换螺丝，未佩戴安全带，如果人员在作业中不慎绊倒摔落地面，左手臂先着地，造成左手臂骨折，住院一个月康复出院。</v>
      </c>
      <c r="E44" s="19" t="s">
        <v>339</v>
      </c>
      <c r="F44" s="20" t="s">
        <v>42</v>
      </c>
      <c r="G44" s="22" t="s">
        <v>111</v>
      </c>
      <c r="H44" s="19" t="s">
        <v>44</v>
      </c>
      <c r="I44" s="19"/>
      <c r="J44" s="19" t="s">
        <v>45</v>
      </c>
      <c r="K44" s="19" t="s">
        <v>79</v>
      </c>
      <c r="L44" s="19" t="s">
        <v>65</v>
      </c>
      <c r="M44" s="19" t="s">
        <v>66</v>
      </c>
      <c r="N44" s="19" t="s">
        <v>340</v>
      </c>
      <c r="O44" s="19" t="s">
        <v>66</v>
      </c>
      <c r="P44" s="19" t="s">
        <v>68</v>
      </c>
      <c r="Q44" s="19" t="s">
        <v>284</v>
      </c>
      <c r="R44" s="19" t="s">
        <v>337</v>
      </c>
      <c r="S44" s="19"/>
      <c r="T44" s="19" t="s">
        <v>53</v>
      </c>
      <c r="U44" s="19" t="s">
        <v>54</v>
      </c>
      <c r="V44" s="19" t="s">
        <v>55</v>
      </c>
      <c r="W44" s="19" t="s">
        <v>56</v>
      </c>
      <c r="X44" s="19"/>
      <c r="Y44" s="19"/>
      <c r="Z44" s="19" t="s">
        <v>341</v>
      </c>
      <c r="AA44" s="19">
        <v>1</v>
      </c>
      <c r="AB44" s="19">
        <v>1</v>
      </c>
      <c r="AC44" s="19" t="s">
        <v>59</v>
      </c>
      <c r="AD44" s="19" t="s">
        <v>68</v>
      </c>
      <c r="AE44" s="19" t="s">
        <v>74</v>
      </c>
      <c r="AF44" s="19"/>
    </row>
    <row r="45" spans="1:34">
      <c r="A45" s="19">
        <v>40</v>
      </c>
      <c r="B45" s="19" t="s">
        <v>74</v>
      </c>
      <c r="C45" s="19" t="s">
        <v>256</v>
      </c>
      <c r="D45" s="19" t="str">
        <f>HYPERLINK("http://henontech.com/fieldsafety/harzard/harzard_show.php?rid=2018&amp;url=harzardrecs.php","西硫铵蒸汽水包压力表没有红线，假如操作人员在开蒸汽时蒸汽压力过高，蒸汽压力表垫子松动造成操作人员胳膊烫伤，住院治疗一星期出院，在家修养十天恢复，造成一人损工事故。")</f>
        <v>西硫铵蒸汽水包压力表没有红线，假如操作人员在开蒸汽时蒸汽压力过高，蒸汽压力表垫子松动造成操作人员胳膊烫伤，住院治疗一星期出院，在家修养十天恢复，造成一人损工事故。</v>
      </c>
      <c r="E45" s="19" t="s">
        <v>342</v>
      </c>
      <c r="F45" s="20" t="s">
        <v>42</v>
      </c>
      <c r="G45" s="21" t="s">
        <v>43</v>
      </c>
      <c r="H45" s="19" t="s">
        <v>44</v>
      </c>
      <c r="I45" s="19" t="s">
        <v>78</v>
      </c>
      <c r="J45" s="19" t="s">
        <v>64</v>
      </c>
      <c r="K45" s="19" t="s">
        <v>46</v>
      </c>
      <c r="L45" s="19" t="s">
        <v>65</v>
      </c>
      <c r="M45" s="19" t="s">
        <v>66</v>
      </c>
      <c r="N45" s="19" t="s">
        <v>343</v>
      </c>
      <c r="O45" s="19" t="s">
        <v>66</v>
      </c>
      <c r="P45" s="19" t="s">
        <v>68</v>
      </c>
      <c r="Q45" s="19" t="s">
        <v>284</v>
      </c>
      <c r="R45" s="19" t="s">
        <v>344</v>
      </c>
      <c r="S45" s="19"/>
      <c r="T45" s="19" t="s">
        <v>53</v>
      </c>
      <c r="U45" s="19" t="s">
        <v>54</v>
      </c>
      <c r="V45" s="19" t="s">
        <v>55</v>
      </c>
      <c r="W45" s="19" t="s">
        <v>56</v>
      </c>
      <c r="X45" s="19"/>
      <c r="Y45" s="19"/>
      <c r="Z45" s="19" t="s">
        <v>345</v>
      </c>
      <c r="AA45" s="19">
        <v>1</v>
      </c>
      <c r="AB45" s="19">
        <v>1</v>
      </c>
      <c r="AC45" s="19" t="s">
        <v>59</v>
      </c>
      <c r="AD45" s="19" t="s">
        <v>68</v>
      </c>
      <c r="AE45" s="19" t="s">
        <v>74</v>
      </c>
      <c r="AF45" s="19"/>
    </row>
    <row r="46" spans="1:34">
      <c r="A46" s="19">
        <v>41</v>
      </c>
      <c r="B46" s="19" t="s">
        <v>74</v>
      </c>
      <c r="C46" s="19" t="s">
        <v>76</v>
      </c>
      <c r="D46" s="19" t="str">
        <f>HYPERLINK("http://henontech.com/fieldsafety/harzard/harzard_show.php?rid=2019&amp;url=harzardrecs.php","综合供水老加药间一配电盘门未关闭，一操作工在巡检过程中不小心碰到裸露的开关上触电死亡。")</f>
        <v>综合供水老加药间一配电盘门未关闭，一操作工在巡检过程中不小心碰到裸露的开关上触电死亡。</v>
      </c>
      <c r="E46" s="19" t="s">
        <v>346</v>
      </c>
      <c r="F46" s="23" t="s">
        <v>227</v>
      </c>
      <c r="G46" s="21" t="s">
        <v>43</v>
      </c>
      <c r="H46" s="19" t="s">
        <v>44</v>
      </c>
      <c r="I46" s="19" t="s">
        <v>78</v>
      </c>
      <c r="J46" s="19" t="s">
        <v>45</v>
      </c>
      <c r="K46" s="19" t="s">
        <v>88</v>
      </c>
      <c r="L46" s="19" t="s">
        <v>65</v>
      </c>
      <c r="M46" s="19" t="s">
        <v>66</v>
      </c>
      <c r="N46" s="19" t="s">
        <v>347</v>
      </c>
      <c r="O46" s="19"/>
      <c r="P46" s="19"/>
      <c r="Q46" s="19"/>
      <c r="R46" s="19" t="s">
        <v>348</v>
      </c>
      <c r="S46" s="19" t="s">
        <v>349</v>
      </c>
      <c r="T46" s="19" t="s">
        <v>53</v>
      </c>
      <c r="U46" s="19" t="s">
        <v>116</v>
      </c>
      <c r="V46" s="19" t="s">
        <v>55</v>
      </c>
      <c r="W46" s="19" t="s">
        <v>117</v>
      </c>
      <c r="X46" s="19"/>
      <c r="Y46" s="19"/>
      <c r="Z46" s="19"/>
      <c r="AA46" s="19">
        <v>0</v>
      </c>
      <c r="AB46" s="19"/>
      <c r="AC46" s="19" t="s">
        <v>233</v>
      </c>
      <c r="AD46" s="19"/>
      <c r="AE46" s="19"/>
      <c r="AF46" s="19"/>
    </row>
    <row r="47" spans="1:34">
      <c r="A47" s="19">
        <v>42</v>
      </c>
      <c r="B47" s="19" t="s">
        <v>74</v>
      </c>
      <c r="C47" s="19" t="s">
        <v>350</v>
      </c>
      <c r="D47" s="19" t="str">
        <f>HYPERLINK("http://henontech.com/fieldsafety/harzard/harzard_show.php?rid=2020&amp;url=harzardrecs.php","一名操作工在东澄槽巡检时，东管架处蒸汽阀门垫子突然破损，喷出大量蒸汽，一旦操作人员躲闪不及，可能导致脸部轻微烫伤。")</f>
        <v>一名操作工在东澄槽巡检时，东管架处蒸汽阀门垫子突然破损，喷出大量蒸汽，一旦操作人员躲闪不及，可能导致脸部轻微烫伤。</v>
      </c>
      <c r="E47" s="19" t="s">
        <v>351</v>
      </c>
      <c r="F47" s="23" t="s">
        <v>227</v>
      </c>
      <c r="G47" s="21" t="s">
        <v>43</v>
      </c>
      <c r="H47" s="19" t="s">
        <v>44</v>
      </c>
      <c r="I47" s="19" t="s">
        <v>78</v>
      </c>
      <c r="J47" s="19" t="s">
        <v>64</v>
      </c>
      <c r="K47" s="19" t="s">
        <v>46</v>
      </c>
      <c r="L47" s="19" t="s">
        <v>65</v>
      </c>
      <c r="M47" s="19" t="s">
        <v>66</v>
      </c>
      <c r="N47" s="19" t="s">
        <v>352</v>
      </c>
      <c r="O47" s="19"/>
      <c r="P47" s="19"/>
      <c r="Q47" s="19"/>
      <c r="R47" s="19" t="s">
        <v>353</v>
      </c>
      <c r="S47" s="19" t="s">
        <v>354</v>
      </c>
      <c r="T47" s="19" t="s">
        <v>53</v>
      </c>
      <c r="U47" s="19" t="s">
        <v>71</v>
      </c>
      <c r="V47" s="19" t="s">
        <v>105</v>
      </c>
      <c r="W47" s="19" t="s">
        <v>96</v>
      </c>
      <c r="X47" s="19"/>
      <c r="Y47" s="19"/>
      <c r="Z47" s="19"/>
      <c r="AA47" s="19">
        <v>0</v>
      </c>
      <c r="AB47" s="19"/>
      <c r="AC47" s="19" t="s">
        <v>233</v>
      </c>
      <c r="AD47" s="19"/>
      <c r="AE47" s="19"/>
      <c r="AF47" s="19"/>
    </row>
    <row r="48" spans="1:34">
      <c r="A48" s="19">
        <v>43</v>
      </c>
      <c r="B48" s="19" t="s">
        <v>92</v>
      </c>
      <c r="C48" s="19" t="s">
        <v>355</v>
      </c>
      <c r="D48" s="19" t="str">
        <f>HYPERLINK("http://henontech.com/fieldsafety/harzard/harzard_show.php?rid=2021&amp;url=harzardrecs.php","脱硫区域屋后地上有钢筋，一名操作工夜晚走路时被地上的突出钢筋绊倒，导致手部擦伤，手肘磕伤，涂药后复工")</f>
        <v>脱硫区域屋后地上有钢筋，一名操作工夜晚走路时被地上的突出钢筋绊倒，导致手部擦伤，手肘磕伤，涂药后复工</v>
      </c>
      <c r="E48" s="19" t="s">
        <v>356</v>
      </c>
      <c r="F48" s="20" t="s">
        <v>42</v>
      </c>
      <c r="G48" s="21" t="s">
        <v>43</v>
      </c>
      <c r="H48" s="19" t="s">
        <v>44</v>
      </c>
      <c r="I48" s="19" t="s">
        <v>129</v>
      </c>
      <c r="J48" s="19" t="s">
        <v>64</v>
      </c>
      <c r="K48" s="19" t="s">
        <v>46</v>
      </c>
      <c r="L48" s="19"/>
      <c r="M48" s="19" t="s">
        <v>146</v>
      </c>
      <c r="N48" s="19" t="s">
        <v>357</v>
      </c>
      <c r="O48" s="19" t="s">
        <v>146</v>
      </c>
      <c r="P48" s="19" t="s">
        <v>249</v>
      </c>
      <c r="Q48" s="19" t="s">
        <v>305</v>
      </c>
      <c r="R48" s="19" t="s">
        <v>358</v>
      </c>
      <c r="S48" s="19"/>
      <c r="T48" s="19" t="s">
        <v>53</v>
      </c>
      <c r="U48" s="19" t="s">
        <v>71</v>
      </c>
      <c r="V48" s="19" t="s">
        <v>55</v>
      </c>
      <c r="W48" s="19" t="s">
        <v>72</v>
      </c>
      <c r="X48" s="19" t="s">
        <v>359</v>
      </c>
      <c r="Y48" s="19" t="s">
        <v>359</v>
      </c>
      <c r="Z48" s="19" t="s">
        <v>360</v>
      </c>
      <c r="AA48" s="19">
        <v>1</v>
      </c>
      <c r="AB48" s="19">
        <v>1</v>
      </c>
      <c r="AC48" s="19" t="s">
        <v>59</v>
      </c>
      <c r="AD48" s="19" t="s">
        <v>249</v>
      </c>
      <c r="AE48" s="19" t="s">
        <v>157</v>
      </c>
      <c r="AF48" s="19"/>
    </row>
    <row r="49" spans="1:34">
      <c r="A49" s="19">
        <v>44</v>
      </c>
      <c r="B49" s="19" t="s">
        <v>92</v>
      </c>
      <c r="C49" s="19" t="s">
        <v>306</v>
      </c>
      <c r="D49" s="19" t="str">
        <f>HYPERLINK("http://henontech.com/fieldsafety/harzard/harzard_show.php?rid=2022&amp;url=harzardrecs.php","2#炉机侧平台81#碳化室处，地面平台砖翘起，人员从此处经过易被翘起的砖绊倒，造成人员跌落")</f>
        <v>2#炉机侧平台81#碳化室处，地面平台砖翘起，人员从此处经过易被翘起的砖绊倒，造成人员跌落</v>
      </c>
      <c r="E49" s="19" t="s">
        <v>361</v>
      </c>
      <c r="F49" s="23" t="s">
        <v>227</v>
      </c>
      <c r="G49" s="21" t="s">
        <v>43</v>
      </c>
      <c r="H49" s="19" t="s">
        <v>44</v>
      </c>
      <c r="I49" s="19" t="s">
        <v>129</v>
      </c>
      <c r="J49" s="19" t="s">
        <v>87</v>
      </c>
      <c r="K49" s="19" t="s">
        <v>46</v>
      </c>
      <c r="L49" s="19" t="s">
        <v>65</v>
      </c>
      <c r="M49" s="19" t="s">
        <v>49</v>
      </c>
      <c r="N49" s="19" t="s">
        <v>362</v>
      </c>
      <c r="O49" s="19"/>
      <c r="P49" s="19"/>
      <c r="Q49" s="19"/>
      <c r="R49" s="19" t="s">
        <v>363</v>
      </c>
      <c r="S49" s="19" t="s">
        <v>364</v>
      </c>
      <c r="T49" s="19" t="s">
        <v>53</v>
      </c>
      <c r="U49" s="19" t="s">
        <v>54</v>
      </c>
      <c r="V49" s="19" t="s">
        <v>55</v>
      </c>
      <c r="W49" s="19" t="s">
        <v>56</v>
      </c>
      <c r="X49" s="19"/>
      <c r="Y49" s="19"/>
      <c r="Z49" s="19"/>
      <c r="AA49" s="19">
        <v>0</v>
      </c>
      <c r="AB49" s="19"/>
      <c r="AC49" s="19" t="s">
        <v>233</v>
      </c>
      <c r="AD49" s="19"/>
      <c r="AE49" s="19"/>
      <c r="AF49" s="19"/>
    </row>
    <row r="50" spans="1:34">
      <c r="A50" s="19">
        <v>45</v>
      </c>
      <c r="B50" s="19" t="s">
        <v>107</v>
      </c>
      <c r="C50" s="19" t="s">
        <v>365</v>
      </c>
      <c r="D50" s="19" t="str">
        <f>HYPERLINK("http://henontech.com/fieldsafety/harzard/harzard_show.php?rid=2024&amp;url=harzardrecs.php","1#煤气下液管法兰连接处漏煤气，一名操作人员巡检到此处，防护措施不到位吸入煤气，造成身体轻微不适，到空气新鲜处休息片刻，不影响工作。")</f>
        <v>1#煤气下液管法兰连接处漏煤气，一名操作人员巡检到此处，防护措施不到位吸入煤气，造成身体轻微不适，到空气新鲜处休息片刻，不影响工作。</v>
      </c>
      <c r="E50" s="19" t="s">
        <v>366</v>
      </c>
      <c r="F50" s="20" t="s">
        <v>42</v>
      </c>
      <c r="G50" s="21" t="s">
        <v>43</v>
      </c>
      <c r="H50" s="19" t="s">
        <v>44</v>
      </c>
      <c r="I50" s="19" t="s">
        <v>129</v>
      </c>
      <c r="J50" s="19" t="s">
        <v>45</v>
      </c>
      <c r="K50" s="19" t="s">
        <v>46</v>
      </c>
      <c r="L50" s="19" t="s">
        <v>65</v>
      </c>
      <c r="M50" s="19" t="s">
        <v>66</v>
      </c>
      <c r="N50" s="19" t="s">
        <v>367</v>
      </c>
      <c r="O50" s="19" t="s">
        <v>66</v>
      </c>
      <c r="P50" s="19" t="s">
        <v>68</v>
      </c>
      <c r="Q50" s="19" t="s">
        <v>313</v>
      </c>
      <c r="R50" s="19" t="s">
        <v>368</v>
      </c>
      <c r="S50" s="19"/>
      <c r="T50" s="19" t="s">
        <v>53</v>
      </c>
      <c r="U50" s="19" t="s">
        <v>71</v>
      </c>
      <c r="V50" s="19" t="s">
        <v>105</v>
      </c>
      <c r="W50" s="19" t="s">
        <v>96</v>
      </c>
      <c r="X50" s="19"/>
      <c r="Y50" s="19"/>
      <c r="Z50" s="19" t="s">
        <v>369</v>
      </c>
      <c r="AA50" s="19">
        <v>1</v>
      </c>
      <c r="AB50" s="19">
        <v>1</v>
      </c>
      <c r="AC50" s="19" t="s">
        <v>59</v>
      </c>
      <c r="AD50" s="19" t="s">
        <v>68</v>
      </c>
      <c r="AE50" s="19" t="s">
        <v>139</v>
      </c>
      <c r="AF50" s="19"/>
    </row>
    <row r="51" spans="1:34">
      <c r="A51" s="19">
        <v>46</v>
      </c>
      <c r="B51" s="19" t="s">
        <v>107</v>
      </c>
      <c r="C51" s="19" t="s">
        <v>365</v>
      </c>
      <c r="D51" s="19" t="str">
        <f>HYPERLINK("http://henontech.com/fieldsafety/harzard/harzard_show.php?rid=2027&amp;url=harzardrecs.php","南脱硫熔硫釜回液阀门垫子破损，假如一名操作工巡检到此处，未佩戴防护面罩，脱硫液喷溅到操作工面部，造成眼部灼伤，用清水冲洗后就医，住院治疗5天。")</f>
        <v>南脱硫熔硫釜回液阀门垫子破损，假如一名操作工巡检到此处，未佩戴防护面罩，脱硫液喷溅到操作工面部，造成眼部灼伤，用清水冲洗后就医，住院治疗5天。</v>
      </c>
      <c r="E51" s="19" t="s">
        <v>370</v>
      </c>
      <c r="F51" s="20" t="s">
        <v>42</v>
      </c>
      <c r="G51" s="21" t="s">
        <v>43</v>
      </c>
      <c r="H51" s="19" t="s">
        <v>44</v>
      </c>
      <c r="I51" s="19" t="s">
        <v>129</v>
      </c>
      <c r="J51" s="19" t="s">
        <v>45</v>
      </c>
      <c r="K51" s="19" t="s">
        <v>88</v>
      </c>
      <c r="L51" s="19" t="s">
        <v>65</v>
      </c>
      <c r="M51" s="19" t="s">
        <v>66</v>
      </c>
      <c r="N51" s="19" t="s">
        <v>371</v>
      </c>
      <c r="O51" s="19" t="s">
        <v>66</v>
      </c>
      <c r="P51" s="19" t="s">
        <v>68</v>
      </c>
      <c r="Q51" s="19" t="s">
        <v>313</v>
      </c>
      <c r="R51" s="19" t="s">
        <v>372</v>
      </c>
      <c r="S51" s="19"/>
      <c r="T51" s="19" t="s">
        <v>53</v>
      </c>
      <c r="U51" s="19" t="s">
        <v>54</v>
      </c>
      <c r="V51" s="19" t="s">
        <v>105</v>
      </c>
      <c r="W51" s="19" t="s">
        <v>72</v>
      </c>
      <c r="X51" s="19"/>
      <c r="Y51" s="19"/>
      <c r="Z51" s="19" t="s">
        <v>373</v>
      </c>
      <c r="AA51" s="19">
        <v>1</v>
      </c>
      <c r="AB51" s="19">
        <v>1</v>
      </c>
      <c r="AC51" s="19" t="s">
        <v>59</v>
      </c>
      <c r="AD51" s="19" t="s">
        <v>68</v>
      </c>
      <c r="AE51" s="19" t="s">
        <v>107</v>
      </c>
      <c r="AF51" s="19"/>
    </row>
    <row r="52" spans="1:34">
      <c r="A52" s="19">
        <v>47</v>
      </c>
      <c r="B52" s="19" t="s">
        <v>107</v>
      </c>
      <c r="C52" s="19" t="s">
        <v>365</v>
      </c>
      <c r="D52" s="19" t="str">
        <f>HYPERLINK("http://henontech.com/fieldsafety/harzard/harzard_show.php?rid=2028&amp;url=harzardrecs.php","南冷凝氨水管道有铝皮，操作人员巡查经过下方，铝皮掉落在巡检人手上划伤手，送医务室包扎处理，轻微伤已复工。")</f>
        <v>南冷凝氨水管道有铝皮，操作人员巡查经过下方，铝皮掉落在巡检人手上划伤手，送医务室包扎处理，轻微伤已复工。</v>
      </c>
      <c r="E52" s="19" t="s">
        <v>374</v>
      </c>
      <c r="F52" s="20" t="s">
        <v>42</v>
      </c>
      <c r="G52" s="21" t="s">
        <v>43</v>
      </c>
      <c r="H52" s="19" t="s">
        <v>44</v>
      </c>
      <c r="I52" s="19"/>
      <c r="J52" s="19" t="s">
        <v>45</v>
      </c>
      <c r="K52" s="19" t="s">
        <v>46</v>
      </c>
      <c r="L52" s="19"/>
      <c r="M52" s="19" t="s">
        <v>66</v>
      </c>
      <c r="N52" s="19" t="s">
        <v>375</v>
      </c>
      <c r="O52" s="19" t="s">
        <v>66</v>
      </c>
      <c r="P52" s="19" t="s">
        <v>68</v>
      </c>
      <c r="Q52" s="19" t="s">
        <v>313</v>
      </c>
      <c r="R52" s="19" t="s">
        <v>376</v>
      </c>
      <c r="S52" s="19"/>
      <c r="T52" s="19" t="s">
        <v>53</v>
      </c>
      <c r="U52" s="19" t="s">
        <v>71</v>
      </c>
      <c r="V52" s="19" t="s">
        <v>105</v>
      </c>
      <c r="W52" s="19" t="s">
        <v>96</v>
      </c>
      <c r="X52" s="19"/>
      <c r="Y52" s="19"/>
      <c r="Z52" s="19" t="s">
        <v>377</v>
      </c>
      <c r="AA52" s="19">
        <v>1</v>
      </c>
      <c r="AB52" s="19">
        <v>1</v>
      </c>
      <c r="AC52" s="19" t="s">
        <v>59</v>
      </c>
      <c r="AD52" s="19" t="s">
        <v>68</v>
      </c>
      <c r="AE52" s="19" t="s">
        <v>125</v>
      </c>
      <c r="AF52" s="19"/>
    </row>
    <row r="53" spans="1:34">
      <c r="A53" s="19">
        <v>48</v>
      </c>
      <c r="B53" s="19" t="s">
        <v>107</v>
      </c>
      <c r="C53" s="19" t="s">
        <v>241</v>
      </c>
      <c r="D53" s="19" t="str">
        <f>HYPERLINK("http://henontech.com/fieldsafety/harzard/harzard_show.php?rid=2029&amp;url=harzardrecs.php","卸酸泵出口阀门没有防护措施，在打酸过程中如果法兰垫子坏，硫酸泄露，可能会造成人员灼伤，环保事故！")</f>
        <v>卸酸泵出口阀门没有防护措施，在打酸过程中如果法兰垫子坏，硫酸泄露，可能会造成人员灼伤，环保事故！</v>
      </c>
      <c r="E53" s="19" t="s">
        <v>378</v>
      </c>
      <c r="F53" s="20" t="s">
        <v>42</v>
      </c>
      <c r="G53" s="21" t="s">
        <v>43</v>
      </c>
      <c r="H53" s="19" t="s">
        <v>44</v>
      </c>
      <c r="I53" s="19" t="s">
        <v>129</v>
      </c>
      <c r="J53" s="19" t="s">
        <v>45</v>
      </c>
      <c r="K53" s="19" t="s">
        <v>79</v>
      </c>
      <c r="L53" s="19" t="s">
        <v>65</v>
      </c>
      <c r="M53" s="19" t="s">
        <v>66</v>
      </c>
      <c r="N53" s="19" t="s">
        <v>379</v>
      </c>
      <c r="O53" s="19" t="s">
        <v>66</v>
      </c>
      <c r="P53" s="19" t="s">
        <v>68</v>
      </c>
      <c r="Q53" s="19" t="s">
        <v>313</v>
      </c>
      <c r="R53" s="19" t="s">
        <v>380</v>
      </c>
      <c r="S53" s="19" t="s">
        <v>381</v>
      </c>
      <c r="T53" s="19" t="s">
        <v>53</v>
      </c>
      <c r="U53" s="19" t="s">
        <v>71</v>
      </c>
      <c r="V53" s="19" t="s">
        <v>55</v>
      </c>
      <c r="W53" s="19" t="s">
        <v>72</v>
      </c>
      <c r="X53" s="19"/>
      <c r="Y53" s="19"/>
      <c r="Z53" s="19" t="s">
        <v>382</v>
      </c>
      <c r="AA53" s="19">
        <v>1</v>
      </c>
      <c r="AB53" s="19">
        <v>1</v>
      </c>
      <c r="AC53" s="19" t="s">
        <v>59</v>
      </c>
      <c r="AD53" s="19" t="s">
        <v>68</v>
      </c>
      <c r="AE53" s="19" t="s">
        <v>107</v>
      </c>
      <c r="AF53" s="19"/>
    </row>
    <row r="54" spans="1:34">
      <c r="A54" s="19">
        <v>49</v>
      </c>
      <c r="B54" s="19" t="s">
        <v>107</v>
      </c>
      <c r="C54" s="19" t="s">
        <v>62</v>
      </c>
      <c r="D54" s="19" t="str">
        <f>HYPERLINK("http://henontech.com/fieldsafety/harzard/harzard_show.php?rid=2030&amp;url=harzardrecs.php","北风机2#初冷器二层平台处间隙大，如果操作人员在开关初冷器出口阀门时，不小心踩空轻微划伤腿部，经包扎后正常工作。")</f>
        <v>北风机2#初冷器二层平台处间隙大，如果操作人员在开关初冷器出口阀门时，不小心踩空轻微划伤腿部，经包扎后正常工作。</v>
      </c>
      <c r="E54" s="19" t="s">
        <v>383</v>
      </c>
      <c r="F54" s="20" t="s">
        <v>42</v>
      </c>
      <c r="G54" s="21" t="s">
        <v>43</v>
      </c>
      <c r="H54" s="19" t="s">
        <v>44</v>
      </c>
      <c r="I54" s="19" t="s">
        <v>78</v>
      </c>
      <c r="J54" s="19" t="s">
        <v>64</v>
      </c>
      <c r="K54" s="19" t="s">
        <v>46</v>
      </c>
      <c r="L54" s="19" t="s">
        <v>65</v>
      </c>
      <c r="M54" s="19" t="s">
        <v>66</v>
      </c>
      <c r="N54" s="19" t="s">
        <v>384</v>
      </c>
      <c r="O54" s="19" t="s">
        <v>66</v>
      </c>
      <c r="P54" s="19" t="s">
        <v>68</v>
      </c>
      <c r="Q54" s="19" t="s">
        <v>313</v>
      </c>
      <c r="R54" s="19" t="s">
        <v>385</v>
      </c>
      <c r="S54" s="19"/>
      <c r="T54" s="19" t="s">
        <v>53</v>
      </c>
      <c r="U54" s="19" t="s">
        <v>71</v>
      </c>
      <c r="V54" s="19" t="s">
        <v>105</v>
      </c>
      <c r="W54" s="19" t="s">
        <v>96</v>
      </c>
      <c r="X54" s="19"/>
      <c r="Y54" s="19"/>
      <c r="Z54" s="19" t="s">
        <v>386</v>
      </c>
      <c r="AA54" s="19">
        <v>1</v>
      </c>
      <c r="AB54" s="19">
        <v>1</v>
      </c>
      <c r="AC54" s="19" t="s">
        <v>59</v>
      </c>
      <c r="AD54" s="19" t="s">
        <v>68</v>
      </c>
      <c r="AE54" s="19" t="s">
        <v>102</v>
      </c>
      <c r="AF54" s="19"/>
    </row>
    <row r="55" spans="1:34">
      <c r="A55" s="19">
        <v>50</v>
      </c>
      <c r="B55" s="19" t="s">
        <v>107</v>
      </c>
      <c r="C55" s="19" t="s">
        <v>241</v>
      </c>
      <c r="D55" s="19" t="str">
        <f>HYPERLINK("http://henontech.com/fieldsafety/harzard/harzard_show.php?rid=2031&amp;url=harzardrecs.php","东硫铵离心机冲洗管外保温铝皮开裂，人员上下爬梯不小心划伤手臂，冬季防冻措施不足，冻坏管道，离心机无法冲洗，设备损坏！")</f>
        <v>东硫铵离心机冲洗管外保温铝皮开裂，人员上下爬梯不小心划伤手臂，冬季防冻措施不足，冻坏管道，离心机无法冲洗，设备损坏！</v>
      </c>
      <c r="E55" s="19" t="s">
        <v>387</v>
      </c>
      <c r="F55" s="20" t="s">
        <v>42</v>
      </c>
      <c r="G55" s="21" t="s">
        <v>43</v>
      </c>
      <c r="H55" s="19" t="s">
        <v>44</v>
      </c>
      <c r="I55" s="19" t="s">
        <v>129</v>
      </c>
      <c r="J55" s="19" t="s">
        <v>45</v>
      </c>
      <c r="K55" s="19" t="s">
        <v>79</v>
      </c>
      <c r="L55" s="19" t="s">
        <v>65</v>
      </c>
      <c r="M55" s="19" t="s">
        <v>66</v>
      </c>
      <c r="N55" s="19" t="s">
        <v>379</v>
      </c>
      <c r="O55" s="19" t="s">
        <v>66</v>
      </c>
      <c r="P55" s="19" t="s">
        <v>68</v>
      </c>
      <c r="Q55" s="19" t="s">
        <v>313</v>
      </c>
      <c r="R55" s="19" t="s">
        <v>388</v>
      </c>
      <c r="S55" s="19"/>
      <c r="T55" s="19" t="s">
        <v>53</v>
      </c>
      <c r="U55" s="19" t="s">
        <v>71</v>
      </c>
      <c r="V55" s="19" t="s">
        <v>105</v>
      </c>
      <c r="W55" s="19" t="s">
        <v>96</v>
      </c>
      <c r="X55" s="19"/>
      <c r="Y55" s="19"/>
      <c r="Z55" s="19" t="s">
        <v>389</v>
      </c>
      <c r="AA55" s="19">
        <v>1</v>
      </c>
      <c r="AB55" s="19">
        <v>1</v>
      </c>
      <c r="AC55" s="19" t="s">
        <v>59</v>
      </c>
      <c r="AD55" s="19" t="s">
        <v>68</v>
      </c>
      <c r="AE55" s="19" t="s">
        <v>107</v>
      </c>
      <c r="AF55" s="19"/>
    </row>
    <row r="56" spans="1:34">
      <c r="A56" s="19">
        <v>51</v>
      </c>
      <c r="B56" s="19" t="s">
        <v>107</v>
      </c>
      <c r="C56" s="19" t="s">
        <v>241</v>
      </c>
      <c r="D56" s="19" t="str">
        <f>HYPERLINK("http://henontech.com/fieldsafety/harzard/harzard_show.php?rid=2032&amp;url=harzardrecs.php","东硫铵1号饱和器顶部阀门螺栓缺失，若法兰垫子损坏母液泄露，造成环境污染，环保事故！")</f>
        <v>东硫铵1号饱和器顶部阀门螺栓缺失，若法兰垫子损坏母液泄露，造成环境污染，环保事故！</v>
      </c>
      <c r="E56" s="19" t="s">
        <v>390</v>
      </c>
      <c r="F56" s="20" t="s">
        <v>42</v>
      </c>
      <c r="G56" s="21" t="s">
        <v>43</v>
      </c>
      <c r="H56" s="19" t="s">
        <v>44</v>
      </c>
      <c r="I56" s="19" t="s">
        <v>129</v>
      </c>
      <c r="J56" s="19" t="s">
        <v>64</v>
      </c>
      <c r="K56" s="19" t="s">
        <v>79</v>
      </c>
      <c r="L56" s="19" t="s">
        <v>65</v>
      </c>
      <c r="M56" s="19" t="s">
        <v>66</v>
      </c>
      <c r="N56" s="19" t="s">
        <v>379</v>
      </c>
      <c r="O56" s="19" t="s">
        <v>66</v>
      </c>
      <c r="P56" s="19" t="s">
        <v>68</v>
      </c>
      <c r="Q56" s="19" t="s">
        <v>313</v>
      </c>
      <c r="R56" s="19" t="s">
        <v>391</v>
      </c>
      <c r="S56" s="19"/>
      <c r="T56" s="19" t="s">
        <v>392</v>
      </c>
      <c r="U56" s="19" t="s">
        <v>94</v>
      </c>
      <c r="V56" s="19" t="s">
        <v>55</v>
      </c>
      <c r="W56" s="19" t="s">
        <v>96</v>
      </c>
      <c r="X56" s="19"/>
      <c r="Y56" s="19"/>
      <c r="Z56" s="19" t="s">
        <v>393</v>
      </c>
      <c r="AA56" s="19">
        <v>1</v>
      </c>
      <c r="AB56" s="19">
        <v>1</v>
      </c>
      <c r="AC56" s="19" t="s">
        <v>59</v>
      </c>
      <c r="AD56" s="19" t="s">
        <v>68</v>
      </c>
      <c r="AE56" s="19" t="s">
        <v>107</v>
      </c>
      <c r="AF56" s="19"/>
    </row>
    <row r="57" spans="1:34">
      <c r="A57" s="19">
        <v>52</v>
      </c>
      <c r="B57" s="19" t="s">
        <v>107</v>
      </c>
      <c r="C57" s="19" t="s">
        <v>219</v>
      </c>
      <c r="D57" s="19" t="str">
        <f>HYPERLINK("http://henontech.com/fieldsafety/harzard/harzard_show.php?rid=2033&amp;url=harzardrecs.php","蒸氨塔蒸汽吹扫胶管破裂，假如一名巡检工途经此处，胶管阻力增大，胶管断裂摆动造成腿粗烫伤，去医院简单治疗后上班，无损工")</f>
        <v>蒸氨塔蒸汽吹扫胶管破裂，假如一名巡检工途经此处，胶管阻力增大，胶管断裂摆动造成腿粗烫伤，去医院简单治疗后上班，无损工</v>
      </c>
      <c r="E57" s="19" t="s">
        <v>394</v>
      </c>
      <c r="F57" s="20" t="s">
        <v>42</v>
      </c>
      <c r="G57" s="21" t="s">
        <v>43</v>
      </c>
      <c r="H57" s="19" t="s">
        <v>44</v>
      </c>
      <c r="I57" s="19" t="s">
        <v>129</v>
      </c>
      <c r="J57" s="19" t="s">
        <v>64</v>
      </c>
      <c r="K57" s="19" t="s">
        <v>46</v>
      </c>
      <c r="L57" s="19"/>
      <c r="M57" s="19" t="s">
        <v>66</v>
      </c>
      <c r="N57" s="19" t="s">
        <v>395</v>
      </c>
      <c r="O57" s="19" t="s">
        <v>66</v>
      </c>
      <c r="P57" s="19" t="s">
        <v>68</v>
      </c>
      <c r="Q57" s="19" t="s">
        <v>396</v>
      </c>
      <c r="R57" s="19" t="s">
        <v>397</v>
      </c>
      <c r="S57" s="19"/>
      <c r="T57" s="19" t="s">
        <v>53</v>
      </c>
      <c r="U57" s="19" t="s">
        <v>71</v>
      </c>
      <c r="V57" s="19" t="s">
        <v>55</v>
      </c>
      <c r="W57" s="19" t="s">
        <v>72</v>
      </c>
      <c r="X57" s="19"/>
      <c r="Y57" s="19"/>
      <c r="Z57" s="19" t="s">
        <v>398</v>
      </c>
      <c r="AA57" s="19">
        <v>1</v>
      </c>
      <c r="AB57" s="19">
        <v>1</v>
      </c>
      <c r="AC57" s="19" t="s">
        <v>59</v>
      </c>
      <c r="AD57" s="19" t="s">
        <v>68</v>
      </c>
      <c r="AE57" s="19" t="s">
        <v>139</v>
      </c>
      <c r="AF57" s="19"/>
    </row>
    <row r="58" spans="1:34">
      <c r="A58" s="19">
        <v>53</v>
      </c>
      <c r="B58" s="19" t="s">
        <v>107</v>
      </c>
      <c r="C58" s="19" t="s">
        <v>399</v>
      </c>
      <c r="D58" s="19" t="str">
        <f>HYPERLINK("http://henontech.com/fieldsafety/harzard/harzard_show.php?rid=2034&amp;url=harzardrecs.php","生化污水池搅拌器，封盖开口大，开口处未闭合，一小片封盖拆下未安装，人员经过失足掉落，溺亡")</f>
        <v>生化污水池搅拌器，封盖开口大，开口处未闭合，一小片封盖拆下未安装，人员经过失足掉落，溺亡</v>
      </c>
      <c r="E58" s="19" t="s">
        <v>400</v>
      </c>
      <c r="F58" s="20" t="s">
        <v>42</v>
      </c>
      <c r="G58" s="21" t="s">
        <v>43</v>
      </c>
      <c r="H58" s="19" t="s">
        <v>44</v>
      </c>
      <c r="I58" s="19"/>
      <c r="J58" s="19" t="s">
        <v>64</v>
      </c>
      <c r="K58" s="19" t="s">
        <v>302</v>
      </c>
      <c r="L58" s="19"/>
      <c r="M58" s="19" t="s">
        <v>89</v>
      </c>
      <c r="N58" s="19" t="s">
        <v>401</v>
      </c>
      <c r="O58" s="19" t="s">
        <v>89</v>
      </c>
      <c r="P58" s="19" t="s">
        <v>91</v>
      </c>
      <c r="Q58" s="19" t="s">
        <v>402</v>
      </c>
      <c r="R58" s="19" t="s">
        <v>403</v>
      </c>
      <c r="S58" s="19"/>
      <c r="T58" s="19" t="s">
        <v>53</v>
      </c>
      <c r="U58" s="19" t="s">
        <v>116</v>
      </c>
      <c r="V58" s="19" t="s">
        <v>105</v>
      </c>
      <c r="W58" s="19" t="s">
        <v>56</v>
      </c>
      <c r="X58" s="19" t="s">
        <v>57</v>
      </c>
      <c r="Y58" s="19" t="s">
        <v>57</v>
      </c>
      <c r="Z58" s="19" t="s">
        <v>404</v>
      </c>
      <c r="AA58" s="19">
        <v>1</v>
      </c>
      <c r="AB58" s="19">
        <v>1</v>
      </c>
      <c r="AC58" s="19" t="s">
        <v>59</v>
      </c>
      <c r="AD58" s="19" t="s">
        <v>91</v>
      </c>
      <c r="AE58" s="19" t="s">
        <v>405</v>
      </c>
      <c r="AF58" s="19"/>
    </row>
    <row r="59" spans="1:34">
      <c r="A59" s="19">
        <v>54</v>
      </c>
      <c r="B59" s="19" t="s">
        <v>107</v>
      </c>
      <c r="C59" s="19" t="s">
        <v>109</v>
      </c>
      <c r="D59" s="19" t="str">
        <f>HYPERLINK("http://henontech.com/fieldsafety/harzard/harzard_show.php?rid=2035&amp;url=harzardrecs.php","外包人员对苯罐进行氮封安装，收工后未对现场进行整理，中夜班操作工进行巡检时，由于光线太暗，被横七竖八的气路管拌倒，造成膝盖擦伤，送往医务室消炎后回岗位继续操作。")</f>
        <v>外包人员对苯罐进行氮封安装，收工后未对现场进行整理，中夜班操作工进行巡检时，由于光线太暗，被横七竖八的气路管拌倒，造成膝盖擦伤，送往医务室消炎后回岗位继续操作。</v>
      </c>
      <c r="E59" s="19" t="s">
        <v>406</v>
      </c>
      <c r="F59" s="20" t="s">
        <v>42</v>
      </c>
      <c r="G59" s="21" t="s">
        <v>43</v>
      </c>
      <c r="H59" s="19" t="s">
        <v>44</v>
      </c>
      <c r="I59" s="19" t="s">
        <v>205</v>
      </c>
      <c r="J59" s="19" t="s">
        <v>87</v>
      </c>
      <c r="K59" s="19" t="s">
        <v>79</v>
      </c>
      <c r="L59" s="19" t="s">
        <v>65</v>
      </c>
      <c r="M59" s="19" t="s">
        <v>66</v>
      </c>
      <c r="N59" s="19" t="s">
        <v>407</v>
      </c>
      <c r="O59" s="19" t="s">
        <v>66</v>
      </c>
      <c r="P59" s="19" t="s">
        <v>68</v>
      </c>
      <c r="Q59" s="19" t="s">
        <v>408</v>
      </c>
      <c r="R59" s="19" t="s">
        <v>409</v>
      </c>
      <c r="S59" s="19"/>
      <c r="T59" s="19" t="s">
        <v>53</v>
      </c>
      <c r="U59" s="19" t="s">
        <v>94</v>
      </c>
      <c r="V59" s="19" t="s">
        <v>95</v>
      </c>
      <c r="W59" s="19" t="s">
        <v>96</v>
      </c>
      <c r="X59" s="19"/>
      <c r="Y59" s="19"/>
      <c r="Z59" s="19" t="s">
        <v>410</v>
      </c>
      <c r="AA59" s="19">
        <v>1</v>
      </c>
      <c r="AB59" s="19">
        <v>1</v>
      </c>
      <c r="AC59" s="19" t="s">
        <v>59</v>
      </c>
      <c r="AD59" s="19" t="s">
        <v>68</v>
      </c>
      <c r="AE59" s="19" t="s">
        <v>139</v>
      </c>
      <c r="AF59" s="19"/>
    </row>
    <row r="60" spans="1:34">
      <c r="A60" s="19">
        <v>55</v>
      </c>
      <c r="B60" s="19" t="s">
        <v>405</v>
      </c>
      <c r="C60" s="19" t="s">
        <v>411</v>
      </c>
      <c r="D60" s="19" t="str">
        <f>HYPERLINK("http://henontech.com/fieldsafety/harzard/harzard_show.php?rid=2037&amp;url=harzardrecs.php","西硫铵西侧南北路管架管道保温铝皮松动，未及时处置，遇大风天气容易坠落，划伤一名操作工")</f>
        <v>西硫铵西侧南北路管架管道保温铝皮松动，未及时处置，遇大风天气容易坠落，划伤一名操作工</v>
      </c>
      <c r="E60" s="19" t="s">
        <v>412</v>
      </c>
      <c r="F60" s="20" t="s">
        <v>42</v>
      </c>
      <c r="G60" s="21" t="s">
        <v>43</v>
      </c>
      <c r="H60" s="19" t="s">
        <v>44</v>
      </c>
      <c r="I60" s="19"/>
      <c r="J60" s="19" t="s">
        <v>64</v>
      </c>
      <c r="K60" s="19" t="s">
        <v>46</v>
      </c>
      <c r="L60" s="19"/>
      <c r="M60" s="19" t="s">
        <v>66</v>
      </c>
      <c r="N60" s="19" t="s">
        <v>413</v>
      </c>
      <c r="O60" s="19" t="s">
        <v>66</v>
      </c>
      <c r="P60" s="19" t="s">
        <v>68</v>
      </c>
      <c r="Q60" s="19" t="s">
        <v>396</v>
      </c>
      <c r="R60" s="19" t="s">
        <v>256</v>
      </c>
      <c r="S60" s="19"/>
      <c r="T60" s="19" t="s">
        <v>53</v>
      </c>
      <c r="U60" s="19" t="s">
        <v>71</v>
      </c>
      <c r="V60" s="19" t="s">
        <v>105</v>
      </c>
      <c r="W60" s="19" t="s">
        <v>96</v>
      </c>
      <c r="X60" s="19"/>
      <c r="Y60" s="19"/>
      <c r="Z60" s="19" t="s">
        <v>414</v>
      </c>
      <c r="AA60" s="19">
        <v>1</v>
      </c>
      <c r="AB60" s="19">
        <v>1</v>
      </c>
      <c r="AC60" s="19" t="s">
        <v>59</v>
      </c>
      <c r="AD60" s="19" t="s">
        <v>68</v>
      </c>
      <c r="AE60" s="19" t="s">
        <v>139</v>
      </c>
      <c r="AF60" s="19"/>
    </row>
    <row r="61" spans="1:34">
      <c r="A61" s="19">
        <v>56</v>
      </c>
      <c r="B61" s="19" t="s">
        <v>405</v>
      </c>
      <c r="C61" s="19" t="s">
        <v>241</v>
      </c>
      <c r="D61" s="19" t="str">
        <f>HYPERLINK("http://henontech.com/fieldsafety/harzard/harzard_show.php?rid=2038&amp;url=harzardrecs.php","离心机配电箱接触器，进线接触不好发热，造成短路火灾触电事故，离心机停车。")</f>
        <v>离心机配电箱接触器，进线接触不好发热，造成短路火灾触电事故，离心机停车。</v>
      </c>
      <c r="E61" s="19" t="s">
        <v>415</v>
      </c>
      <c r="F61" s="20" t="s">
        <v>42</v>
      </c>
      <c r="G61" s="21" t="s">
        <v>43</v>
      </c>
      <c r="H61" s="19" t="s">
        <v>44</v>
      </c>
      <c r="I61" s="19" t="s">
        <v>129</v>
      </c>
      <c r="J61" s="19" t="s">
        <v>87</v>
      </c>
      <c r="K61" s="19" t="s">
        <v>88</v>
      </c>
      <c r="L61" s="19" t="s">
        <v>65</v>
      </c>
      <c r="M61" s="19" t="s">
        <v>66</v>
      </c>
      <c r="N61" s="19" t="s">
        <v>416</v>
      </c>
      <c r="O61" s="19" t="s">
        <v>66</v>
      </c>
      <c r="P61" s="19" t="s">
        <v>68</v>
      </c>
      <c r="Q61" s="19" t="s">
        <v>408</v>
      </c>
      <c r="R61" s="19" t="s">
        <v>417</v>
      </c>
      <c r="S61" s="19"/>
      <c r="T61" s="19" t="s">
        <v>104</v>
      </c>
      <c r="U61" s="19" t="s">
        <v>71</v>
      </c>
      <c r="V61" s="19" t="s">
        <v>105</v>
      </c>
      <c r="W61" s="19" t="s">
        <v>96</v>
      </c>
      <c r="X61" s="19"/>
      <c r="Y61" s="19"/>
      <c r="Z61" s="19" t="s">
        <v>418</v>
      </c>
      <c r="AA61" s="19">
        <v>1</v>
      </c>
      <c r="AB61" s="19">
        <v>1</v>
      </c>
      <c r="AC61" s="19" t="s">
        <v>59</v>
      </c>
      <c r="AD61" s="19" t="s">
        <v>68</v>
      </c>
      <c r="AE61" s="19" t="s">
        <v>125</v>
      </c>
      <c r="AF61" s="19"/>
    </row>
    <row r="62" spans="1:34">
      <c r="A62" s="19">
        <v>57</v>
      </c>
      <c r="B62" s="19" t="s">
        <v>405</v>
      </c>
      <c r="C62" s="19" t="s">
        <v>219</v>
      </c>
      <c r="D62" s="19" t="str">
        <f>HYPERLINK("http://henontech.com/fieldsafety/harzard/harzard_show.php?rid=2039&amp;url=harzardrecs.php","北脱硫泵房循环泵联轴器防护罩松动。一名操作工擦拭设备时，手部被转动设备擦伤，送医院治疗包扎后。回岗位继续工作。")</f>
        <v>北脱硫泵房循环泵联轴器防护罩松动。一名操作工擦拭设备时，手部被转动设备擦伤，送医院治疗包扎后。回岗位继续工作。</v>
      </c>
      <c r="E62" s="19" t="s">
        <v>419</v>
      </c>
      <c r="F62" s="20" t="s">
        <v>42</v>
      </c>
      <c r="G62" s="21" t="s">
        <v>43</v>
      </c>
      <c r="H62" s="19" t="s">
        <v>44</v>
      </c>
      <c r="I62" s="19" t="s">
        <v>78</v>
      </c>
      <c r="J62" s="19" t="s">
        <v>64</v>
      </c>
      <c r="K62" s="19" t="s">
        <v>46</v>
      </c>
      <c r="L62" s="19" t="s">
        <v>65</v>
      </c>
      <c r="M62" s="19" t="s">
        <v>66</v>
      </c>
      <c r="N62" s="19" t="s">
        <v>420</v>
      </c>
      <c r="O62" s="19" t="s">
        <v>66</v>
      </c>
      <c r="P62" s="19" t="s">
        <v>68</v>
      </c>
      <c r="Q62" s="19" t="s">
        <v>408</v>
      </c>
      <c r="R62" s="19" t="s">
        <v>120</v>
      </c>
      <c r="S62" s="19"/>
      <c r="T62" s="19" t="s">
        <v>53</v>
      </c>
      <c r="U62" s="19" t="s">
        <v>71</v>
      </c>
      <c r="V62" s="19" t="s">
        <v>55</v>
      </c>
      <c r="W62" s="19" t="s">
        <v>72</v>
      </c>
      <c r="X62" s="19"/>
      <c r="Y62" s="19"/>
      <c r="Z62" s="19" t="s">
        <v>421</v>
      </c>
      <c r="AA62" s="19">
        <v>1</v>
      </c>
      <c r="AB62" s="19">
        <v>1</v>
      </c>
      <c r="AC62" s="19" t="s">
        <v>59</v>
      </c>
      <c r="AD62" s="19" t="s">
        <v>68</v>
      </c>
      <c r="AE62" s="19" t="s">
        <v>422</v>
      </c>
      <c r="AF62" s="19"/>
    </row>
    <row r="63" spans="1:34">
      <c r="A63" s="19">
        <v>58</v>
      </c>
      <c r="B63" s="19" t="s">
        <v>405</v>
      </c>
      <c r="C63" s="19" t="s">
        <v>256</v>
      </c>
      <c r="D63" s="19" t="str">
        <f>HYPERLINK("http://henontech.com/fieldsafety/harzard/harzard_show.php?rid=2040&amp;url=harzardrecs.php","西硫铵热水槽顶部蒸汽回水管有漏点，回水温度高，不开车时，蒸汽回水漏点难发现，若维修在周围作业，又不知情状态下，造成轻微烫伤。")</f>
        <v>西硫铵热水槽顶部蒸汽回水管有漏点，回水温度高，不开车时，蒸汽回水漏点难发现，若维修在周围作业，又不知情状态下，造成轻微烫伤。</v>
      </c>
      <c r="E63" s="19" t="s">
        <v>423</v>
      </c>
      <c r="F63" s="20" t="s">
        <v>42</v>
      </c>
      <c r="G63" s="21" t="s">
        <v>43</v>
      </c>
      <c r="H63" s="19" t="s">
        <v>44</v>
      </c>
      <c r="I63" s="19" t="s">
        <v>78</v>
      </c>
      <c r="J63" s="19" t="s">
        <v>64</v>
      </c>
      <c r="K63" s="19" t="s">
        <v>46</v>
      </c>
      <c r="L63" s="19" t="s">
        <v>65</v>
      </c>
      <c r="M63" s="19" t="s">
        <v>66</v>
      </c>
      <c r="N63" s="19" t="s">
        <v>424</v>
      </c>
      <c r="O63" s="19" t="s">
        <v>66</v>
      </c>
      <c r="P63" s="19" t="s">
        <v>68</v>
      </c>
      <c r="Q63" s="19" t="s">
        <v>408</v>
      </c>
      <c r="R63" s="19" t="s">
        <v>425</v>
      </c>
      <c r="S63" s="19"/>
      <c r="T63" s="19" t="s">
        <v>53</v>
      </c>
      <c r="U63" s="19" t="s">
        <v>71</v>
      </c>
      <c r="V63" s="19" t="s">
        <v>193</v>
      </c>
      <c r="W63" s="19" t="s">
        <v>96</v>
      </c>
      <c r="X63" s="19"/>
      <c r="Y63" s="19"/>
      <c r="Z63" s="19" t="s">
        <v>426</v>
      </c>
      <c r="AA63" s="19">
        <v>1</v>
      </c>
      <c r="AB63" s="19">
        <v>1</v>
      </c>
      <c r="AC63" s="19" t="s">
        <v>59</v>
      </c>
      <c r="AD63" s="19" t="s">
        <v>68</v>
      </c>
      <c r="AE63" s="19" t="s">
        <v>125</v>
      </c>
      <c r="AF63" s="19"/>
    </row>
    <row r="64" spans="1:34">
      <c r="A64" s="19">
        <v>59</v>
      </c>
      <c r="B64" s="19" t="s">
        <v>405</v>
      </c>
      <c r="C64" s="19" t="s">
        <v>427</v>
      </c>
      <c r="D64" s="19" t="str">
        <f>HYPERLINK("http://henontech.com/fieldsafety/harzard/harzard_show.php?rid=2041&amp;url=harzardrecs.php","合成取暖罐爬梯安全警示牌缺失，当操作工爬爬梯操作时脚底打滑不慎跌倒，造成右小腿骨折。")</f>
        <v>合成取暖罐爬梯安全警示牌缺失，当操作工爬爬梯操作时脚底打滑不慎跌倒，造成右小腿骨折。</v>
      </c>
      <c r="E64" s="19" t="s">
        <v>428</v>
      </c>
      <c r="F64" s="20" t="s">
        <v>42</v>
      </c>
      <c r="G64" s="21" t="s">
        <v>43</v>
      </c>
      <c r="H64" s="19" t="s">
        <v>44</v>
      </c>
      <c r="I64" s="19"/>
      <c r="J64" s="19" t="s">
        <v>64</v>
      </c>
      <c r="K64" s="19"/>
      <c r="L64" s="19"/>
      <c r="M64" s="19" t="s">
        <v>146</v>
      </c>
      <c r="N64" s="19" t="s">
        <v>429</v>
      </c>
      <c r="O64" s="19" t="s">
        <v>146</v>
      </c>
      <c r="P64" s="19" t="s">
        <v>148</v>
      </c>
      <c r="Q64" s="19" t="s">
        <v>396</v>
      </c>
      <c r="R64" s="19" t="s">
        <v>430</v>
      </c>
      <c r="S64" s="19"/>
      <c r="T64" s="19" t="s">
        <v>53</v>
      </c>
      <c r="U64" s="19" t="s">
        <v>54</v>
      </c>
      <c r="V64" s="19" t="s">
        <v>55</v>
      </c>
      <c r="W64" s="19" t="s">
        <v>56</v>
      </c>
      <c r="X64" s="19" t="s">
        <v>150</v>
      </c>
      <c r="Y64" s="19" t="s">
        <v>150</v>
      </c>
      <c r="Z64" s="19" t="s">
        <v>431</v>
      </c>
      <c r="AA64" s="19">
        <v>1</v>
      </c>
      <c r="AB64" s="19">
        <v>1</v>
      </c>
      <c r="AC64" s="19" t="s">
        <v>59</v>
      </c>
      <c r="AD64" s="19" t="s">
        <v>148</v>
      </c>
      <c r="AE64" s="19" t="s">
        <v>152</v>
      </c>
      <c r="AF64" s="19" t="s">
        <v>432</v>
      </c>
    </row>
    <row r="65" spans="1:34">
      <c r="A65" s="19">
        <v>60</v>
      </c>
      <c r="B65" s="19" t="s">
        <v>405</v>
      </c>
      <c r="C65" s="19" t="s">
        <v>365</v>
      </c>
      <c r="D65" s="19" t="str">
        <f>HYPERLINK("http://henontech.com/fieldsafety/harzard/harzard_show.php?rid=2042&amp;url=harzardrecs.php","南脱硫泡沫槽搅拌器接线盒处老化腐蚀，如果下雨天下雨雨水渗入，可能造成电机烧毁，设备损坏")</f>
        <v>南脱硫泡沫槽搅拌器接线盒处老化腐蚀，如果下雨天下雨雨水渗入，可能造成电机烧毁，设备损坏</v>
      </c>
      <c r="E65" s="19" t="s">
        <v>433</v>
      </c>
      <c r="F65" s="20" t="s">
        <v>42</v>
      </c>
      <c r="G65" s="21" t="s">
        <v>43</v>
      </c>
      <c r="H65" s="19" t="s">
        <v>44</v>
      </c>
      <c r="I65" s="19" t="s">
        <v>205</v>
      </c>
      <c r="J65" s="19" t="s">
        <v>64</v>
      </c>
      <c r="K65" s="19" t="s">
        <v>79</v>
      </c>
      <c r="L65" s="19" t="s">
        <v>65</v>
      </c>
      <c r="M65" s="19" t="s">
        <v>66</v>
      </c>
      <c r="N65" s="19" t="s">
        <v>434</v>
      </c>
      <c r="O65" s="19" t="s">
        <v>66</v>
      </c>
      <c r="P65" s="19" t="s">
        <v>68</v>
      </c>
      <c r="Q65" s="19" t="s">
        <v>408</v>
      </c>
      <c r="R65" s="19" t="s">
        <v>435</v>
      </c>
      <c r="S65" s="19"/>
      <c r="T65" s="19" t="s">
        <v>104</v>
      </c>
      <c r="U65" s="19" t="s">
        <v>94</v>
      </c>
      <c r="V65" s="19" t="s">
        <v>105</v>
      </c>
      <c r="W65" s="19" t="s">
        <v>96</v>
      </c>
      <c r="X65" s="19"/>
      <c r="Y65" s="19"/>
      <c r="Z65" s="19" t="s">
        <v>436</v>
      </c>
      <c r="AA65" s="19">
        <v>1</v>
      </c>
      <c r="AB65" s="19">
        <v>1</v>
      </c>
      <c r="AC65" s="19" t="s">
        <v>59</v>
      </c>
      <c r="AD65" s="19" t="s">
        <v>68</v>
      </c>
      <c r="AE65" s="19" t="s">
        <v>102</v>
      </c>
      <c r="AF65" s="19"/>
    </row>
    <row r="66" spans="1:34">
      <c r="A66" s="19">
        <v>61</v>
      </c>
      <c r="B66" s="19" t="s">
        <v>405</v>
      </c>
      <c r="C66" s="19" t="s">
        <v>437</v>
      </c>
      <c r="D66" s="19" t="str">
        <f>HYPERLINK("http://henontech.com/fieldsafety/harzard/harzard_show.php?rid=2043&amp;url=harzardrecs.php","人员从煤塔下方来回经过，不慎被高处坠落物铁件击伤头部。当时昏迷送医治疗")</f>
        <v>人员从煤塔下方来回经过，不慎被高处坠落物铁件击伤头部。当时昏迷送医治疗</v>
      </c>
      <c r="E66" s="19" t="s">
        <v>438</v>
      </c>
      <c r="F66" s="23" t="s">
        <v>227</v>
      </c>
      <c r="G66" s="21" t="s">
        <v>43</v>
      </c>
      <c r="H66" s="19" t="s">
        <v>44</v>
      </c>
      <c r="I66" s="19" t="s">
        <v>78</v>
      </c>
      <c r="J66" s="19" t="s">
        <v>45</v>
      </c>
      <c r="K66" s="19" t="s">
        <v>302</v>
      </c>
      <c r="L66" s="19"/>
      <c r="M66" s="19" t="s">
        <v>49</v>
      </c>
      <c r="N66" s="19" t="s">
        <v>439</v>
      </c>
      <c r="O66" s="19"/>
      <c r="P66" s="19"/>
      <c r="Q66" s="19"/>
      <c r="R66" s="19" t="s">
        <v>437</v>
      </c>
      <c r="S66" s="19" t="s">
        <v>440</v>
      </c>
      <c r="T66" s="19" t="s">
        <v>53</v>
      </c>
      <c r="U66" s="19" t="s">
        <v>116</v>
      </c>
      <c r="V66" s="19" t="s">
        <v>95</v>
      </c>
      <c r="W66" s="19" t="s">
        <v>117</v>
      </c>
      <c r="X66" s="19"/>
      <c r="Y66" s="19"/>
      <c r="Z66" s="19"/>
      <c r="AA66" s="19">
        <v>0</v>
      </c>
      <c r="AB66" s="19"/>
      <c r="AC66" s="19" t="s">
        <v>233</v>
      </c>
      <c r="AD66" s="19"/>
      <c r="AE66" s="19"/>
      <c r="AF66" s="19"/>
    </row>
    <row r="67" spans="1:34">
      <c r="A67" s="19">
        <v>62</v>
      </c>
      <c r="B67" s="19" t="s">
        <v>405</v>
      </c>
      <c r="C67" s="19" t="s">
        <v>441</v>
      </c>
      <c r="D67" s="19" t="str">
        <f>HYPERLINK("http://henontech.com/fieldsafety/harzard/harzard_show.php?rid=2045&amp;url=harzardrecs.php","爬梯上方蒸汽阀门管道破损，如果有操作工上下爬梯经过，由于蒸汽温度过高，就有可能被滳.落下的冷凝水滳到颈部轻微烫伤。经医务室简单处理后，能正常上班，无损工。")</f>
        <v>爬梯上方蒸汽阀门管道破损，如果有操作工上下爬梯经过，由于蒸汽温度过高，就有可能被滳.落下的冷凝水滳到颈部轻微烫伤。经医务室简单处理后，能正常上班，无损工。</v>
      </c>
      <c r="E67" s="19" t="s">
        <v>442</v>
      </c>
      <c r="F67" s="20" t="s">
        <v>42</v>
      </c>
      <c r="G67" s="21" t="s">
        <v>43</v>
      </c>
      <c r="H67" s="19" t="s">
        <v>44</v>
      </c>
      <c r="I67" s="19" t="s">
        <v>78</v>
      </c>
      <c r="J67" s="19" t="s">
        <v>64</v>
      </c>
      <c r="K67" s="19" t="s">
        <v>46</v>
      </c>
      <c r="L67" s="19" t="s">
        <v>65</v>
      </c>
      <c r="M67" s="19" t="s">
        <v>66</v>
      </c>
      <c r="N67" s="19" t="s">
        <v>443</v>
      </c>
      <c r="O67" s="19" t="s">
        <v>66</v>
      </c>
      <c r="P67" s="19" t="s">
        <v>68</v>
      </c>
      <c r="Q67" s="19" t="s">
        <v>408</v>
      </c>
      <c r="R67" s="19" t="s">
        <v>444</v>
      </c>
      <c r="S67" s="19"/>
      <c r="T67" s="19" t="s">
        <v>53</v>
      </c>
      <c r="U67" s="19" t="s">
        <v>71</v>
      </c>
      <c r="V67" s="19" t="s">
        <v>105</v>
      </c>
      <c r="W67" s="19" t="s">
        <v>96</v>
      </c>
      <c r="X67" s="19"/>
      <c r="Y67" s="19"/>
      <c r="Z67" s="19" t="s">
        <v>445</v>
      </c>
      <c r="AA67" s="19">
        <v>1</v>
      </c>
      <c r="AB67" s="19">
        <v>1</v>
      </c>
      <c r="AC67" s="19" t="s">
        <v>59</v>
      </c>
      <c r="AD67" s="19" t="s">
        <v>68</v>
      </c>
      <c r="AE67" s="19" t="s">
        <v>446</v>
      </c>
      <c r="AF67" s="19"/>
    </row>
    <row r="68" spans="1:34">
      <c r="A68" s="19">
        <v>63</v>
      </c>
      <c r="B68" s="19" t="s">
        <v>405</v>
      </c>
      <c r="C68" s="19" t="s">
        <v>109</v>
      </c>
      <c r="D68" s="19" t="str">
        <f>HYPERLINK("http://henontech.com/fieldsafety/harzard/harzard_show.php?rid=2046&amp;url=harzardrecs.php","仪表操作工在操作的过程中，由于仪表盘未接地线，发生漏电，造成操作人员轻微触电，休息片刻继续工作。")</f>
        <v>仪表操作工在操作的过程中，由于仪表盘未接地线，发生漏电，造成操作人员轻微触电，休息片刻继续工作。</v>
      </c>
      <c r="E68" s="19" t="s">
        <v>447</v>
      </c>
      <c r="F68" s="20" t="s">
        <v>42</v>
      </c>
      <c r="G68" s="21" t="s">
        <v>43</v>
      </c>
      <c r="H68" s="19" t="s">
        <v>44</v>
      </c>
      <c r="I68" s="19" t="s">
        <v>129</v>
      </c>
      <c r="J68" s="19" t="s">
        <v>87</v>
      </c>
      <c r="K68" s="19" t="s">
        <v>79</v>
      </c>
      <c r="L68" s="19" t="s">
        <v>65</v>
      </c>
      <c r="M68" s="19" t="s">
        <v>66</v>
      </c>
      <c r="N68" s="19" t="s">
        <v>448</v>
      </c>
      <c r="O68" s="19" t="s">
        <v>66</v>
      </c>
      <c r="P68" s="19" t="s">
        <v>68</v>
      </c>
      <c r="Q68" s="19" t="s">
        <v>408</v>
      </c>
      <c r="R68" s="19" t="s">
        <v>449</v>
      </c>
      <c r="S68" s="19"/>
      <c r="T68" s="19" t="s">
        <v>53</v>
      </c>
      <c r="U68" s="19" t="s">
        <v>94</v>
      </c>
      <c r="V68" s="19" t="s">
        <v>95</v>
      </c>
      <c r="W68" s="19" t="s">
        <v>96</v>
      </c>
      <c r="X68" s="19"/>
      <c r="Y68" s="19"/>
      <c r="Z68" s="19" t="s">
        <v>450</v>
      </c>
      <c r="AA68" s="19">
        <v>1</v>
      </c>
      <c r="AB68" s="19">
        <v>1</v>
      </c>
      <c r="AC68" s="19" t="s">
        <v>59</v>
      </c>
      <c r="AD68" s="19" t="s">
        <v>68</v>
      </c>
      <c r="AE68" s="19" t="s">
        <v>139</v>
      </c>
      <c r="AF68" s="19"/>
    </row>
    <row r="69" spans="1:34">
      <c r="A69" s="19">
        <v>64</v>
      </c>
      <c r="B69" s="19" t="s">
        <v>405</v>
      </c>
      <c r="C69" s="19" t="s">
        <v>85</v>
      </c>
      <c r="D69" s="19" t="str">
        <f>HYPERLINK("http://henontech.com/fieldsafety/harzard/harzard_show.php?rid=2047&amp;url=harzardrecs.php","操作工从配电箱中，开照明灯时，由于天黑看不清配电箱内的情况，不小心手碰到电源接线螺丝触电，漏电保护器动作跳闸，操作工及时脱离电源。")</f>
        <v>操作工从配电箱中，开照明灯时，由于天黑看不清配电箱内的情况，不小心手碰到电源接线螺丝触电，漏电保护器动作跳闸，操作工及时脱离电源。</v>
      </c>
      <c r="E69" s="19" t="s">
        <v>451</v>
      </c>
      <c r="F69" s="20" t="s">
        <v>42</v>
      </c>
      <c r="G69" s="21" t="s">
        <v>43</v>
      </c>
      <c r="H69" s="19" t="s">
        <v>44</v>
      </c>
      <c r="I69" s="19" t="s">
        <v>129</v>
      </c>
      <c r="J69" s="19" t="s">
        <v>112</v>
      </c>
      <c r="K69" s="19" t="s">
        <v>88</v>
      </c>
      <c r="L69" s="19" t="s">
        <v>65</v>
      </c>
      <c r="M69" s="19" t="s">
        <v>89</v>
      </c>
      <c r="N69" s="19" t="s">
        <v>90</v>
      </c>
      <c r="O69" s="19" t="s">
        <v>89</v>
      </c>
      <c r="P69" s="19" t="s">
        <v>91</v>
      </c>
      <c r="Q69" s="19" t="s">
        <v>402</v>
      </c>
      <c r="R69" s="19" t="s">
        <v>93</v>
      </c>
      <c r="S69" s="19" t="s">
        <v>452</v>
      </c>
      <c r="T69" s="19" t="s">
        <v>53</v>
      </c>
      <c r="U69" s="19" t="s">
        <v>94</v>
      </c>
      <c r="V69" s="19" t="s">
        <v>95</v>
      </c>
      <c r="W69" s="19" t="s">
        <v>96</v>
      </c>
      <c r="X69" s="19" t="s">
        <v>57</v>
      </c>
      <c r="Y69" s="19" t="s">
        <v>57</v>
      </c>
      <c r="Z69" s="19" t="s">
        <v>453</v>
      </c>
      <c r="AA69" s="19">
        <v>1</v>
      </c>
      <c r="AB69" s="19">
        <v>1</v>
      </c>
      <c r="AC69" s="19" t="s">
        <v>59</v>
      </c>
      <c r="AD69" s="19" t="s">
        <v>91</v>
      </c>
      <c r="AE69" s="19" t="s">
        <v>125</v>
      </c>
      <c r="AF69" s="19"/>
    </row>
    <row r="70" spans="1:34">
      <c r="A70" s="19">
        <v>65</v>
      </c>
      <c r="B70" s="19" t="s">
        <v>405</v>
      </c>
      <c r="C70" s="19" t="s">
        <v>99</v>
      </c>
      <c r="D70" s="19" t="str">
        <f>HYPERLINK("http://henontech.com/fieldsafety/harzard/harzard_show.php?rid=2048&amp;url=harzardrecs.php","一名操作工在擦试废气回收喷淋泵时，因泵子机械密封漏液，漏出的废水随高速旋转的轴体甩溅到操作工眼睛内，立即到洗眼器处冲洗，送医院救治，诊断为视网膜灼伤，治疗2个月出院，限工2个月。")</f>
        <v>一名操作工在擦试废气回收喷淋泵时，因泵子机械密封漏液，漏出的废水随高速旋转的轴体甩溅到操作工眼睛内，立即到洗眼器处冲洗，送医院救治，诊断为视网膜灼伤，治疗2个月出院，限工2个月。</v>
      </c>
      <c r="E70" s="19" t="s">
        <v>454</v>
      </c>
      <c r="F70" s="20" t="s">
        <v>42</v>
      </c>
      <c r="G70" s="21" t="s">
        <v>43</v>
      </c>
      <c r="H70" s="19" t="s">
        <v>44</v>
      </c>
      <c r="I70" s="19" t="s">
        <v>78</v>
      </c>
      <c r="J70" s="19" t="s">
        <v>64</v>
      </c>
      <c r="K70" s="19" t="s">
        <v>46</v>
      </c>
      <c r="L70" s="19" t="s">
        <v>65</v>
      </c>
      <c r="M70" s="19" t="s">
        <v>66</v>
      </c>
      <c r="N70" s="19" t="s">
        <v>122</v>
      </c>
      <c r="O70" s="19" t="s">
        <v>66</v>
      </c>
      <c r="P70" s="19" t="s">
        <v>68</v>
      </c>
      <c r="Q70" s="19" t="s">
        <v>408</v>
      </c>
      <c r="R70" s="19" t="s">
        <v>455</v>
      </c>
      <c r="S70" s="19"/>
      <c r="T70" s="19" t="s">
        <v>53</v>
      </c>
      <c r="U70" s="19" t="s">
        <v>54</v>
      </c>
      <c r="V70" s="19" t="s">
        <v>55</v>
      </c>
      <c r="W70" s="19" t="s">
        <v>56</v>
      </c>
      <c r="X70" s="19"/>
      <c r="Y70" s="19"/>
      <c r="Z70" s="19" t="s">
        <v>456</v>
      </c>
      <c r="AA70" s="19">
        <v>1</v>
      </c>
      <c r="AB70" s="19">
        <v>1</v>
      </c>
      <c r="AC70" s="19" t="s">
        <v>59</v>
      </c>
      <c r="AD70" s="19" t="s">
        <v>68</v>
      </c>
      <c r="AE70" s="19" t="s">
        <v>396</v>
      </c>
      <c r="AF70" s="19"/>
    </row>
    <row r="71" spans="1:34" customHeight="1" ht="42">
      <c r="A71" s="19">
        <v>66</v>
      </c>
      <c r="B71" s="19" t="s">
        <v>102</v>
      </c>
      <c r="C71" s="19" t="s">
        <v>457</v>
      </c>
      <c r="D71" s="19" t="str">
        <f>HYPERLINK("http://henontech.com/fieldsafety/harzard/harzard_show.php?rid=2049&amp;url=harzardrecs.php","一名工人从5.5米干熄车的应急爬梯下车时，在爬梯上滑倒，滑跌至地面，至该工人腿部受伤")</f>
        <v>一名工人从5.5米干熄车的应急爬梯下车时，在爬梯上滑倒，滑跌至地面，至该工人腿部受伤</v>
      </c>
      <c r="E71" s="19" t="s">
        <v>458</v>
      </c>
      <c r="F71" s="20" t="s">
        <v>42</v>
      </c>
      <c r="G71" s="21" t="s">
        <v>43</v>
      </c>
      <c r="H71" s="19" t="s">
        <v>44</v>
      </c>
      <c r="I71" s="19" t="s">
        <v>129</v>
      </c>
      <c r="J71" s="19" t="s">
        <v>64</v>
      </c>
      <c r="K71" s="19" t="s">
        <v>79</v>
      </c>
      <c r="L71" s="19" t="s">
        <v>65</v>
      </c>
      <c r="M71" s="19" t="s">
        <v>49</v>
      </c>
      <c r="N71" s="19" t="s">
        <v>459</v>
      </c>
      <c r="O71" s="19" t="s">
        <v>49</v>
      </c>
      <c r="P71" s="19" t="s">
        <v>460</v>
      </c>
      <c r="Q71" s="19" t="s">
        <v>408</v>
      </c>
      <c r="R71" s="19" t="s">
        <v>461</v>
      </c>
      <c r="S71" s="19"/>
      <c r="T71" s="19" t="s">
        <v>53</v>
      </c>
      <c r="U71" s="19" t="s">
        <v>54</v>
      </c>
      <c r="V71" s="19" t="s">
        <v>55</v>
      </c>
      <c r="W71" s="19" t="s">
        <v>56</v>
      </c>
      <c r="X71" s="19" t="s">
        <v>141</v>
      </c>
      <c r="Y71" s="19" t="s">
        <v>141</v>
      </c>
      <c r="Z71" s="19" t="s">
        <v>462</v>
      </c>
      <c r="AA71" s="19">
        <v>2</v>
      </c>
      <c r="AB71" s="19">
        <v>2</v>
      </c>
      <c r="AC71" s="19" t="s">
        <v>59</v>
      </c>
      <c r="AD71" s="19" t="s">
        <v>460</v>
      </c>
      <c r="AE71" s="19" t="s">
        <v>463</v>
      </c>
      <c r="AF71" s="19"/>
    </row>
    <row r="72" spans="1:34" customHeight="1" ht="42">
      <c r="A72" s="19">
        <v>67</v>
      </c>
      <c r="B72" s="19" t="s">
        <v>102</v>
      </c>
      <c r="C72" s="19" t="s">
        <v>464</v>
      </c>
      <c r="D72" s="19" t="str">
        <f>HYPERLINK("http://henontech.com/fieldsafety/harzard/harzard_show.php?rid=2050&amp;url=harzardrecs.php","干熄炉东侧北边除尘上部平台通道踏板腐烂缺失，一名职工巡检时没有注意脚下，不慎踩空，从8米的高度坠落地面，头部受伤，送医治疗。")</f>
        <v>干熄炉东侧北边除尘上部平台通道踏板腐烂缺失，一名职工巡检时没有注意脚下，不慎踩空，从8米的高度坠落地面，头部受伤，送医治疗。</v>
      </c>
      <c r="E72" s="19" t="s">
        <v>465</v>
      </c>
      <c r="F72" s="20" t="s">
        <v>42</v>
      </c>
      <c r="G72" s="21" t="s">
        <v>43</v>
      </c>
      <c r="H72" s="19" t="s">
        <v>44</v>
      </c>
      <c r="I72" s="19" t="s">
        <v>205</v>
      </c>
      <c r="J72" s="19" t="s">
        <v>64</v>
      </c>
      <c r="K72" s="19" t="s">
        <v>466</v>
      </c>
      <c r="L72" s="19" t="s">
        <v>65</v>
      </c>
      <c r="M72" s="19" t="s">
        <v>49</v>
      </c>
      <c r="N72" s="19" t="s">
        <v>467</v>
      </c>
      <c r="O72" s="19" t="s">
        <v>49</v>
      </c>
      <c r="P72" s="19" t="s">
        <v>460</v>
      </c>
      <c r="Q72" s="19" t="s">
        <v>408</v>
      </c>
      <c r="R72" s="19" t="s">
        <v>468</v>
      </c>
      <c r="S72" s="19"/>
      <c r="T72" s="19" t="s">
        <v>53</v>
      </c>
      <c r="U72" s="19" t="s">
        <v>116</v>
      </c>
      <c r="V72" s="19" t="s">
        <v>55</v>
      </c>
      <c r="W72" s="19" t="s">
        <v>117</v>
      </c>
      <c r="X72" s="19" t="s">
        <v>141</v>
      </c>
      <c r="Y72" s="19" t="s">
        <v>141</v>
      </c>
      <c r="Z72" s="19" t="s">
        <v>469</v>
      </c>
      <c r="AA72" s="19">
        <v>2</v>
      </c>
      <c r="AB72" s="19">
        <v>2</v>
      </c>
      <c r="AC72" s="19" t="s">
        <v>59</v>
      </c>
      <c r="AD72" s="19" t="s">
        <v>460</v>
      </c>
      <c r="AE72" s="19" t="s">
        <v>463</v>
      </c>
      <c r="AF72" s="19"/>
    </row>
    <row r="73" spans="1:34" customHeight="1" ht="42">
      <c r="A73" s="19">
        <v>68</v>
      </c>
      <c r="B73" s="19" t="s">
        <v>102</v>
      </c>
      <c r="C73" s="19" t="s">
        <v>470</v>
      </c>
      <c r="D73" s="19" t="str">
        <f>HYPERLINK("http://henontech.com/fieldsafety/harzard/harzard_show.php?rid=2051&amp;url=harzardrecs.php","5.5米炉顶北侧间台盖板缺失，如果一名操作工在巡检过程没有注意脚下不慎踩空，造成大腿骨折，送往医院治疗。")</f>
        <v>5.5米炉顶北侧间台盖板缺失，如果一名操作工在巡检过程没有注意脚下不慎踩空，造成大腿骨折，送往医院治疗。</v>
      </c>
      <c r="E73" s="19" t="s">
        <v>471</v>
      </c>
      <c r="F73" s="20" t="s">
        <v>42</v>
      </c>
      <c r="G73" s="21" t="s">
        <v>43</v>
      </c>
      <c r="H73" s="19" t="s">
        <v>44</v>
      </c>
      <c r="I73" s="19" t="s">
        <v>129</v>
      </c>
      <c r="J73" s="19" t="s">
        <v>64</v>
      </c>
      <c r="K73" s="19" t="s">
        <v>466</v>
      </c>
      <c r="L73" s="19" t="s">
        <v>65</v>
      </c>
      <c r="M73" s="19" t="s">
        <v>49</v>
      </c>
      <c r="N73" s="19" t="s">
        <v>472</v>
      </c>
      <c r="O73" s="19" t="s">
        <v>49</v>
      </c>
      <c r="P73" s="19" t="s">
        <v>460</v>
      </c>
      <c r="Q73" s="19" t="s">
        <v>408</v>
      </c>
      <c r="R73" s="19" t="s">
        <v>473</v>
      </c>
      <c r="S73" s="19"/>
      <c r="T73" s="19" t="s">
        <v>53</v>
      </c>
      <c r="U73" s="19" t="s">
        <v>54</v>
      </c>
      <c r="V73" s="19" t="s">
        <v>55</v>
      </c>
      <c r="W73" s="19" t="s">
        <v>56</v>
      </c>
      <c r="X73" s="19" t="s">
        <v>141</v>
      </c>
      <c r="Y73" s="19" t="s">
        <v>141</v>
      </c>
      <c r="Z73" s="19" t="s">
        <v>474</v>
      </c>
      <c r="AA73" s="19">
        <v>2</v>
      </c>
      <c r="AB73" s="19">
        <v>2</v>
      </c>
      <c r="AC73" s="19" t="s">
        <v>59</v>
      </c>
      <c r="AD73" s="19" t="s">
        <v>460</v>
      </c>
      <c r="AE73" s="19" t="s">
        <v>475</v>
      </c>
      <c r="AF73" s="19"/>
    </row>
    <row r="74" spans="1:34" customHeight="1" ht="42">
      <c r="A74" s="19">
        <v>69</v>
      </c>
      <c r="B74" s="19" t="s">
        <v>102</v>
      </c>
      <c r="C74" s="19" t="s">
        <v>476</v>
      </c>
      <c r="D74" s="19" t="str">
        <f>HYPERLINK("http://henontech.com/fieldsafety/harzard/harzard_show.php?rid=2052&amp;url=harzardrecs.php","东焦场除尘施工时，未设置警戒带，一名工人路过时被上方掉落的工具砸伤头部")</f>
        <v>东焦场除尘施工时，未设置警戒带，一名工人路过时被上方掉落的工具砸伤头部</v>
      </c>
      <c r="E74" s="19" t="s">
        <v>477</v>
      </c>
      <c r="F74" s="20" t="s">
        <v>42</v>
      </c>
      <c r="G74" s="21" t="s">
        <v>43</v>
      </c>
      <c r="H74" s="19" t="s">
        <v>44</v>
      </c>
      <c r="I74" s="19" t="s">
        <v>129</v>
      </c>
      <c r="J74" s="19" t="s">
        <v>64</v>
      </c>
      <c r="K74" s="19" t="s">
        <v>79</v>
      </c>
      <c r="L74" s="19" t="s">
        <v>65</v>
      </c>
      <c r="M74" s="19" t="s">
        <v>49</v>
      </c>
      <c r="N74" s="19" t="s">
        <v>478</v>
      </c>
      <c r="O74" s="19" t="s">
        <v>49</v>
      </c>
      <c r="P74" s="19" t="s">
        <v>479</v>
      </c>
      <c r="Q74" s="19" t="s">
        <v>480</v>
      </c>
      <c r="R74" s="19" t="s">
        <v>481</v>
      </c>
      <c r="S74" s="19"/>
      <c r="T74" s="19" t="s">
        <v>53</v>
      </c>
      <c r="U74" s="19" t="s">
        <v>54</v>
      </c>
      <c r="V74" s="19" t="s">
        <v>95</v>
      </c>
      <c r="W74" s="19" t="s">
        <v>117</v>
      </c>
      <c r="X74" s="19" t="s">
        <v>141</v>
      </c>
      <c r="Y74" s="19" t="s">
        <v>141</v>
      </c>
      <c r="Z74" s="19" t="s">
        <v>482</v>
      </c>
      <c r="AA74" s="19">
        <v>2</v>
      </c>
      <c r="AB74" s="19">
        <v>2</v>
      </c>
      <c r="AC74" s="19" t="s">
        <v>59</v>
      </c>
      <c r="AD74" s="19" t="s">
        <v>479</v>
      </c>
      <c r="AE74" s="19" t="s">
        <v>463</v>
      </c>
      <c r="AF74" s="19" t="s">
        <v>483</v>
      </c>
    </row>
    <row r="75" spans="1:34" customHeight="1" ht="42">
      <c r="A75" s="19">
        <v>70</v>
      </c>
      <c r="B75" s="19" t="s">
        <v>102</v>
      </c>
      <c r="C75" s="19" t="s">
        <v>484</v>
      </c>
      <c r="D75" s="19" t="str">
        <f>HYPERLINK("http://henontech.com/fieldsafety/harzard/harzard_show.php?rid=2053&amp;url=harzardrecs.php","5.5米焦炉炉顶焦侧29号清理上升管桥管小平台倾斜晃动比较严重，如果一名操作工在清理上升管桥管时不慎闪落，从六米高处坠落，严重摔伤，送院治疗。")</f>
        <v>5.5米焦炉炉顶焦侧29号清理上升管桥管小平台倾斜晃动比较严重，如果一名操作工在清理上升管桥管时不慎闪落，从六米高处坠落，严重摔伤，送院治疗。</v>
      </c>
      <c r="E75" s="19" t="s">
        <v>485</v>
      </c>
      <c r="F75" s="20" t="s">
        <v>42</v>
      </c>
      <c r="G75" s="21" t="s">
        <v>43</v>
      </c>
      <c r="H75" s="19" t="s">
        <v>44</v>
      </c>
      <c r="I75" s="19" t="s">
        <v>129</v>
      </c>
      <c r="J75" s="19" t="s">
        <v>64</v>
      </c>
      <c r="K75" s="19" t="s">
        <v>466</v>
      </c>
      <c r="L75" s="19" t="s">
        <v>65</v>
      </c>
      <c r="M75" s="19" t="s">
        <v>49</v>
      </c>
      <c r="N75" s="19" t="s">
        <v>486</v>
      </c>
      <c r="O75" s="19" t="s">
        <v>49</v>
      </c>
      <c r="P75" s="19" t="s">
        <v>460</v>
      </c>
      <c r="Q75" s="19" t="s">
        <v>480</v>
      </c>
      <c r="R75" s="19" t="s">
        <v>487</v>
      </c>
      <c r="S75" s="19"/>
      <c r="T75" s="19" t="s">
        <v>53</v>
      </c>
      <c r="U75" s="19" t="s">
        <v>116</v>
      </c>
      <c r="V75" s="19" t="s">
        <v>55</v>
      </c>
      <c r="W75" s="19" t="s">
        <v>117</v>
      </c>
      <c r="X75" s="19" t="s">
        <v>141</v>
      </c>
      <c r="Y75" s="19" t="s">
        <v>141</v>
      </c>
      <c r="Z75" s="19" t="s">
        <v>488</v>
      </c>
      <c r="AA75" s="19">
        <v>2</v>
      </c>
      <c r="AB75" s="19">
        <v>2</v>
      </c>
      <c r="AC75" s="19" t="s">
        <v>59</v>
      </c>
      <c r="AD75" s="19" t="s">
        <v>460</v>
      </c>
      <c r="AE75" s="19" t="s">
        <v>475</v>
      </c>
      <c r="AF75" s="19"/>
    </row>
    <row r="76" spans="1:34">
      <c r="A76" s="19">
        <v>71</v>
      </c>
      <c r="B76" s="19" t="s">
        <v>102</v>
      </c>
      <c r="C76" s="19" t="s">
        <v>489</v>
      </c>
      <c r="D76" s="19" t="str">
        <f>HYPERLINK("http://henontech.com/fieldsafety/harzard/harzard_show.php?rid=2054&amp;url=harzardrecs.php","一职工在东焦场打扫地面卫生时，被高处20多米的筛焦楼窗台上的铁件掉落砸中头部，流血过多，送医院抢救无效死亡。")</f>
        <v>一职工在东焦场打扫地面卫生时，被高处20多米的筛焦楼窗台上的铁件掉落砸中头部，流血过多，送医院抢救无效死亡。</v>
      </c>
      <c r="E76" s="19" t="s">
        <v>490</v>
      </c>
      <c r="F76" s="23" t="s">
        <v>227</v>
      </c>
      <c r="G76" s="21" t="s">
        <v>43</v>
      </c>
      <c r="H76" s="19" t="s">
        <v>44</v>
      </c>
      <c r="I76" s="19" t="s">
        <v>205</v>
      </c>
      <c r="J76" s="19" t="s">
        <v>45</v>
      </c>
      <c r="K76" s="19" t="s">
        <v>302</v>
      </c>
      <c r="L76" s="19" t="s">
        <v>65</v>
      </c>
      <c r="M76" s="19" t="s">
        <v>49</v>
      </c>
      <c r="N76" s="19" t="s">
        <v>491</v>
      </c>
      <c r="O76" s="19"/>
      <c r="P76" s="19"/>
      <c r="Q76" s="19"/>
      <c r="R76" s="19" t="s">
        <v>492</v>
      </c>
      <c r="S76" s="19" t="s">
        <v>493</v>
      </c>
      <c r="T76" s="19" t="s">
        <v>53</v>
      </c>
      <c r="U76" s="19" t="s">
        <v>116</v>
      </c>
      <c r="V76" s="19" t="s">
        <v>55</v>
      </c>
      <c r="W76" s="19" t="s">
        <v>117</v>
      </c>
      <c r="X76" s="19"/>
      <c r="Y76" s="19"/>
      <c r="Z76" s="19"/>
      <c r="AA76" s="19">
        <v>0</v>
      </c>
      <c r="AB76" s="19"/>
      <c r="AC76" s="19" t="s">
        <v>233</v>
      </c>
      <c r="AD76" s="19"/>
      <c r="AE76" s="19"/>
      <c r="AF76" s="19"/>
    </row>
    <row r="77" spans="1:34">
      <c r="A77" s="19">
        <v>72</v>
      </c>
      <c r="B77" s="19" t="s">
        <v>102</v>
      </c>
      <c r="C77" s="19" t="s">
        <v>494</v>
      </c>
      <c r="D77" s="19" t="str">
        <f>HYPERLINK("http://henontech.com/fieldsafety/harzard/harzard_show.php?rid=2055&amp;url=harzardrecs.php","南再生器顶部护栏腐蚀严重，操作人员登高开关阀门时如不慎踩空易跌落地面，造成腿部骨折，送医后住院治疗3个月")</f>
        <v>南再生器顶部护栏腐蚀严重，操作人员登高开关阀门时如不慎踩空易跌落地面，造成腿部骨折，送医后住院治疗3个月</v>
      </c>
      <c r="E77" s="19" t="s">
        <v>495</v>
      </c>
      <c r="F77" s="20" t="s">
        <v>42</v>
      </c>
      <c r="G77" s="21" t="s">
        <v>43</v>
      </c>
      <c r="H77" s="19" t="s">
        <v>44</v>
      </c>
      <c r="I77" s="19" t="s">
        <v>205</v>
      </c>
      <c r="J77" s="19" t="s">
        <v>64</v>
      </c>
      <c r="K77" s="19" t="s">
        <v>46</v>
      </c>
      <c r="L77" s="19" t="s">
        <v>65</v>
      </c>
      <c r="M77" s="19" t="s">
        <v>66</v>
      </c>
      <c r="N77" s="19" t="s">
        <v>113</v>
      </c>
      <c r="O77" s="19" t="s">
        <v>66</v>
      </c>
      <c r="P77" s="19" t="s">
        <v>68</v>
      </c>
      <c r="Q77" s="19" t="s">
        <v>408</v>
      </c>
      <c r="R77" s="19" t="s">
        <v>496</v>
      </c>
      <c r="S77" s="19"/>
      <c r="T77" s="19" t="s">
        <v>53</v>
      </c>
      <c r="U77" s="19" t="s">
        <v>54</v>
      </c>
      <c r="V77" s="19" t="s">
        <v>105</v>
      </c>
      <c r="W77" s="19" t="s">
        <v>72</v>
      </c>
      <c r="X77" s="19"/>
      <c r="Y77" s="19"/>
      <c r="Z77" s="19" t="s">
        <v>497</v>
      </c>
      <c r="AA77" s="19">
        <v>1</v>
      </c>
      <c r="AB77" s="19">
        <v>1</v>
      </c>
      <c r="AC77" s="19" t="s">
        <v>59</v>
      </c>
      <c r="AD77" s="19" t="s">
        <v>68</v>
      </c>
      <c r="AE77" s="19" t="s">
        <v>402</v>
      </c>
      <c r="AF77" s="19"/>
    </row>
    <row r="78" spans="1:34" customHeight="1" ht="42">
      <c r="A78" s="19">
        <v>73</v>
      </c>
      <c r="B78" s="19" t="s">
        <v>102</v>
      </c>
      <c r="C78" s="19" t="s">
        <v>457</v>
      </c>
      <c r="D78" s="19" t="str">
        <f>HYPERLINK("http://henontech.com/fieldsafety/harzard/harzard_show.php?rid=2056&amp;url=harzardrecs.php","一测换工在夜间巡检经过此处时，由于光钱昏暗未发现地面有坑，不惧一脚踩入坑内跌倒，造成右脚受伤，送医诊断为右脚骨折。")</f>
        <v>一测换工在夜间巡检经过此处时，由于光钱昏暗未发现地面有坑，不惧一脚踩入坑内跌倒，造成右脚受伤，送医诊断为右脚骨折。</v>
      </c>
      <c r="E78" s="19" t="s">
        <v>498</v>
      </c>
      <c r="F78" s="20" t="s">
        <v>42</v>
      </c>
      <c r="G78" s="21" t="s">
        <v>43</v>
      </c>
      <c r="H78" s="19" t="s">
        <v>44</v>
      </c>
      <c r="I78" s="19" t="s">
        <v>205</v>
      </c>
      <c r="J78" s="19" t="s">
        <v>64</v>
      </c>
      <c r="K78" s="19" t="s">
        <v>302</v>
      </c>
      <c r="L78" s="19" t="s">
        <v>65</v>
      </c>
      <c r="M78" s="19" t="s">
        <v>49</v>
      </c>
      <c r="N78" s="19" t="s">
        <v>491</v>
      </c>
      <c r="O78" s="19" t="s">
        <v>49</v>
      </c>
      <c r="P78" s="19" t="s">
        <v>499</v>
      </c>
      <c r="Q78" s="19" t="s">
        <v>480</v>
      </c>
      <c r="R78" s="19" t="s">
        <v>500</v>
      </c>
      <c r="S78" s="19"/>
      <c r="T78" s="19" t="s">
        <v>53</v>
      </c>
      <c r="U78" s="19" t="s">
        <v>54</v>
      </c>
      <c r="V78" s="19" t="s">
        <v>55</v>
      </c>
      <c r="W78" s="19" t="s">
        <v>56</v>
      </c>
      <c r="X78" s="19" t="s">
        <v>141</v>
      </c>
      <c r="Y78" s="19" t="s">
        <v>141</v>
      </c>
      <c r="Z78" s="19" t="s">
        <v>501</v>
      </c>
      <c r="AA78" s="19">
        <v>2</v>
      </c>
      <c r="AB78" s="19">
        <v>2</v>
      </c>
      <c r="AC78" s="19" t="s">
        <v>59</v>
      </c>
      <c r="AD78" s="19" t="s">
        <v>499</v>
      </c>
      <c r="AE78" s="19" t="s">
        <v>502</v>
      </c>
      <c r="AF78" s="19" t="s">
        <v>503</v>
      </c>
    </row>
    <row r="79" spans="1:34">
      <c r="A79" s="19">
        <v>74</v>
      </c>
      <c r="B79" s="19" t="s">
        <v>102</v>
      </c>
      <c r="C79" s="19" t="s">
        <v>270</v>
      </c>
      <c r="D79" s="19" t="str">
        <f>HYPERLINK("http://henontech.com/fieldsafety/harzard/harzard_show.php?rid=2057&amp;url=harzardrecs.php","转化装置地面消防沙袋未及时清理，夜间操作工巡检时，由于视线昏暗，操作工不慎将脚踝扭伤，送医救治。")</f>
        <v>转化装置地面消防沙袋未及时清理，夜间操作工巡检时，由于视线昏暗，操作工不慎将脚踝扭伤，送医救治。</v>
      </c>
      <c r="E79" s="19" t="s">
        <v>504</v>
      </c>
      <c r="F79" s="20" t="s">
        <v>42</v>
      </c>
      <c r="G79" s="21" t="s">
        <v>43</v>
      </c>
      <c r="H79" s="19" t="s">
        <v>44</v>
      </c>
      <c r="I79" s="19" t="s">
        <v>78</v>
      </c>
      <c r="J79" s="19" t="s">
        <v>87</v>
      </c>
      <c r="K79" s="19" t="s">
        <v>46</v>
      </c>
      <c r="L79" s="19" t="s">
        <v>505</v>
      </c>
      <c r="M79" s="19" t="s">
        <v>146</v>
      </c>
      <c r="N79" s="19" t="s">
        <v>148</v>
      </c>
      <c r="O79" s="19" t="s">
        <v>146</v>
      </c>
      <c r="P79" s="19" t="s">
        <v>148</v>
      </c>
      <c r="Q79" s="19" t="s">
        <v>480</v>
      </c>
      <c r="R79" s="19" t="s">
        <v>506</v>
      </c>
      <c r="S79" s="19"/>
      <c r="T79" s="19" t="s">
        <v>53</v>
      </c>
      <c r="U79" s="19" t="s">
        <v>54</v>
      </c>
      <c r="V79" s="19" t="s">
        <v>55</v>
      </c>
      <c r="W79" s="19" t="s">
        <v>56</v>
      </c>
      <c r="X79" s="19" t="s">
        <v>267</v>
      </c>
      <c r="Y79" s="19" t="s">
        <v>159</v>
      </c>
      <c r="Z79" s="19" t="s">
        <v>507</v>
      </c>
      <c r="AA79" s="19">
        <v>1</v>
      </c>
      <c r="AB79" s="19">
        <v>1</v>
      </c>
      <c r="AC79" s="19" t="s">
        <v>59</v>
      </c>
      <c r="AD79" s="19" t="s">
        <v>148</v>
      </c>
      <c r="AE79" s="19" t="s">
        <v>152</v>
      </c>
      <c r="AF79" s="19" t="s">
        <v>508</v>
      </c>
    </row>
    <row r="80" spans="1:34">
      <c r="A80" s="19">
        <v>75</v>
      </c>
      <c r="B80" s="19" t="s">
        <v>125</v>
      </c>
      <c r="C80" s="19" t="s">
        <v>219</v>
      </c>
      <c r="D80" s="19" t="str">
        <f>HYPERLINK("http://henontech.com/fieldsafety/harzard/harzard_show.php?rid=2058&amp;url=harzardrecs.php","北脱硫溶液换热器封头因垫子有裂缝，造成脱硫液外渗，假如换热器压力高，造成垫子破裂，导致脱硫液大量外溢。")</f>
        <v>北脱硫溶液换热器封头因垫子有裂缝，造成脱硫液外渗，假如换热器压力高，造成垫子破裂，导致脱硫液大量外溢。</v>
      </c>
      <c r="E80" s="19" t="s">
        <v>509</v>
      </c>
      <c r="F80" s="20" t="s">
        <v>42</v>
      </c>
      <c r="G80" s="21" t="s">
        <v>43</v>
      </c>
      <c r="H80" s="19" t="s">
        <v>44</v>
      </c>
      <c r="I80" s="19" t="s">
        <v>510</v>
      </c>
      <c r="J80" s="19" t="s">
        <v>64</v>
      </c>
      <c r="K80" s="19" t="s">
        <v>46</v>
      </c>
      <c r="L80" s="19"/>
      <c r="M80" s="19" t="s">
        <v>66</v>
      </c>
      <c r="N80" s="19" t="s">
        <v>511</v>
      </c>
      <c r="O80" s="19" t="s">
        <v>66</v>
      </c>
      <c r="P80" s="19" t="s">
        <v>68</v>
      </c>
      <c r="Q80" s="19" t="s">
        <v>480</v>
      </c>
      <c r="R80" s="19" t="s">
        <v>512</v>
      </c>
      <c r="S80" s="19"/>
      <c r="T80" s="19" t="s">
        <v>392</v>
      </c>
      <c r="U80" s="19" t="s">
        <v>94</v>
      </c>
      <c r="V80" s="19" t="s">
        <v>95</v>
      </c>
      <c r="W80" s="19" t="s">
        <v>96</v>
      </c>
      <c r="X80" s="19"/>
      <c r="Y80" s="19"/>
      <c r="Z80" s="19" t="s">
        <v>513</v>
      </c>
      <c r="AA80" s="19">
        <v>1</v>
      </c>
      <c r="AB80" s="19">
        <v>1</v>
      </c>
      <c r="AC80" s="19" t="s">
        <v>59</v>
      </c>
      <c r="AD80" s="19" t="s">
        <v>68</v>
      </c>
      <c r="AE80" s="19" t="s">
        <v>396</v>
      </c>
      <c r="AF80" s="19"/>
    </row>
    <row r="81" spans="1:34">
      <c r="A81" s="19">
        <v>76</v>
      </c>
      <c r="B81" s="19" t="s">
        <v>102</v>
      </c>
      <c r="C81" s="19" t="s">
        <v>514</v>
      </c>
      <c r="D81" s="19" t="str">
        <f>HYPERLINK("http://henontech.com/fieldsafety/harzard/harzard_show.php?rid=2059&amp;url=harzardrecs.php","北脱硫东管架保温铝皮脱落，假如大风天气一名巡检工途径此处，铝皮被风吹落轻微划伤颈部，去医院简单治疗后上班，无损工")</f>
        <v>北脱硫东管架保温铝皮脱落，假如大风天气一名巡检工途径此处，铝皮被风吹落轻微划伤颈部，去医院简单治疗后上班，无损工</v>
      </c>
      <c r="E81" s="19" t="s">
        <v>515</v>
      </c>
      <c r="F81" s="20" t="s">
        <v>42</v>
      </c>
      <c r="G81" s="21" t="s">
        <v>43</v>
      </c>
      <c r="H81" s="19" t="s">
        <v>44</v>
      </c>
      <c r="I81" s="19" t="s">
        <v>129</v>
      </c>
      <c r="J81" s="19" t="s">
        <v>308</v>
      </c>
      <c r="K81" s="19" t="s">
        <v>46</v>
      </c>
      <c r="L81" s="19"/>
      <c r="M81" s="19" t="s">
        <v>66</v>
      </c>
      <c r="N81" s="19" t="s">
        <v>516</v>
      </c>
      <c r="O81" s="19" t="s">
        <v>66</v>
      </c>
      <c r="P81" s="19" t="s">
        <v>68</v>
      </c>
      <c r="Q81" s="19" t="s">
        <v>517</v>
      </c>
      <c r="R81" s="19" t="s">
        <v>518</v>
      </c>
      <c r="S81" s="19"/>
      <c r="T81" s="19" t="s">
        <v>53</v>
      </c>
      <c r="U81" s="19" t="s">
        <v>71</v>
      </c>
      <c r="V81" s="19" t="s">
        <v>105</v>
      </c>
      <c r="W81" s="19" t="s">
        <v>96</v>
      </c>
      <c r="X81" s="19"/>
      <c r="Y81" s="19"/>
      <c r="Z81" s="19" t="s">
        <v>519</v>
      </c>
      <c r="AA81" s="19">
        <v>1</v>
      </c>
      <c r="AB81" s="19">
        <v>1</v>
      </c>
      <c r="AC81" s="19" t="s">
        <v>59</v>
      </c>
      <c r="AD81" s="19" t="s">
        <v>68</v>
      </c>
      <c r="AE81" s="19" t="s">
        <v>334</v>
      </c>
      <c r="AF81" s="19"/>
    </row>
    <row r="82" spans="1:34">
      <c r="A82" s="19">
        <v>77</v>
      </c>
      <c r="B82" s="19" t="s">
        <v>102</v>
      </c>
      <c r="C82" s="19" t="s">
        <v>437</v>
      </c>
      <c r="D82" s="19" t="str">
        <f>HYPERLINK("http://henontech.com/fieldsafety/harzard/harzard_show.php?rid=2060&amp;url=harzardrecs.php","导烟车北侧无视窗且无视频监控，车辆北行时无法有效观察到行人，一员工向北行驶车辆是，未注意到北侧给水封加水的人员，车辆导套护栏将其别倒")</f>
        <v>导烟车北侧无视窗且无视频监控，车辆北行时无法有效观察到行人，一员工向北行驶车辆是，未注意到北侧给水封加水的人员，车辆导套护栏将其别倒</v>
      </c>
      <c r="E82" s="19" t="s">
        <v>520</v>
      </c>
      <c r="F82" s="23" t="s">
        <v>227</v>
      </c>
      <c r="G82" s="21" t="s">
        <v>43</v>
      </c>
      <c r="H82" s="19" t="s">
        <v>44</v>
      </c>
      <c r="I82" s="19" t="s">
        <v>297</v>
      </c>
      <c r="J82" s="19" t="s">
        <v>521</v>
      </c>
      <c r="K82" s="19" t="s">
        <v>88</v>
      </c>
      <c r="L82" s="19" t="s">
        <v>65</v>
      </c>
      <c r="M82" s="19" t="s">
        <v>49</v>
      </c>
      <c r="N82" s="19" t="s">
        <v>522</v>
      </c>
      <c r="O82" s="19"/>
      <c r="P82" s="19"/>
      <c r="Q82" s="19"/>
      <c r="R82" s="19" t="s">
        <v>473</v>
      </c>
      <c r="S82" s="19" t="s">
        <v>523</v>
      </c>
      <c r="T82" s="19" t="s">
        <v>53</v>
      </c>
      <c r="U82" s="19" t="s">
        <v>54</v>
      </c>
      <c r="V82" s="19" t="s">
        <v>55</v>
      </c>
      <c r="W82" s="19" t="s">
        <v>56</v>
      </c>
      <c r="X82" s="19"/>
      <c r="Y82" s="19"/>
      <c r="Z82" s="19"/>
      <c r="AA82" s="19">
        <v>0</v>
      </c>
      <c r="AB82" s="19"/>
      <c r="AC82" s="19" t="s">
        <v>233</v>
      </c>
      <c r="AD82" s="19"/>
      <c r="AE82" s="19"/>
      <c r="AF82" s="19"/>
    </row>
    <row r="83" spans="1:34">
      <c r="A83" s="19">
        <v>78</v>
      </c>
      <c r="B83" s="19" t="s">
        <v>102</v>
      </c>
      <c r="C83" s="19" t="s">
        <v>524</v>
      </c>
      <c r="D83" s="19" t="str">
        <f>HYPERLINK("http://henontech.com/fieldsafety/harzard/harzard_show.php?rid=2061&amp;url=harzardrecs.php","余热锅炉前烟道保温外层铁皮未握边，一职工夜间巡检经过此处时被未握边的铁皮割伤面部，送医清洗、缝合伤口7针，在家休养7天。")</f>
        <v>余热锅炉前烟道保温外层铁皮未握边，一职工夜间巡检经过此处时被未握边的铁皮割伤面部，送医清洗、缝合伤口7针，在家休养7天。</v>
      </c>
      <c r="E83" s="19" t="s">
        <v>525</v>
      </c>
      <c r="F83" s="23" t="s">
        <v>227</v>
      </c>
      <c r="G83" s="21" t="s">
        <v>43</v>
      </c>
      <c r="H83" s="19" t="s">
        <v>44</v>
      </c>
      <c r="I83" s="19" t="s">
        <v>205</v>
      </c>
      <c r="J83" s="19" t="s">
        <v>64</v>
      </c>
      <c r="K83" s="19" t="s">
        <v>46</v>
      </c>
      <c r="L83" s="19" t="s">
        <v>65</v>
      </c>
      <c r="M83" s="19" t="s">
        <v>49</v>
      </c>
      <c r="N83" s="19" t="s">
        <v>526</v>
      </c>
      <c r="O83" s="19"/>
      <c r="P83" s="19"/>
      <c r="Q83" s="19"/>
      <c r="R83" s="19" t="s">
        <v>527</v>
      </c>
      <c r="S83" s="19" t="s">
        <v>528</v>
      </c>
      <c r="T83" s="19" t="s">
        <v>53</v>
      </c>
      <c r="U83" s="19" t="s">
        <v>54</v>
      </c>
      <c r="V83" s="19" t="s">
        <v>55</v>
      </c>
      <c r="W83" s="19" t="s">
        <v>56</v>
      </c>
      <c r="X83" s="19"/>
      <c r="Y83" s="19"/>
      <c r="Z83" s="19"/>
      <c r="AA83" s="19">
        <v>0</v>
      </c>
      <c r="AB83" s="19"/>
      <c r="AC83" s="19" t="s">
        <v>233</v>
      </c>
      <c r="AD83" s="19"/>
      <c r="AE83" s="19"/>
      <c r="AF83" s="19"/>
    </row>
    <row r="84" spans="1:34">
      <c r="A84" s="19">
        <v>79</v>
      </c>
      <c r="B84" s="19" t="s">
        <v>102</v>
      </c>
      <c r="C84" s="19" t="s">
        <v>494</v>
      </c>
      <c r="D84" s="19" t="str">
        <f>HYPERLINK("http://henontech.com/fieldsafety/harzard/harzard_show.php?rid=2062&amp;url=harzardrecs.php","粗苯北管式炉南侧地沟盖板破损有坑洞，一员工夜间巡检时不慎踩空致小腿擦伤，送医务室包扎后继续工作")</f>
        <v>粗苯北管式炉南侧地沟盖板破损有坑洞，一员工夜间巡检时不慎踩空致小腿擦伤，送医务室包扎后继续工作</v>
      </c>
      <c r="E84" s="19" t="s">
        <v>529</v>
      </c>
      <c r="F84" s="20" t="s">
        <v>42</v>
      </c>
      <c r="G84" s="21" t="s">
        <v>43</v>
      </c>
      <c r="H84" s="19" t="s">
        <v>44</v>
      </c>
      <c r="I84" s="19"/>
      <c r="J84" s="19" t="s">
        <v>64</v>
      </c>
      <c r="K84" s="19" t="s">
        <v>46</v>
      </c>
      <c r="L84" s="19"/>
      <c r="M84" s="19" t="s">
        <v>66</v>
      </c>
      <c r="N84" s="19" t="s">
        <v>530</v>
      </c>
      <c r="O84" s="19" t="s">
        <v>66</v>
      </c>
      <c r="P84" s="19" t="s">
        <v>68</v>
      </c>
      <c r="Q84" s="19" t="s">
        <v>517</v>
      </c>
      <c r="R84" s="19" t="s">
        <v>531</v>
      </c>
      <c r="S84" s="19"/>
      <c r="T84" s="19" t="s">
        <v>53</v>
      </c>
      <c r="U84" s="19" t="s">
        <v>71</v>
      </c>
      <c r="V84" s="19" t="s">
        <v>55</v>
      </c>
      <c r="W84" s="19" t="s">
        <v>72</v>
      </c>
      <c r="X84" s="19"/>
      <c r="Y84" s="19"/>
      <c r="Z84" s="19" t="s">
        <v>532</v>
      </c>
      <c r="AA84" s="19">
        <v>1</v>
      </c>
      <c r="AB84" s="19">
        <v>1</v>
      </c>
      <c r="AC84" s="19" t="s">
        <v>59</v>
      </c>
      <c r="AD84" s="19" t="s">
        <v>68</v>
      </c>
      <c r="AE84" s="19" t="s">
        <v>139</v>
      </c>
      <c r="AF84" s="19"/>
    </row>
    <row r="85" spans="1:34">
      <c r="A85" s="19">
        <v>80</v>
      </c>
      <c r="B85" s="19" t="s">
        <v>102</v>
      </c>
      <c r="C85" s="19" t="s">
        <v>494</v>
      </c>
      <c r="D85" s="19" t="str">
        <f>HYPERLINK("http://henontech.com/fieldsafety/harzard/harzard_show.php?rid=2063&amp;url=harzardrecs.php","粗苯地下放空槽存放易燃易爆气体物质，施工人员违章放置配电盘无有效安全距离，无接地装置，无防雨措施可能导致一名施工人员在接线时开关老化短路产生电火花与周围可燃气体接触发生爆炸，造成该施工人员因爆炸当场死")</f>
        <v>粗苯地下放空槽存放易燃易爆气体物质，施工人员违章放置配电盘无有效安全距离，无接地装置，无防雨措施可能导致一名施工人员在接线时开关老化短路产生电火花与周围可燃气体接触发生爆炸，造成该施工人员因爆炸当场死</v>
      </c>
      <c r="E85" s="19" t="s">
        <v>533</v>
      </c>
      <c r="F85" s="20" t="s">
        <v>42</v>
      </c>
      <c r="G85" s="24" t="s">
        <v>534</v>
      </c>
      <c r="H85" s="19" t="s">
        <v>44</v>
      </c>
      <c r="I85" s="19" t="s">
        <v>78</v>
      </c>
      <c r="J85" s="19" t="s">
        <v>112</v>
      </c>
      <c r="K85" s="19" t="s">
        <v>46</v>
      </c>
      <c r="L85" s="19" t="s">
        <v>65</v>
      </c>
      <c r="M85" s="19" t="s">
        <v>66</v>
      </c>
      <c r="N85" s="19" t="s">
        <v>535</v>
      </c>
      <c r="O85" s="19" t="s">
        <v>66</v>
      </c>
      <c r="P85" s="19" t="s">
        <v>68</v>
      </c>
      <c r="Q85" s="19" t="s">
        <v>517</v>
      </c>
      <c r="R85" s="19" t="s">
        <v>536</v>
      </c>
      <c r="S85" s="19" t="s">
        <v>537</v>
      </c>
      <c r="T85" s="19" t="s">
        <v>53</v>
      </c>
      <c r="U85" s="19" t="s">
        <v>116</v>
      </c>
      <c r="V85" s="19" t="s">
        <v>193</v>
      </c>
      <c r="W85" s="19" t="s">
        <v>72</v>
      </c>
      <c r="X85" s="19"/>
      <c r="Y85" s="19"/>
      <c r="Z85" s="19" t="s">
        <v>538</v>
      </c>
      <c r="AA85" s="19">
        <v>1</v>
      </c>
      <c r="AB85" s="19">
        <v>1</v>
      </c>
      <c r="AC85" s="19" t="s">
        <v>59</v>
      </c>
      <c r="AD85" s="19" t="s">
        <v>68</v>
      </c>
      <c r="AE85" s="19" t="s">
        <v>152</v>
      </c>
      <c r="AF85" s="19"/>
    </row>
    <row r="86" spans="1:34">
      <c r="A86" s="19">
        <v>81</v>
      </c>
      <c r="B86" s="19" t="s">
        <v>125</v>
      </c>
      <c r="C86" s="19" t="s">
        <v>66</v>
      </c>
      <c r="D86" s="19" t="str">
        <f>HYPERLINK("http://henontech.com/fieldsafety/harzard/harzard_show.php?rid=2064&amp;url=harzardrecs.php","一名操作工在操作关阀门时，因管道与阀门法兰处长时间腐蚀泄漏，物料喷溅脸部及时用清水清洗送往医院，诊断脸部烧伤住院一个月治疗。")</f>
        <v>一名操作工在操作关阀门时，因管道与阀门法兰处长时间腐蚀泄漏，物料喷溅脸部及时用清水清洗送往医院，诊断脸部烧伤住院一个月治疗。</v>
      </c>
      <c r="E86" s="19" t="s">
        <v>539</v>
      </c>
      <c r="F86" s="20" t="s">
        <v>42</v>
      </c>
      <c r="G86" s="21" t="s">
        <v>43</v>
      </c>
      <c r="H86" s="19" t="s">
        <v>44</v>
      </c>
      <c r="I86" s="19" t="s">
        <v>205</v>
      </c>
      <c r="J86" s="19" t="s">
        <v>64</v>
      </c>
      <c r="K86" s="19" t="s">
        <v>88</v>
      </c>
      <c r="L86" s="19" t="s">
        <v>65</v>
      </c>
      <c r="M86" s="19" t="s">
        <v>66</v>
      </c>
      <c r="N86" s="19" t="s">
        <v>540</v>
      </c>
      <c r="O86" s="19" t="s">
        <v>66</v>
      </c>
      <c r="P86" s="19" t="s">
        <v>68</v>
      </c>
      <c r="Q86" s="19" t="s">
        <v>517</v>
      </c>
      <c r="R86" s="19" t="s">
        <v>120</v>
      </c>
      <c r="S86" s="19"/>
      <c r="T86" s="19" t="s">
        <v>53</v>
      </c>
      <c r="U86" s="19" t="s">
        <v>54</v>
      </c>
      <c r="V86" s="19" t="s">
        <v>105</v>
      </c>
      <c r="W86" s="19" t="s">
        <v>72</v>
      </c>
      <c r="X86" s="19"/>
      <c r="Y86" s="19"/>
      <c r="Z86" s="19" t="s">
        <v>541</v>
      </c>
      <c r="AA86" s="19">
        <v>1</v>
      </c>
      <c r="AB86" s="19">
        <v>1</v>
      </c>
      <c r="AC86" s="19" t="s">
        <v>59</v>
      </c>
      <c r="AD86" s="19" t="s">
        <v>68</v>
      </c>
      <c r="AE86" s="19" t="s">
        <v>125</v>
      </c>
      <c r="AF86" s="19"/>
    </row>
    <row r="87" spans="1:34">
      <c r="A87" s="19">
        <v>82</v>
      </c>
      <c r="B87" s="19" t="s">
        <v>125</v>
      </c>
      <c r="C87" s="19" t="s">
        <v>441</v>
      </c>
      <c r="D87" s="19" t="str">
        <f>HYPERLINK("http://henontech.com/fieldsafety/harzard/harzard_show.php?rid=2065&amp;url=harzardrecs.php","三号熔硫釜放料阀门盘根处漏液")</f>
        <v>三号熔硫釜放料阀门盘根处漏液</v>
      </c>
      <c r="E87" s="19" t="s">
        <v>542</v>
      </c>
      <c r="F87" s="20" t="s">
        <v>42</v>
      </c>
      <c r="G87" s="21" t="s">
        <v>43</v>
      </c>
      <c r="H87" s="19" t="s">
        <v>44</v>
      </c>
      <c r="I87" s="19" t="s">
        <v>205</v>
      </c>
      <c r="J87" s="19" t="s">
        <v>64</v>
      </c>
      <c r="K87" s="19" t="s">
        <v>46</v>
      </c>
      <c r="L87" s="19" t="s">
        <v>65</v>
      </c>
      <c r="M87" s="19" t="s">
        <v>66</v>
      </c>
      <c r="N87" s="19" t="s">
        <v>543</v>
      </c>
      <c r="O87" s="19" t="s">
        <v>66</v>
      </c>
      <c r="P87" s="19" t="s">
        <v>68</v>
      </c>
      <c r="Q87" s="19" t="s">
        <v>480</v>
      </c>
      <c r="R87" s="19" t="s">
        <v>544</v>
      </c>
      <c r="S87" s="19"/>
      <c r="T87" s="19" t="s">
        <v>53</v>
      </c>
      <c r="U87" s="19" t="s">
        <v>71</v>
      </c>
      <c r="V87" s="19" t="s">
        <v>55</v>
      </c>
      <c r="W87" s="19" t="s">
        <v>72</v>
      </c>
      <c r="X87" s="19"/>
      <c r="Y87" s="19"/>
      <c r="Z87" s="19" t="s">
        <v>545</v>
      </c>
      <c r="AA87" s="19">
        <v>1</v>
      </c>
      <c r="AB87" s="19">
        <v>1</v>
      </c>
      <c r="AC87" s="19" t="s">
        <v>59</v>
      </c>
      <c r="AD87" s="19" t="s">
        <v>68</v>
      </c>
      <c r="AE87" s="19" t="s">
        <v>422</v>
      </c>
      <c r="AF87" s="19"/>
    </row>
    <row r="88" spans="1:34">
      <c r="A88" s="19">
        <v>83</v>
      </c>
      <c r="B88" s="19" t="s">
        <v>125</v>
      </c>
      <c r="C88" s="19" t="s">
        <v>66</v>
      </c>
      <c r="D88" s="19" t="str">
        <f>HYPERLINK("http://henontech.com/fieldsafety/harzard/harzard_show.php?rid=2066&amp;url=harzardrecs.php","一名操作工在巡检操作时，攀爬爬梯时因爬梯腐蚀严重断裂右脚踩空受伤送往医院救治，诊断为脚踝扭伤住院治疗一个月。")</f>
        <v>一名操作工在巡检操作时，攀爬爬梯时因爬梯腐蚀严重断裂右脚踩空受伤送往医院救治，诊断为脚踝扭伤住院治疗一个月。</v>
      </c>
      <c r="E88" s="19" t="s">
        <v>539</v>
      </c>
      <c r="F88" s="20" t="s">
        <v>42</v>
      </c>
      <c r="G88" s="21" t="s">
        <v>43</v>
      </c>
      <c r="H88" s="19" t="s">
        <v>44</v>
      </c>
      <c r="I88" s="19" t="s">
        <v>205</v>
      </c>
      <c r="J88" s="19" t="s">
        <v>64</v>
      </c>
      <c r="K88" s="19" t="s">
        <v>46</v>
      </c>
      <c r="L88" s="19" t="s">
        <v>65</v>
      </c>
      <c r="M88" s="19" t="s">
        <v>66</v>
      </c>
      <c r="N88" s="19" t="s">
        <v>546</v>
      </c>
      <c r="O88" s="19" t="s">
        <v>66</v>
      </c>
      <c r="P88" s="19" t="s">
        <v>68</v>
      </c>
      <c r="Q88" s="19" t="s">
        <v>517</v>
      </c>
      <c r="R88" s="19" t="s">
        <v>120</v>
      </c>
      <c r="S88" s="19"/>
      <c r="T88" s="19" t="s">
        <v>53</v>
      </c>
      <c r="U88" s="19" t="s">
        <v>54</v>
      </c>
      <c r="V88" s="19" t="s">
        <v>105</v>
      </c>
      <c r="W88" s="19" t="s">
        <v>72</v>
      </c>
      <c r="X88" s="19"/>
      <c r="Y88" s="19"/>
      <c r="Z88" s="19" t="s">
        <v>547</v>
      </c>
      <c r="AA88" s="19">
        <v>1</v>
      </c>
      <c r="AB88" s="19">
        <v>1</v>
      </c>
      <c r="AC88" s="19" t="s">
        <v>59</v>
      </c>
      <c r="AD88" s="19" t="s">
        <v>68</v>
      </c>
      <c r="AE88" s="19" t="s">
        <v>125</v>
      </c>
      <c r="AF88" s="19"/>
    </row>
    <row r="89" spans="1:34" customHeight="1" ht="42">
      <c r="A89" s="19">
        <v>84</v>
      </c>
      <c r="B89" s="19" t="s">
        <v>125</v>
      </c>
      <c r="C89" s="19" t="s">
        <v>62</v>
      </c>
      <c r="D89" s="19" t="str">
        <f>HYPERLINK("http://henontech.com/fieldsafety/harzard/harzard_show.php?rid=2068&amp;url=harzardrecs.php","风机西侧外墙7米高处彩钢瓦腐蚀严重，在巡检中一名人员从这里经过被坠落的彩钢瓦砸伤头部，当场昏迷，送医院治疗。")</f>
        <v>风机西侧外墙7米高处彩钢瓦腐蚀严重，在巡检中一名人员从这里经过被坠落的彩钢瓦砸伤头部，当场昏迷，送医院治疗。</v>
      </c>
      <c r="E89" s="19" t="s">
        <v>548</v>
      </c>
      <c r="F89" s="20" t="s">
        <v>42</v>
      </c>
      <c r="G89" s="22" t="s">
        <v>111</v>
      </c>
      <c r="H89" s="19" t="s">
        <v>44</v>
      </c>
      <c r="I89" s="19" t="s">
        <v>78</v>
      </c>
      <c r="J89" s="19"/>
      <c r="K89" s="19" t="s">
        <v>88</v>
      </c>
      <c r="L89" s="19" t="s">
        <v>65</v>
      </c>
      <c r="M89" s="19" t="s">
        <v>66</v>
      </c>
      <c r="N89" s="19" t="s">
        <v>549</v>
      </c>
      <c r="O89" s="19" t="s">
        <v>66</v>
      </c>
      <c r="P89" s="19" t="s">
        <v>68</v>
      </c>
      <c r="Q89" s="19" t="s">
        <v>517</v>
      </c>
      <c r="R89" s="19" t="s">
        <v>550</v>
      </c>
      <c r="S89" s="19"/>
      <c r="T89" s="19" t="s">
        <v>53</v>
      </c>
      <c r="U89" s="19" t="s">
        <v>54</v>
      </c>
      <c r="V89" s="19" t="s">
        <v>55</v>
      </c>
      <c r="W89" s="19" t="s">
        <v>56</v>
      </c>
      <c r="X89" s="19"/>
      <c r="Y89" s="19"/>
      <c r="Z89" s="19" t="s">
        <v>551</v>
      </c>
      <c r="AA89" s="19">
        <v>2</v>
      </c>
      <c r="AB89" s="19">
        <v>2</v>
      </c>
      <c r="AC89" s="19" t="s">
        <v>59</v>
      </c>
      <c r="AD89" s="19" t="s">
        <v>68</v>
      </c>
      <c r="AE89" s="19" t="s">
        <v>552</v>
      </c>
      <c r="AF89" s="19"/>
    </row>
    <row r="90" spans="1:34">
      <c r="A90" s="19">
        <v>85</v>
      </c>
      <c r="B90" s="19" t="s">
        <v>125</v>
      </c>
      <c r="C90" s="19" t="s">
        <v>553</v>
      </c>
      <c r="D90" s="19" t="str">
        <f>HYPERLINK("http://henontech.com/fieldsafety/harzard/harzard_show.php?rid=2071&amp;url=harzardrecs.php","一作业人员在高于两米处进行电焊作业由于安全意识不强没系安全带，在脚手架上移动时踩空坠落。")</f>
        <v>一作业人员在高于两米处进行电焊作业由于安全意识不强没系安全带，在脚手架上移动时踩空坠落。</v>
      </c>
      <c r="E90" s="19" t="s">
        <v>554</v>
      </c>
      <c r="F90" s="20" t="s">
        <v>42</v>
      </c>
      <c r="G90" s="24" t="s">
        <v>534</v>
      </c>
      <c r="H90" s="19" t="s">
        <v>44</v>
      </c>
      <c r="I90" s="19" t="s">
        <v>205</v>
      </c>
      <c r="J90" s="19" t="s">
        <v>45</v>
      </c>
      <c r="K90" s="19" t="s">
        <v>46</v>
      </c>
      <c r="L90" s="19" t="s">
        <v>65</v>
      </c>
      <c r="M90" s="19" t="s">
        <v>66</v>
      </c>
      <c r="N90" s="19" t="s">
        <v>555</v>
      </c>
      <c r="O90" s="19" t="s">
        <v>66</v>
      </c>
      <c r="P90" s="19" t="s">
        <v>68</v>
      </c>
      <c r="Q90" s="19" t="s">
        <v>480</v>
      </c>
      <c r="R90" s="19" t="s">
        <v>556</v>
      </c>
      <c r="S90" s="19"/>
      <c r="T90" s="19" t="s">
        <v>53</v>
      </c>
      <c r="U90" s="19" t="s">
        <v>54</v>
      </c>
      <c r="V90" s="19" t="s">
        <v>105</v>
      </c>
      <c r="W90" s="19" t="s">
        <v>72</v>
      </c>
      <c r="X90" s="19"/>
      <c r="Y90" s="19"/>
      <c r="Z90" s="19" t="s">
        <v>557</v>
      </c>
      <c r="AA90" s="19">
        <v>1</v>
      </c>
      <c r="AB90" s="19">
        <v>1</v>
      </c>
      <c r="AC90" s="19" t="s">
        <v>59</v>
      </c>
      <c r="AD90" s="19" t="s">
        <v>68</v>
      </c>
      <c r="AE90" s="19" t="s">
        <v>552</v>
      </c>
      <c r="AF90" s="19"/>
    </row>
    <row r="91" spans="1:34">
      <c r="A91" s="19">
        <v>86</v>
      </c>
      <c r="B91" s="19" t="s">
        <v>125</v>
      </c>
      <c r="C91" s="19" t="s">
        <v>494</v>
      </c>
      <c r="D91" s="19" t="str">
        <f>HYPERLINK("http://henontech.com/fieldsafety/harzard/harzard_show.php?rid=2074&amp;url=harzardrecs.php","一名操作工在巡检过程中发现管式炉炉头突然熄灭，如果长时间未发现可能会造成煤气泄漏达到爆炸极限，造成管式炉炉膛爆燃，富油着火造成人员伤亡，设备损毁长时间停产事故。")</f>
        <v>一名操作工在巡检过程中发现管式炉炉头突然熄灭，如果长时间未发现可能会造成煤气泄漏达到爆炸极限，造成管式炉炉膛爆燃，富油着火造成人员伤亡，设备损毁长时间停产事故。</v>
      </c>
      <c r="E91" s="19" t="s">
        <v>558</v>
      </c>
      <c r="F91" s="20" t="s">
        <v>42</v>
      </c>
      <c r="G91" s="24" t="s">
        <v>534</v>
      </c>
      <c r="H91" s="19" t="s">
        <v>44</v>
      </c>
      <c r="I91" s="19" t="s">
        <v>129</v>
      </c>
      <c r="J91" s="19" t="s">
        <v>64</v>
      </c>
      <c r="K91" s="19" t="s">
        <v>79</v>
      </c>
      <c r="L91" s="19" t="s">
        <v>65</v>
      </c>
      <c r="M91" s="19" t="s">
        <v>66</v>
      </c>
      <c r="N91" s="19" t="s">
        <v>559</v>
      </c>
      <c r="O91" s="19" t="s">
        <v>66</v>
      </c>
      <c r="P91" s="19" t="s">
        <v>68</v>
      </c>
      <c r="Q91" s="19" t="s">
        <v>480</v>
      </c>
      <c r="R91" s="19" t="s">
        <v>560</v>
      </c>
      <c r="S91" s="19"/>
      <c r="T91" s="19" t="s">
        <v>53</v>
      </c>
      <c r="U91" s="19" t="s">
        <v>54</v>
      </c>
      <c r="V91" s="19" t="s">
        <v>105</v>
      </c>
      <c r="W91" s="19" t="s">
        <v>72</v>
      </c>
      <c r="X91" s="19"/>
      <c r="Y91" s="19"/>
      <c r="Z91" s="19" t="s">
        <v>561</v>
      </c>
      <c r="AA91" s="19">
        <v>1</v>
      </c>
      <c r="AB91" s="19">
        <v>1</v>
      </c>
      <c r="AC91" s="19" t="s">
        <v>59</v>
      </c>
      <c r="AD91" s="19" t="s">
        <v>68</v>
      </c>
      <c r="AE91" s="19" t="s">
        <v>152</v>
      </c>
      <c r="AF91" s="19"/>
    </row>
    <row r="92" spans="1:34">
      <c r="A92" s="19">
        <v>87</v>
      </c>
      <c r="B92" s="19" t="s">
        <v>125</v>
      </c>
      <c r="C92" s="19" t="s">
        <v>437</v>
      </c>
      <c r="D92" s="19" t="str">
        <f>HYPERLINK("http://henontech.com/fieldsafety/harzard/harzard_show.php?rid=2075&amp;url=harzardrecs.php","人员夜间巡逻时，因视线不好，未戴安全帽，被螺栓绊倒")</f>
        <v>人员夜间巡逻时，因视线不好，未戴安全帽，被螺栓绊倒</v>
      </c>
      <c r="E92" s="19" t="s">
        <v>562</v>
      </c>
      <c r="F92" s="23" t="s">
        <v>227</v>
      </c>
      <c r="G92" s="21" t="s">
        <v>43</v>
      </c>
      <c r="H92" s="19" t="s">
        <v>44</v>
      </c>
      <c r="I92" s="19" t="s">
        <v>205</v>
      </c>
      <c r="J92" s="19" t="s">
        <v>308</v>
      </c>
      <c r="K92" s="19" t="s">
        <v>302</v>
      </c>
      <c r="L92" s="19" t="s">
        <v>65</v>
      </c>
      <c r="M92" s="19" t="s">
        <v>49</v>
      </c>
      <c r="N92" s="19" t="s">
        <v>563</v>
      </c>
      <c r="O92" s="19"/>
      <c r="P92" s="19"/>
      <c r="Q92" s="19"/>
      <c r="R92" s="19" t="s">
        <v>564</v>
      </c>
      <c r="S92" s="19" t="s">
        <v>565</v>
      </c>
      <c r="T92" s="19" t="s">
        <v>53</v>
      </c>
      <c r="U92" s="19" t="s">
        <v>116</v>
      </c>
      <c r="V92" s="19" t="s">
        <v>95</v>
      </c>
      <c r="W92" s="19" t="s">
        <v>117</v>
      </c>
      <c r="X92" s="19"/>
      <c r="Y92" s="19"/>
      <c r="Z92" s="19"/>
      <c r="AA92" s="19">
        <v>0</v>
      </c>
      <c r="AB92" s="19"/>
      <c r="AC92" s="19" t="s">
        <v>233</v>
      </c>
      <c r="AD92" s="19"/>
      <c r="AE92" s="19"/>
      <c r="AF92" s="19"/>
    </row>
    <row r="93" spans="1:34">
      <c r="A93" s="19">
        <v>88</v>
      </c>
      <c r="B93" s="19" t="s">
        <v>186</v>
      </c>
      <c r="C93" s="19" t="s">
        <v>355</v>
      </c>
      <c r="D93" s="19" t="str">
        <f>HYPERLINK("http://henontech.com/fieldsafety/harzard/harzard_show.php?rid=2077&amp;url=harzardrecs.php","脱硫泵放气处螺帽腐蚀严重导致漏液，一名操作工巡检时，由于劳保防护不当，导致喷射出的脱硫液将右眼灼伤。")</f>
        <v>脱硫泵放气处螺帽腐蚀严重导致漏液，一名操作工巡检时，由于劳保防护不当，导致喷射出的脱硫液将右眼灼伤。</v>
      </c>
      <c r="E93" s="19" t="s">
        <v>566</v>
      </c>
      <c r="F93" s="20" t="s">
        <v>42</v>
      </c>
      <c r="G93" s="24" t="s">
        <v>534</v>
      </c>
      <c r="H93" s="19" t="s">
        <v>44</v>
      </c>
      <c r="I93" s="19" t="s">
        <v>129</v>
      </c>
      <c r="J93" s="19" t="s">
        <v>64</v>
      </c>
      <c r="K93" s="19" t="s">
        <v>79</v>
      </c>
      <c r="L93" s="19" t="s">
        <v>65</v>
      </c>
      <c r="M93" s="19" t="s">
        <v>146</v>
      </c>
      <c r="N93" s="19" t="s">
        <v>567</v>
      </c>
      <c r="O93" s="19" t="s">
        <v>146</v>
      </c>
      <c r="P93" s="19" t="s">
        <v>148</v>
      </c>
      <c r="Q93" s="19" t="s">
        <v>568</v>
      </c>
      <c r="R93" s="19" t="s">
        <v>569</v>
      </c>
      <c r="S93" s="19"/>
      <c r="T93" s="19" t="s">
        <v>53</v>
      </c>
      <c r="U93" s="19" t="s">
        <v>54</v>
      </c>
      <c r="V93" s="19" t="s">
        <v>55</v>
      </c>
      <c r="W93" s="19" t="s">
        <v>56</v>
      </c>
      <c r="X93" s="19" t="s">
        <v>570</v>
      </c>
      <c r="Y93" s="19" t="s">
        <v>570</v>
      </c>
      <c r="Z93" s="19" t="s">
        <v>571</v>
      </c>
      <c r="AA93" s="19">
        <v>1</v>
      </c>
      <c r="AB93" s="19">
        <v>1</v>
      </c>
      <c r="AC93" s="19" t="s">
        <v>59</v>
      </c>
      <c r="AD93" s="19" t="s">
        <v>148</v>
      </c>
      <c r="AE93" s="19" t="s">
        <v>152</v>
      </c>
      <c r="AF93" s="19" t="s">
        <v>572</v>
      </c>
    </row>
    <row r="94" spans="1:34" customHeight="1" ht="42">
      <c r="A94" s="19">
        <v>89</v>
      </c>
      <c r="B94" s="19" t="s">
        <v>186</v>
      </c>
      <c r="C94" s="19" t="s">
        <v>99</v>
      </c>
      <c r="D94" s="19" t="str">
        <f>HYPERLINK("http://henontech.com/fieldsafety/harzard/harzard_show.php?rid=2078&amp;url=harzardrecs.php","一名操作工在初冷器下段冷凝液泵处巡检时，因泵出口管道漏点粘补处老化开裂，冷凝液喷溅到该操作工脸部，造成眼睛灼伤，清洗后送医诊断为视网膜灼伤，治疗3个月后出院复工，损工3个月。")</f>
        <v>一名操作工在初冷器下段冷凝液泵处巡检时，因泵出口管道漏点粘补处老化开裂，冷凝液喷溅到该操作工脸部，造成眼睛灼伤，清洗后送医诊断为视网膜灼伤，治疗3个月后出院复工，损工3个月。</v>
      </c>
      <c r="E94" s="19" t="s">
        <v>573</v>
      </c>
      <c r="F94" s="20" t="s">
        <v>42</v>
      </c>
      <c r="G94" s="22" t="s">
        <v>111</v>
      </c>
      <c r="H94" s="19" t="s">
        <v>44</v>
      </c>
      <c r="I94" s="19" t="s">
        <v>78</v>
      </c>
      <c r="J94" s="19" t="s">
        <v>45</v>
      </c>
      <c r="K94" s="19" t="s">
        <v>79</v>
      </c>
      <c r="L94" s="19"/>
      <c r="M94" s="19" t="s">
        <v>66</v>
      </c>
      <c r="N94" s="19" t="s">
        <v>574</v>
      </c>
      <c r="O94" s="19" t="s">
        <v>66</v>
      </c>
      <c r="P94" s="19" t="s">
        <v>68</v>
      </c>
      <c r="Q94" s="19" t="s">
        <v>480</v>
      </c>
      <c r="R94" s="19" t="s">
        <v>575</v>
      </c>
      <c r="S94" s="19"/>
      <c r="T94" s="19" t="s">
        <v>53</v>
      </c>
      <c r="U94" s="19" t="s">
        <v>54</v>
      </c>
      <c r="V94" s="19" t="s">
        <v>55</v>
      </c>
      <c r="W94" s="19" t="s">
        <v>56</v>
      </c>
      <c r="X94" s="19"/>
      <c r="Y94" s="19"/>
      <c r="Z94" s="19" t="s">
        <v>576</v>
      </c>
      <c r="AA94" s="19">
        <v>2</v>
      </c>
      <c r="AB94" s="19">
        <v>2</v>
      </c>
      <c r="AC94" s="19" t="s">
        <v>59</v>
      </c>
      <c r="AD94" s="19" t="s">
        <v>68</v>
      </c>
      <c r="AE94" s="19" t="s">
        <v>422</v>
      </c>
      <c r="AF94" s="19" t="s">
        <v>577</v>
      </c>
    </row>
    <row r="95" spans="1:34">
      <c r="A95" s="19">
        <v>90</v>
      </c>
      <c r="B95" s="19" t="s">
        <v>186</v>
      </c>
      <c r="C95" s="19" t="s">
        <v>62</v>
      </c>
      <c r="D95" s="19" t="str">
        <f>HYPERLINK("http://henontech.com/fieldsafety/harzard/harzard_show.php?rid=2079&amp;url=harzardrecs.php","一操作人员在置换冷凝液开关阀门时，因安全意识不强、风险辩识不到位，被旁边蒸汽阀门泄露的蒸汽烫伤面部。")</f>
        <v>一操作人员在置换冷凝液开关阀门时，因安全意识不强、风险辩识不到位，被旁边蒸汽阀门泄露的蒸汽烫伤面部。</v>
      </c>
      <c r="E95" s="19" t="s">
        <v>578</v>
      </c>
      <c r="F95" s="20" t="s">
        <v>42</v>
      </c>
      <c r="G95" s="21" t="s">
        <v>43</v>
      </c>
      <c r="H95" s="19" t="s">
        <v>44</v>
      </c>
      <c r="I95" s="19" t="s">
        <v>78</v>
      </c>
      <c r="J95" s="19" t="s">
        <v>165</v>
      </c>
      <c r="K95" s="19" t="s">
        <v>46</v>
      </c>
      <c r="L95" s="19" t="s">
        <v>65</v>
      </c>
      <c r="M95" s="19" t="s">
        <v>66</v>
      </c>
      <c r="N95" s="19" t="s">
        <v>579</v>
      </c>
      <c r="O95" s="19" t="s">
        <v>66</v>
      </c>
      <c r="P95" s="19" t="s">
        <v>68</v>
      </c>
      <c r="Q95" s="19" t="s">
        <v>480</v>
      </c>
      <c r="R95" s="19" t="s">
        <v>580</v>
      </c>
      <c r="S95" s="19"/>
      <c r="T95" s="19" t="s">
        <v>53</v>
      </c>
      <c r="U95" s="19" t="s">
        <v>71</v>
      </c>
      <c r="V95" s="19" t="s">
        <v>55</v>
      </c>
      <c r="W95" s="19" t="s">
        <v>72</v>
      </c>
      <c r="X95" s="19"/>
      <c r="Y95" s="19"/>
      <c r="Z95" s="19" t="s">
        <v>581</v>
      </c>
      <c r="AA95" s="19">
        <v>1</v>
      </c>
      <c r="AB95" s="19">
        <v>1</v>
      </c>
      <c r="AC95" s="19" t="s">
        <v>59</v>
      </c>
      <c r="AD95" s="19" t="s">
        <v>68</v>
      </c>
      <c r="AE95" s="19" t="s">
        <v>152</v>
      </c>
      <c r="AF95" s="19"/>
    </row>
    <row r="96" spans="1:34" customHeight="1" ht="42">
      <c r="A96" s="19">
        <v>91</v>
      </c>
      <c r="B96" s="19" t="s">
        <v>186</v>
      </c>
      <c r="C96" s="19" t="s">
        <v>350</v>
      </c>
      <c r="D96" s="19" t="str">
        <f>HYPERLINK("http://henontech.com/fieldsafety/harzard/harzard_show.php?rid=2080&amp;url=harzardrecs.php","一名操作工在东澄清槽巡检时，一废水管线因腐蚀严重突然破裂，喷出大量氨水，如果操作人员躲闪不及会造成人员轻微烫伤。")</f>
        <v>一名操作工在东澄清槽巡检时，一废水管线因腐蚀严重突然破裂，喷出大量氨水，如果操作人员躲闪不及会造成人员轻微烫伤。</v>
      </c>
      <c r="E96" s="19" t="s">
        <v>582</v>
      </c>
      <c r="F96" s="20" t="s">
        <v>42</v>
      </c>
      <c r="G96" s="21" t="s">
        <v>43</v>
      </c>
      <c r="H96" s="19" t="s">
        <v>44</v>
      </c>
      <c r="I96" s="19" t="s">
        <v>78</v>
      </c>
      <c r="J96" s="19" t="s">
        <v>64</v>
      </c>
      <c r="K96" s="19" t="s">
        <v>46</v>
      </c>
      <c r="L96" s="19" t="s">
        <v>65</v>
      </c>
      <c r="M96" s="19" t="s">
        <v>66</v>
      </c>
      <c r="N96" s="19" t="s">
        <v>352</v>
      </c>
      <c r="O96" s="19" t="s">
        <v>66</v>
      </c>
      <c r="P96" s="19" t="s">
        <v>68</v>
      </c>
      <c r="Q96" s="19" t="s">
        <v>480</v>
      </c>
      <c r="R96" s="19" t="s">
        <v>583</v>
      </c>
      <c r="S96" s="19"/>
      <c r="T96" s="19" t="s">
        <v>53</v>
      </c>
      <c r="U96" s="19" t="s">
        <v>71</v>
      </c>
      <c r="V96" s="19" t="s">
        <v>105</v>
      </c>
      <c r="W96" s="19" t="s">
        <v>96</v>
      </c>
      <c r="X96" s="19"/>
      <c r="Y96" s="19"/>
      <c r="Z96" s="19" t="s">
        <v>584</v>
      </c>
      <c r="AA96" s="19">
        <v>2</v>
      </c>
      <c r="AB96" s="19">
        <v>1</v>
      </c>
      <c r="AC96" s="19" t="s">
        <v>59</v>
      </c>
      <c r="AD96" s="19" t="s">
        <v>68</v>
      </c>
      <c r="AE96" s="19" t="s">
        <v>552</v>
      </c>
      <c r="AF96" s="19"/>
    </row>
    <row r="97" spans="1:34">
      <c r="A97" s="19">
        <v>92</v>
      </c>
      <c r="B97" s="19" t="s">
        <v>186</v>
      </c>
      <c r="C97" s="19" t="s">
        <v>427</v>
      </c>
      <c r="D97" s="19" t="str">
        <f>HYPERLINK("http://henontech.com/fieldsafety/harzard/harzard_show.php?rid=2081&amp;url=harzardrecs.php","接班室照明灯管连接线松动，操作工清理地面卫生时，被坠落灯管划伤颈部皮肤，去医务室包扎休假三天。")</f>
        <v>接班室照明灯管连接线松动，操作工清理地面卫生时，被坠落灯管划伤颈部皮肤，去医务室包扎休假三天。</v>
      </c>
      <c r="E97" s="19" t="s">
        <v>585</v>
      </c>
      <c r="F97" s="20" t="s">
        <v>42</v>
      </c>
      <c r="G97" s="21" t="s">
        <v>43</v>
      </c>
      <c r="H97" s="19" t="s">
        <v>44</v>
      </c>
      <c r="I97" s="19"/>
      <c r="J97" s="19" t="s">
        <v>64</v>
      </c>
      <c r="K97" s="19" t="s">
        <v>88</v>
      </c>
      <c r="L97" s="19"/>
      <c r="M97" s="19" t="s">
        <v>146</v>
      </c>
      <c r="N97" s="19" t="s">
        <v>586</v>
      </c>
      <c r="O97" s="19" t="s">
        <v>146</v>
      </c>
      <c r="P97" s="19" t="s">
        <v>148</v>
      </c>
      <c r="Q97" s="19" t="s">
        <v>402</v>
      </c>
      <c r="R97" s="19" t="s">
        <v>587</v>
      </c>
      <c r="S97" s="19"/>
      <c r="T97" s="19" t="s">
        <v>53</v>
      </c>
      <c r="U97" s="19" t="s">
        <v>54</v>
      </c>
      <c r="V97" s="19" t="s">
        <v>55</v>
      </c>
      <c r="W97" s="19" t="s">
        <v>56</v>
      </c>
      <c r="X97" s="19" t="s">
        <v>570</v>
      </c>
      <c r="Y97" s="19" t="s">
        <v>570</v>
      </c>
      <c r="Z97" s="19" t="s">
        <v>588</v>
      </c>
      <c r="AA97" s="19">
        <v>1</v>
      </c>
      <c r="AB97" s="19">
        <v>1</v>
      </c>
      <c r="AC97" s="19" t="s">
        <v>59</v>
      </c>
      <c r="AD97" s="19" t="s">
        <v>148</v>
      </c>
      <c r="AE97" s="19" t="s">
        <v>152</v>
      </c>
      <c r="AF97" s="19" t="s">
        <v>589</v>
      </c>
    </row>
    <row r="98" spans="1:34" customHeight="1" ht="42">
      <c r="A98" s="19">
        <v>93</v>
      </c>
      <c r="B98" s="19" t="s">
        <v>186</v>
      </c>
      <c r="C98" s="19" t="s">
        <v>484</v>
      </c>
      <c r="D98" s="19" t="str">
        <f>HYPERLINK("http://henontech.com/fieldsafety/harzard/harzard_show.php?rid=2083&amp;url=harzardrecs.php","炉顶机侧集气管道，42#上升管处的支架偏离掉落，正好砸中一名出炉工头部，紧急送医。")</f>
        <v>炉顶机侧集气管道，42#上升管处的支架偏离掉落，正好砸中一名出炉工头部，紧急送医。</v>
      </c>
      <c r="E98" s="19" t="s">
        <v>590</v>
      </c>
      <c r="F98" s="20" t="s">
        <v>42</v>
      </c>
      <c r="G98" s="22" t="s">
        <v>111</v>
      </c>
      <c r="H98" s="19" t="s">
        <v>44</v>
      </c>
      <c r="I98" s="19" t="s">
        <v>129</v>
      </c>
      <c r="J98" s="19" t="s">
        <v>64</v>
      </c>
      <c r="K98" s="19" t="s">
        <v>46</v>
      </c>
      <c r="L98" s="19" t="s">
        <v>65</v>
      </c>
      <c r="M98" s="19" t="s">
        <v>49</v>
      </c>
      <c r="N98" s="19" t="s">
        <v>591</v>
      </c>
      <c r="O98" s="19" t="s">
        <v>49</v>
      </c>
      <c r="P98" s="19" t="s">
        <v>460</v>
      </c>
      <c r="Q98" s="19" t="s">
        <v>592</v>
      </c>
      <c r="R98" s="19" t="s">
        <v>593</v>
      </c>
      <c r="S98" s="19"/>
      <c r="T98" s="19" t="s">
        <v>53</v>
      </c>
      <c r="U98" s="19" t="s">
        <v>116</v>
      </c>
      <c r="V98" s="19" t="s">
        <v>55</v>
      </c>
      <c r="W98" s="19" t="s">
        <v>117</v>
      </c>
      <c r="X98" s="19" t="s">
        <v>57</v>
      </c>
      <c r="Y98" s="19"/>
      <c r="Z98" s="19" t="s">
        <v>594</v>
      </c>
      <c r="AA98" s="19">
        <v>2</v>
      </c>
      <c r="AB98" s="19">
        <v>2</v>
      </c>
      <c r="AC98" s="19" t="s">
        <v>59</v>
      </c>
      <c r="AD98" s="19" t="s">
        <v>460</v>
      </c>
      <c r="AE98" s="19" t="s">
        <v>463</v>
      </c>
      <c r="AF98" s="19"/>
    </row>
    <row r="99" spans="1:34" customHeight="1" ht="42">
      <c r="A99" s="19">
        <v>94</v>
      </c>
      <c r="B99" s="19" t="s">
        <v>186</v>
      </c>
      <c r="C99" s="19" t="s">
        <v>484</v>
      </c>
      <c r="D99" s="19" t="str">
        <f>HYPERLINK("http://henontech.com/fieldsafety/harzard/harzard_show.php?rid=2084&amp;url=harzardrecs.php","焦侧8#、29#上升管平台不牢固，且腐蚀严重，一操作工在工作时由此跌落，且头部着地受重伤，随即送医。")</f>
        <v>焦侧8#、29#上升管平台不牢固，且腐蚀严重，一操作工在工作时由此跌落，且头部着地受重伤，随即送医。</v>
      </c>
      <c r="E99" s="19" t="s">
        <v>595</v>
      </c>
      <c r="F99" s="20" t="s">
        <v>42</v>
      </c>
      <c r="G99" s="21" t="s">
        <v>43</v>
      </c>
      <c r="H99" s="19" t="s">
        <v>44</v>
      </c>
      <c r="I99" s="19" t="s">
        <v>129</v>
      </c>
      <c r="J99" s="19" t="s">
        <v>64</v>
      </c>
      <c r="K99" s="19" t="s">
        <v>46</v>
      </c>
      <c r="L99" s="19" t="s">
        <v>65</v>
      </c>
      <c r="M99" s="19" t="s">
        <v>49</v>
      </c>
      <c r="N99" s="19" t="s">
        <v>596</v>
      </c>
      <c r="O99" s="19" t="s">
        <v>49</v>
      </c>
      <c r="P99" s="19" t="s">
        <v>460</v>
      </c>
      <c r="Q99" s="19" t="s">
        <v>592</v>
      </c>
      <c r="R99" s="19" t="s">
        <v>597</v>
      </c>
      <c r="S99" s="19"/>
      <c r="T99" s="19" t="s">
        <v>53</v>
      </c>
      <c r="U99" s="19" t="s">
        <v>116</v>
      </c>
      <c r="V99" s="19" t="s">
        <v>55</v>
      </c>
      <c r="W99" s="19" t="s">
        <v>117</v>
      </c>
      <c r="X99" s="19" t="s">
        <v>57</v>
      </c>
      <c r="Y99" s="19"/>
      <c r="Z99" s="19" t="s">
        <v>598</v>
      </c>
      <c r="AA99" s="19">
        <v>2</v>
      </c>
      <c r="AB99" s="19">
        <v>2</v>
      </c>
      <c r="AC99" s="19" t="s">
        <v>59</v>
      </c>
      <c r="AD99" s="19" t="s">
        <v>460</v>
      </c>
      <c r="AE99" s="19" t="s">
        <v>475</v>
      </c>
      <c r="AF99" s="19"/>
    </row>
    <row r="100" spans="1:34">
      <c r="A100" s="19">
        <v>95</v>
      </c>
      <c r="B100" s="19" t="s">
        <v>114</v>
      </c>
      <c r="C100" s="19" t="s">
        <v>76</v>
      </c>
      <c r="D100" s="19" t="str">
        <f>HYPERLINK("http://henontech.com/fieldsafety/harzard/harzard_show.php?rid=2085&amp;url=harzardrecs.php","一名维修人员在循环水池附近干活，休息时倚靠在无危险警示标志的硫酸桶旁，硫酸桶一旦老化可能引起泄露，造成维修人员灼伤，简单冲洗后无碍。")</f>
        <v>一名维修人员在循环水池附近干活，休息时倚靠在无危险警示标志的硫酸桶旁，硫酸桶一旦老化可能引起泄露，造成维修人员灼伤，简单冲洗后无碍。</v>
      </c>
      <c r="E100" s="19" t="s">
        <v>599</v>
      </c>
      <c r="F100" s="20" t="s">
        <v>42</v>
      </c>
      <c r="G100" s="21" t="s">
        <v>43</v>
      </c>
      <c r="H100" s="19" t="s">
        <v>44</v>
      </c>
      <c r="I100" s="19" t="s">
        <v>78</v>
      </c>
      <c r="J100" s="19" t="s">
        <v>600</v>
      </c>
      <c r="K100" s="19" t="s">
        <v>46</v>
      </c>
      <c r="L100" s="19" t="s">
        <v>65</v>
      </c>
      <c r="M100" s="19" t="s">
        <v>66</v>
      </c>
      <c r="N100" s="19" t="s">
        <v>601</v>
      </c>
      <c r="O100" s="19" t="s">
        <v>66</v>
      </c>
      <c r="P100" s="19" t="s">
        <v>68</v>
      </c>
      <c r="Q100" s="19" t="s">
        <v>602</v>
      </c>
      <c r="R100" s="19" t="s">
        <v>603</v>
      </c>
      <c r="S100" s="19"/>
      <c r="T100" s="19" t="s">
        <v>53</v>
      </c>
      <c r="U100" s="19" t="s">
        <v>71</v>
      </c>
      <c r="V100" s="19" t="s">
        <v>105</v>
      </c>
      <c r="W100" s="19" t="s">
        <v>96</v>
      </c>
      <c r="X100" s="19"/>
      <c r="Y100" s="19"/>
      <c r="Z100" s="19" t="s">
        <v>604</v>
      </c>
      <c r="AA100" s="19">
        <v>1</v>
      </c>
      <c r="AB100" s="19">
        <v>1</v>
      </c>
      <c r="AC100" s="19" t="s">
        <v>59</v>
      </c>
      <c r="AD100" s="19" t="s">
        <v>68</v>
      </c>
      <c r="AE100" s="19" t="s">
        <v>552</v>
      </c>
      <c r="AF100" s="19"/>
    </row>
    <row r="101" spans="1:34">
      <c r="A101" s="19">
        <v>96</v>
      </c>
      <c r="B101" s="19" t="s">
        <v>114</v>
      </c>
      <c r="C101" s="19" t="s">
        <v>256</v>
      </c>
      <c r="D101" s="19" t="str">
        <f>HYPERLINK("http://henontech.com/fieldsafety/harzard/harzard_show.php?rid=2086&amp;url=harzardrecs.php","结晶槽回流管法兰垫破损，加酸时漏液严重，若巡检人员发现不及时，地面会被大量母液腐蚀，造成环境污染。")</f>
        <v>结晶槽回流管法兰垫破损，加酸时漏液严重，若巡检人员发现不及时，地面会被大量母液腐蚀，造成环境污染。</v>
      </c>
      <c r="E101" s="19" t="s">
        <v>605</v>
      </c>
      <c r="F101" s="20" t="s">
        <v>42</v>
      </c>
      <c r="G101" s="21" t="s">
        <v>43</v>
      </c>
      <c r="H101" s="19" t="s">
        <v>44</v>
      </c>
      <c r="I101" s="19" t="s">
        <v>78</v>
      </c>
      <c r="J101" s="19" t="s">
        <v>64</v>
      </c>
      <c r="K101" s="19" t="s">
        <v>88</v>
      </c>
      <c r="L101" s="19"/>
      <c r="M101" s="19" t="s">
        <v>66</v>
      </c>
      <c r="N101" s="19" t="s">
        <v>601</v>
      </c>
      <c r="O101" s="19" t="s">
        <v>66</v>
      </c>
      <c r="P101" s="19" t="s">
        <v>68</v>
      </c>
      <c r="Q101" s="19" t="s">
        <v>602</v>
      </c>
      <c r="R101" s="19" t="s">
        <v>606</v>
      </c>
      <c r="S101" s="19"/>
      <c r="T101" s="19" t="s">
        <v>392</v>
      </c>
      <c r="U101" s="19" t="s">
        <v>94</v>
      </c>
      <c r="V101" s="19" t="s">
        <v>55</v>
      </c>
      <c r="W101" s="19" t="s">
        <v>96</v>
      </c>
      <c r="X101" s="19"/>
      <c r="Y101" s="19"/>
      <c r="Z101" s="19" t="s">
        <v>607</v>
      </c>
      <c r="AA101" s="19">
        <v>1</v>
      </c>
      <c r="AB101" s="19">
        <v>1</v>
      </c>
      <c r="AC101" s="19" t="s">
        <v>59</v>
      </c>
      <c r="AD101" s="19" t="s">
        <v>68</v>
      </c>
      <c r="AE101" s="19" t="s">
        <v>139</v>
      </c>
      <c r="AF101" s="19"/>
    </row>
    <row r="102" spans="1:34">
      <c r="A102" s="19">
        <v>97</v>
      </c>
      <c r="B102" s="19" t="s">
        <v>114</v>
      </c>
      <c r="C102" s="19" t="s">
        <v>256</v>
      </c>
      <c r="D102" s="19" t="str">
        <f>HYPERLINK("http://henontech.com/fieldsafety/harzard/harzard_show.php?rid=2087&amp;url=harzardrecs.php","冷凝液罐蒸汽吹扫主管由于腐蚀变形下垂，操作工巡检时途经此处，若管线突然断裂造成蒸汽外泄，可能引起人员轻微烫伤，不影响正常工作。")</f>
        <v>冷凝液罐蒸汽吹扫主管由于腐蚀变形下垂，操作工巡检时途经此处，若管线突然断裂造成蒸汽外泄，可能引起人员轻微烫伤，不影响正常工作。</v>
      </c>
      <c r="E102" s="19" t="s">
        <v>608</v>
      </c>
      <c r="F102" s="20" t="s">
        <v>42</v>
      </c>
      <c r="G102" s="21" t="s">
        <v>43</v>
      </c>
      <c r="H102" s="19" t="s">
        <v>44</v>
      </c>
      <c r="I102" s="19" t="s">
        <v>78</v>
      </c>
      <c r="J102" s="19" t="s">
        <v>64</v>
      </c>
      <c r="K102" s="19" t="s">
        <v>46</v>
      </c>
      <c r="L102" s="19"/>
      <c r="M102" s="19" t="s">
        <v>66</v>
      </c>
      <c r="N102" s="19" t="s">
        <v>609</v>
      </c>
      <c r="O102" s="19" t="s">
        <v>66</v>
      </c>
      <c r="P102" s="19" t="s">
        <v>68</v>
      </c>
      <c r="Q102" s="19" t="s">
        <v>602</v>
      </c>
      <c r="R102" s="19" t="s">
        <v>610</v>
      </c>
      <c r="S102" s="19"/>
      <c r="T102" s="19" t="s">
        <v>53</v>
      </c>
      <c r="U102" s="19" t="s">
        <v>71</v>
      </c>
      <c r="V102" s="19" t="s">
        <v>105</v>
      </c>
      <c r="W102" s="19" t="s">
        <v>96</v>
      </c>
      <c r="X102" s="19"/>
      <c r="Y102" s="19"/>
      <c r="Z102" s="19" t="s">
        <v>611</v>
      </c>
      <c r="AA102" s="19">
        <v>1</v>
      </c>
      <c r="AB102" s="19">
        <v>1</v>
      </c>
      <c r="AC102" s="19" t="s">
        <v>59</v>
      </c>
      <c r="AD102" s="19" t="s">
        <v>68</v>
      </c>
      <c r="AE102" s="19" t="s">
        <v>396</v>
      </c>
      <c r="AF102" s="19"/>
    </row>
    <row r="103" spans="1:34">
      <c r="A103" s="19">
        <v>98</v>
      </c>
      <c r="B103" s="19" t="s">
        <v>114</v>
      </c>
      <c r="C103" s="19" t="s">
        <v>219</v>
      </c>
      <c r="D103" s="19" t="str">
        <f>HYPERLINK("http://henontech.com/fieldsafety/harzard/harzard_show.php?rid=2088&amp;url=harzardrecs.php","脱硫岗位开蒸汽处理堵塞的蒸氨塔底放空管道，因周围无警戒线，若外来人员从附近行走喷溅到身上，可能引起轻微烫伤。")</f>
        <v>脱硫岗位开蒸汽处理堵塞的蒸氨塔底放空管道，因周围无警戒线，若外来人员从附近行走喷溅到身上，可能引起轻微烫伤。</v>
      </c>
      <c r="E103" s="19" t="s">
        <v>612</v>
      </c>
      <c r="F103" s="20" t="s">
        <v>42</v>
      </c>
      <c r="G103" s="21" t="s">
        <v>43</v>
      </c>
      <c r="H103" s="19" t="s">
        <v>44</v>
      </c>
      <c r="I103" s="19" t="s">
        <v>78</v>
      </c>
      <c r="J103" s="19" t="s">
        <v>600</v>
      </c>
      <c r="K103" s="19" t="s">
        <v>46</v>
      </c>
      <c r="L103" s="19" t="s">
        <v>65</v>
      </c>
      <c r="M103" s="19" t="s">
        <v>66</v>
      </c>
      <c r="N103" s="19" t="s">
        <v>613</v>
      </c>
      <c r="O103" s="19" t="s">
        <v>66</v>
      </c>
      <c r="P103" s="19" t="s">
        <v>614</v>
      </c>
      <c r="Q103" s="19" t="s">
        <v>602</v>
      </c>
      <c r="R103" s="19" t="s">
        <v>397</v>
      </c>
      <c r="S103" s="19"/>
      <c r="T103" s="19" t="s">
        <v>53</v>
      </c>
      <c r="U103" s="19" t="s">
        <v>71</v>
      </c>
      <c r="V103" s="19" t="s">
        <v>105</v>
      </c>
      <c r="W103" s="19" t="s">
        <v>96</v>
      </c>
      <c r="X103" s="19"/>
      <c r="Y103" s="19"/>
      <c r="Z103" s="19" t="s">
        <v>615</v>
      </c>
      <c r="AA103" s="19">
        <v>1</v>
      </c>
      <c r="AB103" s="19">
        <v>1</v>
      </c>
      <c r="AC103" s="19" t="s">
        <v>59</v>
      </c>
      <c r="AD103" s="19" t="s">
        <v>614</v>
      </c>
      <c r="AE103" s="19" t="s">
        <v>139</v>
      </c>
      <c r="AF103" s="19"/>
    </row>
    <row r="104" spans="1:34">
      <c r="A104" s="19">
        <v>99</v>
      </c>
      <c r="B104" s="19" t="s">
        <v>114</v>
      </c>
      <c r="C104" s="19" t="s">
        <v>441</v>
      </c>
      <c r="D104" s="19" t="str">
        <f>HYPERLINK("http://henontech.com/fieldsafety/harzard/harzard_show.php?rid=2089&amp;url=harzardrecs.php","配电室警戒线未起到防护作用，检修作业完成后未回复位置")</f>
        <v>配电室警戒线未起到防护作用，检修作业完成后未回复位置</v>
      </c>
      <c r="E104" s="19" t="s">
        <v>616</v>
      </c>
      <c r="F104" s="23" t="s">
        <v>227</v>
      </c>
      <c r="G104" s="21" t="s">
        <v>43</v>
      </c>
      <c r="H104" s="19" t="s">
        <v>44</v>
      </c>
      <c r="I104" s="19" t="s">
        <v>129</v>
      </c>
      <c r="J104" s="19" t="s">
        <v>64</v>
      </c>
      <c r="K104" s="19"/>
      <c r="L104" s="19"/>
      <c r="M104" s="19" t="s">
        <v>66</v>
      </c>
      <c r="N104" s="19" t="s">
        <v>617</v>
      </c>
      <c r="O104" s="19"/>
      <c r="P104" s="19"/>
      <c r="Q104" s="19"/>
      <c r="R104" s="19" t="s">
        <v>618</v>
      </c>
      <c r="S104" s="19" t="s">
        <v>619</v>
      </c>
      <c r="T104" s="19" t="s">
        <v>53</v>
      </c>
      <c r="U104" s="19" t="s">
        <v>94</v>
      </c>
      <c r="V104" s="19" t="s">
        <v>105</v>
      </c>
      <c r="W104" s="19" t="s">
        <v>96</v>
      </c>
      <c r="X104" s="19"/>
      <c r="Y104" s="19"/>
      <c r="Z104" s="19"/>
      <c r="AA104" s="19">
        <v>0</v>
      </c>
      <c r="AB104" s="19"/>
      <c r="AC104" s="19" t="s">
        <v>233</v>
      </c>
      <c r="AD104" s="19"/>
      <c r="AE104" s="19"/>
      <c r="AF104" s="19"/>
    </row>
    <row r="105" spans="1:34">
      <c r="A105" s="19">
        <v>100</v>
      </c>
      <c r="B105" s="19" t="s">
        <v>114</v>
      </c>
      <c r="C105" s="19" t="s">
        <v>620</v>
      </c>
      <c r="D105" s="19" t="str">
        <f>HYPERLINK("http://henontech.com/fieldsafety/harzard/harzard_show.php?rid=2090&amp;url=harzardrecs.php","一名作业人员手持磨光机切割管件，磨光机无防护罩，导致切伤手部")</f>
        <v>一名作业人员手持磨光机切割管件，磨光机无防护罩，导致切伤手部</v>
      </c>
      <c r="E105" s="19" t="s">
        <v>621</v>
      </c>
      <c r="F105" s="23" t="s">
        <v>227</v>
      </c>
      <c r="G105" s="21" t="s">
        <v>43</v>
      </c>
      <c r="H105" s="19" t="s">
        <v>44</v>
      </c>
      <c r="I105" s="19" t="s">
        <v>78</v>
      </c>
      <c r="J105" s="19" t="s">
        <v>64</v>
      </c>
      <c r="K105" s="19"/>
      <c r="L105" s="19"/>
      <c r="M105" s="19" t="s">
        <v>66</v>
      </c>
      <c r="N105" s="19" t="s">
        <v>617</v>
      </c>
      <c r="O105" s="19"/>
      <c r="P105" s="19"/>
      <c r="Q105" s="19"/>
      <c r="R105" s="19" t="s">
        <v>622</v>
      </c>
      <c r="S105" s="19" t="s">
        <v>623</v>
      </c>
      <c r="T105" s="19" t="s">
        <v>53</v>
      </c>
      <c r="U105" s="19" t="s">
        <v>71</v>
      </c>
      <c r="V105" s="19" t="s">
        <v>105</v>
      </c>
      <c r="W105" s="19" t="s">
        <v>96</v>
      </c>
      <c r="X105" s="19"/>
      <c r="Y105" s="19"/>
      <c r="Z105" s="19"/>
      <c r="AA105" s="19">
        <v>0</v>
      </c>
      <c r="AB105" s="19"/>
      <c r="AC105" s="19" t="s">
        <v>233</v>
      </c>
      <c r="AD105" s="19"/>
      <c r="AE105" s="19"/>
      <c r="AF105" s="19"/>
    </row>
    <row r="106" spans="1:34">
      <c r="A106" s="19">
        <v>101</v>
      </c>
      <c r="B106" s="19" t="s">
        <v>114</v>
      </c>
      <c r="C106" s="19" t="s">
        <v>441</v>
      </c>
      <c r="D106" s="19" t="str">
        <f>HYPERLINK("http://henontech.com/fieldsafety/harzard/harzard_show.php?rid=2091&amp;url=harzardrecs.php","深度脱硫三号熔硫釜放料阀门盘根处漏硫磺，外协人员放硫磺时，泄漏的硫磺有可能溅到他的身上将其烫伤。")</f>
        <v>深度脱硫三号熔硫釜放料阀门盘根处漏硫磺，外协人员放硫磺时，泄漏的硫磺有可能溅到他的身上将其烫伤。</v>
      </c>
      <c r="E106" s="19" t="s">
        <v>624</v>
      </c>
      <c r="F106" s="20" t="s">
        <v>42</v>
      </c>
      <c r="G106" s="21" t="s">
        <v>43</v>
      </c>
      <c r="H106" s="19" t="s">
        <v>44</v>
      </c>
      <c r="I106" s="19" t="s">
        <v>78</v>
      </c>
      <c r="J106" s="19" t="s">
        <v>64</v>
      </c>
      <c r="K106" s="19" t="s">
        <v>46</v>
      </c>
      <c r="L106" s="19" t="s">
        <v>65</v>
      </c>
      <c r="M106" s="19" t="s">
        <v>66</v>
      </c>
      <c r="N106" s="19" t="s">
        <v>543</v>
      </c>
      <c r="O106" s="19" t="s">
        <v>66</v>
      </c>
      <c r="P106" s="19" t="s">
        <v>68</v>
      </c>
      <c r="Q106" s="19" t="s">
        <v>602</v>
      </c>
      <c r="R106" s="19" t="s">
        <v>625</v>
      </c>
      <c r="S106" s="19"/>
      <c r="T106" s="19" t="s">
        <v>53</v>
      </c>
      <c r="U106" s="19" t="s">
        <v>94</v>
      </c>
      <c r="V106" s="19" t="s">
        <v>55</v>
      </c>
      <c r="W106" s="19" t="s">
        <v>96</v>
      </c>
      <c r="X106" s="19"/>
      <c r="Y106" s="19"/>
      <c r="Z106" s="19" t="s">
        <v>626</v>
      </c>
      <c r="AA106" s="19">
        <v>1</v>
      </c>
      <c r="AB106" s="19">
        <v>1</v>
      </c>
      <c r="AC106" s="19" t="s">
        <v>59</v>
      </c>
      <c r="AD106" s="19" t="s">
        <v>68</v>
      </c>
      <c r="AE106" s="19" t="s">
        <v>422</v>
      </c>
      <c r="AF106" s="19"/>
    </row>
    <row r="107" spans="1:34">
      <c r="A107" s="19">
        <v>102</v>
      </c>
      <c r="B107" s="19" t="s">
        <v>114</v>
      </c>
      <c r="C107" s="19" t="s">
        <v>365</v>
      </c>
      <c r="D107" s="19" t="str">
        <f>HYPERLINK("http://henontech.com/fieldsafety/harzard/harzard_show.php?rid=2092&amp;url=harzardrecs.php","一名操作工在巡检过程中，假如经过腐蚀严重的爬梯时右脚踩空造成脚踝扭伤送医务室医务室治疗后回家休养一周后复工")</f>
        <v>一名操作工在巡检过程中，假如经过腐蚀严重的爬梯时右脚踩空造成脚踝扭伤送医务室医务室治疗后回家休养一周后复工</v>
      </c>
      <c r="E107" s="19" t="s">
        <v>627</v>
      </c>
      <c r="F107" s="20" t="s">
        <v>42</v>
      </c>
      <c r="G107" s="21" t="s">
        <v>43</v>
      </c>
      <c r="H107" s="19" t="s">
        <v>44</v>
      </c>
      <c r="I107" s="19" t="s">
        <v>129</v>
      </c>
      <c r="J107" s="19" t="s">
        <v>64</v>
      </c>
      <c r="K107" s="19" t="s">
        <v>88</v>
      </c>
      <c r="L107" s="19" t="s">
        <v>65</v>
      </c>
      <c r="M107" s="19" t="s">
        <v>66</v>
      </c>
      <c r="N107" s="19" t="s">
        <v>628</v>
      </c>
      <c r="O107" s="19" t="s">
        <v>66</v>
      </c>
      <c r="P107" s="19" t="s">
        <v>68</v>
      </c>
      <c r="Q107" s="19" t="s">
        <v>602</v>
      </c>
      <c r="R107" s="19" t="s">
        <v>629</v>
      </c>
      <c r="S107" s="19"/>
      <c r="T107" s="19" t="s">
        <v>53</v>
      </c>
      <c r="U107" s="19" t="s">
        <v>54</v>
      </c>
      <c r="V107" s="19" t="s">
        <v>105</v>
      </c>
      <c r="W107" s="19" t="s">
        <v>72</v>
      </c>
      <c r="X107" s="19"/>
      <c r="Y107" s="19"/>
      <c r="Z107" s="19" t="s">
        <v>630</v>
      </c>
      <c r="AA107" s="19">
        <v>1</v>
      </c>
      <c r="AB107" s="19">
        <v>1</v>
      </c>
      <c r="AC107" s="19" t="s">
        <v>59</v>
      </c>
      <c r="AD107" s="19" t="s">
        <v>68</v>
      </c>
      <c r="AE107" s="19" t="s">
        <v>139</v>
      </c>
      <c r="AF107" s="19"/>
    </row>
    <row r="108" spans="1:34">
      <c r="A108" s="19">
        <v>103</v>
      </c>
      <c r="B108" s="19" t="s">
        <v>114</v>
      </c>
      <c r="C108" s="19" t="s">
        <v>631</v>
      </c>
      <c r="D108" s="19" t="str">
        <f>HYPERLINK("http://henontech.com/fieldsafety/harzard/harzard_show.php?rid=2093&amp;url=harzardrecs.php","位于煤八室外爬梯20米高处损坏的电缆桥架盖板，被风吹落后，砸中下方行人右侧肩部。送医确诊为右侧肩关节严重受伤，住院治疗15天，回家休养3个月后复工。")</f>
        <v>位于煤八室外爬梯20米高处损坏的电缆桥架盖板，被风吹落后，砸中下方行人右侧肩部。送医确诊为右侧肩关节严重受伤，住院治疗15天，回家休养3个月后复工。</v>
      </c>
      <c r="E108" s="19" t="s">
        <v>632</v>
      </c>
      <c r="F108" s="20" t="s">
        <v>42</v>
      </c>
      <c r="G108" s="24" t="s">
        <v>534</v>
      </c>
      <c r="H108" s="19" t="s">
        <v>44</v>
      </c>
      <c r="I108" s="19" t="s">
        <v>129</v>
      </c>
      <c r="J108" s="19" t="s">
        <v>64</v>
      </c>
      <c r="K108" s="19" t="s">
        <v>46</v>
      </c>
      <c r="L108" s="19" t="s">
        <v>65</v>
      </c>
      <c r="M108" s="19" t="s">
        <v>633</v>
      </c>
      <c r="N108" s="19" t="s">
        <v>634</v>
      </c>
      <c r="O108" s="19" t="s">
        <v>633</v>
      </c>
      <c r="P108" s="19" t="s">
        <v>634</v>
      </c>
      <c r="Q108" s="19" t="s">
        <v>552</v>
      </c>
      <c r="R108" s="19" t="s">
        <v>635</v>
      </c>
      <c r="S108" s="19"/>
      <c r="T108" s="19" t="s">
        <v>53</v>
      </c>
      <c r="U108" s="19" t="s">
        <v>54</v>
      </c>
      <c r="V108" s="19" t="s">
        <v>55</v>
      </c>
      <c r="W108" s="19" t="s">
        <v>56</v>
      </c>
      <c r="X108" s="19"/>
      <c r="Y108" s="19"/>
      <c r="Z108" s="19" t="s">
        <v>636</v>
      </c>
      <c r="AA108" s="19">
        <v>1</v>
      </c>
      <c r="AB108" s="19">
        <v>1</v>
      </c>
      <c r="AC108" s="19" t="s">
        <v>59</v>
      </c>
      <c r="AD108" s="19" t="s">
        <v>634</v>
      </c>
      <c r="AE108" s="19" t="s">
        <v>552</v>
      </c>
      <c r="AF108" s="19"/>
    </row>
    <row r="109" spans="1:34">
      <c r="A109" s="19">
        <v>104</v>
      </c>
      <c r="B109" s="19" t="s">
        <v>552</v>
      </c>
      <c r="C109" s="19" t="s">
        <v>441</v>
      </c>
      <c r="D109" s="19" t="str">
        <f>HYPERLINK("http://henontech.com/fieldsafety/harzard/harzard_show.php?rid=2094&amp;url=harzardrecs.php","风向标破损。如果操作工到塔顶开关放散阀门时，无法根据风向标辨别风向，可能导致操作人员轻微煤气中毒")</f>
        <v>风向标破损。如果操作工到塔顶开关放散阀门时，无法根据风向标辨别风向，可能导致操作人员轻微煤气中毒</v>
      </c>
      <c r="E109" s="19" t="s">
        <v>637</v>
      </c>
      <c r="F109" s="20" t="s">
        <v>42</v>
      </c>
      <c r="G109" s="21" t="s">
        <v>43</v>
      </c>
      <c r="H109" s="19" t="s">
        <v>44</v>
      </c>
      <c r="I109" s="19" t="s">
        <v>78</v>
      </c>
      <c r="J109" s="19" t="s">
        <v>600</v>
      </c>
      <c r="K109" s="19" t="s">
        <v>46</v>
      </c>
      <c r="L109" s="19" t="s">
        <v>65</v>
      </c>
      <c r="M109" s="19" t="s">
        <v>66</v>
      </c>
      <c r="N109" s="19" t="s">
        <v>638</v>
      </c>
      <c r="O109" s="19" t="s">
        <v>66</v>
      </c>
      <c r="P109" s="19" t="s">
        <v>68</v>
      </c>
      <c r="Q109" s="19" t="s">
        <v>592</v>
      </c>
      <c r="R109" s="19" t="s">
        <v>639</v>
      </c>
      <c r="S109" s="19"/>
      <c r="T109" s="19" t="s">
        <v>53</v>
      </c>
      <c r="U109" s="19" t="s">
        <v>71</v>
      </c>
      <c r="V109" s="19" t="s">
        <v>105</v>
      </c>
      <c r="W109" s="19" t="s">
        <v>96</v>
      </c>
      <c r="X109" s="19"/>
      <c r="Y109" s="19"/>
      <c r="Z109" s="19" t="s">
        <v>640</v>
      </c>
      <c r="AA109" s="19">
        <v>1</v>
      </c>
      <c r="AB109" s="19">
        <v>1</v>
      </c>
      <c r="AC109" s="19" t="s">
        <v>59</v>
      </c>
      <c r="AD109" s="19" t="s">
        <v>68</v>
      </c>
      <c r="AE109" s="19" t="s">
        <v>139</v>
      </c>
      <c r="AF109" s="19"/>
    </row>
    <row r="110" spans="1:34">
      <c r="A110" s="19">
        <v>105</v>
      </c>
      <c r="B110" s="19" t="s">
        <v>552</v>
      </c>
      <c r="C110" s="19" t="s">
        <v>641</v>
      </c>
      <c r="D110" s="19" t="str">
        <f>HYPERLINK("http://henontech.com/fieldsafety/harzard/harzard_show.php?rid=2095&amp;url=harzardrecs.php","碳化岗位回收塔西侧楼板，用后未复原在卡槽内，操作工巡检到此处，楼板因与设备共震，脱落，操作工躲闪不及，砸伤操作工肩膀及手臂")</f>
        <v>碳化岗位回收塔西侧楼板，用后未复原在卡槽内，操作工巡检到此处，楼板因与设备共震，脱落，操作工躲闪不及，砸伤操作工肩膀及手臂</v>
      </c>
      <c r="E110" s="19" t="s">
        <v>642</v>
      </c>
      <c r="F110" s="20" t="s">
        <v>42</v>
      </c>
      <c r="G110" s="22" t="s">
        <v>111</v>
      </c>
      <c r="H110" s="19" t="s">
        <v>44</v>
      </c>
      <c r="I110" s="19" t="s">
        <v>205</v>
      </c>
      <c r="J110" s="19" t="s">
        <v>64</v>
      </c>
      <c r="K110" s="19" t="s">
        <v>46</v>
      </c>
      <c r="L110" s="19" t="s">
        <v>65</v>
      </c>
      <c r="M110" s="19" t="s">
        <v>146</v>
      </c>
      <c r="N110" s="19" t="s">
        <v>643</v>
      </c>
      <c r="O110" s="19" t="s">
        <v>146</v>
      </c>
      <c r="P110" s="19" t="s">
        <v>148</v>
      </c>
      <c r="Q110" s="19" t="s">
        <v>644</v>
      </c>
      <c r="R110" s="19" t="s">
        <v>645</v>
      </c>
      <c r="S110" s="19"/>
      <c r="T110" s="19" t="s">
        <v>53</v>
      </c>
      <c r="U110" s="19" t="s">
        <v>54</v>
      </c>
      <c r="V110" s="19" t="s">
        <v>55</v>
      </c>
      <c r="W110" s="19" t="s">
        <v>56</v>
      </c>
      <c r="X110" s="19" t="s">
        <v>359</v>
      </c>
      <c r="Y110" s="19" t="s">
        <v>359</v>
      </c>
      <c r="Z110" s="19" t="s">
        <v>646</v>
      </c>
      <c r="AA110" s="19">
        <v>1</v>
      </c>
      <c r="AB110" s="19">
        <v>1</v>
      </c>
      <c r="AC110" s="19" t="s">
        <v>59</v>
      </c>
      <c r="AD110" s="19" t="s">
        <v>148</v>
      </c>
      <c r="AE110" s="19" t="s">
        <v>152</v>
      </c>
      <c r="AF110" s="19" t="s">
        <v>647</v>
      </c>
    </row>
    <row r="111" spans="1:34">
      <c r="A111" s="19">
        <v>106</v>
      </c>
      <c r="B111" s="19" t="s">
        <v>552</v>
      </c>
      <c r="C111" s="19" t="s">
        <v>648</v>
      </c>
      <c r="D111" s="19" t="str">
        <f>HYPERLINK("http://henontech.com/fieldsafety/harzard/harzard_show.php?rid=2097&amp;url=harzardrecs.php","一名操作工在进行盐酸储罐阀门关闭操作时，因管道晃动而下方法兰螺栓长时间腐蚀松动而造成盐酸少量泄露，因操作工佩戴了防护面具及手套仅腿部溅上少量盐酸就近用清水冲洗后无碍。")</f>
        <v>一名操作工在进行盐酸储罐阀门关闭操作时，因管道晃动而下方法兰螺栓长时间腐蚀松动而造成盐酸少量泄露，因操作工佩戴了防护面具及手套仅腿部溅上少量盐酸就近用清水冲洗后无碍。</v>
      </c>
      <c r="E111" s="19" t="s">
        <v>649</v>
      </c>
      <c r="F111" s="20" t="s">
        <v>42</v>
      </c>
      <c r="G111" s="22" t="s">
        <v>111</v>
      </c>
      <c r="H111" s="19" t="s">
        <v>44</v>
      </c>
      <c r="I111" s="19" t="s">
        <v>78</v>
      </c>
      <c r="J111" s="19" t="s">
        <v>650</v>
      </c>
      <c r="K111" s="19"/>
      <c r="L111" s="19"/>
      <c r="M111" s="19" t="s">
        <v>89</v>
      </c>
      <c r="N111" s="19" t="s">
        <v>651</v>
      </c>
      <c r="O111" s="19" t="s">
        <v>89</v>
      </c>
      <c r="P111" s="19" t="s">
        <v>91</v>
      </c>
      <c r="Q111" s="19" t="s">
        <v>652</v>
      </c>
      <c r="R111" s="19" t="s">
        <v>653</v>
      </c>
      <c r="S111" s="19"/>
      <c r="T111" s="19" t="s">
        <v>53</v>
      </c>
      <c r="U111" s="19" t="s">
        <v>94</v>
      </c>
      <c r="V111" s="19" t="s">
        <v>55</v>
      </c>
      <c r="W111" s="19" t="s">
        <v>96</v>
      </c>
      <c r="X111" s="19" t="s">
        <v>57</v>
      </c>
      <c r="Y111" s="19" t="s">
        <v>57</v>
      </c>
      <c r="Z111" s="19" t="s">
        <v>654</v>
      </c>
      <c r="AA111" s="19">
        <v>1</v>
      </c>
      <c r="AB111" s="19">
        <v>1</v>
      </c>
      <c r="AC111" s="19" t="s">
        <v>59</v>
      </c>
      <c r="AD111" s="19" t="s">
        <v>91</v>
      </c>
      <c r="AE111" s="19" t="s">
        <v>327</v>
      </c>
      <c r="AF111" s="19" t="s">
        <v>655</v>
      </c>
    </row>
    <row r="112" spans="1:34">
      <c r="A112" s="19">
        <v>107</v>
      </c>
      <c r="B112" s="19" t="s">
        <v>552</v>
      </c>
      <c r="C112" s="19" t="s">
        <v>656</v>
      </c>
      <c r="D112" s="19" t="str">
        <f>HYPERLINK("http://henontech.com/fieldsafety/harzard/harzard_show.php?rid=2098&amp;url=harzardrecs.php","排水沟盖板缺失，周围没有警示标志，有人路经此处，不慎踩空滑落沟内造成小腿骨拆，送医治疗10天，休息3个月复工")</f>
        <v>排水沟盖板缺失，周围没有警示标志，有人路经此处，不慎踩空滑落沟内造成小腿骨拆，送医治疗10天，休息3个月复工</v>
      </c>
      <c r="E112" s="19" t="s">
        <v>657</v>
      </c>
      <c r="F112" s="20" t="s">
        <v>42</v>
      </c>
      <c r="G112" s="24" t="s">
        <v>534</v>
      </c>
      <c r="H112" s="19" t="s">
        <v>44</v>
      </c>
      <c r="I112" s="19" t="s">
        <v>78</v>
      </c>
      <c r="J112" s="19" t="s">
        <v>64</v>
      </c>
      <c r="K112" s="19" t="s">
        <v>46</v>
      </c>
      <c r="L112" s="19" t="s">
        <v>65</v>
      </c>
      <c r="M112" s="19" t="s">
        <v>633</v>
      </c>
      <c r="N112" s="19" t="s">
        <v>658</v>
      </c>
      <c r="O112" s="19" t="s">
        <v>633</v>
      </c>
      <c r="P112" s="19" t="s">
        <v>634</v>
      </c>
      <c r="Q112" s="19" t="s">
        <v>327</v>
      </c>
      <c r="R112" s="19" t="s">
        <v>659</v>
      </c>
      <c r="S112" s="19"/>
      <c r="T112" s="19" t="s">
        <v>53</v>
      </c>
      <c r="U112" s="19" t="s">
        <v>54</v>
      </c>
      <c r="V112" s="19" t="s">
        <v>55</v>
      </c>
      <c r="W112" s="19" t="s">
        <v>56</v>
      </c>
      <c r="X112" s="19"/>
      <c r="Y112" s="19"/>
      <c r="Z112" s="19" t="s">
        <v>660</v>
      </c>
      <c r="AA112" s="19">
        <v>1</v>
      </c>
      <c r="AB112" s="19">
        <v>1</v>
      </c>
      <c r="AC112" s="19" t="s">
        <v>59</v>
      </c>
      <c r="AD112" s="19" t="s">
        <v>634</v>
      </c>
      <c r="AE112" s="19" t="s">
        <v>327</v>
      </c>
      <c r="AF112" s="19"/>
    </row>
    <row r="113" spans="1:34">
      <c r="A113" s="19">
        <v>108</v>
      </c>
      <c r="B113" s="19" t="s">
        <v>552</v>
      </c>
      <c r="C113" s="19" t="s">
        <v>365</v>
      </c>
      <c r="D113" s="19" t="str">
        <f>HYPERLINK("http://henontech.com/fieldsafety/harzard/harzard_show.php?rid=2099&amp;url=harzardrecs.php","一名操作工在清理压滤机滤板过程中，两脚踩在压滤机两侧大梁上，一不小心从大梁上摔下，造成脚部扭伤，但不影响工作。")</f>
        <v>一名操作工在清理压滤机滤板过程中，两脚踩在压滤机两侧大梁上，一不小心从大梁上摔下，造成脚部扭伤，但不影响工作。</v>
      </c>
      <c r="E113" s="19" t="s">
        <v>661</v>
      </c>
      <c r="F113" s="20" t="s">
        <v>42</v>
      </c>
      <c r="G113" s="21" t="s">
        <v>43</v>
      </c>
      <c r="H113" s="19" t="s">
        <v>44</v>
      </c>
      <c r="I113" s="19" t="s">
        <v>78</v>
      </c>
      <c r="J113" s="19" t="s">
        <v>45</v>
      </c>
      <c r="K113" s="19" t="s">
        <v>88</v>
      </c>
      <c r="L113" s="19" t="s">
        <v>662</v>
      </c>
      <c r="M113" s="19" t="s">
        <v>66</v>
      </c>
      <c r="N113" s="19" t="s">
        <v>663</v>
      </c>
      <c r="O113" s="19" t="s">
        <v>66</v>
      </c>
      <c r="P113" s="19" t="s">
        <v>68</v>
      </c>
      <c r="Q113" s="19" t="s">
        <v>592</v>
      </c>
      <c r="R113" s="19" t="s">
        <v>664</v>
      </c>
      <c r="S113" s="19"/>
      <c r="T113" s="19" t="s">
        <v>53</v>
      </c>
      <c r="U113" s="19" t="s">
        <v>71</v>
      </c>
      <c r="V113" s="19" t="s">
        <v>105</v>
      </c>
      <c r="W113" s="19" t="s">
        <v>96</v>
      </c>
      <c r="X113" s="19"/>
      <c r="Y113" s="19"/>
      <c r="Z113" s="19" t="s">
        <v>665</v>
      </c>
      <c r="AA113" s="19">
        <v>1</v>
      </c>
      <c r="AB113" s="19">
        <v>1</v>
      </c>
      <c r="AC113" s="19" t="s">
        <v>59</v>
      </c>
      <c r="AD113" s="19" t="s">
        <v>68</v>
      </c>
      <c r="AE113" s="19" t="s">
        <v>666</v>
      </c>
      <c r="AF113" s="19"/>
    </row>
    <row r="114" spans="1:34" customHeight="1" ht="42">
      <c r="A114" s="19">
        <v>109</v>
      </c>
      <c r="B114" s="19" t="s">
        <v>552</v>
      </c>
      <c r="C114" s="19" t="s">
        <v>225</v>
      </c>
      <c r="D114" s="19" t="str">
        <f>HYPERLINK("http://henontech.com/fieldsafety/harzard/harzard_show.php?rid=2100&amp;url=harzardrecs.php","西区化水老系统水池约4米，池顶楼梯平台腐蚀严重有破洞，不牢固，一名操作工在工作时由此跌落，腿先着地受伤，随即送医院治疗。")</f>
        <v>西区化水老系统水池约4米，池顶楼梯平台腐蚀严重有破洞，不牢固，一名操作工在工作时由此跌落，腿先着地受伤，随即送医院治疗。</v>
      </c>
      <c r="E114" s="19" t="s">
        <v>667</v>
      </c>
      <c r="F114" s="20" t="s">
        <v>42</v>
      </c>
      <c r="G114" s="21" t="s">
        <v>43</v>
      </c>
      <c r="H114" s="19" t="s">
        <v>44</v>
      </c>
      <c r="I114" s="19" t="s">
        <v>129</v>
      </c>
      <c r="J114" s="19" t="s">
        <v>64</v>
      </c>
      <c r="K114" s="19" t="s">
        <v>46</v>
      </c>
      <c r="L114" s="19" t="s">
        <v>65</v>
      </c>
      <c r="M114" s="19" t="s">
        <v>229</v>
      </c>
      <c r="N114" s="19" t="s">
        <v>668</v>
      </c>
      <c r="O114" s="19" t="s">
        <v>229</v>
      </c>
      <c r="P114" s="19" t="s">
        <v>669</v>
      </c>
      <c r="Q114" s="19" t="s">
        <v>670</v>
      </c>
      <c r="R114" s="19" t="s">
        <v>671</v>
      </c>
      <c r="S114" s="19"/>
      <c r="T114" s="19" t="s">
        <v>53</v>
      </c>
      <c r="U114" s="19" t="s">
        <v>54</v>
      </c>
      <c r="V114" s="19" t="s">
        <v>95</v>
      </c>
      <c r="W114" s="19" t="s">
        <v>117</v>
      </c>
      <c r="X114" s="19" t="s">
        <v>57</v>
      </c>
      <c r="Y114" s="19"/>
      <c r="Z114" s="19" t="s">
        <v>672</v>
      </c>
      <c r="AA114" s="19">
        <v>2</v>
      </c>
      <c r="AB114" s="19">
        <v>1</v>
      </c>
      <c r="AC114" s="19" t="s">
        <v>59</v>
      </c>
      <c r="AD114" s="19" t="s">
        <v>669</v>
      </c>
      <c r="AE114" s="19" t="s">
        <v>673</v>
      </c>
      <c r="AF114" s="19" t="s">
        <v>674</v>
      </c>
    </row>
    <row r="115" spans="1:34">
      <c r="A115" s="19">
        <v>110</v>
      </c>
      <c r="B115" s="19" t="s">
        <v>552</v>
      </c>
      <c r="C115" s="19" t="s">
        <v>66</v>
      </c>
      <c r="D115" s="19" t="str">
        <f>HYPERLINK("http://henontech.com/fieldsafety/harzard/harzard_show.php?rid=2101&amp;url=harzardrecs.php","熔硫釜旁边留有空隙，一名操作工在夜间操作时由于光线不好右脚踩到空隙，造成右小腿轻微伤到医务室简单消毒包扎之后继续工作。")</f>
        <v>熔硫釜旁边留有空隙，一名操作工在夜间操作时由于光线不好右脚踩到空隙，造成右小腿轻微伤到医务室简单消毒包扎之后继续工作。</v>
      </c>
      <c r="E115" s="19" t="s">
        <v>675</v>
      </c>
      <c r="F115" s="20" t="s">
        <v>42</v>
      </c>
      <c r="G115" s="21" t="s">
        <v>43</v>
      </c>
      <c r="H115" s="19" t="s">
        <v>44</v>
      </c>
      <c r="I115" s="19" t="s">
        <v>205</v>
      </c>
      <c r="J115" s="19" t="s">
        <v>64</v>
      </c>
      <c r="K115" s="19" t="s">
        <v>88</v>
      </c>
      <c r="L115" s="19" t="s">
        <v>65</v>
      </c>
      <c r="M115" s="19" t="s">
        <v>66</v>
      </c>
      <c r="N115" s="19" t="s">
        <v>676</v>
      </c>
      <c r="O115" s="19" t="s">
        <v>66</v>
      </c>
      <c r="P115" s="19" t="s">
        <v>68</v>
      </c>
      <c r="Q115" s="19" t="s">
        <v>592</v>
      </c>
      <c r="R115" s="19" t="s">
        <v>120</v>
      </c>
      <c r="S115" s="19"/>
      <c r="T115" s="19" t="s">
        <v>53</v>
      </c>
      <c r="U115" s="19" t="s">
        <v>71</v>
      </c>
      <c r="V115" s="19" t="s">
        <v>193</v>
      </c>
      <c r="W115" s="19" t="s">
        <v>96</v>
      </c>
      <c r="X115" s="19"/>
      <c r="Y115" s="19"/>
      <c r="Z115" s="19" t="s">
        <v>677</v>
      </c>
      <c r="AA115" s="19">
        <v>1</v>
      </c>
      <c r="AB115" s="19">
        <v>1</v>
      </c>
      <c r="AC115" s="19" t="s">
        <v>59</v>
      </c>
      <c r="AD115" s="19" t="s">
        <v>68</v>
      </c>
      <c r="AE115" s="19" t="s">
        <v>678</v>
      </c>
      <c r="AF115" s="19"/>
    </row>
    <row r="116" spans="1:34">
      <c r="A116" s="19">
        <v>111</v>
      </c>
      <c r="B116" s="19" t="s">
        <v>552</v>
      </c>
      <c r="C116" s="19" t="s">
        <v>365</v>
      </c>
      <c r="D116" s="19" t="str">
        <f>HYPERLINK("http://henontech.com/fieldsafety/harzard/harzard_show.php?rid=2102&amp;url=harzardrecs.php","南脱硫2#脱硫塔平台有维修检修完剩余的木板等杂物。如果操作人员在巡检时不注意，有可能被绊倒摔伤右手手腕，入院治疗一天，休息三天复工。")</f>
        <v>南脱硫2#脱硫塔平台有维修检修完剩余的木板等杂物。如果操作人员在巡检时不注意，有可能被绊倒摔伤右手手腕，入院治疗一天，休息三天复工。</v>
      </c>
      <c r="E116" s="19" t="s">
        <v>679</v>
      </c>
      <c r="F116" s="20" t="s">
        <v>42</v>
      </c>
      <c r="G116" s="21" t="s">
        <v>43</v>
      </c>
      <c r="H116" s="19" t="s">
        <v>44</v>
      </c>
      <c r="I116" s="19" t="s">
        <v>78</v>
      </c>
      <c r="J116" s="19" t="s">
        <v>64</v>
      </c>
      <c r="K116" s="19" t="s">
        <v>46</v>
      </c>
      <c r="L116" s="19" t="s">
        <v>65</v>
      </c>
      <c r="M116" s="19" t="s">
        <v>66</v>
      </c>
      <c r="N116" s="19" t="s">
        <v>680</v>
      </c>
      <c r="O116" s="19" t="s">
        <v>66</v>
      </c>
      <c r="P116" s="19" t="s">
        <v>68</v>
      </c>
      <c r="Q116" s="19" t="s">
        <v>592</v>
      </c>
      <c r="R116" s="19" t="s">
        <v>639</v>
      </c>
      <c r="S116" s="19"/>
      <c r="T116" s="19" t="s">
        <v>53</v>
      </c>
      <c r="U116" s="19" t="s">
        <v>54</v>
      </c>
      <c r="V116" s="19" t="s">
        <v>55</v>
      </c>
      <c r="W116" s="19" t="s">
        <v>56</v>
      </c>
      <c r="X116" s="19"/>
      <c r="Y116" s="19"/>
      <c r="Z116" s="19" t="s">
        <v>681</v>
      </c>
      <c r="AA116" s="19">
        <v>1</v>
      </c>
      <c r="AB116" s="19">
        <v>1</v>
      </c>
      <c r="AC116" s="19" t="s">
        <v>59</v>
      </c>
      <c r="AD116" s="19" t="s">
        <v>68</v>
      </c>
      <c r="AE116" s="19" t="s">
        <v>139</v>
      </c>
      <c r="AF116" s="19"/>
    </row>
    <row r="117" spans="1:34" customHeight="1" ht="42">
      <c r="A117" s="19">
        <v>112</v>
      </c>
      <c r="B117" s="19" t="s">
        <v>552</v>
      </c>
      <c r="C117" s="19" t="s">
        <v>457</v>
      </c>
      <c r="D117" s="19" t="str">
        <f>HYPERLINK("http://henontech.com/fieldsafety/harzard/harzard_show.php?rid=2103&amp;url=harzardrecs.php","5.5米焦炉拦焦车除尘船撑架开焊断开，一名操作工巡检踩过时，不慎跌落水槽，受伤送医。")</f>
        <v>5.5米焦炉拦焦车除尘船撑架开焊断开，一名操作工巡检踩过时，不慎跌落水槽，受伤送医。</v>
      </c>
      <c r="E117" s="19" t="s">
        <v>682</v>
      </c>
      <c r="F117" s="20" t="s">
        <v>42</v>
      </c>
      <c r="G117" s="21" t="s">
        <v>43</v>
      </c>
      <c r="H117" s="19" t="s">
        <v>44</v>
      </c>
      <c r="I117" s="19" t="s">
        <v>129</v>
      </c>
      <c r="J117" s="19" t="s">
        <v>64</v>
      </c>
      <c r="K117" s="19" t="s">
        <v>46</v>
      </c>
      <c r="L117" s="19" t="s">
        <v>65</v>
      </c>
      <c r="M117" s="19" t="s">
        <v>49</v>
      </c>
      <c r="N117" s="19" t="s">
        <v>683</v>
      </c>
      <c r="O117" s="19" t="s">
        <v>49</v>
      </c>
      <c r="P117" s="19" t="s">
        <v>460</v>
      </c>
      <c r="Q117" s="19" t="s">
        <v>592</v>
      </c>
      <c r="R117" s="19" t="s">
        <v>684</v>
      </c>
      <c r="S117" s="19"/>
      <c r="T117" s="19" t="s">
        <v>53</v>
      </c>
      <c r="U117" s="19" t="s">
        <v>54</v>
      </c>
      <c r="V117" s="19" t="s">
        <v>55</v>
      </c>
      <c r="W117" s="19" t="s">
        <v>56</v>
      </c>
      <c r="X117" s="19" t="s">
        <v>57</v>
      </c>
      <c r="Y117" s="19"/>
      <c r="Z117" s="19" t="s">
        <v>685</v>
      </c>
      <c r="AA117" s="19">
        <v>2</v>
      </c>
      <c r="AB117" s="19">
        <v>2</v>
      </c>
      <c r="AC117" s="19" t="s">
        <v>59</v>
      </c>
      <c r="AD117" s="19" t="s">
        <v>460</v>
      </c>
      <c r="AE117" s="19" t="s">
        <v>475</v>
      </c>
      <c r="AF117" s="19"/>
    </row>
    <row r="118" spans="1:34" customHeight="1" ht="42">
      <c r="A118" s="19">
        <v>113</v>
      </c>
      <c r="B118" s="19" t="s">
        <v>552</v>
      </c>
      <c r="C118" s="19" t="s">
        <v>457</v>
      </c>
      <c r="D118" s="19" t="str">
        <f>HYPERLINK("http://henontech.com/fieldsafety/harzard/harzard_show.php?rid=2104&amp;url=harzardrecs.php","高处的煤仓护瓦腐蚀严重，突然掉落，正好砸在一名操作工头上，划伤脸部，送医。")</f>
        <v>高处的煤仓护瓦腐蚀严重，突然掉落，正好砸在一名操作工头上，划伤脸部，送医。</v>
      </c>
      <c r="E118" s="19" t="s">
        <v>686</v>
      </c>
      <c r="F118" s="20" t="s">
        <v>42</v>
      </c>
      <c r="G118" s="22" t="s">
        <v>111</v>
      </c>
      <c r="H118" s="19" t="s">
        <v>44</v>
      </c>
      <c r="I118" s="19" t="s">
        <v>129</v>
      </c>
      <c r="J118" s="19" t="s">
        <v>64</v>
      </c>
      <c r="K118" s="19" t="s">
        <v>46</v>
      </c>
      <c r="L118" s="19" t="s">
        <v>65</v>
      </c>
      <c r="M118" s="19" t="s">
        <v>49</v>
      </c>
      <c r="N118" s="19" t="s">
        <v>683</v>
      </c>
      <c r="O118" s="19" t="s">
        <v>49</v>
      </c>
      <c r="P118" s="19" t="s">
        <v>460</v>
      </c>
      <c r="Q118" s="19" t="s">
        <v>592</v>
      </c>
      <c r="R118" s="19" t="s">
        <v>687</v>
      </c>
      <c r="S118" s="19"/>
      <c r="T118" s="19" t="s">
        <v>53</v>
      </c>
      <c r="U118" s="19" t="s">
        <v>54</v>
      </c>
      <c r="V118" s="19" t="s">
        <v>55</v>
      </c>
      <c r="W118" s="19" t="s">
        <v>56</v>
      </c>
      <c r="X118" s="19" t="s">
        <v>57</v>
      </c>
      <c r="Y118" s="19"/>
      <c r="Z118" s="19" t="s">
        <v>688</v>
      </c>
      <c r="AA118" s="19">
        <v>2</v>
      </c>
      <c r="AB118" s="19">
        <v>2</v>
      </c>
      <c r="AC118" s="19" t="s">
        <v>59</v>
      </c>
      <c r="AD118" s="19" t="s">
        <v>460</v>
      </c>
      <c r="AE118" s="19" t="s">
        <v>475</v>
      </c>
      <c r="AF118" s="19"/>
    </row>
    <row r="119" spans="1:34" customHeight="1" ht="42">
      <c r="A119" s="19">
        <v>114</v>
      </c>
      <c r="B119" s="19" t="s">
        <v>552</v>
      </c>
      <c r="C119" s="19" t="s">
        <v>484</v>
      </c>
      <c r="D119" s="19" t="str">
        <f>HYPERLINK("http://henontech.com/fieldsafety/harzard/harzard_show.php?rid=2105&amp;url=harzardrecs.php","焦侧上升管一平台铺板翘起，1操作工经过时不慎绊倒，头部磕在扁铁上，受伤送医。")</f>
        <v>焦侧上升管一平台铺板翘起，1操作工经过时不慎绊倒，头部磕在扁铁上，受伤送医。</v>
      </c>
      <c r="E119" s="19" t="s">
        <v>689</v>
      </c>
      <c r="F119" s="20" t="s">
        <v>42</v>
      </c>
      <c r="G119" s="21" t="s">
        <v>43</v>
      </c>
      <c r="H119" s="19" t="s">
        <v>44</v>
      </c>
      <c r="I119" s="19" t="s">
        <v>129</v>
      </c>
      <c r="J119" s="19" t="s">
        <v>64</v>
      </c>
      <c r="K119" s="19" t="s">
        <v>46</v>
      </c>
      <c r="L119" s="19" t="s">
        <v>65</v>
      </c>
      <c r="M119" s="19" t="s">
        <v>49</v>
      </c>
      <c r="N119" s="19" t="s">
        <v>690</v>
      </c>
      <c r="O119" s="19" t="s">
        <v>49</v>
      </c>
      <c r="P119" s="19" t="s">
        <v>460</v>
      </c>
      <c r="Q119" s="19" t="s">
        <v>592</v>
      </c>
      <c r="R119" s="19" t="s">
        <v>691</v>
      </c>
      <c r="S119" s="19"/>
      <c r="T119" s="19" t="s">
        <v>53</v>
      </c>
      <c r="U119" s="19" t="s">
        <v>54</v>
      </c>
      <c r="V119" s="19" t="s">
        <v>55</v>
      </c>
      <c r="W119" s="19" t="s">
        <v>56</v>
      </c>
      <c r="X119" s="19" t="s">
        <v>57</v>
      </c>
      <c r="Y119" s="19"/>
      <c r="Z119" s="19" t="s">
        <v>692</v>
      </c>
      <c r="AA119" s="19">
        <v>2</v>
      </c>
      <c r="AB119" s="19">
        <v>2</v>
      </c>
      <c r="AC119" s="19" t="s">
        <v>59</v>
      </c>
      <c r="AD119" s="19" t="s">
        <v>460</v>
      </c>
      <c r="AE119" s="19" t="s">
        <v>475</v>
      </c>
      <c r="AF119" s="19"/>
    </row>
    <row r="120" spans="1:34" customHeight="1" ht="42">
      <c r="A120" s="19">
        <v>115</v>
      </c>
      <c r="B120" s="19" t="s">
        <v>552</v>
      </c>
      <c r="C120" s="19" t="s">
        <v>693</v>
      </c>
      <c r="D120" s="19" t="str">
        <f>HYPERLINK("http://henontech.com/fieldsafety/harzard/harzard_show.php?rid=2106&amp;url=harzardrecs.php","机侧平台南头端台处，出现一段裂缝塌陷，掉落的水泥块砸在从下面经过的1名员工头上，员工受伤送医。")</f>
        <v>机侧平台南头端台处，出现一段裂缝塌陷，掉落的水泥块砸在从下面经过的1名员工头上，员工受伤送医。</v>
      </c>
      <c r="E120" s="19" t="s">
        <v>694</v>
      </c>
      <c r="F120" s="20" t="s">
        <v>42</v>
      </c>
      <c r="G120" s="21" t="s">
        <v>43</v>
      </c>
      <c r="H120" s="19" t="s">
        <v>44</v>
      </c>
      <c r="I120" s="19" t="s">
        <v>129</v>
      </c>
      <c r="J120" s="19" t="s">
        <v>64</v>
      </c>
      <c r="K120" s="19" t="s">
        <v>46</v>
      </c>
      <c r="L120" s="19" t="s">
        <v>65</v>
      </c>
      <c r="M120" s="19" t="s">
        <v>49</v>
      </c>
      <c r="N120" s="19" t="s">
        <v>695</v>
      </c>
      <c r="O120" s="19" t="s">
        <v>49</v>
      </c>
      <c r="P120" s="19" t="s">
        <v>499</v>
      </c>
      <c r="Q120" s="19" t="s">
        <v>592</v>
      </c>
      <c r="R120" s="19" t="s">
        <v>696</v>
      </c>
      <c r="S120" s="19"/>
      <c r="T120" s="19" t="s">
        <v>53</v>
      </c>
      <c r="U120" s="19" t="s">
        <v>54</v>
      </c>
      <c r="V120" s="19" t="s">
        <v>55</v>
      </c>
      <c r="W120" s="19" t="s">
        <v>56</v>
      </c>
      <c r="X120" s="19" t="s">
        <v>150</v>
      </c>
      <c r="Y120" s="19"/>
      <c r="Z120" s="19" t="s">
        <v>697</v>
      </c>
      <c r="AA120" s="19">
        <v>2</v>
      </c>
      <c r="AB120" s="19">
        <v>2</v>
      </c>
      <c r="AC120" s="19" t="s">
        <v>59</v>
      </c>
      <c r="AD120" s="19" t="s">
        <v>499</v>
      </c>
      <c r="AE120" s="19" t="s">
        <v>292</v>
      </c>
      <c r="AF120" s="19" t="s">
        <v>698</v>
      </c>
    </row>
    <row r="121" spans="1:34" customHeight="1" ht="42">
      <c r="A121" s="19">
        <v>116</v>
      </c>
      <c r="B121" s="19" t="s">
        <v>552</v>
      </c>
      <c r="C121" s="19" t="s">
        <v>470</v>
      </c>
      <c r="D121" s="19" t="str">
        <f>HYPERLINK("http://henontech.com/fieldsafety/harzard/harzard_show.php?rid=2107&amp;url=harzardrecs.php","送煤车前头运送余煤的刮板机篦子盖板变形，1操作工工作时不慎跌入左脚，造成左小腿骨折，送医。")</f>
        <v>送煤车前头运送余煤的刮板机篦子盖板变形，1操作工工作时不慎跌入左脚，造成左小腿骨折，送医。</v>
      </c>
      <c r="E121" s="19" t="s">
        <v>699</v>
      </c>
      <c r="F121" s="20" t="s">
        <v>42</v>
      </c>
      <c r="G121" s="22" t="s">
        <v>111</v>
      </c>
      <c r="H121" s="19" t="s">
        <v>44</v>
      </c>
      <c r="I121" s="19" t="s">
        <v>129</v>
      </c>
      <c r="J121" s="19" t="s">
        <v>64</v>
      </c>
      <c r="K121" s="19" t="s">
        <v>46</v>
      </c>
      <c r="L121" s="19" t="s">
        <v>65</v>
      </c>
      <c r="M121" s="19" t="s">
        <v>49</v>
      </c>
      <c r="N121" s="19" t="s">
        <v>700</v>
      </c>
      <c r="O121" s="19" t="s">
        <v>49</v>
      </c>
      <c r="P121" s="19" t="s">
        <v>460</v>
      </c>
      <c r="Q121" s="19" t="s">
        <v>592</v>
      </c>
      <c r="R121" s="19" t="s">
        <v>701</v>
      </c>
      <c r="S121" s="19"/>
      <c r="T121" s="19" t="s">
        <v>53</v>
      </c>
      <c r="U121" s="19" t="s">
        <v>54</v>
      </c>
      <c r="V121" s="19" t="s">
        <v>55</v>
      </c>
      <c r="W121" s="19" t="s">
        <v>56</v>
      </c>
      <c r="X121" s="19" t="s">
        <v>57</v>
      </c>
      <c r="Y121" s="19"/>
      <c r="Z121" s="19" t="s">
        <v>702</v>
      </c>
      <c r="AA121" s="19">
        <v>2</v>
      </c>
      <c r="AB121" s="19">
        <v>2</v>
      </c>
      <c r="AC121" s="19" t="s">
        <v>59</v>
      </c>
      <c r="AD121" s="19" t="s">
        <v>460</v>
      </c>
      <c r="AE121" s="19" t="s">
        <v>463</v>
      </c>
      <c r="AF121" s="19"/>
    </row>
    <row r="122" spans="1:34">
      <c r="A122" s="19">
        <v>117</v>
      </c>
      <c r="B122" s="19" t="s">
        <v>552</v>
      </c>
      <c r="C122" s="19" t="s">
        <v>457</v>
      </c>
      <c r="D122" s="19" t="str">
        <f>HYPERLINK("http://henontech.com/fieldsafety/harzard/harzard_show.php?rid=2108&amp;url=harzardrecs.php","拦焦车配电室东头爬梯处平台腐蚀严重，1操作工经过时平台不负重，人员跌落，受伤送医。")</f>
        <v>拦焦车配电室东头爬梯处平台腐蚀严重，1操作工经过时平台不负重，人员跌落，受伤送医。</v>
      </c>
      <c r="E122" s="19" t="s">
        <v>703</v>
      </c>
      <c r="F122" s="23" t="s">
        <v>227</v>
      </c>
      <c r="G122" s="21" t="s">
        <v>43</v>
      </c>
      <c r="H122" s="19" t="s">
        <v>44</v>
      </c>
      <c r="I122" s="19" t="s">
        <v>129</v>
      </c>
      <c r="J122" s="19" t="s">
        <v>64</v>
      </c>
      <c r="K122" s="19" t="s">
        <v>46</v>
      </c>
      <c r="L122" s="19" t="s">
        <v>65</v>
      </c>
      <c r="M122" s="19" t="s">
        <v>49</v>
      </c>
      <c r="N122" s="19" t="s">
        <v>704</v>
      </c>
      <c r="O122" s="19"/>
      <c r="P122" s="19"/>
      <c r="Q122" s="19"/>
      <c r="R122" s="19" t="s">
        <v>705</v>
      </c>
      <c r="S122" s="19" t="s">
        <v>706</v>
      </c>
      <c r="T122" s="19" t="s">
        <v>53</v>
      </c>
      <c r="U122" s="19" t="s">
        <v>54</v>
      </c>
      <c r="V122" s="19" t="s">
        <v>55</v>
      </c>
      <c r="W122" s="19" t="s">
        <v>56</v>
      </c>
      <c r="X122" s="19"/>
      <c r="Y122" s="19"/>
      <c r="Z122" s="19"/>
      <c r="AA122" s="19">
        <v>0</v>
      </c>
      <c r="AB122" s="19"/>
      <c r="AC122" s="19" t="s">
        <v>233</v>
      </c>
      <c r="AD122" s="19"/>
      <c r="AE122" s="19"/>
      <c r="AF122" s="19"/>
    </row>
    <row r="123" spans="1:34">
      <c r="A123" s="19">
        <v>118</v>
      </c>
      <c r="B123" s="19" t="s">
        <v>327</v>
      </c>
      <c r="C123" s="19" t="s">
        <v>707</v>
      </c>
      <c r="D123" s="19" t="str">
        <f>HYPERLINK("http://henontech.com/fieldsafety/harzard/harzard_show.php?rid=2109&amp;url=harzardrecs.php","4.3米焦炉放散管道及护栏和底部腐蚀严重。人员在负责正常巡逻检修时，由于铁皮腐蚀严重，护栏缺失，导致巡逻检修人员从放散管道掉落")</f>
        <v>4.3米焦炉放散管道及护栏和底部腐蚀严重。人员在负责正常巡逻检修时，由于铁皮腐蚀严重，护栏缺失，导致巡逻检修人员从放散管道掉落</v>
      </c>
      <c r="E123" s="19" t="s">
        <v>708</v>
      </c>
      <c r="F123" s="23" t="s">
        <v>227</v>
      </c>
      <c r="G123" s="21" t="s">
        <v>43</v>
      </c>
      <c r="H123" s="19" t="s">
        <v>709</v>
      </c>
      <c r="I123" s="19" t="s">
        <v>78</v>
      </c>
      <c r="J123" s="19" t="s">
        <v>64</v>
      </c>
      <c r="K123" s="19"/>
      <c r="L123" s="19"/>
      <c r="M123" s="19" t="s">
        <v>49</v>
      </c>
      <c r="N123" s="19" t="s">
        <v>710</v>
      </c>
      <c r="O123" s="19"/>
      <c r="P123" s="19"/>
      <c r="Q123" s="19"/>
      <c r="R123" s="19" t="s">
        <v>711</v>
      </c>
      <c r="S123" s="19" t="s">
        <v>712</v>
      </c>
      <c r="T123" s="19" t="s">
        <v>53</v>
      </c>
      <c r="U123" s="19" t="s">
        <v>116</v>
      </c>
      <c r="V123" s="19" t="s">
        <v>55</v>
      </c>
      <c r="W123" s="19" t="s">
        <v>117</v>
      </c>
      <c r="X123" s="19"/>
      <c r="Y123" s="19"/>
      <c r="Z123" s="19"/>
      <c r="AA123" s="19">
        <v>0</v>
      </c>
      <c r="AB123" s="19"/>
      <c r="AC123" s="19" t="s">
        <v>233</v>
      </c>
      <c r="AD123" s="19"/>
      <c r="AE123" s="19"/>
      <c r="AF123" s="19"/>
    </row>
    <row r="124" spans="1:34">
      <c r="A124" s="19"/>
      <c r="B124" s="19"/>
      <c r="C124" s="19"/>
      <c r="D124" s="19" t="str">
        <f>HYPERLINK("http://henontech.com/fieldsafety/harzard/harzard_show.php?rid=2109&amp;url=harzardrecs.php","放散管道腐蚀严重。当大风吹开始，由于放散管道铁皮腐蚀严重，导致放散管道被大风吹断，从炉顶上方掉落，正好将从下方经过的一名员工砸在底下")</f>
        <v>放散管道腐蚀严重。当大风吹开始，由于放散管道铁皮腐蚀严重，导致放散管道被大风吹断，从炉顶上方掉落，正好将从下方经过的一名员工砸在底下</v>
      </c>
      <c r="E124" s="19" t="s">
        <v>713</v>
      </c>
      <c r="F124" s="19"/>
      <c r="G124" s="19"/>
      <c r="H124" s="19"/>
      <c r="I124" s="19" t="s">
        <v>78</v>
      </c>
      <c r="J124" s="19" t="s">
        <v>64</v>
      </c>
      <c r="K124" s="19"/>
      <c r="L124" s="19"/>
      <c r="M124" s="19"/>
      <c r="N124" s="19"/>
      <c r="O124" s="19"/>
      <c r="P124" s="19"/>
      <c r="Q124" s="19"/>
      <c r="R124" s="19"/>
      <c r="S124" s="19"/>
      <c r="T124" s="19" t="s">
        <v>53</v>
      </c>
      <c r="U124" s="19" t="s">
        <v>116</v>
      </c>
      <c r="V124" s="19" t="s">
        <v>55</v>
      </c>
      <c r="W124" s="19" t="s">
        <v>117</v>
      </c>
      <c r="X124" s="19"/>
      <c r="Y124" s="19"/>
      <c r="Z124" s="19"/>
      <c r="AA124" s="19"/>
      <c r="AB124" s="19"/>
      <c r="AC124" s="19"/>
      <c r="AD124" s="19"/>
      <c r="AE124" s="19"/>
      <c r="AF124" s="19"/>
    </row>
    <row r="125" spans="1:34">
      <c r="A125" s="19">
        <v>119</v>
      </c>
      <c r="B125" s="19" t="s">
        <v>327</v>
      </c>
      <c r="C125" s="19" t="s">
        <v>241</v>
      </c>
      <c r="D125" s="19" t="str">
        <f>HYPERLINK("http://henontech.com/fieldsafety/harzard/harzard_show.php?rid=2110&amp;url=harzardrecs.php","母液贮槽人孔法兰垫片破损，若巡检人员不能及时发现，可能引发大量母液泄露，造成环境污染。")</f>
        <v>母液贮槽人孔法兰垫片破损，若巡检人员不能及时发现，可能引发大量母液泄露，造成环境污染。</v>
      </c>
      <c r="E125" s="19" t="s">
        <v>714</v>
      </c>
      <c r="F125" s="20" t="s">
        <v>42</v>
      </c>
      <c r="G125" s="21" t="s">
        <v>43</v>
      </c>
      <c r="H125" s="19" t="s">
        <v>44</v>
      </c>
      <c r="I125" s="19" t="s">
        <v>129</v>
      </c>
      <c r="J125" s="19" t="s">
        <v>64</v>
      </c>
      <c r="K125" s="19" t="s">
        <v>46</v>
      </c>
      <c r="L125" s="19" t="s">
        <v>65</v>
      </c>
      <c r="M125" s="19" t="s">
        <v>66</v>
      </c>
      <c r="N125" s="19" t="s">
        <v>715</v>
      </c>
      <c r="O125" s="19" t="s">
        <v>66</v>
      </c>
      <c r="P125" s="19" t="s">
        <v>68</v>
      </c>
      <c r="Q125" s="19" t="s">
        <v>592</v>
      </c>
      <c r="R125" s="19" t="s">
        <v>716</v>
      </c>
      <c r="S125" s="19"/>
      <c r="T125" s="19" t="s">
        <v>392</v>
      </c>
      <c r="U125" s="19" t="s">
        <v>94</v>
      </c>
      <c r="V125" s="19" t="s">
        <v>105</v>
      </c>
      <c r="W125" s="19" t="s">
        <v>96</v>
      </c>
      <c r="X125" s="19"/>
      <c r="Y125" s="19"/>
      <c r="Z125" s="19" t="s">
        <v>607</v>
      </c>
      <c r="AA125" s="19">
        <v>1</v>
      </c>
      <c r="AB125" s="19">
        <v>1</v>
      </c>
      <c r="AC125" s="19" t="s">
        <v>59</v>
      </c>
      <c r="AD125" s="19" t="s">
        <v>68</v>
      </c>
      <c r="AE125" s="19" t="s">
        <v>305</v>
      </c>
      <c r="AF125" s="19"/>
    </row>
    <row r="126" spans="1:34">
      <c r="A126" s="19">
        <v>120</v>
      </c>
      <c r="B126" s="19" t="s">
        <v>327</v>
      </c>
      <c r="C126" s="19" t="s">
        <v>514</v>
      </c>
      <c r="D126" s="19" t="str">
        <f>HYPERLINK("http://henontech.com/fieldsafety/harzard/harzard_show.php?rid=2111&amp;url=harzardrecs.php","在巡检中发现仪表管腐蚀严重，两处破解，仪表穿线管和仪表传感器进水，造成仪表数据不准，影响生产。")</f>
        <v>在巡检中发现仪表管腐蚀严重，两处破解，仪表穿线管和仪表传感器进水，造成仪表数据不准，影响生产。</v>
      </c>
      <c r="E126" s="19" t="s">
        <v>717</v>
      </c>
      <c r="F126" s="20" t="s">
        <v>42</v>
      </c>
      <c r="G126" s="21" t="s">
        <v>43</v>
      </c>
      <c r="H126" s="19" t="s">
        <v>44</v>
      </c>
      <c r="I126" s="19"/>
      <c r="J126" s="19" t="s">
        <v>64</v>
      </c>
      <c r="K126" s="19"/>
      <c r="L126" s="19"/>
      <c r="M126" s="19" t="s">
        <v>66</v>
      </c>
      <c r="N126" s="19" t="s">
        <v>718</v>
      </c>
      <c r="O126" s="19" t="s">
        <v>66</v>
      </c>
      <c r="P126" s="19" t="s">
        <v>68</v>
      </c>
      <c r="Q126" s="19" t="s">
        <v>719</v>
      </c>
      <c r="R126" s="19" t="s">
        <v>720</v>
      </c>
      <c r="S126" s="19" t="s">
        <v>721</v>
      </c>
      <c r="T126" s="19" t="s">
        <v>104</v>
      </c>
      <c r="U126" s="19" t="s">
        <v>94</v>
      </c>
      <c r="V126" s="19" t="s">
        <v>193</v>
      </c>
      <c r="W126" s="19" t="s">
        <v>96</v>
      </c>
      <c r="X126" s="19"/>
      <c r="Y126" s="19"/>
      <c r="Z126" s="19" t="s">
        <v>722</v>
      </c>
      <c r="AA126" s="19">
        <v>1</v>
      </c>
      <c r="AB126" s="19">
        <v>1</v>
      </c>
      <c r="AC126" s="19" t="s">
        <v>59</v>
      </c>
      <c r="AD126" s="19" t="s">
        <v>68</v>
      </c>
      <c r="AE126" s="19" t="s">
        <v>678</v>
      </c>
      <c r="AF126" s="19"/>
    </row>
    <row r="127" spans="1:34">
      <c r="A127" s="19">
        <v>121</v>
      </c>
      <c r="B127" s="19" t="s">
        <v>327</v>
      </c>
      <c r="C127" s="19" t="s">
        <v>441</v>
      </c>
      <c r="D127" s="19" t="str">
        <f>HYPERLINK("http://henontech.com/fieldsafety/harzard/harzard_show.php?rid=2112&amp;url=harzardrecs.php","北脱硫泡沫管道上脱硫液回液阀门漏液，一名操作工巡检时系统压力升高，脱硫液回液阀门密封垫子坏，脱硫液喷出溅到操作工身上脸上和眼部，造成脸部皮肤眼睛被脱硫液侵蚀红肿，经过冲洗去医院处理眼部，损工两天")</f>
        <v>北脱硫泡沫管道上脱硫液回液阀门漏液，一名操作工巡检时系统压力升高，脱硫液回液阀门密封垫子坏，脱硫液喷出溅到操作工身上脸上和眼部，造成脸部皮肤眼睛被脱硫液侵蚀红肿，经过冲洗去医院处理眼部，损工两天</v>
      </c>
      <c r="E127" s="19" t="s">
        <v>723</v>
      </c>
      <c r="F127" s="20" t="s">
        <v>42</v>
      </c>
      <c r="G127" s="21" t="s">
        <v>43</v>
      </c>
      <c r="H127" s="19" t="s">
        <v>44</v>
      </c>
      <c r="I127" s="19" t="s">
        <v>205</v>
      </c>
      <c r="J127" s="19" t="s">
        <v>64</v>
      </c>
      <c r="K127" s="19" t="s">
        <v>46</v>
      </c>
      <c r="L127" s="19" t="s">
        <v>228</v>
      </c>
      <c r="M127" s="19" t="s">
        <v>66</v>
      </c>
      <c r="N127" s="19" t="s">
        <v>724</v>
      </c>
      <c r="O127" s="19" t="s">
        <v>66</v>
      </c>
      <c r="P127" s="19" t="s">
        <v>68</v>
      </c>
      <c r="Q127" s="19" t="s">
        <v>725</v>
      </c>
      <c r="R127" s="19" t="s">
        <v>726</v>
      </c>
      <c r="S127" s="19"/>
      <c r="T127" s="19" t="s">
        <v>53</v>
      </c>
      <c r="U127" s="19" t="s">
        <v>71</v>
      </c>
      <c r="V127" s="19" t="s">
        <v>105</v>
      </c>
      <c r="W127" s="19" t="s">
        <v>96</v>
      </c>
      <c r="X127" s="19"/>
      <c r="Y127" s="19"/>
      <c r="Z127" s="19" t="s">
        <v>727</v>
      </c>
      <c r="AA127" s="19">
        <v>1</v>
      </c>
      <c r="AB127" s="19">
        <v>1</v>
      </c>
      <c r="AC127" s="19" t="s">
        <v>59</v>
      </c>
      <c r="AD127" s="19" t="s">
        <v>68</v>
      </c>
      <c r="AE127" s="19" t="s">
        <v>396</v>
      </c>
      <c r="AF127" s="19"/>
    </row>
    <row r="128" spans="1:34">
      <c r="A128" s="19">
        <v>122</v>
      </c>
      <c r="B128" s="19" t="s">
        <v>678</v>
      </c>
      <c r="C128" s="19" t="s">
        <v>470</v>
      </c>
      <c r="D128" s="19" t="str">
        <f>HYPERLINK("http://henontech.com/fieldsafety/harzard/harzard_show.php?rid=2113&amp;url=harzardrecs.php","水洗车平台没有护栏，一名职工在平台上清理焦末时，脚底打滑踏空跌落，造成腿部骨折，就医治疗修养。")</f>
        <v>水洗车平台没有护栏，一名职工在平台上清理焦末时，脚底打滑踏空跌落，造成腿部骨折，就医治疗修养。</v>
      </c>
      <c r="E128" s="19" t="s">
        <v>728</v>
      </c>
      <c r="F128" s="23" t="s">
        <v>227</v>
      </c>
      <c r="G128" s="21" t="s">
        <v>43</v>
      </c>
      <c r="H128" s="19" t="s">
        <v>44</v>
      </c>
      <c r="I128" s="19" t="s">
        <v>205</v>
      </c>
      <c r="J128" s="19" t="s">
        <v>45</v>
      </c>
      <c r="K128" s="19" t="s">
        <v>466</v>
      </c>
      <c r="L128" s="19" t="s">
        <v>729</v>
      </c>
      <c r="M128" s="19" t="s">
        <v>49</v>
      </c>
      <c r="N128" s="19" t="s">
        <v>730</v>
      </c>
      <c r="O128" s="19"/>
      <c r="P128" s="19"/>
      <c r="Q128" s="19"/>
      <c r="R128" s="19" t="s">
        <v>731</v>
      </c>
      <c r="S128" s="19" t="s">
        <v>732</v>
      </c>
      <c r="T128" s="19" t="s">
        <v>53</v>
      </c>
      <c r="U128" s="19" t="s">
        <v>54</v>
      </c>
      <c r="V128" s="19" t="s">
        <v>55</v>
      </c>
      <c r="W128" s="19" t="s">
        <v>56</v>
      </c>
      <c r="X128" s="19"/>
      <c r="Y128" s="19"/>
      <c r="Z128" s="19"/>
      <c r="AA128" s="19">
        <v>0</v>
      </c>
      <c r="AB128" s="19"/>
      <c r="AC128" s="19" t="s">
        <v>233</v>
      </c>
      <c r="AD128" s="19"/>
      <c r="AE128" s="19"/>
      <c r="AF128" s="19"/>
    </row>
    <row r="129" spans="1:34">
      <c r="A129" s="19">
        <v>123</v>
      </c>
      <c r="B129" s="19" t="s">
        <v>678</v>
      </c>
      <c r="C129" s="19" t="s">
        <v>641</v>
      </c>
      <c r="D129" s="19" t="str">
        <f>HYPERLINK("http://henontech.com/fieldsafety/harzard/harzard_show.php?rid=2115&amp;url=harzardrecs.php","碳化三楼操作平台分析仪器箱门锈蚀严重合叶脱落，操作人员在更换分析药品时由于风险辨识不到位门子掉落，不慎砸伤操作员右脚脚面骨折住院治疗。")</f>
        <v>碳化三楼操作平台分析仪器箱门锈蚀严重合叶脱落，操作人员在更换分析药品时由于风险辨识不到位门子掉落，不慎砸伤操作员右脚脚面骨折住院治疗。</v>
      </c>
      <c r="E129" s="19" t="s">
        <v>733</v>
      </c>
      <c r="F129" s="20" t="s">
        <v>42</v>
      </c>
      <c r="G129" s="21" t="s">
        <v>43</v>
      </c>
      <c r="H129" s="19" t="s">
        <v>44</v>
      </c>
      <c r="I129" s="19" t="s">
        <v>129</v>
      </c>
      <c r="J129" s="19" t="s">
        <v>64</v>
      </c>
      <c r="K129" s="19" t="s">
        <v>79</v>
      </c>
      <c r="L129" s="19" t="s">
        <v>65</v>
      </c>
      <c r="M129" s="19" t="s">
        <v>146</v>
      </c>
      <c r="N129" s="19" t="s">
        <v>734</v>
      </c>
      <c r="O129" s="19" t="s">
        <v>146</v>
      </c>
      <c r="P129" s="19" t="s">
        <v>148</v>
      </c>
      <c r="Q129" s="19" t="s">
        <v>735</v>
      </c>
      <c r="R129" s="19" t="s">
        <v>736</v>
      </c>
      <c r="S129" s="19"/>
      <c r="T129" s="19" t="s">
        <v>53</v>
      </c>
      <c r="U129" s="19" t="s">
        <v>54</v>
      </c>
      <c r="V129" s="19" t="s">
        <v>105</v>
      </c>
      <c r="W129" s="19" t="s">
        <v>72</v>
      </c>
      <c r="X129" s="19" t="s">
        <v>57</v>
      </c>
      <c r="Y129" s="19" t="s">
        <v>57</v>
      </c>
      <c r="Z129" s="19" t="s">
        <v>737</v>
      </c>
      <c r="AA129" s="19">
        <v>1</v>
      </c>
      <c r="AB129" s="19">
        <v>1</v>
      </c>
      <c r="AC129" s="19" t="s">
        <v>59</v>
      </c>
      <c r="AD129" s="19" t="s">
        <v>148</v>
      </c>
      <c r="AE129" s="19" t="s">
        <v>152</v>
      </c>
      <c r="AF129" s="19" t="s">
        <v>738</v>
      </c>
    </row>
    <row r="130" spans="1:34">
      <c r="A130" s="19">
        <v>124</v>
      </c>
      <c r="B130" s="19" t="s">
        <v>678</v>
      </c>
      <c r="C130" s="19" t="s">
        <v>62</v>
      </c>
      <c r="D130" s="19" t="str">
        <f>HYPERLINK("http://henontech.com/fieldsafety/harzard/harzard_show.php?rid=2117&amp;url=harzardrecs.php","电捕三层平台腐蚀烂透，一名操作工在训练过程中，经过腐蚀处踏空，扭伤脚踝，外皮有轻伤。")</f>
        <v>电捕三层平台腐蚀烂透，一名操作工在训练过程中，经过腐蚀处踏空，扭伤脚踝，外皮有轻伤。</v>
      </c>
      <c r="E130" s="19" t="s">
        <v>739</v>
      </c>
      <c r="F130" s="20" t="s">
        <v>42</v>
      </c>
      <c r="G130" s="21" t="s">
        <v>43</v>
      </c>
      <c r="H130" s="19" t="s">
        <v>44</v>
      </c>
      <c r="I130" s="19" t="s">
        <v>78</v>
      </c>
      <c r="J130" s="19" t="s">
        <v>64</v>
      </c>
      <c r="K130" s="19" t="s">
        <v>46</v>
      </c>
      <c r="L130" s="19" t="s">
        <v>65</v>
      </c>
      <c r="M130" s="19" t="s">
        <v>66</v>
      </c>
      <c r="N130" s="19" t="s">
        <v>740</v>
      </c>
      <c r="O130" s="19" t="s">
        <v>66</v>
      </c>
      <c r="P130" s="19" t="s">
        <v>68</v>
      </c>
      <c r="Q130" s="19" t="s">
        <v>725</v>
      </c>
      <c r="R130" s="19" t="s">
        <v>741</v>
      </c>
      <c r="S130" s="19"/>
      <c r="T130" s="19" t="s">
        <v>53</v>
      </c>
      <c r="U130" s="19" t="s">
        <v>71</v>
      </c>
      <c r="V130" s="19" t="s">
        <v>105</v>
      </c>
      <c r="W130" s="19" t="s">
        <v>96</v>
      </c>
      <c r="X130" s="19"/>
      <c r="Y130" s="19"/>
      <c r="Z130" s="19" t="s">
        <v>742</v>
      </c>
      <c r="AA130" s="19">
        <v>1</v>
      </c>
      <c r="AB130" s="19">
        <v>1</v>
      </c>
      <c r="AC130" s="19" t="s">
        <v>59</v>
      </c>
      <c r="AD130" s="19" t="s">
        <v>68</v>
      </c>
      <c r="AE130" s="19" t="s">
        <v>666</v>
      </c>
      <c r="AF130" s="19"/>
    </row>
    <row r="131" spans="1:34">
      <c r="A131" s="19">
        <v>125</v>
      </c>
      <c r="B131" s="19" t="s">
        <v>678</v>
      </c>
      <c r="C131" s="19" t="s">
        <v>365</v>
      </c>
      <c r="D131" s="19" t="str">
        <f>HYPERLINK("http://henontech.com/fieldsafety/harzard/harzard_show.php?rid=2118&amp;url=harzardrecs.php","在巡检中发现南空压站制冷水管道泵电机轴承声音有杂音并伴有震动若不能及时发现可能引起因空压机制冷水管道泵电机跳闸造成水温过高空压机自动停机的事故")</f>
        <v>在巡检中发现南空压站制冷水管道泵电机轴承声音有杂音并伴有震动若不能及时发现可能引起因空压机制冷水管道泵电机跳闸造成水温过高空压机自动停机的事故</v>
      </c>
      <c r="E131" s="19" t="s">
        <v>743</v>
      </c>
      <c r="F131" s="20" t="s">
        <v>42</v>
      </c>
      <c r="G131" s="21" t="s">
        <v>43</v>
      </c>
      <c r="H131" s="19" t="s">
        <v>44</v>
      </c>
      <c r="I131" s="19" t="s">
        <v>129</v>
      </c>
      <c r="J131" s="19" t="s">
        <v>64</v>
      </c>
      <c r="K131" s="19" t="s">
        <v>46</v>
      </c>
      <c r="L131" s="19" t="s">
        <v>65</v>
      </c>
      <c r="M131" s="19" t="s">
        <v>66</v>
      </c>
      <c r="N131" s="19" t="s">
        <v>744</v>
      </c>
      <c r="O131" s="19" t="s">
        <v>66</v>
      </c>
      <c r="P131" s="19" t="s">
        <v>68</v>
      </c>
      <c r="Q131" s="19" t="s">
        <v>725</v>
      </c>
      <c r="R131" s="19" t="s">
        <v>745</v>
      </c>
      <c r="S131" s="19"/>
      <c r="T131" s="19" t="s">
        <v>392</v>
      </c>
      <c r="U131" s="19" t="s">
        <v>94</v>
      </c>
      <c r="V131" s="19" t="s">
        <v>95</v>
      </c>
      <c r="W131" s="19" t="s">
        <v>96</v>
      </c>
      <c r="X131" s="19"/>
      <c r="Y131" s="19"/>
      <c r="Z131" s="19" t="s">
        <v>746</v>
      </c>
      <c r="AA131" s="19">
        <v>1</v>
      </c>
      <c r="AB131" s="19">
        <v>1</v>
      </c>
      <c r="AC131" s="19" t="s">
        <v>59</v>
      </c>
      <c r="AD131" s="19" t="s">
        <v>68</v>
      </c>
      <c r="AE131" s="19" t="s">
        <v>305</v>
      </c>
      <c r="AF131" s="19"/>
    </row>
    <row r="132" spans="1:34" customHeight="1" ht="42">
      <c r="A132" s="19">
        <v>126</v>
      </c>
      <c r="B132" s="19" t="s">
        <v>678</v>
      </c>
      <c r="C132" s="19" t="s">
        <v>49</v>
      </c>
      <c r="D132" s="19" t="str">
        <f>HYPERLINK("http://henontech.com/fieldsafety/harzard/harzard_show.php?rid=2119&amp;url=harzardrecs.php","5.5米机侧平台处，一铲车司机清理废料时，将铲伸至平台处，下方是摩电轨，假如油缸失灵铲自动下落，导致车辆联电，人员触电，当场死亡。")</f>
        <v>5.5米机侧平台处，一铲车司机清理废料时，将铲伸至平台处，下方是摩电轨，假如油缸失灵铲自动下落，导致车辆联电，人员触电，当场死亡。</v>
      </c>
      <c r="E132" s="19" t="s">
        <v>747</v>
      </c>
      <c r="F132" s="20" t="s">
        <v>42</v>
      </c>
      <c r="G132" s="24" t="s">
        <v>534</v>
      </c>
      <c r="H132" s="19" t="s">
        <v>44</v>
      </c>
      <c r="I132" s="19" t="s">
        <v>205</v>
      </c>
      <c r="J132" s="19" t="s">
        <v>112</v>
      </c>
      <c r="K132" s="19" t="s">
        <v>79</v>
      </c>
      <c r="L132" s="19" t="s">
        <v>65</v>
      </c>
      <c r="M132" s="19" t="s">
        <v>49</v>
      </c>
      <c r="N132" s="19" t="s">
        <v>479</v>
      </c>
      <c r="O132" s="19" t="s">
        <v>49</v>
      </c>
      <c r="P132" s="19" t="s">
        <v>479</v>
      </c>
      <c r="Q132" s="19" t="s">
        <v>735</v>
      </c>
      <c r="R132" s="19" t="s">
        <v>457</v>
      </c>
      <c r="S132" s="19"/>
      <c r="T132" s="19" t="s">
        <v>53</v>
      </c>
      <c r="U132" s="19" t="s">
        <v>116</v>
      </c>
      <c r="V132" s="19" t="s">
        <v>55</v>
      </c>
      <c r="W132" s="19" t="s">
        <v>117</v>
      </c>
      <c r="X132" s="19" t="s">
        <v>150</v>
      </c>
      <c r="Y132" s="19"/>
      <c r="Z132" s="19" t="s">
        <v>748</v>
      </c>
      <c r="AA132" s="19">
        <v>2</v>
      </c>
      <c r="AB132" s="19">
        <v>2</v>
      </c>
      <c r="AC132" s="19" t="s">
        <v>59</v>
      </c>
      <c r="AD132" s="19" t="s">
        <v>479</v>
      </c>
      <c r="AE132" s="19" t="s">
        <v>463</v>
      </c>
      <c r="AF132" s="19" t="s">
        <v>749</v>
      </c>
    </row>
    <row r="133" spans="1:34">
      <c r="A133" s="19">
        <v>127</v>
      </c>
      <c r="B133" s="19" t="s">
        <v>678</v>
      </c>
      <c r="C133" s="19" t="s">
        <v>620</v>
      </c>
      <c r="D133" s="19" t="str">
        <f>HYPERLINK("http://henontech.com/fieldsafety/harzard/harzard_show.php?rid=2120&amp;url=harzardrecs.php","循环氨水罐西罐顶部因部分位置腐蚀严重，可能造成废气外泄，给环境造成污染")</f>
        <v>循环氨水罐西罐顶部因部分位置腐蚀严重，可能造成废气外泄，给环境造成污染</v>
      </c>
      <c r="E133" s="19" t="s">
        <v>750</v>
      </c>
      <c r="F133" s="23" t="s">
        <v>227</v>
      </c>
      <c r="G133" s="21" t="s">
        <v>43</v>
      </c>
      <c r="H133" s="19" t="s">
        <v>44</v>
      </c>
      <c r="I133" s="19" t="s">
        <v>129</v>
      </c>
      <c r="J133" s="19" t="s">
        <v>64</v>
      </c>
      <c r="K133" s="19"/>
      <c r="L133" s="19"/>
      <c r="M133" s="19" t="s">
        <v>66</v>
      </c>
      <c r="N133" s="19" t="s">
        <v>751</v>
      </c>
      <c r="O133" s="19"/>
      <c r="P133" s="19"/>
      <c r="Q133" s="19"/>
      <c r="R133" s="19" t="s">
        <v>752</v>
      </c>
      <c r="S133" s="19" t="s">
        <v>721</v>
      </c>
      <c r="T133" s="19" t="s">
        <v>392</v>
      </c>
      <c r="U133" s="19" t="s">
        <v>94</v>
      </c>
      <c r="V133" s="19" t="s">
        <v>105</v>
      </c>
      <c r="W133" s="19" t="s">
        <v>96</v>
      </c>
      <c r="X133" s="19"/>
      <c r="Y133" s="19"/>
      <c r="Z133" s="19"/>
      <c r="AA133" s="19">
        <v>0</v>
      </c>
      <c r="AB133" s="19"/>
      <c r="AC133" s="19" t="s">
        <v>233</v>
      </c>
      <c r="AD133" s="19"/>
      <c r="AE133" s="19"/>
      <c r="AF133" s="19"/>
    </row>
    <row r="134" spans="1:34">
      <c r="A134" s="19">
        <v>128</v>
      </c>
      <c r="B134" s="19" t="s">
        <v>678</v>
      </c>
      <c r="C134" s="19" t="s">
        <v>484</v>
      </c>
      <c r="D134" s="19" t="str">
        <f>HYPERLINK("http://henontech.com/fieldsafety/harzard/harzard_show.php?rid=2121&amp;url=harzardrecs.php","高压氨水管线插入集气道吹扫集气道，因插口大，用岩棉堵塞。操作工在清理上升管时，因集气道压力突然增高，造成岩棉松动，致使煤气泄露，操作工吸入煤气，中毒晕倒，头部着地摔倒在炉面上。")</f>
        <v>高压氨水管线插入集气道吹扫集气道，因插口大，用岩棉堵塞。操作工在清理上升管时，因集气道压力突然增高，造成岩棉松动，致使煤气泄露，操作工吸入煤气，中毒晕倒，头部着地摔倒在炉面上。</v>
      </c>
      <c r="E134" s="19" t="s">
        <v>753</v>
      </c>
      <c r="F134" s="20" t="s">
        <v>42</v>
      </c>
      <c r="G134" s="21" t="s">
        <v>43</v>
      </c>
      <c r="H134" s="19" t="s">
        <v>44</v>
      </c>
      <c r="I134" s="19" t="s">
        <v>205</v>
      </c>
      <c r="J134" s="19" t="s">
        <v>64</v>
      </c>
      <c r="K134" s="19" t="s">
        <v>46</v>
      </c>
      <c r="L134" s="19" t="s">
        <v>754</v>
      </c>
      <c r="M134" s="19" t="s">
        <v>49</v>
      </c>
      <c r="N134" s="19" t="s">
        <v>755</v>
      </c>
      <c r="O134" s="19" t="s">
        <v>49</v>
      </c>
      <c r="P134" s="19" t="s">
        <v>479</v>
      </c>
      <c r="Q134" s="19" t="s">
        <v>735</v>
      </c>
      <c r="R134" s="19" t="s">
        <v>756</v>
      </c>
      <c r="S134" s="19"/>
      <c r="T134" s="19" t="s">
        <v>53</v>
      </c>
      <c r="U134" s="19" t="s">
        <v>116</v>
      </c>
      <c r="V134" s="19" t="s">
        <v>55</v>
      </c>
      <c r="W134" s="19" t="s">
        <v>117</v>
      </c>
      <c r="X134" s="19" t="s">
        <v>150</v>
      </c>
      <c r="Y134" s="19"/>
      <c r="Z134" s="19" t="s">
        <v>757</v>
      </c>
      <c r="AA134" s="19">
        <v>2</v>
      </c>
      <c r="AB134" s="19">
        <v>2</v>
      </c>
      <c r="AC134" s="19" t="s">
        <v>59</v>
      </c>
      <c r="AD134" s="19" t="s">
        <v>479</v>
      </c>
      <c r="AE134" s="19" t="s">
        <v>463</v>
      </c>
      <c r="AF134" s="19" t="s">
        <v>758</v>
      </c>
    </row>
    <row r="135" spans="1:34">
      <c r="A135" s="19"/>
      <c r="B135" s="19"/>
      <c r="C135" s="19"/>
      <c r="D135" s="19" t="str">
        <f>HYPERLINK("http://henontech.com/fieldsafety/harzard/harzard_show.php?rid=2121&amp;url=harzardrecs.php","高压氨水管线插入集气道吹扫集气道，因高压氨水管及固定氨水管的横管高于平台，操作工行走时不注意绊倒，摔倒在顺水槽上，造成面部摔伤。")</f>
        <v>高压氨水管线插入集气道吹扫集气道，因高压氨水管及固定氨水管的横管高于平台，操作工行走时不注意绊倒，摔倒在顺水槽上，造成面部摔伤。</v>
      </c>
      <c r="E135" s="19" t="s">
        <v>759</v>
      </c>
      <c r="F135" s="19"/>
      <c r="G135" s="19"/>
      <c r="H135" s="19"/>
      <c r="I135" s="19"/>
      <c r="J135" s="19" t="s">
        <v>64</v>
      </c>
      <c r="K135" s="19" t="s">
        <v>46</v>
      </c>
      <c r="L135" s="19" t="s">
        <v>754</v>
      </c>
      <c r="M135" s="19"/>
      <c r="N135" s="19"/>
      <c r="O135" s="19"/>
      <c r="P135" s="19"/>
      <c r="Q135" s="19"/>
      <c r="R135" s="19"/>
      <c r="S135" s="19"/>
      <c r="T135" s="19" t="s">
        <v>53</v>
      </c>
      <c r="U135" s="19" t="s">
        <v>54</v>
      </c>
      <c r="V135" s="19" t="s">
        <v>55</v>
      </c>
      <c r="W135" s="19" t="s">
        <v>56</v>
      </c>
      <c r="X135" s="19"/>
      <c r="Y135" s="19"/>
      <c r="Z135" s="19"/>
      <c r="AA135" s="19"/>
      <c r="AB135" s="19"/>
      <c r="AC135" s="19"/>
      <c r="AD135" s="19"/>
      <c r="AE135" s="19"/>
      <c r="AF135" s="19"/>
    </row>
    <row r="136" spans="1:34">
      <c r="A136" s="19">
        <v>129</v>
      </c>
      <c r="B136" s="19" t="s">
        <v>678</v>
      </c>
      <c r="C136" s="19" t="s">
        <v>188</v>
      </c>
      <c r="D136" s="19" t="str">
        <f>HYPERLINK("http://henontech.com/fieldsafety/harzard/harzard_show.php?rid=2122&amp;url=harzardrecs.php","手持切割机没有防护罩，一名工人在使用切割机作业时切割片破损，切割片碎片划伤工人手臂.")</f>
        <v>手持切割机没有防护罩，一名工人在使用切割机作业时切割片破损，切割片碎片划伤工人手臂.</v>
      </c>
      <c r="E136" s="19" t="s">
        <v>760</v>
      </c>
      <c r="F136" s="23" t="s">
        <v>227</v>
      </c>
      <c r="G136" s="21" t="s">
        <v>43</v>
      </c>
      <c r="H136" s="19" t="s">
        <v>44</v>
      </c>
      <c r="I136" s="19" t="s">
        <v>761</v>
      </c>
      <c r="J136" s="19" t="s">
        <v>308</v>
      </c>
      <c r="K136" s="19" t="s">
        <v>79</v>
      </c>
      <c r="L136" s="19"/>
      <c r="M136" s="19" t="s">
        <v>66</v>
      </c>
      <c r="N136" s="19" t="s">
        <v>617</v>
      </c>
      <c r="O136" s="19"/>
      <c r="P136" s="19"/>
      <c r="Q136" s="19"/>
      <c r="R136" s="19" t="s">
        <v>762</v>
      </c>
      <c r="S136" s="19" t="s">
        <v>763</v>
      </c>
      <c r="T136" s="19" t="s">
        <v>53</v>
      </c>
      <c r="U136" s="19" t="s">
        <v>54</v>
      </c>
      <c r="V136" s="19" t="s">
        <v>55</v>
      </c>
      <c r="W136" s="19" t="s">
        <v>56</v>
      </c>
      <c r="X136" s="19"/>
      <c r="Y136" s="19"/>
      <c r="Z136" s="19"/>
      <c r="AA136" s="19">
        <v>0</v>
      </c>
      <c r="AB136" s="19"/>
      <c r="AC136" s="19" t="s">
        <v>233</v>
      </c>
      <c r="AD136" s="19"/>
      <c r="AE136" s="19"/>
      <c r="AF136" s="19"/>
    </row>
    <row r="137" spans="1:34">
      <c r="A137" s="19">
        <v>130</v>
      </c>
      <c r="B137" s="19" t="s">
        <v>764</v>
      </c>
      <c r="C137" s="19" t="s">
        <v>427</v>
      </c>
      <c r="D137" s="19" t="str">
        <f>HYPERLINK("http://henontech.com/fieldsafety/harzard/harzard_show.php?rid=2123&amp;url=harzardrecs.php","水加热器爬梯上悬挂旧包温铝皮，由于风大铝皮坠落到一名巡检人员脸部，造成脸部划破流血事故。")</f>
        <v>水加热器爬梯上悬挂旧包温铝皮，由于风大铝皮坠落到一名巡检人员脸部，造成脸部划破流血事故。</v>
      </c>
      <c r="E137" s="19" t="s">
        <v>765</v>
      </c>
      <c r="F137" s="20" t="s">
        <v>42</v>
      </c>
      <c r="G137" s="21" t="s">
        <v>43</v>
      </c>
      <c r="H137" s="19" t="s">
        <v>44</v>
      </c>
      <c r="I137" s="19" t="s">
        <v>129</v>
      </c>
      <c r="J137" s="19"/>
      <c r="K137" s="19" t="s">
        <v>79</v>
      </c>
      <c r="L137" s="19"/>
      <c r="M137" s="19" t="s">
        <v>146</v>
      </c>
      <c r="N137" s="19" t="s">
        <v>766</v>
      </c>
      <c r="O137" s="19" t="s">
        <v>146</v>
      </c>
      <c r="P137" s="19" t="s">
        <v>767</v>
      </c>
      <c r="Q137" s="19" t="s">
        <v>725</v>
      </c>
      <c r="R137" s="19" t="s">
        <v>768</v>
      </c>
      <c r="S137" s="19"/>
      <c r="T137" s="19" t="s">
        <v>53</v>
      </c>
      <c r="U137" s="19" t="s">
        <v>71</v>
      </c>
      <c r="V137" s="19" t="s">
        <v>193</v>
      </c>
      <c r="W137" s="19" t="s">
        <v>96</v>
      </c>
      <c r="X137" s="19" t="s">
        <v>570</v>
      </c>
      <c r="Y137" s="19" t="s">
        <v>570</v>
      </c>
      <c r="Z137" s="19" t="s">
        <v>769</v>
      </c>
      <c r="AA137" s="19">
        <v>1</v>
      </c>
      <c r="AB137" s="19">
        <v>1</v>
      </c>
      <c r="AC137" s="19" t="s">
        <v>59</v>
      </c>
      <c r="AD137" s="19" t="s">
        <v>767</v>
      </c>
      <c r="AE137" s="19" t="s">
        <v>139</v>
      </c>
      <c r="AF137" s="19"/>
    </row>
    <row r="138" spans="1:34">
      <c r="A138" s="19">
        <v>131</v>
      </c>
      <c r="B138" s="19" t="s">
        <v>764</v>
      </c>
      <c r="C138" s="19" t="s">
        <v>441</v>
      </c>
      <c r="D138" s="19" t="str">
        <f>HYPERLINK("http://henontech.com/fieldsafety/harzard/harzard_show.php?rid=2124&amp;url=harzardrecs.php","母液槽爬梯上方回流液管道太低，查看母液液位上爬梯时，若精力不集中会碰到头部，无损伤，正常上班")</f>
        <v>母液槽爬梯上方回流液管道太低，查看母液液位上爬梯时，若精力不集中会碰到头部，无损伤，正常上班</v>
      </c>
      <c r="E138" s="19" t="s">
        <v>770</v>
      </c>
      <c r="F138" s="20" t="s">
        <v>42</v>
      </c>
      <c r="G138" s="21" t="s">
        <v>43</v>
      </c>
      <c r="H138" s="19" t="s">
        <v>44</v>
      </c>
      <c r="I138" s="19" t="s">
        <v>129</v>
      </c>
      <c r="J138" s="19" t="s">
        <v>64</v>
      </c>
      <c r="K138" s="19" t="s">
        <v>46</v>
      </c>
      <c r="L138" s="19"/>
      <c r="M138" s="19" t="s">
        <v>66</v>
      </c>
      <c r="N138" s="19" t="s">
        <v>617</v>
      </c>
      <c r="O138" s="19" t="s">
        <v>66</v>
      </c>
      <c r="P138" s="19" t="s">
        <v>68</v>
      </c>
      <c r="Q138" s="19" t="s">
        <v>735</v>
      </c>
      <c r="R138" s="19" t="s">
        <v>771</v>
      </c>
      <c r="S138" s="19" t="s">
        <v>721</v>
      </c>
      <c r="T138" s="19" t="s">
        <v>53</v>
      </c>
      <c r="U138" s="19" t="s">
        <v>94</v>
      </c>
      <c r="V138" s="19" t="s">
        <v>95</v>
      </c>
      <c r="W138" s="19" t="s">
        <v>96</v>
      </c>
      <c r="X138" s="19"/>
      <c r="Y138" s="19"/>
      <c r="Z138" s="19" t="s">
        <v>604</v>
      </c>
      <c r="AA138" s="19">
        <v>1</v>
      </c>
      <c r="AB138" s="19">
        <v>1</v>
      </c>
      <c r="AC138" s="19" t="s">
        <v>59</v>
      </c>
      <c r="AD138" s="19" t="s">
        <v>68</v>
      </c>
      <c r="AE138" s="19" t="s">
        <v>139</v>
      </c>
      <c r="AF138" s="19"/>
    </row>
    <row r="139" spans="1:34">
      <c r="A139" s="19">
        <v>132</v>
      </c>
      <c r="B139" s="19" t="s">
        <v>764</v>
      </c>
      <c r="C139" s="19" t="s">
        <v>365</v>
      </c>
      <c r="D139" s="19" t="str">
        <f>HYPERLINK("http://henontech.com/fieldsafety/harzard/harzard_show.php?rid=2125&amp;url=harzardrecs.php","一工人在距地面5米高处翻新宣传牌时，未佩带安全帽，未挂安全带，行走时不慎踩空摔落地面，造成右手臂骨折，送医住院十天，休养三月")</f>
        <v>一工人在距地面5米高处翻新宣传牌时，未佩带安全帽，未挂安全带，行走时不慎踩空摔落地面，造成右手臂骨折，送医住院十天，休养三月</v>
      </c>
      <c r="E139" s="19" t="s">
        <v>772</v>
      </c>
      <c r="F139" s="23" t="s">
        <v>227</v>
      </c>
      <c r="G139" s="21" t="s">
        <v>43</v>
      </c>
      <c r="H139" s="19" t="s">
        <v>44</v>
      </c>
      <c r="I139" s="19"/>
      <c r="J139" s="19" t="s">
        <v>45</v>
      </c>
      <c r="K139" s="19" t="s">
        <v>46</v>
      </c>
      <c r="L139" s="19"/>
      <c r="M139" s="19" t="s">
        <v>66</v>
      </c>
      <c r="N139" s="19" t="s">
        <v>617</v>
      </c>
      <c r="O139" s="19"/>
      <c r="P139" s="19"/>
      <c r="Q139" s="19"/>
      <c r="R139" s="19" t="s">
        <v>773</v>
      </c>
      <c r="S139" s="19" t="s">
        <v>774</v>
      </c>
      <c r="T139" s="19" t="s">
        <v>53</v>
      </c>
      <c r="U139" s="19" t="s">
        <v>54</v>
      </c>
      <c r="V139" s="19" t="s">
        <v>55</v>
      </c>
      <c r="W139" s="19" t="s">
        <v>56</v>
      </c>
      <c r="X139" s="19"/>
      <c r="Y139" s="19"/>
      <c r="Z139" s="19"/>
      <c r="AA139" s="19">
        <v>0</v>
      </c>
      <c r="AB139" s="19"/>
      <c r="AC139" s="19" t="s">
        <v>233</v>
      </c>
      <c r="AD139" s="19"/>
      <c r="AE139" s="19"/>
      <c r="AF139" s="19"/>
    </row>
    <row r="140" spans="1:34">
      <c r="A140" s="19">
        <v>133</v>
      </c>
      <c r="B140" s="19" t="s">
        <v>764</v>
      </c>
      <c r="C140" s="19" t="s">
        <v>62</v>
      </c>
      <c r="D140" s="19" t="str">
        <f>HYPERLINK("http://henontech.com/fieldsafety/harzard/harzard_show.php?rid=2127&amp;url=harzardrecs.php","化产车间北风机岗位电捕操作平台一处护栏开焊，已明显脱离平台，导致护栏松动并且空隙变大，假如操作人员从此处经过时，有可能重心不稳，脚部踩空，导致人员右腿擦伤，去医务室做简单处理后继续工作。")</f>
        <v>化产车间北风机岗位电捕操作平台一处护栏开焊，已明显脱离平台，导致护栏松动并且空隙变大，假如操作人员从此处经过时，有可能重心不稳，脚部踩空，导致人员右腿擦伤，去医务室做简单处理后继续工作。</v>
      </c>
      <c r="E140" s="19" t="s">
        <v>775</v>
      </c>
      <c r="F140" s="20" t="s">
        <v>42</v>
      </c>
      <c r="G140" s="21" t="s">
        <v>43</v>
      </c>
      <c r="H140" s="19" t="s">
        <v>44</v>
      </c>
      <c r="I140" s="19" t="s">
        <v>78</v>
      </c>
      <c r="J140" s="19" t="s">
        <v>64</v>
      </c>
      <c r="K140" s="19" t="s">
        <v>46</v>
      </c>
      <c r="L140" s="19" t="s">
        <v>65</v>
      </c>
      <c r="M140" s="19" t="s">
        <v>66</v>
      </c>
      <c r="N140" s="19" t="s">
        <v>776</v>
      </c>
      <c r="O140" s="19" t="s">
        <v>66</v>
      </c>
      <c r="P140" s="19" t="s">
        <v>68</v>
      </c>
      <c r="Q140" s="19" t="s">
        <v>725</v>
      </c>
      <c r="R140" s="19" t="s">
        <v>777</v>
      </c>
      <c r="S140" s="19"/>
      <c r="T140" s="19" t="s">
        <v>53</v>
      </c>
      <c r="U140" s="19" t="s">
        <v>71</v>
      </c>
      <c r="V140" s="19" t="s">
        <v>105</v>
      </c>
      <c r="W140" s="19" t="s">
        <v>96</v>
      </c>
      <c r="X140" s="19"/>
      <c r="Y140" s="19"/>
      <c r="Z140" s="19" t="s">
        <v>778</v>
      </c>
      <c r="AA140" s="19">
        <v>1</v>
      </c>
      <c r="AB140" s="19">
        <v>1</v>
      </c>
      <c r="AC140" s="19" t="s">
        <v>59</v>
      </c>
      <c r="AD140" s="19" t="s">
        <v>68</v>
      </c>
      <c r="AE140" s="19" t="s">
        <v>214</v>
      </c>
      <c r="AF140" s="19"/>
    </row>
    <row r="141" spans="1:34" customHeight="1" ht="42">
      <c r="A141" s="19">
        <v>134</v>
      </c>
      <c r="B141" s="19" t="s">
        <v>764</v>
      </c>
      <c r="C141" s="19" t="s">
        <v>457</v>
      </c>
      <c r="D141" s="19" t="str">
        <f>HYPERLINK("http://henontech.com/fieldsafety/harzard/harzard_show.php?rid=2128&amp;url=harzardrecs.php","地下室巡检人员，巡检过程中由于视线不好被清水软皮管绊倒磕到肩膀，造成肩膀骨折！")</f>
        <v>地下室巡检人员，巡检过程中由于视线不好被清水软皮管绊倒磕到肩膀，造成肩膀骨折！</v>
      </c>
      <c r="E141" s="19" t="s">
        <v>779</v>
      </c>
      <c r="F141" s="20" t="s">
        <v>42</v>
      </c>
      <c r="G141" s="22" t="s">
        <v>111</v>
      </c>
      <c r="H141" s="19" t="s">
        <v>44</v>
      </c>
      <c r="I141" s="19" t="s">
        <v>78</v>
      </c>
      <c r="J141" s="19" t="s">
        <v>64</v>
      </c>
      <c r="K141" s="19" t="s">
        <v>88</v>
      </c>
      <c r="L141" s="19" t="s">
        <v>754</v>
      </c>
      <c r="M141" s="19" t="s">
        <v>49</v>
      </c>
      <c r="N141" s="19" t="s">
        <v>780</v>
      </c>
      <c r="O141" s="19" t="s">
        <v>49</v>
      </c>
      <c r="P141" s="19" t="s">
        <v>499</v>
      </c>
      <c r="Q141" s="19" t="s">
        <v>735</v>
      </c>
      <c r="R141" s="19" t="s">
        <v>781</v>
      </c>
      <c r="S141" s="19"/>
      <c r="T141" s="19" t="s">
        <v>53</v>
      </c>
      <c r="U141" s="19" t="s">
        <v>54</v>
      </c>
      <c r="V141" s="19" t="s">
        <v>55</v>
      </c>
      <c r="W141" s="19" t="s">
        <v>56</v>
      </c>
      <c r="X141" s="19" t="s">
        <v>150</v>
      </c>
      <c r="Y141" s="19"/>
      <c r="Z141" s="19" t="s">
        <v>782</v>
      </c>
      <c r="AA141" s="19">
        <v>2</v>
      </c>
      <c r="AB141" s="19">
        <v>2</v>
      </c>
      <c r="AC141" s="19" t="s">
        <v>59</v>
      </c>
      <c r="AD141" s="19" t="s">
        <v>499</v>
      </c>
      <c r="AE141" s="19" t="s">
        <v>182</v>
      </c>
      <c r="AF141" s="19" t="s">
        <v>783</v>
      </c>
    </row>
    <row r="142" spans="1:34" customHeight="1" ht="42">
      <c r="A142" s="19">
        <v>135</v>
      </c>
      <c r="B142" s="19" t="s">
        <v>764</v>
      </c>
      <c r="C142" s="19" t="s">
        <v>707</v>
      </c>
      <c r="D142" s="19" t="str">
        <f>HYPERLINK("http://henontech.com/fieldsafety/harzard/harzard_show.php?rid=2129&amp;url=harzardrecs.php","因废旧铁板未及时清理，直接铺上了新铁板，造成铁板高出地面太多，人员在巡检时，走到此处被绊倒，人员因重心不稳而前倾，造成头部撞击除尘孔盖，人员头部重伤，送医院抢救无效死亡。")</f>
        <v>因废旧铁板未及时清理，直接铺上了新铁板，造成铁板高出地面太多，人员在巡检时，走到此处被绊倒，人员因重心不稳而前倾，造成头部撞击除尘孔盖，人员头部重伤，送医院抢救无效死亡。</v>
      </c>
      <c r="E142" s="19" t="s">
        <v>784</v>
      </c>
      <c r="F142" s="20" t="s">
        <v>42</v>
      </c>
      <c r="G142" s="21" t="s">
        <v>43</v>
      </c>
      <c r="H142" s="19" t="s">
        <v>44</v>
      </c>
      <c r="I142" s="19" t="s">
        <v>205</v>
      </c>
      <c r="J142" s="19" t="s">
        <v>64</v>
      </c>
      <c r="K142" s="19" t="s">
        <v>46</v>
      </c>
      <c r="L142" s="19" t="s">
        <v>228</v>
      </c>
      <c r="M142" s="19" t="s">
        <v>49</v>
      </c>
      <c r="N142" s="19" t="s">
        <v>785</v>
      </c>
      <c r="O142" s="19" t="s">
        <v>49</v>
      </c>
      <c r="P142" s="19" t="s">
        <v>786</v>
      </c>
      <c r="Q142" s="19" t="s">
        <v>735</v>
      </c>
      <c r="R142" s="19" t="s">
        <v>787</v>
      </c>
      <c r="S142" s="19"/>
      <c r="T142" s="19" t="s">
        <v>53</v>
      </c>
      <c r="U142" s="19" t="s">
        <v>116</v>
      </c>
      <c r="V142" s="19" t="s">
        <v>55</v>
      </c>
      <c r="W142" s="19" t="s">
        <v>117</v>
      </c>
      <c r="X142" s="19" t="s">
        <v>150</v>
      </c>
      <c r="Y142" s="19"/>
      <c r="Z142" s="19" t="s">
        <v>788</v>
      </c>
      <c r="AA142" s="19">
        <v>2</v>
      </c>
      <c r="AB142" s="19">
        <v>1</v>
      </c>
      <c r="AC142" s="19" t="s">
        <v>59</v>
      </c>
      <c r="AD142" s="19" t="s">
        <v>786</v>
      </c>
      <c r="AE142" s="19" t="s">
        <v>313</v>
      </c>
      <c r="AF142" s="19" t="s">
        <v>314</v>
      </c>
    </row>
    <row r="143" spans="1:34" customHeight="1" ht="42">
      <c r="A143" s="19">
        <v>136</v>
      </c>
      <c r="B143" s="19" t="s">
        <v>764</v>
      </c>
      <c r="C143" s="19" t="s">
        <v>470</v>
      </c>
      <c r="D143" s="19" t="str">
        <f>HYPERLINK("http://henontech.com/fieldsafety/harzard/harzard_show.php?rid=2130&amp;url=harzardrecs.php","假如一操作工巡检引风机时，因无爬梯需要攀爬，当爬到平台时因没抓牢后仰跌落，头部被铁板边角戳伤送医院抢救。")</f>
        <v>假如一操作工巡检引风机时，因无爬梯需要攀爬，当爬到平台时因没抓牢后仰跌落，头部被铁板边角戳伤送医院抢救。</v>
      </c>
      <c r="E143" s="19" t="s">
        <v>789</v>
      </c>
      <c r="F143" s="20" t="s">
        <v>42</v>
      </c>
      <c r="G143" s="22" t="s">
        <v>111</v>
      </c>
      <c r="H143" s="19" t="s">
        <v>44</v>
      </c>
      <c r="I143" s="19" t="s">
        <v>205</v>
      </c>
      <c r="J143" s="19" t="s">
        <v>64</v>
      </c>
      <c r="K143" s="19" t="s">
        <v>46</v>
      </c>
      <c r="L143" s="19" t="s">
        <v>228</v>
      </c>
      <c r="M143" s="19" t="s">
        <v>49</v>
      </c>
      <c r="N143" s="19" t="s">
        <v>790</v>
      </c>
      <c r="O143" s="19" t="s">
        <v>49</v>
      </c>
      <c r="P143" s="19" t="s">
        <v>460</v>
      </c>
      <c r="Q143" s="19" t="s">
        <v>735</v>
      </c>
      <c r="R143" s="19" t="s">
        <v>317</v>
      </c>
      <c r="S143" s="19"/>
      <c r="T143" s="19" t="s">
        <v>53</v>
      </c>
      <c r="U143" s="19" t="s">
        <v>116</v>
      </c>
      <c r="V143" s="19" t="s">
        <v>105</v>
      </c>
      <c r="W143" s="19" t="s">
        <v>56</v>
      </c>
      <c r="X143" s="19" t="s">
        <v>57</v>
      </c>
      <c r="Y143" s="19"/>
      <c r="Z143" s="19" t="s">
        <v>791</v>
      </c>
      <c r="AA143" s="19">
        <v>2</v>
      </c>
      <c r="AB143" s="19">
        <v>2</v>
      </c>
      <c r="AC143" s="19" t="s">
        <v>59</v>
      </c>
      <c r="AD143" s="19" t="s">
        <v>460</v>
      </c>
      <c r="AE143" s="19" t="s">
        <v>475</v>
      </c>
      <c r="AF143" s="19"/>
    </row>
    <row r="144" spans="1:34">
      <c r="A144" s="19">
        <v>137</v>
      </c>
      <c r="B144" s="19" t="s">
        <v>764</v>
      </c>
      <c r="C144" s="19" t="s">
        <v>49</v>
      </c>
      <c r="D144" s="19" t="str">
        <f>HYPERLINK("http://henontech.com/fieldsafety/harzard/harzard_show.php?rid=2131&amp;url=harzardrecs.php","一名外协人员在拦焦水槽顶部维修时，未按规定使用安全带，导致从7米高处失足坠落地面，送至医院。")</f>
        <v>一名外协人员在拦焦水槽顶部维修时，未按规定使用安全带，导致从7米高处失足坠落地面，送至医院。</v>
      </c>
      <c r="E144" s="19" t="s">
        <v>792</v>
      </c>
      <c r="F144" s="23" t="s">
        <v>227</v>
      </c>
      <c r="G144" s="21" t="s">
        <v>43</v>
      </c>
      <c r="H144" s="19" t="s">
        <v>44</v>
      </c>
      <c r="I144" s="19"/>
      <c r="J144" s="19"/>
      <c r="K144" s="19" t="s">
        <v>46</v>
      </c>
      <c r="L144" s="19" t="s">
        <v>65</v>
      </c>
      <c r="M144" s="19" t="s">
        <v>49</v>
      </c>
      <c r="N144" s="19" t="s">
        <v>793</v>
      </c>
      <c r="O144" s="19"/>
      <c r="P144" s="19"/>
      <c r="Q144" s="19"/>
      <c r="R144" s="19" t="s">
        <v>794</v>
      </c>
      <c r="S144" s="19" t="s">
        <v>795</v>
      </c>
      <c r="T144" s="19" t="s">
        <v>53</v>
      </c>
      <c r="U144" s="19" t="s">
        <v>54</v>
      </c>
      <c r="V144" s="19" t="s">
        <v>95</v>
      </c>
      <c r="W144" s="19" t="s">
        <v>117</v>
      </c>
      <c r="X144" s="19"/>
      <c r="Y144" s="19"/>
      <c r="Z144" s="19"/>
      <c r="AA144" s="19">
        <v>0</v>
      </c>
      <c r="AB144" s="19"/>
      <c r="AC144" s="19" t="s">
        <v>233</v>
      </c>
      <c r="AD144" s="19"/>
      <c r="AE144" s="19"/>
      <c r="AF144" s="19"/>
    </row>
    <row r="145" spans="1:34" customHeight="1" ht="42">
      <c r="A145" s="19">
        <v>138</v>
      </c>
      <c r="B145" s="19" t="s">
        <v>764</v>
      </c>
      <c r="C145" s="19" t="s">
        <v>470</v>
      </c>
      <c r="D145" s="19" t="str">
        <f>HYPERLINK("http://henontech.com/fieldsafety/harzard/harzard_show.php?rid=2132&amp;url=harzardrecs.php","5.5米脱硫脱硝，高压风机平台无防护栏，一名操作人员在巡检时，从平台跌落，头部与铁器撞击昏迷不醒，送医院抢救。")</f>
        <v>5.5米脱硫脱硝，高压风机平台无防护栏，一名操作人员在巡检时，从平台跌落，头部与铁器撞击昏迷不醒，送医院抢救。</v>
      </c>
      <c r="E145" s="19" t="s">
        <v>796</v>
      </c>
      <c r="F145" s="20" t="s">
        <v>42</v>
      </c>
      <c r="G145" s="21" t="s">
        <v>43</v>
      </c>
      <c r="H145" s="19" t="s">
        <v>44</v>
      </c>
      <c r="I145" s="19" t="s">
        <v>205</v>
      </c>
      <c r="J145" s="19" t="s">
        <v>45</v>
      </c>
      <c r="K145" s="19" t="s">
        <v>46</v>
      </c>
      <c r="L145" s="19" t="s">
        <v>662</v>
      </c>
      <c r="M145" s="19" t="s">
        <v>49</v>
      </c>
      <c r="N145" s="19" t="s">
        <v>797</v>
      </c>
      <c r="O145" s="19" t="s">
        <v>49</v>
      </c>
      <c r="P145" s="19" t="s">
        <v>460</v>
      </c>
      <c r="Q145" s="19" t="s">
        <v>735</v>
      </c>
      <c r="R145" s="19" t="s">
        <v>40</v>
      </c>
      <c r="S145" s="19"/>
      <c r="T145" s="19" t="s">
        <v>53</v>
      </c>
      <c r="U145" s="19" t="s">
        <v>116</v>
      </c>
      <c r="V145" s="19" t="s">
        <v>105</v>
      </c>
      <c r="W145" s="19" t="s">
        <v>56</v>
      </c>
      <c r="X145" s="19" t="s">
        <v>57</v>
      </c>
      <c r="Y145" s="19"/>
      <c r="Z145" s="19" t="s">
        <v>798</v>
      </c>
      <c r="AA145" s="19">
        <v>2</v>
      </c>
      <c r="AB145" s="19">
        <v>2</v>
      </c>
      <c r="AC145" s="19" t="s">
        <v>59</v>
      </c>
      <c r="AD145" s="19" t="s">
        <v>460</v>
      </c>
      <c r="AE145" s="19" t="s">
        <v>463</v>
      </c>
      <c r="AF145" s="19"/>
    </row>
    <row r="146" spans="1:34">
      <c r="A146" s="19">
        <v>139</v>
      </c>
      <c r="B146" s="19" t="s">
        <v>764</v>
      </c>
      <c r="C146" s="19" t="s">
        <v>470</v>
      </c>
      <c r="D146" s="19" t="str">
        <f>HYPERLINK("http://henontech.com/fieldsafety/harzard/harzard_show.php?rid=2133&amp;url=harzardrecs.php","推焦车三层平台腐蚀严重")</f>
        <v>推焦车三层平台腐蚀严重</v>
      </c>
      <c r="E146" s="19" t="s">
        <v>799</v>
      </c>
      <c r="F146" s="23" t="s">
        <v>227</v>
      </c>
      <c r="G146" s="21" t="s">
        <v>43</v>
      </c>
      <c r="H146" s="19" t="s">
        <v>44</v>
      </c>
      <c r="I146" s="19" t="s">
        <v>78</v>
      </c>
      <c r="J146" s="19" t="s">
        <v>64</v>
      </c>
      <c r="K146" s="19" t="s">
        <v>46</v>
      </c>
      <c r="L146" s="19" t="s">
        <v>662</v>
      </c>
      <c r="M146" s="19" t="s">
        <v>49</v>
      </c>
      <c r="N146" s="19" t="s">
        <v>800</v>
      </c>
      <c r="O146" s="19"/>
      <c r="P146" s="19"/>
      <c r="Q146" s="19"/>
      <c r="R146" s="19" t="s">
        <v>801</v>
      </c>
      <c r="S146" s="19" t="s">
        <v>802</v>
      </c>
      <c r="T146" s="19" t="s">
        <v>53</v>
      </c>
      <c r="U146" s="19" t="s">
        <v>54</v>
      </c>
      <c r="V146" s="19" t="s">
        <v>55</v>
      </c>
      <c r="W146" s="19" t="s">
        <v>56</v>
      </c>
      <c r="X146" s="19"/>
      <c r="Y146" s="19"/>
      <c r="Z146" s="19"/>
      <c r="AA146" s="19">
        <v>0</v>
      </c>
      <c r="AB146" s="19"/>
      <c r="AC146" s="19" t="s">
        <v>233</v>
      </c>
      <c r="AD146" s="19"/>
      <c r="AE146" s="19"/>
      <c r="AF146" s="19"/>
    </row>
    <row r="147" spans="1:34" customHeight="1" ht="42">
      <c r="A147" s="19">
        <v>140</v>
      </c>
      <c r="B147" s="19" t="s">
        <v>764</v>
      </c>
      <c r="C147" s="19" t="s">
        <v>49</v>
      </c>
      <c r="D147" s="19" t="str">
        <f>HYPERLINK("http://henontech.com/fieldsafety/harzard/harzard_show.php?rid=2134&amp;url=harzardrecs.php","5米5焦炉推焦操作工，在出焦操作过程中，被集气管道管托掉落砸中头部，当场昏迷，送医抢救。")</f>
        <v>5米5焦炉推焦操作工，在出焦操作过程中，被集气管道管托掉落砸中头部，当场昏迷，送医抢救。</v>
      </c>
      <c r="E147" s="19" t="s">
        <v>803</v>
      </c>
      <c r="F147" s="20" t="s">
        <v>42</v>
      </c>
      <c r="G147" s="22" t="s">
        <v>111</v>
      </c>
      <c r="H147" s="19" t="s">
        <v>44</v>
      </c>
      <c r="I147" s="19" t="s">
        <v>78</v>
      </c>
      <c r="J147" s="19" t="s">
        <v>64</v>
      </c>
      <c r="K147" s="19" t="s">
        <v>302</v>
      </c>
      <c r="L147" s="19"/>
      <c r="M147" s="19" t="s">
        <v>49</v>
      </c>
      <c r="N147" s="19" t="s">
        <v>804</v>
      </c>
      <c r="O147" s="19" t="s">
        <v>49</v>
      </c>
      <c r="P147" s="19" t="s">
        <v>460</v>
      </c>
      <c r="Q147" s="19" t="s">
        <v>735</v>
      </c>
      <c r="R147" s="19" t="s">
        <v>805</v>
      </c>
      <c r="S147" s="19"/>
      <c r="T147" s="19" t="s">
        <v>53</v>
      </c>
      <c r="U147" s="19" t="s">
        <v>116</v>
      </c>
      <c r="V147" s="19" t="s">
        <v>55</v>
      </c>
      <c r="W147" s="19" t="s">
        <v>117</v>
      </c>
      <c r="X147" s="19" t="s">
        <v>57</v>
      </c>
      <c r="Y147" s="19"/>
      <c r="Z147" s="19" t="s">
        <v>806</v>
      </c>
      <c r="AA147" s="19">
        <v>2</v>
      </c>
      <c r="AB147" s="19">
        <v>2</v>
      </c>
      <c r="AC147" s="19" t="s">
        <v>59</v>
      </c>
      <c r="AD147" s="19" t="s">
        <v>460</v>
      </c>
      <c r="AE147" s="19" t="s">
        <v>463</v>
      </c>
      <c r="AF147" s="19"/>
    </row>
    <row r="148" spans="1:34">
      <c r="A148" s="19">
        <v>141</v>
      </c>
      <c r="B148" s="19" t="s">
        <v>652</v>
      </c>
      <c r="C148" s="19" t="s">
        <v>49</v>
      </c>
      <c r="D148" s="19" t="str">
        <f>HYPERLINK("http://henontech.com/fieldsafety/harzard/harzard_show.php?rid=2135&amp;url=harzardrecs.php","一名电仪人员在除尘管道上更换热电欧，因安全带年久失效，加之脚底打滑，造成人员高空坠落。")</f>
        <v>一名电仪人员在除尘管道上更换热电欧，因安全带年久失效，加之脚底打滑，造成人员高空坠落。</v>
      </c>
      <c r="E148" s="19" t="s">
        <v>807</v>
      </c>
      <c r="F148" s="23" t="s">
        <v>227</v>
      </c>
      <c r="G148" s="21" t="s">
        <v>43</v>
      </c>
      <c r="H148" s="19" t="s">
        <v>44</v>
      </c>
      <c r="I148" s="19" t="s">
        <v>205</v>
      </c>
      <c r="J148" s="19" t="s">
        <v>64</v>
      </c>
      <c r="K148" s="19" t="s">
        <v>46</v>
      </c>
      <c r="L148" s="19"/>
      <c r="M148" s="19" t="s">
        <v>49</v>
      </c>
      <c r="N148" s="19" t="s">
        <v>808</v>
      </c>
      <c r="O148" s="19"/>
      <c r="P148" s="19"/>
      <c r="Q148" s="19"/>
      <c r="R148" s="19" t="s">
        <v>809</v>
      </c>
      <c r="S148" s="19" t="s">
        <v>810</v>
      </c>
      <c r="T148" s="19" t="s">
        <v>53</v>
      </c>
      <c r="U148" s="19" t="s">
        <v>116</v>
      </c>
      <c r="V148" s="19" t="s">
        <v>55</v>
      </c>
      <c r="W148" s="19" t="s">
        <v>117</v>
      </c>
      <c r="X148" s="19"/>
      <c r="Y148" s="19"/>
      <c r="Z148" s="19"/>
      <c r="AA148" s="19">
        <v>0</v>
      </c>
      <c r="AB148" s="19"/>
      <c r="AC148" s="19" t="s">
        <v>233</v>
      </c>
      <c r="AD148" s="19"/>
      <c r="AE148" s="19"/>
      <c r="AF148" s="19"/>
    </row>
    <row r="149" spans="1:34">
      <c r="A149" s="19">
        <v>142</v>
      </c>
      <c r="B149" s="19" t="s">
        <v>652</v>
      </c>
      <c r="C149" s="19" t="s">
        <v>641</v>
      </c>
      <c r="D149" s="19" t="str">
        <f>HYPERLINK("http://henontech.com/fieldsafety/harzard/harzard_show.php?rid=2136&amp;url=harzardrecs.php","护栏栏杆固定位置开焊，1人作业中不慎跌落，因正确佩戴安全带，仅造成左臂扭伤，入院治疗7天。")</f>
        <v>护栏栏杆固定位置开焊，1人作业中不慎跌落，因正确佩戴安全带，仅造成左臂扭伤，入院治疗7天。</v>
      </c>
      <c r="E149" s="19" t="s">
        <v>811</v>
      </c>
      <c r="F149" s="23" t="s">
        <v>227</v>
      </c>
      <c r="G149" s="21" t="s">
        <v>43</v>
      </c>
      <c r="H149" s="19" t="s">
        <v>44</v>
      </c>
      <c r="I149" s="19" t="s">
        <v>129</v>
      </c>
      <c r="J149" s="19" t="s">
        <v>64</v>
      </c>
      <c r="K149" s="19" t="s">
        <v>46</v>
      </c>
      <c r="L149" s="19" t="s">
        <v>65</v>
      </c>
      <c r="M149" s="19" t="s">
        <v>146</v>
      </c>
      <c r="N149" s="19" t="s">
        <v>812</v>
      </c>
      <c r="O149" s="19"/>
      <c r="P149" s="19"/>
      <c r="Q149" s="19"/>
      <c r="R149" s="19" t="s">
        <v>813</v>
      </c>
      <c r="S149" s="19" t="s">
        <v>814</v>
      </c>
      <c r="T149" s="19" t="s">
        <v>53</v>
      </c>
      <c r="U149" s="19" t="s">
        <v>71</v>
      </c>
      <c r="V149" s="19" t="s">
        <v>55</v>
      </c>
      <c r="W149" s="19" t="s">
        <v>72</v>
      </c>
      <c r="X149" s="19"/>
      <c r="Y149" s="19"/>
      <c r="Z149" s="19"/>
      <c r="AA149" s="19">
        <v>0</v>
      </c>
      <c r="AB149" s="19"/>
      <c r="AC149" s="19" t="s">
        <v>233</v>
      </c>
      <c r="AD149" s="19"/>
      <c r="AE149" s="19"/>
      <c r="AF149" s="19"/>
    </row>
    <row r="150" spans="1:34">
      <c r="A150" s="19">
        <v>143</v>
      </c>
      <c r="B150" s="19" t="s">
        <v>652</v>
      </c>
      <c r="C150" s="19" t="s">
        <v>641</v>
      </c>
      <c r="D150" s="19" t="str">
        <f>HYPERLINK("http://henontech.com/fieldsafety/harzard/harzard_show.php?rid=2137&amp;url=harzardrecs.php","平台护栏栏杆开焊，一人作业中未系安全带，失足坠落，造成头部重伤，送医院抢救。")</f>
        <v>平台护栏栏杆开焊，一人作业中未系安全带，失足坠落，造成头部重伤，送医院抢救。</v>
      </c>
      <c r="E150" s="19" t="s">
        <v>815</v>
      </c>
      <c r="F150" s="20" t="s">
        <v>42</v>
      </c>
      <c r="G150" s="21" t="s">
        <v>43</v>
      </c>
      <c r="H150" s="19" t="s">
        <v>44</v>
      </c>
      <c r="I150" s="19" t="s">
        <v>205</v>
      </c>
      <c r="J150" s="19" t="s">
        <v>64</v>
      </c>
      <c r="K150" s="19" t="s">
        <v>46</v>
      </c>
      <c r="L150" s="19" t="s">
        <v>65</v>
      </c>
      <c r="M150" s="19" t="s">
        <v>146</v>
      </c>
      <c r="N150" s="19" t="s">
        <v>812</v>
      </c>
      <c r="O150" s="19" t="s">
        <v>146</v>
      </c>
      <c r="P150" s="19" t="s">
        <v>767</v>
      </c>
      <c r="Q150" s="19" t="s">
        <v>735</v>
      </c>
      <c r="R150" s="19" t="s">
        <v>816</v>
      </c>
      <c r="S150" s="19"/>
      <c r="T150" s="19" t="s">
        <v>53</v>
      </c>
      <c r="U150" s="19" t="s">
        <v>116</v>
      </c>
      <c r="V150" s="19" t="s">
        <v>55</v>
      </c>
      <c r="W150" s="19" t="s">
        <v>117</v>
      </c>
      <c r="X150" s="19" t="s">
        <v>570</v>
      </c>
      <c r="Y150" s="19" t="s">
        <v>570</v>
      </c>
      <c r="Z150" s="19" t="s">
        <v>817</v>
      </c>
      <c r="AA150" s="19">
        <v>1</v>
      </c>
      <c r="AB150" s="19">
        <v>1</v>
      </c>
      <c r="AC150" s="19" t="s">
        <v>59</v>
      </c>
      <c r="AD150" s="19" t="s">
        <v>767</v>
      </c>
      <c r="AE150" s="19" t="s">
        <v>139</v>
      </c>
      <c r="AF150" s="19"/>
    </row>
    <row r="151" spans="1:34" customHeight="1" ht="42">
      <c r="A151" s="19">
        <v>144</v>
      </c>
      <c r="B151" s="19" t="s">
        <v>652</v>
      </c>
      <c r="C151" s="19" t="s">
        <v>306</v>
      </c>
      <c r="D151" s="19" t="str">
        <f>HYPERLINK("http://henontech.com/fieldsafety/harzard/harzard_show.php?rid=2138&amp;url=harzardrecs.php","熄焦罐回水沟盖板未盖严，留有20公分左右的缺口，如果一名职工水熄巡检时未注意脚下，不慎踩空，一条腿掉入滚烫的熄焦水中，简单处理后紧急送医院抢救，诊断为三级烫伤，休养三月。")</f>
        <v>熄焦罐回水沟盖板未盖严，留有20公分左右的缺口，如果一名职工水熄巡检时未注意脚下，不慎踩空，一条腿掉入滚烫的熄焦水中，简单处理后紧急送医院抢救，诊断为三级烫伤，休养三月。</v>
      </c>
      <c r="E151" s="19" t="s">
        <v>818</v>
      </c>
      <c r="F151" s="20" t="s">
        <v>42</v>
      </c>
      <c r="G151" s="21" t="s">
        <v>43</v>
      </c>
      <c r="H151" s="19" t="s">
        <v>44</v>
      </c>
      <c r="I151" s="19" t="s">
        <v>205</v>
      </c>
      <c r="J151" s="19" t="s">
        <v>64</v>
      </c>
      <c r="K151" s="19" t="s">
        <v>46</v>
      </c>
      <c r="L151" s="19" t="s">
        <v>228</v>
      </c>
      <c r="M151" s="19" t="s">
        <v>49</v>
      </c>
      <c r="N151" s="19" t="s">
        <v>819</v>
      </c>
      <c r="O151" s="19" t="s">
        <v>49</v>
      </c>
      <c r="P151" s="19" t="s">
        <v>460</v>
      </c>
      <c r="Q151" s="19" t="s">
        <v>666</v>
      </c>
      <c r="R151" s="19" t="s">
        <v>820</v>
      </c>
      <c r="S151" s="19"/>
      <c r="T151" s="19" t="s">
        <v>53</v>
      </c>
      <c r="U151" s="19" t="s">
        <v>54</v>
      </c>
      <c r="V151" s="19" t="s">
        <v>55</v>
      </c>
      <c r="W151" s="19" t="s">
        <v>56</v>
      </c>
      <c r="X151" s="19" t="s">
        <v>141</v>
      </c>
      <c r="Y151" s="19" t="s">
        <v>141</v>
      </c>
      <c r="Z151" s="19" t="s">
        <v>821</v>
      </c>
      <c r="AA151" s="19">
        <v>2</v>
      </c>
      <c r="AB151" s="19">
        <v>0</v>
      </c>
      <c r="AC151" s="19" t="s">
        <v>59</v>
      </c>
      <c r="AD151" s="19" t="s">
        <v>460</v>
      </c>
      <c r="AE151" s="19" t="s">
        <v>313</v>
      </c>
      <c r="AF151" s="19" t="s">
        <v>314</v>
      </c>
    </row>
    <row r="152" spans="1:34" customHeight="1" ht="42">
      <c r="A152" s="19">
        <v>145</v>
      </c>
      <c r="B152" s="19" t="s">
        <v>652</v>
      </c>
      <c r="C152" s="19" t="s">
        <v>306</v>
      </c>
      <c r="D152" s="19" t="str">
        <f>HYPERLINK("http://henontech.com/fieldsafety/harzard/harzard_show.php?rid=2139&amp;url=harzardrecs.php","4米3    丨号炉焦侧蒸汽阀门漏蒸汽")</f>
        <v>4米3    丨号炉焦侧蒸汽阀门漏蒸汽</v>
      </c>
      <c r="E152" s="19" t="s">
        <v>822</v>
      </c>
      <c r="F152" s="20" t="s">
        <v>42</v>
      </c>
      <c r="G152" s="24" t="s">
        <v>534</v>
      </c>
      <c r="H152" s="19" t="s">
        <v>44</v>
      </c>
      <c r="I152" s="19" t="s">
        <v>510</v>
      </c>
      <c r="J152" s="19" t="s">
        <v>64</v>
      </c>
      <c r="K152" s="19" t="s">
        <v>88</v>
      </c>
      <c r="L152" s="19"/>
      <c r="M152" s="19" t="s">
        <v>49</v>
      </c>
      <c r="N152" s="19" t="s">
        <v>823</v>
      </c>
      <c r="O152" s="19" t="s">
        <v>49</v>
      </c>
      <c r="P152" s="19" t="s">
        <v>460</v>
      </c>
      <c r="Q152" s="19" t="s">
        <v>666</v>
      </c>
      <c r="R152" s="19" t="s">
        <v>824</v>
      </c>
      <c r="S152" s="19"/>
      <c r="T152" s="19" t="s">
        <v>53</v>
      </c>
      <c r="U152" s="19" t="s">
        <v>54</v>
      </c>
      <c r="V152" s="19" t="s">
        <v>55</v>
      </c>
      <c r="W152" s="19" t="s">
        <v>56</v>
      </c>
      <c r="X152" s="19" t="s">
        <v>825</v>
      </c>
      <c r="Y152" s="19" t="s">
        <v>825</v>
      </c>
      <c r="Z152" s="19" t="s">
        <v>826</v>
      </c>
      <c r="AA152" s="19">
        <v>2</v>
      </c>
      <c r="AB152" s="19">
        <v>0</v>
      </c>
      <c r="AC152" s="19" t="s">
        <v>59</v>
      </c>
      <c r="AD152" s="19" t="s">
        <v>460</v>
      </c>
      <c r="AE152" s="19" t="s">
        <v>313</v>
      </c>
      <c r="AF152" s="19" t="s">
        <v>314</v>
      </c>
    </row>
    <row r="153" spans="1:34">
      <c r="A153" s="19">
        <v>146</v>
      </c>
      <c r="B153" s="19" t="s">
        <v>652</v>
      </c>
      <c r="C153" s="19" t="s">
        <v>62</v>
      </c>
      <c r="D153" s="19" t="str">
        <f>HYPERLINK("http://henontech.com/fieldsafety/harzard/harzard_show.php?rid=2140&amp;url=harzardrecs.php","再开取暖泵时，取暖泵不能正常开启，打开控制箱，检查线路时发现有一相烧坏，螺丝松动，线路发热绝缘皮烧坏，线路短路跳闸，设备无法启动。")</f>
        <v>再开取暖泵时，取暖泵不能正常开启，打开控制箱，检查线路时发现有一相烧坏，螺丝松动，线路发热绝缘皮烧坏，线路短路跳闸，设备无法启动。</v>
      </c>
      <c r="E153" s="19" t="s">
        <v>827</v>
      </c>
      <c r="F153" s="20" t="s">
        <v>42</v>
      </c>
      <c r="G153" s="21" t="s">
        <v>43</v>
      </c>
      <c r="H153" s="19" t="s">
        <v>44</v>
      </c>
      <c r="I153" s="19" t="s">
        <v>129</v>
      </c>
      <c r="J153" s="19"/>
      <c r="K153" s="19" t="s">
        <v>46</v>
      </c>
      <c r="L153" s="19" t="s">
        <v>65</v>
      </c>
      <c r="M153" s="19" t="s">
        <v>66</v>
      </c>
      <c r="N153" s="19" t="s">
        <v>828</v>
      </c>
      <c r="O153" s="19" t="s">
        <v>66</v>
      </c>
      <c r="P153" s="19" t="s">
        <v>614</v>
      </c>
      <c r="Q153" s="19" t="s">
        <v>735</v>
      </c>
      <c r="R153" s="19" t="s">
        <v>829</v>
      </c>
      <c r="S153" s="19"/>
      <c r="T153" s="19" t="s">
        <v>104</v>
      </c>
      <c r="U153" s="19" t="s">
        <v>94</v>
      </c>
      <c r="V153" s="19" t="s">
        <v>105</v>
      </c>
      <c r="W153" s="19" t="s">
        <v>96</v>
      </c>
      <c r="X153" s="19"/>
      <c r="Y153" s="19"/>
      <c r="Z153" s="19" t="s">
        <v>830</v>
      </c>
      <c r="AA153" s="19">
        <v>1</v>
      </c>
      <c r="AB153" s="19">
        <v>1</v>
      </c>
      <c r="AC153" s="19" t="s">
        <v>59</v>
      </c>
      <c r="AD153" s="19" t="s">
        <v>614</v>
      </c>
      <c r="AE153" s="19" t="s">
        <v>139</v>
      </c>
      <c r="AF153" s="19"/>
    </row>
    <row r="154" spans="1:34">
      <c r="A154" s="19">
        <v>147</v>
      </c>
      <c r="B154" s="19" t="s">
        <v>652</v>
      </c>
      <c r="C154" s="19" t="s">
        <v>306</v>
      </c>
      <c r="D154" s="19" t="str">
        <f>HYPERLINK("http://henontech.com/fieldsafety/harzard/harzard_show.php?rid=2141&amp;url=harzardrecs.php","干熄车车顶吊鼻高出铁板面十公分，未及时割掉，当职工清理车顶卫生时，若被绊倒，可能会跌落车下，造成人员死亡事故。")</f>
        <v>干熄车车顶吊鼻高出铁板面十公分，未及时割掉，当职工清理车顶卫生时，若被绊倒，可能会跌落车下，造成人员死亡事故。</v>
      </c>
      <c r="E154" s="19" t="s">
        <v>831</v>
      </c>
      <c r="F154" s="23" t="s">
        <v>227</v>
      </c>
      <c r="G154" s="21" t="s">
        <v>43</v>
      </c>
      <c r="H154" s="19" t="s">
        <v>44</v>
      </c>
      <c r="I154" s="19" t="s">
        <v>205</v>
      </c>
      <c r="J154" s="19" t="s">
        <v>308</v>
      </c>
      <c r="K154" s="19" t="s">
        <v>46</v>
      </c>
      <c r="L154" s="19" t="s">
        <v>65</v>
      </c>
      <c r="M154" s="19" t="s">
        <v>49</v>
      </c>
      <c r="N154" s="19" t="s">
        <v>832</v>
      </c>
      <c r="O154" s="19"/>
      <c r="P154" s="19"/>
      <c r="Q154" s="19"/>
      <c r="R154" s="19" t="s">
        <v>833</v>
      </c>
      <c r="S154" s="19" t="s">
        <v>834</v>
      </c>
      <c r="T154" s="19" t="s">
        <v>53</v>
      </c>
      <c r="U154" s="19" t="s">
        <v>116</v>
      </c>
      <c r="V154" s="19" t="s">
        <v>55</v>
      </c>
      <c r="W154" s="19" t="s">
        <v>117</v>
      </c>
      <c r="X154" s="19"/>
      <c r="Y154" s="19"/>
      <c r="Z154" s="19"/>
      <c r="AA154" s="19">
        <v>0</v>
      </c>
      <c r="AB154" s="19"/>
      <c r="AC154" s="19" t="s">
        <v>233</v>
      </c>
      <c r="AD154" s="19"/>
      <c r="AE154" s="19"/>
      <c r="AF154" s="19"/>
    </row>
    <row r="155" spans="1:34" customHeight="1" ht="42">
      <c r="A155" s="19">
        <v>148</v>
      </c>
      <c r="B155" s="19" t="s">
        <v>652</v>
      </c>
      <c r="C155" s="19" t="s">
        <v>470</v>
      </c>
      <c r="D155" s="19" t="str">
        <f>HYPERLINK("http://henontech.com/fieldsafety/harzard/harzard_show.php?rid=2142&amp;url=harzardrecs.php","在送煤过程中，如果托煤板线位故障，送煤过头顶落炉门，将拦焦正在处理焦炭的操作工砸到，救治无效死亡。")</f>
        <v>在送煤过程中，如果托煤板线位故障，送煤过头顶落炉门，将拦焦正在处理焦炭的操作工砸到，救治无效死亡。</v>
      </c>
      <c r="E155" s="19" t="s">
        <v>835</v>
      </c>
      <c r="F155" s="20" t="s">
        <v>42</v>
      </c>
      <c r="G155" s="21" t="s">
        <v>43</v>
      </c>
      <c r="H155" s="19" t="s">
        <v>44</v>
      </c>
      <c r="I155" s="19" t="s">
        <v>205</v>
      </c>
      <c r="J155" s="19" t="s">
        <v>308</v>
      </c>
      <c r="K155" s="19" t="s">
        <v>46</v>
      </c>
      <c r="L155" s="19" t="s">
        <v>662</v>
      </c>
      <c r="M155" s="19" t="s">
        <v>49</v>
      </c>
      <c r="N155" s="19" t="s">
        <v>836</v>
      </c>
      <c r="O155" s="19" t="s">
        <v>49</v>
      </c>
      <c r="P155" s="19" t="s">
        <v>479</v>
      </c>
      <c r="Q155" s="19" t="s">
        <v>666</v>
      </c>
      <c r="R155" s="19" t="s">
        <v>837</v>
      </c>
      <c r="S155" s="19"/>
      <c r="T155" s="19" t="s">
        <v>53</v>
      </c>
      <c r="U155" s="19" t="s">
        <v>116</v>
      </c>
      <c r="V155" s="19" t="s">
        <v>105</v>
      </c>
      <c r="W155" s="19" t="s">
        <v>56</v>
      </c>
      <c r="X155" s="19" t="s">
        <v>141</v>
      </c>
      <c r="Y155" s="19" t="s">
        <v>141</v>
      </c>
      <c r="Z155" s="19" t="s">
        <v>838</v>
      </c>
      <c r="AA155" s="19">
        <v>2</v>
      </c>
      <c r="AB155" s="19">
        <v>2</v>
      </c>
      <c r="AC155" s="19" t="s">
        <v>59</v>
      </c>
      <c r="AD155" s="19" t="s">
        <v>479</v>
      </c>
      <c r="AE155" s="19" t="s">
        <v>463</v>
      </c>
      <c r="AF155" s="19" t="s">
        <v>839</v>
      </c>
    </row>
    <row r="156" spans="1:34" customHeight="1" ht="42">
      <c r="A156" s="19">
        <v>149</v>
      </c>
      <c r="B156" s="19" t="s">
        <v>652</v>
      </c>
      <c r="C156" s="19" t="s">
        <v>470</v>
      </c>
      <c r="D156" s="19" t="str">
        <f>HYPERLINK("http://henontech.com/fieldsafety/harzard/harzard_show.php?rid=2143&amp;url=harzardrecs.php","焦一皮带护栏缺失，一名操作人员在清理卫生时，不慎将手臂卷入皮带，造成手臂骨折，就医救治。")</f>
        <v>焦一皮带护栏缺失，一名操作人员在清理卫生时，不慎将手臂卷入皮带，造成手臂骨折，就医救治。</v>
      </c>
      <c r="E156" s="19" t="s">
        <v>840</v>
      </c>
      <c r="F156" s="20" t="s">
        <v>42</v>
      </c>
      <c r="G156" s="22" t="s">
        <v>111</v>
      </c>
      <c r="H156" s="19" t="s">
        <v>44</v>
      </c>
      <c r="I156" s="19" t="s">
        <v>205</v>
      </c>
      <c r="J156" s="19" t="s">
        <v>45</v>
      </c>
      <c r="K156" s="19" t="s">
        <v>466</v>
      </c>
      <c r="L156" s="19" t="s">
        <v>662</v>
      </c>
      <c r="M156" s="19" t="s">
        <v>49</v>
      </c>
      <c r="N156" s="19" t="s">
        <v>730</v>
      </c>
      <c r="O156" s="19" t="s">
        <v>49</v>
      </c>
      <c r="P156" s="19" t="s">
        <v>479</v>
      </c>
      <c r="Q156" s="19" t="s">
        <v>666</v>
      </c>
      <c r="R156" s="19" t="s">
        <v>841</v>
      </c>
      <c r="S156" s="19"/>
      <c r="T156" s="19" t="s">
        <v>53</v>
      </c>
      <c r="U156" s="19" t="s">
        <v>54</v>
      </c>
      <c r="V156" s="19" t="s">
        <v>55</v>
      </c>
      <c r="W156" s="19" t="s">
        <v>56</v>
      </c>
      <c r="X156" s="19" t="s">
        <v>825</v>
      </c>
      <c r="Y156" s="19" t="s">
        <v>825</v>
      </c>
      <c r="Z156" s="19" t="s">
        <v>842</v>
      </c>
      <c r="AA156" s="19">
        <v>2</v>
      </c>
      <c r="AB156" s="19">
        <v>2</v>
      </c>
      <c r="AC156" s="19" t="s">
        <v>59</v>
      </c>
      <c r="AD156" s="19" t="s">
        <v>479</v>
      </c>
      <c r="AE156" s="19" t="s">
        <v>463</v>
      </c>
      <c r="AF156" s="19" t="s">
        <v>843</v>
      </c>
    </row>
    <row r="157" spans="1:34">
      <c r="A157" s="19">
        <v>150</v>
      </c>
      <c r="B157" s="19" t="s">
        <v>844</v>
      </c>
      <c r="C157" s="19" t="s">
        <v>355</v>
      </c>
      <c r="D157" s="19" t="str">
        <f>HYPERLINK("http://henontech.com/fieldsafety/harzard/harzard_show.php?rid=2144&amp;url=harzardrecs.php","外协人员在给一次水管线保温后，未及时将梯子撤走，当一名操作工夜间巡检时，由于视线不好，不慎碰到梯子，造成梯子倒塌，肩胛骨被砸伤")</f>
        <v>外协人员在给一次水管线保温后，未及时将梯子撤走，当一名操作工夜间巡检时，由于视线不好，不慎碰到梯子，造成梯子倒塌，肩胛骨被砸伤</v>
      </c>
      <c r="E157" s="19" t="s">
        <v>845</v>
      </c>
      <c r="F157" s="20" t="s">
        <v>42</v>
      </c>
      <c r="G157" s="21" t="s">
        <v>43</v>
      </c>
      <c r="H157" s="19" t="s">
        <v>44</v>
      </c>
      <c r="I157" s="19" t="s">
        <v>205</v>
      </c>
      <c r="J157" s="19" t="s">
        <v>64</v>
      </c>
      <c r="K157" s="19" t="s">
        <v>79</v>
      </c>
      <c r="L157" s="19" t="s">
        <v>65</v>
      </c>
      <c r="M157" s="19" t="s">
        <v>146</v>
      </c>
      <c r="N157" s="19" t="s">
        <v>265</v>
      </c>
      <c r="O157" s="19" t="s">
        <v>146</v>
      </c>
      <c r="P157" s="19" t="s">
        <v>148</v>
      </c>
      <c r="Q157" s="19" t="s">
        <v>846</v>
      </c>
      <c r="R157" s="19" t="s">
        <v>847</v>
      </c>
      <c r="S157" s="19"/>
      <c r="T157" s="19" t="s">
        <v>53</v>
      </c>
      <c r="U157" s="19" t="s">
        <v>54</v>
      </c>
      <c r="V157" s="19" t="s">
        <v>55</v>
      </c>
      <c r="W157" s="19" t="s">
        <v>56</v>
      </c>
      <c r="X157" s="19" t="s">
        <v>570</v>
      </c>
      <c r="Y157" s="19" t="s">
        <v>570</v>
      </c>
      <c r="Z157" s="19" t="s">
        <v>848</v>
      </c>
      <c r="AA157" s="19">
        <v>1</v>
      </c>
      <c r="AB157" s="19">
        <v>1</v>
      </c>
      <c r="AC157" s="19" t="s">
        <v>59</v>
      </c>
      <c r="AD157" s="19" t="s">
        <v>148</v>
      </c>
      <c r="AE157" s="19" t="s">
        <v>152</v>
      </c>
      <c r="AF157" s="19" t="s">
        <v>849</v>
      </c>
    </row>
    <row r="158" spans="1:34" customHeight="1" ht="42">
      <c r="A158" s="19">
        <v>151</v>
      </c>
      <c r="B158" s="19" t="s">
        <v>844</v>
      </c>
      <c r="C158" s="19" t="s">
        <v>319</v>
      </c>
      <c r="D158" s="19" t="str">
        <f>HYPERLINK("http://henontech.com/fieldsafety/harzard/harzard_show.php?rid=2145&amp;url=harzardrecs.php","烟道闸板配电柜电缆随地放置，如果一名职工未注意从此经过拌倒摔伤，就会造成手臂骨折，休息3个月。")</f>
        <v>烟道闸板配电柜电缆随地放置，如果一名职工未注意从此经过拌倒摔伤，就会造成手臂骨折，休息3个月。</v>
      </c>
      <c r="E158" s="19" t="s">
        <v>850</v>
      </c>
      <c r="F158" s="20" t="s">
        <v>42</v>
      </c>
      <c r="G158" s="21" t="s">
        <v>43</v>
      </c>
      <c r="H158" s="19" t="s">
        <v>44</v>
      </c>
      <c r="I158" s="19" t="s">
        <v>129</v>
      </c>
      <c r="J158" s="19" t="s">
        <v>45</v>
      </c>
      <c r="K158" s="19" t="s">
        <v>46</v>
      </c>
      <c r="L158" s="19" t="s">
        <v>65</v>
      </c>
      <c r="M158" s="19" t="s">
        <v>49</v>
      </c>
      <c r="N158" s="19" t="s">
        <v>851</v>
      </c>
      <c r="O158" s="19" t="s">
        <v>49</v>
      </c>
      <c r="P158" s="19" t="s">
        <v>460</v>
      </c>
      <c r="Q158" s="19" t="s">
        <v>666</v>
      </c>
      <c r="R158" s="19" t="s">
        <v>852</v>
      </c>
      <c r="S158" s="19"/>
      <c r="T158" s="19" t="s">
        <v>53</v>
      </c>
      <c r="U158" s="19" t="s">
        <v>54</v>
      </c>
      <c r="V158" s="19" t="s">
        <v>55</v>
      </c>
      <c r="W158" s="19" t="s">
        <v>56</v>
      </c>
      <c r="X158" s="19" t="s">
        <v>141</v>
      </c>
      <c r="Y158" s="19" t="s">
        <v>141</v>
      </c>
      <c r="Z158" s="19" t="s">
        <v>853</v>
      </c>
      <c r="AA158" s="19">
        <v>2</v>
      </c>
      <c r="AB158" s="19">
        <v>0</v>
      </c>
      <c r="AC158" s="19" t="s">
        <v>59</v>
      </c>
      <c r="AD158" s="19" t="s">
        <v>460</v>
      </c>
      <c r="AE158" s="19" t="s">
        <v>313</v>
      </c>
      <c r="AF158" s="19" t="s">
        <v>314</v>
      </c>
    </row>
    <row r="159" spans="1:34">
      <c r="A159" s="19">
        <v>152</v>
      </c>
      <c r="B159" s="19" t="s">
        <v>844</v>
      </c>
      <c r="C159" s="19" t="s">
        <v>427</v>
      </c>
      <c r="D159" s="19" t="str">
        <f>HYPERLINK("http://henontech.com/fieldsafety/harzard/harzard_show.php?rid=2147&amp;url=harzardrecs.php","合成循环机操作室顶有废弃铝皮，一名巡检工在巡检时从下方走过，由于刮风，铝皮掉落，划伤巡检工脸部，到医务室处理后，立即复工。")</f>
        <v>合成循环机操作室顶有废弃铝皮，一名巡检工在巡检时从下方走过，由于刮风，铝皮掉落，划伤巡检工脸部，到医务室处理后，立即复工。</v>
      </c>
      <c r="E159" s="19" t="s">
        <v>854</v>
      </c>
      <c r="F159" s="23" t="s">
        <v>227</v>
      </c>
      <c r="G159" s="21" t="s">
        <v>43</v>
      </c>
      <c r="H159" s="19" t="s">
        <v>44</v>
      </c>
      <c r="I159" s="19"/>
      <c r="J159" s="19" t="s">
        <v>64</v>
      </c>
      <c r="K159" s="19" t="s">
        <v>46</v>
      </c>
      <c r="L159" s="19"/>
      <c r="M159" s="19" t="s">
        <v>146</v>
      </c>
      <c r="N159" s="19" t="s">
        <v>855</v>
      </c>
      <c r="O159" s="19"/>
      <c r="P159" s="19"/>
      <c r="Q159" s="19"/>
      <c r="R159" s="19" t="s">
        <v>856</v>
      </c>
      <c r="S159" s="19" t="s">
        <v>857</v>
      </c>
      <c r="T159" s="19" t="s">
        <v>53</v>
      </c>
      <c r="U159" s="19" t="s">
        <v>71</v>
      </c>
      <c r="V159" s="19" t="s">
        <v>105</v>
      </c>
      <c r="W159" s="19" t="s">
        <v>96</v>
      </c>
      <c r="X159" s="19"/>
      <c r="Y159" s="19"/>
      <c r="Z159" s="19"/>
      <c r="AA159" s="19">
        <v>0</v>
      </c>
      <c r="AB159" s="19"/>
      <c r="AC159" s="19" t="s">
        <v>233</v>
      </c>
      <c r="AD159" s="19"/>
      <c r="AE159" s="19"/>
      <c r="AF159" s="19"/>
    </row>
    <row r="160" spans="1:34">
      <c r="A160" s="19">
        <v>153</v>
      </c>
      <c r="B160" s="19" t="s">
        <v>844</v>
      </c>
      <c r="C160" s="19" t="s">
        <v>427</v>
      </c>
      <c r="D160" s="19" t="str">
        <f>HYPERLINK("http://henontech.com/fieldsafety/harzard/harzard_show.php?rid=2148&amp;url=harzardrecs.php","软水预热器爬梯上端有脱落保温铁皮未清除，一巡检工巡检经过被掉落铁皮划伤手部造成局部划伤出血，医务室就医包扎后复工。")</f>
        <v>软水预热器爬梯上端有脱落保温铁皮未清除，一巡检工巡检经过被掉落铁皮划伤手部造成局部划伤出血，医务室就医包扎后复工。</v>
      </c>
      <c r="E160" s="19" t="s">
        <v>858</v>
      </c>
      <c r="F160" s="23" t="s">
        <v>227</v>
      </c>
      <c r="G160" s="21" t="s">
        <v>43</v>
      </c>
      <c r="H160" s="19" t="s">
        <v>44</v>
      </c>
      <c r="I160" s="19"/>
      <c r="J160" s="19"/>
      <c r="K160" s="19" t="s">
        <v>46</v>
      </c>
      <c r="L160" s="19"/>
      <c r="M160" s="19" t="s">
        <v>146</v>
      </c>
      <c r="N160" s="19" t="s">
        <v>859</v>
      </c>
      <c r="O160" s="19"/>
      <c r="P160" s="19"/>
      <c r="Q160" s="19"/>
      <c r="R160" s="19" t="s">
        <v>860</v>
      </c>
      <c r="S160" s="19" t="s">
        <v>861</v>
      </c>
      <c r="T160" s="19" t="s">
        <v>53</v>
      </c>
      <c r="U160" s="19" t="s">
        <v>71</v>
      </c>
      <c r="V160" s="19" t="s">
        <v>105</v>
      </c>
      <c r="W160" s="19" t="s">
        <v>96</v>
      </c>
      <c r="X160" s="19"/>
      <c r="Y160" s="19"/>
      <c r="Z160" s="19"/>
      <c r="AA160" s="19">
        <v>0</v>
      </c>
      <c r="AB160" s="19"/>
      <c r="AC160" s="19" t="s">
        <v>233</v>
      </c>
      <c r="AD160" s="19"/>
      <c r="AE160" s="19"/>
      <c r="AF160" s="19"/>
    </row>
    <row r="161" spans="1:34" customHeight="1" ht="42">
      <c r="A161" s="19">
        <v>154</v>
      </c>
      <c r="B161" s="19" t="s">
        <v>844</v>
      </c>
      <c r="C161" s="19" t="s">
        <v>306</v>
      </c>
      <c r="D161" s="19" t="str">
        <f>HYPERLINK("http://henontech.com/fieldsafety/harzard/harzard_show.php?rid=2149&amp;url=harzardrecs.php","假如一名工人下爬梯时，右手抓护栏，护栏突然断裂，人员不慎坠落至距离车辆12米高的地面，头部着地当场昏迷，经医院抢救无效死亡")</f>
        <v>假如一名工人下爬梯时，右手抓护栏，护栏突然断裂，人员不慎坠落至距离车辆12米高的地面，头部着地当场昏迷，经医院抢救无效死亡</v>
      </c>
      <c r="E161" s="19" t="s">
        <v>862</v>
      </c>
      <c r="F161" s="20" t="s">
        <v>42</v>
      </c>
      <c r="G161" s="21" t="s">
        <v>43</v>
      </c>
      <c r="H161" s="19" t="s">
        <v>44</v>
      </c>
      <c r="I161" s="19" t="s">
        <v>129</v>
      </c>
      <c r="J161" s="19" t="s">
        <v>64</v>
      </c>
      <c r="K161" s="19" t="s">
        <v>46</v>
      </c>
      <c r="L161" s="19" t="s">
        <v>65</v>
      </c>
      <c r="M161" s="19" t="s">
        <v>49</v>
      </c>
      <c r="N161" s="19" t="s">
        <v>863</v>
      </c>
      <c r="O161" s="19" t="s">
        <v>49</v>
      </c>
      <c r="P161" s="19" t="s">
        <v>460</v>
      </c>
      <c r="Q161" s="19" t="s">
        <v>666</v>
      </c>
      <c r="R161" s="19" t="s">
        <v>864</v>
      </c>
      <c r="S161" s="19"/>
      <c r="T161" s="19" t="s">
        <v>53</v>
      </c>
      <c r="U161" s="19" t="s">
        <v>116</v>
      </c>
      <c r="V161" s="19" t="s">
        <v>105</v>
      </c>
      <c r="W161" s="19" t="s">
        <v>56</v>
      </c>
      <c r="X161" s="19" t="s">
        <v>141</v>
      </c>
      <c r="Y161" s="19" t="s">
        <v>141</v>
      </c>
      <c r="Z161" s="19" t="s">
        <v>865</v>
      </c>
      <c r="AA161" s="19">
        <v>2</v>
      </c>
      <c r="AB161" s="19">
        <v>0</v>
      </c>
      <c r="AC161" s="19" t="s">
        <v>59</v>
      </c>
      <c r="AD161" s="19" t="s">
        <v>460</v>
      </c>
      <c r="AE161" s="19" t="s">
        <v>313</v>
      </c>
      <c r="AF161" s="19" t="s">
        <v>314</v>
      </c>
    </row>
    <row r="162" spans="1:34" customHeight="1" ht="42">
      <c r="A162" s="19">
        <v>155</v>
      </c>
      <c r="B162" s="19" t="s">
        <v>844</v>
      </c>
      <c r="C162" s="19" t="s">
        <v>866</v>
      </c>
      <c r="D162" s="19" t="str">
        <f>HYPERLINK("http://henontech.com/fieldsafety/harzard/harzard_show.php?rid=2150&amp;url=harzardrecs.php","假如一名操作工夜间在机侧平台作业，为躲避平台处积水，沿平台西侧行走，脚底打滑不慎坠落至地面，头部着地，当场昏迷，经医院抢救无效死亡")</f>
        <v>假如一名操作工夜间在机侧平台作业，为躲避平台处积水，沿平台西侧行走，脚底打滑不慎坠落至地面，头部着地，当场昏迷，经医院抢救无效死亡</v>
      </c>
      <c r="E162" s="19" t="s">
        <v>867</v>
      </c>
      <c r="F162" s="20" t="s">
        <v>42</v>
      </c>
      <c r="G162" s="21" t="s">
        <v>43</v>
      </c>
      <c r="H162" s="19" t="s">
        <v>44</v>
      </c>
      <c r="I162" s="19" t="s">
        <v>129</v>
      </c>
      <c r="J162" s="19" t="s">
        <v>64</v>
      </c>
      <c r="K162" s="19" t="s">
        <v>46</v>
      </c>
      <c r="L162" s="19" t="s">
        <v>65</v>
      </c>
      <c r="M162" s="19" t="s">
        <v>49</v>
      </c>
      <c r="N162" s="19" t="s">
        <v>786</v>
      </c>
      <c r="O162" s="19" t="s">
        <v>49</v>
      </c>
      <c r="P162" s="19" t="s">
        <v>499</v>
      </c>
      <c r="Q162" s="19" t="s">
        <v>666</v>
      </c>
      <c r="R162" s="19" t="s">
        <v>868</v>
      </c>
      <c r="S162" s="19"/>
      <c r="T162" s="19" t="s">
        <v>53</v>
      </c>
      <c r="U162" s="19" t="s">
        <v>116</v>
      </c>
      <c r="V162" s="19" t="s">
        <v>55</v>
      </c>
      <c r="W162" s="19" t="s">
        <v>117</v>
      </c>
      <c r="X162" s="19" t="s">
        <v>141</v>
      </c>
      <c r="Y162" s="19" t="s">
        <v>141</v>
      </c>
      <c r="Z162" s="19" t="s">
        <v>869</v>
      </c>
      <c r="AA162" s="19">
        <v>2</v>
      </c>
      <c r="AB162" s="19">
        <v>2</v>
      </c>
      <c r="AC162" s="19" t="s">
        <v>59</v>
      </c>
      <c r="AD162" s="19" t="s">
        <v>499</v>
      </c>
      <c r="AE162" s="19" t="s">
        <v>313</v>
      </c>
      <c r="AF162" s="19"/>
    </row>
    <row r="163" spans="1:34" customHeight="1" ht="42">
      <c r="A163" s="19">
        <v>156</v>
      </c>
      <c r="B163" s="19" t="s">
        <v>844</v>
      </c>
      <c r="C163" s="19" t="s">
        <v>319</v>
      </c>
      <c r="D163" s="19" t="str">
        <f>HYPERLINK("http://henontech.com/fieldsafety/harzard/harzard_show.php?rid=2151&amp;url=harzardrecs.php","假如一名操作工到余热锅炉工段巡检，未注意到地面电缆，不小心被电缆绊倒，导致右手臂骨折，住院治疗15天，回家休养80天")</f>
        <v>假如一名操作工到余热锅炉工段巡检，未注意到地面电缆，不小心被电缆绊倒，导致右手臂骨折，住院治疗15天，回家休养80天</v>
      </c>
      <c r="E163" s="19" t="s">
        <v>870</v>
      </c>
      <c r="F163" s="20" t="s">
        <v>42</v>
      </c>
      <c r="G163" s="21" t="s">
        <v>43</v>
      </c>
      <c r="H163" s="19" t="s">
        <v>44</v>
      </c>
      <c r="I163" s="19" t="s">
        <v>129</v>
      </c>
      <c r="J163" s="19" t="s">
        <v>87</v>
      </c>
      <c r="K163" s="19" t="s">
        <v>46</v>
      </c>
      <c r="L163" s="19" t="s">
        <v>65</v>
      </c>
      <c r="M163" s="19" t="s">
        <v>49</v>
      </c>
      <c r="N163" s="19" t="s">
        <v>871</v>
      </c>
      <c r="O163" s="19" t="s">
        <v>49</v>
      </c>
      <c r="P163" s="19" t="s">
        <v>310</v>
      </c>
      <c r="Q163" s="19" t="s">
        <v>666</v>
      </c>
      <c r="R163" s="19" t="s">
        <v>872</v>
      </c>
      <c r="S163" s="19"/>
      <c r="T163" s="19" t="s">
        <v>53</v>
      </c>
      <c r="U163" s="19" t="s">
        <v>54</v>
      </c>
      <c r="V163" s="19" t="s">
        <v>105</v>
      </c>
      <c r="W163" s="19" t="s">
        <v>72</v>
      </c>
      <c r="X163" s="19" t="s">
        <v>359</v>
      </c>
      <c r="Y163" s="19" t="s">
        <v>359</v>
      </c>
      <c r="Z163" s="19" t="s">
        <v>873</v>
      </c>
      <c r="AA163" s="19">
        <v>2</v>
      </c>
      <c r="AB163" s="19">
        <v>2</v>
      </c>
      <c r="AC163" s="19" t="s">
        <v>59</v>
      </c>
      <c r="AD163" s="19" t="s">
        <v>310</v>
      </c>
      <c r="AE163" s="19" t="s">
        <v>313</v>
      </c>
      <c r="AF163" s="19"/>
    </row>
    <row r="164" spans="1:34">
      <c r="A164" s="19">
        <v>157</v>
      </c>
      <c r="B164" s="19" t="s">
        <v>292</v>
      </c>
      <c r="C164" s="19" t="s">
        <v>874</v>
      </c>
      <c r="D164" s="19" t="str">
        <f>HYPERLINK("http://henontech.com/fieldsafety/harzard/harzard_show.php?rid=2153&amp;url=harzardrecs.php","变换一名操作工在排放二热交换器倒淋时，因阀门开度过大，使热水及蒸汽快速冒出，地沟缝隙较小，蒸汽向四周喷射，造成操作工脚腕处烫伤，送医务室处理后，休息三天后复工。")</f>
        <v>变换一名操作工在排放二热交换器倒淋时，因阀门开度过大，使热水及蒸汽快速冒出，地沟缝隙较小，蒸汽向四周喷射，造成操作工脚腕处烫伤，送医务室处理后，休息三天后复工。</v>
      </c>
      <c r="E164" s="19" t="s">
        <v>875</v>
      </c>
      <c r="F164" s="23" t="s">
        <v>227</v>
      </c>
      <c r="G164" s="21" t="s">
        <v>43</v>
      </c>
      <c r="H164" s="19" t="s">
        <v>44</v>
      </c>
      <c r="I164" s="19" t="s">
        <v>205</v>
      </c>
      <c r="J164" s="19" t="s">
        <v>165</v>
      </c>
      <c r="K164" s="19" t="s">
        <v>79</v>
      </c>
      <c r="L164" s="19" t="s">
        <v>65</v>
      </c>
      <c r="M164" s="19" t="s">
        <v>146</v>
      </c>
      <c r="N164" s="19" t="s">
        <v>876</v>
      </c>
      <c r="O164" s="19"/>
      <c r="P164" s="19"/>
      <c r="Q164" s="19"/>
      <c r="R164" s="19" t="s">
        <v>877</v>
      </c>
      <c r="S164" s="19" t="s">
        <v>814</v>
      </c>
      <c r="T164" s="19" t="s">
        <v>53</v>
      </c>
      <c r="U164" s="19" t="s">
        <v>71</v>
      </c>
      <c r="V164" s="19" t="s">
        <v>105</v>
      </c>
      <c r="W164" s="19" t="s">
        <v>96</v>
      </c>
      <c r="X164" s="19"/>
      <c r="Y164" s="19"/>
      <c r="Z164" s="19"/>
      <c r="AA164" s="19">
        <v>0</v>
      </c>
      <c r="AB164" s="19"/>
      <c r="AC164" s="19" t="s">
        <v>233</v>
      </c>
      <c r="AD164" s="19"/>
      <c r="AE164" s="19"/>
      <c r="AF164" s="19"/>
    </row>
    <row r="165" spans="1:34" customHeight="1" ht="42">
      <c r="A165" s="19">
        <v>158</v>
      </c>
      <c r="B165" s="19" t="s">
        <v>292</v>
      </c>
      <c r="C165" s="19" t="s">
        <v>707</v>
      </c>
      <c r="D165" s="19" t="str">
        <f>HYPERLINK("http://henontech.com/fieldsafety/harzard/harzard_show.php?rid=2154&amp;url=harzardrecs.php","炉顶爬梯电缆杂乱，如果一名职工巡检下楼梯时未注意脚下，且双手未扶牢扶手，被电缆绊倒身体失去平衡前倾摔倒，头部撞击在地面上，送医院抢救，颈椎粉碎性骨折，抢救无效死亡。")</f>
        <v>炉顶爬梯电缆杂乱，如果一名职工巡检下楼梯时未注意脚下，且双手未扶牢扶手，被电缆绊倒身体失去平衡前倾摔倒，头部撞击在地面上，送医院抢救，颈椎粉碎性骨折，抢救无效死亡。</v>
      </c>
      <c r="E165" s="19" t="s">
        <v>878</v>
      </c>
      <c r="F165" s="20" t="s">
        <v>42</v>
      </c>
      <c r="G165" s="21" t="s">
        <v>43</v>
      </c>
      <c r="H165" s="19" t="s">
        <v>44</v>
      </c>
      <c r="I165" s="19" t="s">
        <v>205</v>
      </c>
      <c r="J165" s="19" t="s">
        <v>64</v>
      </c>
      <c r="K165" s="19" t="s">
        <v>46</v>
      </c>
      <c r="L165" s="19" t="s">
        <v>729</v>
      </c>
      <c r="M165" s="19" t="s">
        <v>49</v>
      </c>
      <c r="N165" s="19" t="s">
        <v>879</v>
      </c>
      <c r="O165" s="19" t="s">
        <v>49</v>
      </c>
      <c r="P165" s="19" t="s">
        <v>479</v>
      </c>
      <c r="Q165" s="19" t="s">
        <v>666</v>
      </c>
      <c r="R165" s="19" t="s">
        <v>880</v>
      </c>
      <c r="S165" s="19"/>
      <c r="T165" s="19" t="s">
        <v>53</v>
      </c>
      <c r="U165" s="19" t="s">
        <v>116</v>
      </c>
      <c r="V165" s="19" t="s">
        <v>55</v>
      </c>
      <c r="W165" s="19" t="s">
        <v>117</v>
      </c>
      <c r="X165" s="19" t="s">
        <v>150</v>
      </c>
      <c r="Y165" s="19" t="s">
        <v>150</v>
      </c>
      <c r="Z165" s="19" t="s">
        <v>881</v>
      </c>
      <c r="AA165" s="19">
        <v>2</v>
      </c>
      <c r="AB165" s="19">
        <v>2</v>
      </c>
      <c r="AC165" s="19" t="s">
        <v>59</v>
      </c>
      <c r="AD165" s="19" t="s">
        <v>479</v>
      </c>
      <c r="AE165" s="19" t="s">
        <v>463</v>
      </c>
      <c r="AF165" s="19" t="s">
        <v>882</v>
      </c>
    </row>
    <row r="166" spans="1:34" customHeight="1" ht="42">
      <c r="A166" s="19">
        <v>159</v>
      </c>
      <c r="B166" s="19" t="s">
        <v>292</v>
      </c>
      <c r="C166" s="19" t="s">
        <v>707</v>
      </c>
      <c r="D166" s="19" t="str">
        <f>HYPERLINK("http://henontech.com/fieldsafety/harzard/harzard_show.php?rid=2155&amp;url=harzardrecs.php","南放散平台留有一根铁棍，目前秋季多大风，如果一名职工巡检时从此处经过，大风恰巧将铁棍刮落，铁棍从2米多高的平台坠落砸在职工头部，虽佩带安全帽，但人员昏迷，送医院抢救苏醒，轻微脑震荡，休养1个月。")</f>
        <v>南放散平台留有一根铁棍，目前秋季多大风，如果一名职工巡检时从此处经过，大风恰巧将铁棍刮落，铁棍从2米多高的平台坠落砸在职工头部，虽佩带安全帽，但人员昏迷，送医院抢救苏醒，轻微脑震荡，休养1个月。</v>
      </c>
      <c r="E166" s="19" t="s">
        <v>883</v>
      </c>
      <c r="F166" s="20" t="s">
        <v>42</v>
      </c>
      <c r="G166" s="21" t="s">
        <v>43</v>
      </c>
      <c r="H166" s="19" t="s">
        <v>44</v>
      </c>
      <c r="I166" s="19" t="s">
        <v>205</v>
      </c>
      <c r="J166" s="19" t="s">
        <v>64</v>
      </c>
      <c r="K166" s="19" t="s">
        <v>46</v>
      </c>
      <c r="L166" s="19" t="s">
        <v>729</v>
      </c>
      <c r="M166" s="19" t="s">
        <v>49</v>
      </c>
      <c r="N166" s="19" t="s">
        <v>884</v>
      </c>
      <c r="O166" s="19" t="s">
        <v>49</v>
      </c>
      <c r="P166" s="19" t="s">
        <v>786</v>
      </c>
      <c r="Q166" s="19" t="s">
        <v>666</v>
      </c>
      <c r="R166" s="19" t="s">
        <v>880</v>
      </c>
      <c r="S166" s="19"/>
      <c r="T166" s="19" t="s">
        <v>53</v>
      </c>
      <c r="U166" s="19" t="s">
        <v>54</v>
      </c>
      <c r="V166" s="19" t="s">
        <v>55</v>
      </c>
      <c r="W166" s="19" t="s">
        <v>56</v>
      </c>
      <c r="X166" s="19" t="s">
        <v>150</v>
      </c>
      <c r="Y166" s="19" t="s">
        <v>150</v>
      </c>
      <c r="Z166" s="19" t="s">
        <v>885</v>
      </c>
      <c r="AA166" s="19">
        <v>2</v>
      </c>
      <c r="AB166" s="19">
        <v>2</v>
      </c>
      <c r="AC166" s="19" t="s">
        <v>59</v>
      </c>
      <c r="AD166" s="19" t="s">
        <v>786</v>
      </c>
      <c r="AE166" s="19" t="s">
        <v>313</v>
      </c>
      <c r="AF166" s="19"/>
    </row>
    <row r="167" spans="1:34" customHeight="1" ht="42">
      <c r="A167" s="19">
        <v>160</v>
      </c>
      <c r="B167" s="19" t="s">
        <v>292</v>
      </c>
      <c r="C167" s="19" t="s">
        <v>306</v>
      </c>
      <c r="D167" s="19" t="str">
        <f>HYPERLINK("http://henontech.com/fieldsafety/harzard/harzard_show.php?rid=2156&amp;url=harzardrecs.php","南炉门修理站电线穿线管上部用槽钢覆盖，裸露在地面上，如果一名职工夜间巡检时照明度差，且未注意脚下，不慎被槽钢绊倒，前倾摔倒，人员下意识用手支撑时，造成右手手腕骨折，送医院治疗休养3个月。")</f>
        <v>南炉门修理站电线穿线管上部用槽钢覆盖，裸露在地面上，如果一名职工夜间巡检时照明度差，且未注意脚下，不慎被槽钢绊倒，前倾摔倒，人员下意识用手支撑时，造成右手手腕骨折，送医院治疗休养3个月。</v>
      </c>
      <c r="E167" s="19" t="s">
        <v>886</v>
      </c>
      <c r="F167" s="20" t="s">
        <v>42</v>
      </c>
      <c r="G167" s="21" t="s">
        <v>43</v>
      </c>
      <c r="H167" s="19" t="s">
        <v>44</v>
      </c>
      <c r="I167" s="19" t="s">
        <v>205</v>
      </c>
      <c r="J167" s="19" t="s">
        <v>64</v>
      </c>
      <c r="K167" s="19" t="s">
        <v>46</v>
      </c>
      <c r="L167" s="19" t="s">
        <v>729</v>
      </c>
      <c r="M167" s="19" t="s">
        <v>49</v>
      </c>
      <c r="N167" s="19" t="s">
        <v>887</v>
      </c>
      <c r="O167" s="19" t="s">
        <v>49</v>
      </c>
      <c r="P167" s="19" t="s">
        <v>786</v>
      </c>
      <c r="Q167" s="19" t="s">
        <v>666</v>
      </c>
      <c r="R167" s="19" t="s">
        <v>888</v>
      </c>
      <c r="S167" s="19"/>
      <c r="T167" s="19" t="s">
        <v>53</v>
      </c>
      <c r="U167" s="19" t="s">
        <v>54</v>
      </c>
      <c r="V167" s="19" t="s">
        <v>55</v>
      </c>
      <c r="W167" s="19" t="s">
        <v>56</v>
      </c>
      <c r="X167" s="19" t="s">
        <v>359</v>
      </c>
      <c r="Y167" s="19" t="s">
        <v>359</v>
      </c>
      <c r="Z167" s="19" t="s">
        <v>889</v>
      </c>
      <c r="AA167" s="19">
        <v>2</v>
      </c>
      <c r="AB167" s="19">
        <v>0</v>
      </c>
      <c r="AC167" s="19" t="s">
        <v>59</v>
      </c>
      <c r="AD167" s="19" t="s">
        <v>786</v>
      </c>
      <c r="AE167" s="19" t="s">
        <v>313</v>
      </c>
      <c r="AF167" s="19" t="s">
        <v>314</v>
      </c>
    </row>
    <row r="168" spans="1:34" customHeight="1" ht="42">
      <c r="A168" s="19">
        <v>161</v>
      </c>
      <c r="B168" s="19" t="s">
        <v>292</v>
      </c>
      <c r="C168" s="19" t="s">
        <v>890</v>
      </c>
      <c r="D168" s="19" t="str">
        <f>HYPERLINK("http://henontech.com/fieldsafety/harzard/harzard_show.php?rid=2157&amp;url=harzardrecs.php","假如一名操作在2号送煤车车载除尘器作业，手扶护栏时，护栏突然断裂，人员不慎摔倒至地面，头部着地，当场昏迷，经医院抢救无效死亡")</f>
        <v>假如一名操作在2号送煤车车载除尘器作业，手扶护栏时，护栏突然断裂，人员不慎摔倒至地面，头部着地，当场昏迷，经医院抢救无效死亡</v>
      </c>
      <c r="E168" s="19" t="s">
        <v>867</v>
      </c>
      <c r="F168" s="20" t="s">
        <v>42</v>
      </c>
      <c r="G168" s="21" t="s">
        <v>43</v>
      </c>
      <c r="H168" s="19" t="s">
        <v>44</v>
      </c>
      <c r="I168" s="19"/>
      <c r="J168" s="19" t="s">
        <v>64</v>
      </c>
      <c r="K168" s="19" t="s">
        <v>79</v>
      </c>
      <c r="L168" s="19" t="s">
        <v>65</v>
      </c>
      <c r="M168" s="19" t="s">
        <v>49</v>
      </c>
      <c r="N168" s="19" t="s">
        <v>891</v>
      </c>
      <c r="O168" s="19" t="s">
        <v>49</v>
      </c>
      <c r="P168" s="19" t="s">
        <v>460</v>
      </c>
      <c r="Q168" s="19" t="s">
        <v>666</v>
      </c>
      <c r="R168" s="19" t="s">
        <v>892</v>
      </c>
      <c r="S168" s="19"/>
      <c r="T168" s="19" t="s">
        <v>53</v>
      </c>
      <c r="U168" s="19" t="s">
        <v>116</v>
      </c>
      <c r="V168" s="19" t="s">
        <v>105</v>
      </c>
      <c r="W168" s="19" t="s">
        <v>56</v>
      </c>
      <c r="X168" s="19" t="s">
        <v>141</v>
      </c>
      <c r="Y168" s="19" t="s">
        <v>141</v>
      </c>
      <c r="Z168" s="19" t="s">
        <v>893</v>
      </c>
      <c r="AA168" s="19">
        <v>2</v>
      </c>
      <c r="AB168" s="19">
        <v>2</v>
      </c>
      <c r="AC168" s="19" t="s">
        <v>59</v>
      </c>
      <c r="AD168" s="19" t="s">
        <v>460</v>
      </c>
      <c r="AE168" s="19" t="s">
        <v>313</v>
      </c>
      <c r="AF168" s="19" t="s">
        <v>894</v>
      </c>
    </row>
    <row r="169" spans="1:34" customHeight="1" ht="42">
      <c r="A169" s="19">
        <v>162</v>
      </c>
      <c r="B169" s="19" t="s">
        <v>292</v>
      </c>
      <c r="C169" s="19" t="s">
        <v>707</v>
      </c>
      <c r="D169" s="19" t="str">
        <f>HYPERLINK("http://henontech.com/fieldsafety/harzard/harzard_show.php?rid=2158&amp;url=harzardrecs.php","假如一名操作工在1号集气道操作平台作业，行走时踩到清扫孔盖板，盖板脱落，恰巧砸在下方推焦作业人员头部，当场昏迷经医院枪救无效死亡，")</f>
        <v>假如一名操作工在1号集气道操作平台作业，行走时踩到清扫孔盖板，盖板脱落，恰巧砸在下方推焦作业人员头部，当场昏迷经医院枪救无效死亡，</v>
      </c>
      <c r="E169" s="19" t="s">
        <v>895</v>
      </c>
      <c r="F169" s="20" t="s">
        <v>42</v>
      </c>
      <c r="G169" s="21" t="s">
        <v>43</v>
      </c>
      <c r="H169" s="19" t="s">
        <v>44</v>
      </c>
      <c r="I169" s="19" t="s">
        <v>129</v>
      </c>
      <c r="J169" s="19" t="s">
        <v>64</v>
      </c>
      <c r="K169" s="19" t="s">
        <v>46</v>
      </c>
      <c r="L169" s="19" t="s">
        <v>65</v>
      </c>
      <c r="M169" s="19" t="s">
        <v>49</v>
      </c>
      <c r="N169" s="19" t="s">
        <v>896</v>
      </c>
      <c r="O169" s="19" t="s">
        <v>49</v>
      </c>
      <c r="P169" s="19" t="s">
        <v>460</v>
      </c>
      <c r="Q169" s="19" t="s">
        <v>666</v>
      </c>
      <c r="R169" s="19" t="s">
        <v>897</v>
      </c>
      <c r="S169" s="19"/>
      <c r="T169" s="19" t="s">
        <v>53</v>
      </c>
      <c r="U169" s="19" t="s">
        <v>116</v>
      </c>
      <c r="V169" s="19" t="s">
        <v>105</v>
      </c>
      <c r="W169" s="19" t="s">
        <v>56</v>
      </c>
      <c r="X169" s="19" t="s">
        <v>141</v>
      </c>
      <c r="Y169" s="19" t="s">
        <v>141</v>
      </c>
      <c r="Z169" s="19" t="s">
        <v>898</v>
      </c>
      <c r="AA169" s="19">
        <v>2</v>
      </c>
      <c r="AB169" s="19">
        <v>0</v>
      </c>
      <c r="AC169" s="19" t="s">
        <v>59</v>
      </c>
      <c r="AD169" s="19" t="s">
        <v>460</v>
      </c>
      <c r="AE169" s="19" t="s">
        <v>313</v>
      </c>
      <c r="AF169" s="19" t="s">
        <v>899</v>
      </c>
    </row>
    <row r="170" spans="1:34">
      <c r="A170" s="19">
        <v>163</v>
      </c>
      <c r="B170" s="19" t="s">
        <v>644</v>
      </c>
      <c r="C170" s="19" t="s">
        <v>246</v>
      </c>
      <c r="D170" s="19" t="str">
        <f>HYPERLINK("http://henontech.com/fieldsafety/harzard/harzard_show.php?rid=2159&amp;url=harzardrecs.php","氨水制备器入口管线阀门专用扳手未拿下，一名操作工巡检时碰落扳手，砸在右脚，医务室检查轻微外伤，接着复工")</f>
        <v>氨水制备器入口管线阀门专用扳手未拿下，一名操作工巡检时碰落扳手，砸在右脚，医务室检查轻微外伤，接着复工</v>
      </c>
      <c r="E170" s="19" t="s">
        <v>900</v>
      </c>
      <c r="F170" s="20" t="s">
        <v>42</v>
      </c>
      <c r="G170" s="21" t="s">
        <v>43</v>
      </c>
      <c r="H170" s="19" t="s">
        <v>44</v>
      </c>
      <c r="I170" s="19"/>
      <c r="J170" s="19"/>
      <c r="K170" s="19" t="s">
        <v>79</v>
      </c>
      <c r="L170" s="19" t="s">
        <v>65</v>
      </c>
      <c r="M170" s="19" t="s">
        <v>146</v>
      </c>
      <c r="N170" s="19" t="s">
        <v>901</v>
      </c>
      <c r="O170" s="19" t="s">
        <v>146</v>
      </c>
      <c r="P170" s="19" t="s">
        <v>767</v>
      </c>
      <c r="Q170" s="19" t="s">
        <v>666</v>
      </c>
      <c r="R170" s="19" t="s">
        <v>902</v>
      </c>
      <c r="S170" s="19"/>
      <c r="T170" s="19" t="s">
        <v>53</v>
      </c>
      <c r="U170" s="19" t="s">
        <v>71</v>
      </c>
      <c r="V170" s="19" t="s">
        <v>55</v>
      </c>
      <c r="W170" s="19" t="s">
        <v>72</v>
      </c>
      <c r="X170" s="19" t="s">
        <v>359</v>
      </c>
      <c r="Y170" s="19" t="s">
        <v>359</v>
      </c>
      <c r="Z170" s="19" t="s">
        <v>903</v>
      </c>
      <c r="AA170" s="19">
        <v>1</v>
      </c>
      <c r="AB170" s="19">
        <v>1</v>
      </c>
      <c r="AC170" s="19" t="s">
        <v>59</v>
      </c>
      <c r="AD170" s="19" t="s">
        <v>767</v>
      </c>
      <c r="AE170" s="19" t="s">
        <v>139</v>
      </c>
      <c r="AF170" s="19"/>
    </row>
    <row r="171" spans="1:34">
      <c r="A171" s="19">
        <v>164</v>
      </c>
      <c r="B171" s="19" t="s">
        <v>644</v>
      </c>
      <c r="C171" s="19" t="s">
        <v>904</v>
      </c>
      <c r="D171" s="19" t="str">
        <f>HYPERLINK("http://henontech.com/fieldsafety/harzard/harzard_show.php?rid=2160&amp;url=harzardrecs.php","粗苯南在生器一层平台底部有一根未固定的铁管，一名操作工巡检经过此处，有可能被因再生器震动而突然掉落的铁管砸伤肩部，造成肩部轻微疼痛’红肿，不影响生产。")</f>
        <v>粗苯南在生器一层平台底部有一根未固定的铁管，一名操作工巡检经过此处，有可能被因再生器震动而突然掉落的铁管砸伤肩部，造成肩部轻微疼痛’红肿，不影响生产。</v>
      </c>
      <c r="E171" s="19" t="s">
        <v>905</v>
      </c>
      <c r="F171" s="20" t="s">
        <v>42</v>
      </c>
      <c r="G171" s="21" t="s">
        <v>43</v>
      </c>
      <c r="H171" s="19" t="s">
        <v>44</v>
      </c>
      <c r="I171" s="19" t="s">
        <v>78</v>
      </c>
      <c r="J171" s="19" t="s">
        <v>64</v>
      </c>
      <c r="K171" s="19" t="s">
        <v>79</v>
      </c>
      <c r="L171" s="19" t="s">
        <v>65</v>
      </c>
      <c r="M171" s="19" t="s">
        <v>66</v>
      </c>
      <c r="N171" s="19" t="s">
        <v>906</v>
      </c>
      <c r="O171" s="19" t="s">
        <v>66</v>
      </c>
      <c r="P171" s="19" t="s">
        <v>68</v>
      </c>
      <c r="Q171" s="19" t="s">
        <v>907</v>
      </c>
      <c r="R171" s="19" t="s">
        <v>908</v>
      </c>
      <c r="S171" s="19"/>
      <c r="T171" s="19" t="s">
        <v>53</v>
      </c>
      <c r="U171" s="19" t="s">
        <v>71</v>
      </c>
      <c r="V171" s="19" t="s">
        <v>105</v>
      </c>
      <c r="W171" s="19" t="s">
        <v>96</v>
      </c>
      <c r="X171" s="19"/>
      <c r="Y171" s="19"/>
      <c r="Z171" s="19" t="s">
        <v>909</v>
      </c>
      <c r="AA171" s="19">
        <v>1</v>
      </c>
      <c r="AB171" s="19">
        <v>1</v>
      </c>
      <c r="AC171" s="19" t="s">
        <v>59</v>
      </c>
      <c r="AD171" s="19" t="s">
        <v>68</v>
      </c>
      <c r="AE171" s="19" t="s">
        <v>152</v>
      </c>
      <c r="AF171" s="19"/>
    </row>
    <row r="172" spans="1:34">
      <c r="A172" s="19">
        <v>165</v>
      </c>
      <c r="B172" s="19" t="s">
        <v>644</v>
      </c>
      <c r="C172" s="19" t="s">
        <v>910</v>
      </c>
      <c r="D172" s="19" t="str">
        <f>HYPERLINK("http://henontech.com/fieldsafety/harzard/harzard_show.php?rid=2161&amp;url=harzardrecs.php","维修人员为方便检修1#空压机，将机房北面两扇门摘下后未及时安上，致使中间门柱上部失去支撑，底部固定螺栓又出现了松动，一名操作工在此巡检时，门柱发生倾倒，所幸人员躲避及时，未造成损伤。")</f>
        <v>维修人员为方便检修1#空压机，将机房北面两扇门摘下后未及时安上，致使中间门柱上部失去支撑，底部固定螺栓又出现了松动，一名操作工在此巡检时，门柱发生倾倒，所幸人员躲避及时，未造成损伤。</v>
      </c>
      <c r="E172" s="19" t="s">
        <v>911</v>
      </c>
      <c r="F172" s="20" t="s">
        <v>42</v>
      </c>
      <c r="G172" s="21" t="s">
        <v>43</v>
      </c>
      <c r="H172" s="19" t="s">
        <v>44</v>
      </c>
      <c r="I172" s="19" t="s">
        <v>78</v>
      </c>
      <c r="J172" s="19" t="s">
        <v>64</v>
      </c>
      <c r="K172" s="19" t="s">
        <v>88</v>
      </c>
      <c r="L172" s="19" t="s">
        <v>65</v>
      </c>
      <c r="M172" s="19" t="s">
        <v>66</v>
      </c>
      <c r="N172" s="19" t="s">
        <v>80</v>
      </c>
      <c r="O172" s="19" t="s">
        <v>66</v>
      </c>
      <c r="P172" s="19" t="s">
        <v>68</v>
      </c>
      <c r="Q172" s="19" t="s">
        <v>907</v>
      </c>
      <c r="R172" s="19" t="s">
        <v>912</v>
      </c>
      <c r="S172" s="19"/>
      <c r="T172" s="19" t="s">
        <v>53</v>
      </c>
      <c r="U172" s="19" t="s">
        <v>94</v>
      </c>
      <c r="V172" s="19" t="s">
        <v>105</v>
      </c>
      <c r="W172" s="19" t="s">
        <v>96</v>
      </c>
      <c r="X172" s="19"/>
      <c r="Y172" s="19"/>
      <c r="Z172" s="19" t="s">
        <v>913</v>
      </c>
      <c r="AA172" s="19">
        <v>1</v>
      </c>
      <c r="AB172" s="19">
        <v>1</v>
      </c>
      <c r="AC172" s="19" t="s">
        <v>59</v>
      </c>
      <c r="AD172" s="19" t="s">
        <v>68</v>
      </c>
      <c r="AE172" s="19" t="s">
        <v>396</v>
      </c>
      <c r="AF172" s="19"/>
    </row>
    <row r="173" spans="1:34">
      <c r="A173" s="19">
        <v>166</v>
      </c>
      <c r="B173" s="19" t="s">
        <v>644</v>
      </c>
      <c r="C173" s="19" t="s">
        <v>270</v>
      </c>
      <c r="D173" s="19" t="str">
        <f>HYPERLINK("http://henontech.com/fieldsafety/harzard/harzard_show.php?rid=2162&amp;url=harzardrecs.php","1#转化炉废锅顶部人孔保护罩在检查时未盖好，人孔温度100°以上，一名操作工在巡检时，脚下打滑，滑入人孔边的空间，造成小腿下部被人孔盖烫伤，送医务室处理后就医治疗7天，损工7天")</f>
        <v>1#转化炉废锅顶部人孔保护罩在检查时未盖好，人孔温度100°以上，一名操作工在巡检时，脚下打滑，滑入人孔边的空间，造成小腿下部被人孔盖烫伤，送医务室处理后就医治疗7天，损工7天</v>
      </c>
      <c r="E173" s="19" t="s">
        <v>914</v>
      </c>
      <c r="F173" s="20" t="s">
        <v>42</v>
      </c>
      <c r="G173" s="21" t="s">
        <v>43</v>
      </c>
      <c r="H173" s="19" t="s">
        <v>44</v>
      </c>
      <c r="I173" s="19" t="s">
        <v>205</v>
      </c>
      <c r="J173" s="19" t="s">
        <v>64</v>
      </c>
      <c r="K173" s="19" t="s">
        <v>46</v>
      </c>
      <c r="L173" s="19" t="s">
        <v>65</v>
      </c>
      <c r="M173" s="19" t="s">
        <v>146</v>
      </c>
      <c r="N173" s="19" t="s">
        <v>767</v>
      </c>
      <c r="O173" s="19" t="s">
        <v>146</v>
      </c>
      <c r="P173" s="19" t="s">
        <v>767</v>
      </c>
      <c r="Q173" s="19" t="s">
        <v>666</v>
      </c>
      <c r="R173" s="19" t="s">
        <v>915</v>
      </c>
      <c r="S173" s="19"/>
      <c r="T173" s="19" t="s">
        <v>53</v>
      </c>
      <c r="U173" s="19" t="s">
        <v>54</v>
      </c>
      <c r="V173" s="19" t="s">
        <v>55</v>
      </c>
      <c r="W173" s="19" t="s">
        <v>56</v>
      </c>
      <c r="X173" s="19" t="s">
        <v>267</v>
      </c>
      <c r="Y173" s="19" t="s">
        <v>159</v>
      </c>
      <c r="Z173" s="19" t="s">
        <v>916</v>
      </c>
      <c r="AA173" s="19">
        <v>1</v>
      </c>
      <c r="AB173" s="19">
        <v>1</v>
      </c>
      <c r="AC173" s="19" t="s">
        <v>59</v>
      </c>
      <c r="AD173" s="19" t="s">
        <v>767</v>
      </c>
      <c r="AE173" s="19" t="s">
        <v>917</v>
      </c>
      <c r="AF173" s="19"/>
    </row>
    <row r="174" spans="1:34">
      <c r="A174" s="19">
        <v>167</v>
      </c>
      <c r="B174" s="19" t="s">
        <v>644</v>
      </c>
      <c r="C174" s="19" t="s">
        <v>99</v>
      </c>
      <c r="D174" s="19" t="str">
        <f>HYPERLINK("http://henontech.com/fieldsafety/harzard/harzard_show.php?rid=2163&amp;url=harzardrecs.php","假如取暖罐回水管线保温铝皮脱落，正巧一操作工巡检经过，被铝皮砸中颈部。造成颈部轻微划伤。简单处理，不影响正常工作。")</f>
        <v>假如取暖罐回水管线保温铝皮脱落，正巧一操作工巡检经过，被铝皮砸中颈部。造成颈部轻微划伤。简单处理，不影响正常工作。</v>
      </c>
      <c r="E174" s="19" t="s">
        <v>918</v>
      </c>
      <c r="F174" s="20" t="s">
        <v>42</v>
      </c>
      <c r="G174" s="21" t="s">
        <v>43</v>
      </c>
      <c r="H174" s="19" t="s">
        <v>44</v>
      </c>
      <c r="I174" s="19" t="s">
        <v>78</v>
      </c>
      <c r="J174" s="19" t="s">
        <v>64</v>
      </c>
      <c r="K174" s="19" t="s">
        <v>46</v>
      </c>
      <c r="L174" s="19" t="s">
        <v>65</v>
      </c>
      <c r="M174" s="19" t="s">
        <v>66</v>
      </c>
      <c r="N174" s="19" t="s">
        <v>919</v>
      </c>
      <c r="O174" s="19" t="s">
        <v>66</v>
      </c>
      <c r="P174" s="19" t="s">
        <v>68</v>
      </c>
      <c r="Q174" s="19" t="s">
        <v>907</v>
      </c>
      <c r="R174" s="19" t="s">
        <v>920</v>
      </c>
      <c r="S174" s="19"/>
      <c r="T174" s="19" t="s">
        <v>53</v>
      </c>
      <c r="U174" s="19" t="s">
        <v>71</v>
      </c>
      <c r="V174" s="19" t="s">
        <v>105</v>
      </c>
      <c r="W174" s="19" t="s">
        <v>96</v>
      </c>
      <c r="X174" s="19"/>
      <c r="Y174" s="19"/>
      <c r="Z174" s="19" t="s">
        <v>921</v>
      </c>
      <c r="AA174" s="19">
        <v>1</v>
      </c>
      <c r="AB174" s="19">
        <v>1</v>
      </c>
      <c r="AC174" s="19" t="s">
        <v>59</v>
      </c>
      <c r="AD174" s="19" t="s">
        <v>68</v>
      </c>
      <c r="AE174" s="19" t="s">
        <v>922</v>
      </c>
      <c r="AF174" s="19"/>
    </row>
    <row r="175" spans="1:34" customHeight="1" ht="42">
      <c r="A175" s="19">
        <v>168</v>
      </c>
      <c r="B175" s="19" t="s">
        <v>644</v>
      </c>
      <c r="C175" s="19" t="s">
        <v>656</v>
      </c>
      <c r="D175" s="19" t="str">
        <f>HYPERLINK("http://henontech.com/fieldsafety/harzard/harzard_show.php?rid=2164&amp;url=harzardrecs.php","煤棚西侧路面中间篦子缺失，人员行走不慎掉落水沟造成腿部骨折，住院治疗一个月，在家休养2个月，误工90天")</f>
        <v>煤棚西侧路面中间篦子缺失，人员行走不慎掉落水沟造成腿部骨折，住院治疗一个月，在家休养2个月，误工90天</v>
      </c>
      <c r="E175" s="19" t="s">
        <v>923</v>
      </c>
      <c r="F175" s="20" t="s">
        <v>42</v>
      </c>
      <c r="G175" s="24" t="s">
        <v>534</v>
      </c>
      <c r="H175" s="19" t="s">
        <v>44</v>
      </c>
      <c r="I175" s="19" t="s">
        <v>129</v>
      </c>
      <c r="J175" s="19" t="s">
        <v>64</v>
      </c>
      <c r="K175" s="19" t="s">
        <v>46</v>
      </c>
      <c r="L175" s="19" t="s">
        <v>65</v>
      </c>
      <c r="M175" s="19" t="s">
        <v>66</v>
      </c>
      <c r="N175" s="19" t="s">
        <v>924</v>
      </c>
      <c r="O175" s="19" t="s">
        <v>633</v>
      </c>
      <c r="P175" s="19" t="s">
        <v>924</v>
      </c>
      <c r="Q175" s="19" t="s">
        <v>666</v>
      </c>
      <c r="R175" s="19" t="s">
        <v>925</v>
      </c>
      <c r="S175" s="19" t="s">
        <v>926</v>
      </c>
      <c r="T175" s="19" t="s">
        <v>53</v>
      </c>
      <c r="U175" s="19" t="s">
        <v>71</v>
      </c>
      <c r="V175" s="19" t="s">
        <v>105</v>
      </c>
      <c r="W175" s="19" t="s">
        <v>96</v>
      </c>
      <c r="X175" s="19" t="s">
        <v>150</v>
      </c>
      <c r="Y175" s="19" t="s">
        <v>150</v>
      </c>
      <c r="Z175" s="19" t="s">
        <v>927</v>
      </c>
      <c r="AA175" s="19">
        <v>2</v>
      </c>
      <c r="AB175" s="19">
        <v>2</v>
      </c>
      <c r="AC175" s="19" t="s">
        <v>59</v>
      </c>
      <c r="AD175" s="19" t="s">
        <v>924</v>
      </c>
      <c r="AE175" s="19" t="s">
        <v>644</v>
      </c>
      <c r="AF175" s="19" t="s">
        <v>928</v>
      </c>
    </row>
    <row r="176" spans="1:34">
      <c r="A176" s="19">
        <v>169</v>
      </c>
      <c r="B176" s="19" t="s">
        <v>644</v>
      </c>
      <c r="C176" s="19" t="s">
        <v>929</v>
      </c>
      <c r="D176" s="19" t="str">
        <f>HYPERLINK("http://henontech.com/fieldsafety/harzard/harzard_show.php?rid=2165&amp;url=harzardrecs.php","精炼分离器上部，检修时用的脚手板及铁管等，未及时清理干净。1名巡检人员在上去巡检时，不小心被脚手板绊倒，手臂擦伤，经医务人员包扎后继续上班。")</f>
        <v>精炼分离器上部，检修时用的脚手板及铁管等，未及时清理干净。1名巡检人员在上去巡检时，不小心被脚手板绊倒，手臂擦伤，经医务人员包扎后继续上班。</v>
      </c>
      <c r="E176" s="19" t="s">
        <v>930</v>
      </c>
      <c r="F176" s="20" t="s">
        <v>42</v>
      </c>
      <c r="G176" s="21" t="s">
        <v>43</v>
      </c>
      <c r="H176" s="19" t="s">
        <v>44</v>
      </c>
      <c r="I176" s="19" t="s">
        <v>205</v>
      </c>
      <c r="J176" s="19" t="s">
        <v>87</v>
      </c>
      <c r="K176" s="19" t="s">
        <v>46</v>
      </c>
      <c r="L176" s="19"/>
      <c r="M176" s="19" t="s">
        <v>146</v>
      </c>
      <c r="N176" s="19" t="s">
        <v>931</v>
      </c>
      <c r="O176" s="19" t="s">
        <v>146</v>
      </c>
      <c r="P176" s="19" t="s">
        <v>767</v>
      </c>
      <c r="Q176" s="19" t="s">
        <v>666</v>
      </c>
      <c r="R176" s="19" t="s">
        <v>932</v>
      </c>
      <c r="S176" s="19"/>
      <c r="T176" s="19" t="s">
        <v>53</v>
      </c>
      <c r="U176" s="19" t="s">
        <v>71</v>
      </c>
      <c r="V176" s="19" t="s">
        <v>105</v>
      </c>
      <c r="W176" s="19" t="s">
        <v>96</v>
      </c>
      <c r="X176" s="19" t="s">
        <v>570</v>
      </c>
      <c r="Y176" s="19" t="s">
        <v>570</v>
      </c>
      <c r="Z176" s="19" t="s">
        <v>933</v>
      </c>
      <c r="AA176" s="19">
        <v>1</v>
      </c>
      <c r="AB176" s="19">
        <v>1</v>
      </c>
      <c r="AC176" s="19" t="s">
        <v>59</v>
      </c>
      <c r="AD176" s="19" t="s">
        <v>767</v>
      </c>
      <c r="AE176" s="19" t="s">
        <v>334</v>
      </c>
      <c r="AF176" s="19"/>
    </row>
    <row r="177" spans="1:34" customHeight="1" ht="42">
      <c r="A177" s="19">
        <v>170</v>
      </c>
      <c r="B177" s="19" t="s">
        <v>644</v>
      </c>
      <c r="C177" s="19" t="s">
        <v>934</v>
      </c>
      <c r="D177" s="19" t="str">
        <f>HYPERLINK("http://henontech.com/fieldsafety/harzard/harzard_show.php?rid=2166&amp;url=harzardrecs.php","东六后尾除尘管线清理门开关缺失，造成喷煤现象，造成环境污染")</f>
        <v>东六后尾除尘管线清理门开关缺失，造成喷煤现象，造成环境污染</v>
      </c>
      <c r="E177" s="19" t="s">
        <v>935</v>
      </c>
      <c r="F177" s="20" t="s">
        <v>42</v>
      </c>
      <c r="G177" s="21" t="s">
        <v>43</v>
      </c>
      <c r="H177" s="19" t="s">
        <v>936</v>
      </c>
      <c r="I177" s="19" t="s">
        <v>129</v>
      </c>
      <c r="J177" s="19" t="s">
        <v>64</v>
      </c>
      <c r="K177" s="19" t="s">
        <v>88</v>
      </c>
      <c r="L177" s="19" t="s">
        <v>65</v>
      </c>
      <c r="M177" s="19" t="s">
        <v>633</v>
      </c>
      <c r="N177" s="19" t="s">
        <v>924</v>
      </c>
      <c r="O177" s="19" t="s">
        <v>633</v>
      </c>
      <c r="P177" s="19" t="s">
        <v>924</v>
      </c>
      <c r="Q177" s="19" t="s">
        <v>666</v>
      </c>
      <c r="R177" s="19" t="s">
        <v>937</v>
      </c>
      <c r="S177" s="19" t="s">
        <v>938</v>
      </c>
      <c r="T177" s="19" t="s">
        <v>392</v>
      </c>
      <c r="U177" s="19" t="s">
        <v>94</v>
      </c>
      <c r="V177" s="19" t="s">
        <v>193</v>
      </c>
      <c r="W177" s="19" t="s">
        <v>96</v>
      </c>
      <c r="X177" s="19" t="s">
        <v>150</v>
      </c>
      <c r="Y177" s="19" t="s">
        <v>150</v>
      </c>
      <c r="Z177" s="19" t="s">
        <v>939</v>
      </c>
      <c r="AA177" s="19">
        <v>2</v>
      </c>
      <c r="AB177" s="19">
        <v>2</v>
      </c>
      <c r="AC177" s="19" t="s">
        <v>59</v>
      </c>
      <c r="AD177" s="19" t="s">
        <v>924</v>
      </c>
      <c r="AE177" s="19" t="s">
        <v>644</v>
      </c>
      <c r="AF177" s="19" t="s">
        <v>940</v>
      </c>
    </row>
    <row r="178" spans="1:34">
      <c r="A178" s="19">
        <v>171</v>
      </c>
      <c r="B178" s="19" t="s">
        <v>644</v>
      </c>
      <c r="C178" s="19" t="s">
        <v>941</v>
      </c>
      <c r="D178" s="19" t="str">
        <f>HYPERLINK("http://henontech.com/fieldsafety/harzard/harzard_show.php?rid=2167&amp;url=harzardrecs.php","三万气柜地沟盖板缺失，一名操作工在巡检时不慎踏入地沟，造成小腿骨折住院10天，休息90天。")</f>
        <v>三万气柜地沟盖板缺失，一名操作工在巡检时不慎踏入地沟，造成小腿骨折住院10天，休息90天。</v>
      </c>
      <c r="E178" s="19" t="s">
        <v>942</v>
      </c>
      <c r="F178" s="20" t="s">
        <v>42</v>
      </c>
      <c r="G178" s="21" t="s">
        <v>43</v>
      </c>
      <c r="H178" s="19" t="s">
        <v>44</v>
      </c>
      <c r="I178" s="19"/>
      <c r="J178" s="19" t="s">
        <v>64</v>
      </c>
      <c r="K178" s="19"/>
      <c r="L178" s="19"/>
      <c r="M178" s="19" t="s">
        <v>146</v>
      </c>
      <c r="N178" s="19" t="s">
        <v>943</v>
      </c>
      <c r="O178" s="19" t="s">
        <v>146</v>
      </c>
      <c r="P178" s="19" t="s">
        <v>767</v>
      </c>
      <c r="Q178" s="19" t="s">
        <v>666</v>
      </c>
      <c r="R178" s="19" t="s">
        <v>944</v>
      </c>
      <c r="S178" s="19"/>
      <c r="T178" s="19" t="s">
        <v>53</v>
      </c>
      <c r="U178" s="19" t="s">
        <v>54</v>
      </c>
      <c r="V178" s="19" t="s">
        <v>105</v>
      </c>
      <c r="W178" s="19" t="s">
        <v>72</v>
      </c>
      <c r="X178" s="19" t="s">
        <v>267</v>
      </c>
      <c r="Y178" s="19" t="s">
        <v>159</v>
      </c>
      <c r="Z178" s="19" t="s">
        <v>945</v>
      </c>
      <c r="AA178" s="19">
        <v>1</v>
      </c>
      <c r="AB178" s="19">
        <v>1</v>
      </c>
      <c r="AC178" s="19" t="s">
        <v>59</v>
      </c>
      <c r="AD178" s="19" t="s">
        <v>767</v>
      </c>
      <c r="AE178" s="19" t="s">
        <v>334</v>
      </c>
      <c r="AF178" s="19"/>
    </row>
    <row r="179" spans="1:34">
      <c r="A179" s="19">
        <v>172</v>
      </c>
      <c r="B179" s="19" t="s">
        <v>644</v>
      </c>
      <c r="C179" s="19" t="s">
        <v>929</v>
      </c>
      <c r="D179" s="19" t="str">
        <f>HYPERLINK("http://henontech.com/fieldsafety/harzard/harzard_show.php?rid=2168&amp;url=harzardrecs.php","精炼地缸处加醋酸，由于倒淋管高出地面，操作工往地缸盖上提放醋酸桶时被倒淋管绊倒，轻微擦伤。")</f>
        <v>精炼地缸处加醋酸，由于倒淋管高出地面，操作工往地缸盖上提放醋酸桶时被倒淋管绊倒，轻微擦伤。</v>
      </c>
      <c r="E179" s="19" t="s">
        <v>946</v>
      </c>
      <c r="F179" s="20" t="s">
        <v>42</v>
      </c>
      <c r="G179" s="21" t="s">
        <v>43</v>
      </c>
      <c r="H179" s="19" t="s">
        <v>44</v>
      </c>
      <c r="I179" s="19"/>
      <c r="J179" s="19" t="s">
        <v>64</v>
      </c>
      <c r="K179" s="19" t="s">
        <v>46</v>
      </c>
      <c r="L179" s="19"/>
      <c r="M179" s="19" t="s">
        <v>146</v>
      </c>
      <c r="N179" s="19" t="s">
        <v>947</v>
      </c>
      <c r="O179" s="19" t="s">
        <v>146</v>
      </c>
      <c r="P179" s="19" t="s">
        <v>767</v>
      </c>
      <c r="Q179" s="19" t="s">
        <v>666</v>
      </c>
      <c r="R179" s="19" t="s">
        <v>948</v>
      </c>
      <c r="S179" s="19"/>
      <c r="T179" s="19" t="s">
        <v>53</v>
      </c>
      <c r="U179" s="19" t="s">
        <v>71</v>
      </c>
      <c r="V179" s="19" t="s">
        <v>105</v>
      </c>
      <c r="W179" s="19" t="s">
        <v>96</v>
      </c>
      <c r="X179" s="19" t="s">
        <v>57</v>
      </c>
      <c r="Y179" s="19" t="s">
        <v>57</v>
      </c>
      <c r="Z179" s="19" t="s">
        <v>949</v>
      </c>
      <c r="AA179" s="19">
        <v>1</v>
      </c>
      <c r="AB179" s="19">
        <v>0</v>
      </c>
      <c r="AC179" s="19" t="s">
        <v>59</v>
      </c>
      <c r="AD179" s="19" t="s">
        <v>767</v>
      </c>
      <c r="AE179" s="19" t="s">
        <v>917</v>
      </c>
      <c r="AF179" s="19" t="s">
        <v>950</v>
      </c>
    </row>
    <row r="180" spans="1:34">
      <c r="A180" s="19">
        <v>173</v>
      </c>
      <c r="B180" s="19" t="s">
        <v>644</v>
      </c>
      <c r="C180" s="19" t="s">
        <v>427</v>
      </c>
      <c r="D180" s="19" t="str">
        <f>HYPERLINK("http://henontech.com/fieldsafety/harzard/harzard_show.php?rid=2169&amp;url=harzardrecs.php","循环机操作室顶蒸汽管线保温破损，一名巡检工在开关阀门时小腿被烫伤，住院治疗30天后复工上班。")</f>
        <v>循环机操作室顶蒸汽管线保温破损，一名巡检工在开关阀门时小腿被烫伤，住院治疗30天后复工上班。</v>
      </c>
      <c r="E180" s="19" t="s">
        <v>951</v>
      </c>
      <c r="F180" s="20" t="s">
        <v>42</v>
      </c>
      <c r="G180" s="21" t="s">
        <v>43</v>
      </c>
      <c r="H180" s="19" t="s">
        <v>44</v>
      </c>
      <c r="I180" s="19"/>
      <c r="J180" s="19" t="s">
        <v>64</v>
      </c>
      <c r="K180" s="19" t="s">
        <v>46</v>
      </c>
      <c r="L180" s="19"/>
      <c r="M180" s="19" t="s">
        <v>146</v>
      </c>
      <c r="N180" s="19" t="s">
        <v>855</v>
      </c>
      <c r="O180" s="19" t="s">
        <v>146</v>
      </c>
      <c r="P180" s="19" t="s">
        <v>767</v>
      </c>
      <c r="Q180" s="19" t="s">
        <v>666</v>
      </c>
      <c r="R180" s="19" t="s">
        <v>856</v>
      </c>
      <c r="S180" s="19"/>
      <c r="T180" s="19" t="s">
        <v>53</v>
      </c>
      <c r="U180" s="19" t="s">
        <v>54</v>
      </c>
      <c r="V180" s="19" t="s">
        <v>55</v>
      </c>
      <c r="W180" s="19" t="s">
        <v>56</v>
      </c>
      <c r="X180" s="19" t="s">
        <v>57</v>
      </c>
      <c r="Y180" s="19" t="s">
        <v>57</v>
      </c>
      <c r="Z180" s="19" t="s">
        <v>952</v>
      </c>
      <c r="AA180" s="19">
        <v>1</v>
      </c>
      <c r="AB180" s="19">
        <v>0</v>
      </c>
      <c r="AC180" s="19" t="s">
        <v>59</v>
      </c>
      <c r="AD180" s="19" t="s">
        <v>767</v>
      </c>
      <c r="AE180" s="19" t="s">
        <v>334</v>
      </c>
      <c r="AF180" s="19" t="s">
        <v>953</v>
      </c>
    </row>
    <row r="181" spans="1:34">
      <c r="A181" s="19">
        <v>174</v>
      </c>
      <c r="B181" s="19" t="s">
        <v>644</v>
      </c>
      <c r="C181" s="19" t="s">
        <v>954</v>
      </c>
      <c r="D181" s="19" t="str">
        <f>HYPERLINK("http://henontech.com/fieldsafety/harzard/harzard_show.php?rid=2171&amp;url=harzardrecs.php","加热器倒淋管的弯头处经长期使用出现裂痕，造成蒸汽泄漏，水汽从保温层冒出滴落，一名巡检人员在下方巡检维护设备时，被烫伤，送医务室处理后复工。")</f>
        <v>加热器倒淋管的弯头处经长期使用出现裂痕，造成蒸汽泄漏，水汽从保温层冒出滴落，一名巡检人员在下方巡检维护设备时，被烫伤，送医务室处理后复工。</v>
      </c>
      <c r="E181" s="19" t="s">
        <v>955</v>
      </c>
      <c r="F181" s="20" t="s">
        <v>42</v>
      </c>
      <c r="G181" s="22" t="s">
        <v>111</v>
      </c>
      <c r="H181" s="19" t="s">
        <v>44</v>
      </c>
      <c r="I181" s="19"/>
      <c r="J181" s="19" t="s">
        <v>64</v>
      </c>
      <c r="K181" s="19" t="s">
        <v>46</v>
      </c>
      <c r="L181" s="19" t="s">
        <v>662</v>
      </c>
      <c r="M181" s="19" t="s">
        <v>146</v>
      </c>
      <c r="N181" s="19" t="s">
        <v>956</v>
      </c>
      <c r="O181" s="19" t="s">
        <v>146</v>
      </c>
      <c r="P181" s="19" t="s">
        <v>767</v>
      </c>
      <c r="Q181" s="19" t="s">
        <v>666</v>
      </c>
      <c r="R181" s="19" t="s">
        <v>957</v>
      </c>
      <c r="S181" s="19"/>
      <c r="T181" s="19" t="s">
        <v>53</v>
      </c>
      <c r="U181" s="19" t="s">
        <v>71</v>
      </c>
      <c r="V181" s="19" t="s">
        <v>55</v>
      </c>
      <c r="W181" s="19" t="s">
        <v>72</v>
      </c>
      <c r="X181" s="19" t="s">
        <v>570</v>
      </c>
      <c r="Y181" s="19" t="s">
        <v>570</v>
      </c>
      <c r="Z181" s="19" t="s">
        <v>958</v>
      </c>
      <c r="AA181" s="19">
        <v>1</v>
      </c>
      <c r="AB181" s="19">
        <v>1</v>
      </c>
      <c r="AC181" s="19" t="s">
        <v>59</v>
      </c>
      <c r="AD181" s="19" t="s">
        <v>767</v>
      </c>
      <c r="AE181" s="19" t="s">
        <v>334</v>
      </c>
      <c r="AF181" s="19" t="s">
        <v>959</v>
      </c>
    </row>
    <row r="182" spans="1:34">
      <c r="A182" s="19">
        <v>175</v>
      </c>
      <c r="B182" s="19" t="s">
        <v>644</v>
      </c>
      <c r="C182" s="19" t="s">
        <v>603</v>
      </c>
      <c r="D182" s="19" t="str">
        <f>HYPERLINK("http://henontech.com/fieldsafety/harzard/harzard_show.php?rid=2172&amp;url=harzardrecs.php","循环水污水处理站平台，有一木棍横在平台上，夜间有一操作工，巡检时，不慎拌倒，造成手腕扑伤，经去医院检查，手腕脱臼，休息三天，损工三天。")</f>
        <v>循环水污水处理站平台，有一木棍横在平台上，夜间有一操作工，巡检时，不慎拌倒，造成手腕扑伤，经去医院检查，手腕脱臼，休息三天，损工三天。</v>
      </c>
      <c r="E182" s="19" t="s">
        <v>960</v>
      </c>
      <c r="F182" s="20" t="s">
        <v>42</v>
      </c>
      <c r="G182" s="21" t="s">
        <v>43</v>
      </c>
      <c r="H182" s="19" t="s">
        <v>44</v>
      </c>
      <c r="I182" s="19" t="s">
        <v>129</v>
      </c>
      <c r="J182" s="19" t="s">
        <v>87</v>
      </c>
      <c r="K182" s="19" t="s">
        <v>46</v>
      </c>
      <c r="L182" s="19" t="s">
        <v>65</v>
      </c>
      <c r="M182" s="19" t="s">
        <v>146</v>
      </c>
      <c r="N182" s="19" t="s">
        <v>961</v>
      </c>
      <c r="O182" s="19" t="s">
        <v>146</v>
      </c>
      <c r="P182" s="19" t="s">
        <v>767</v>
      </c>
      <c r="Q182" s="19" t="s">
        <v>666</v>
      </c>
      <c r="R182" s="19" t="s">
        <v>962</v>
      </c>
      <c r="S182" s="19"/>
      <c r="T182" s="19" t="s">
        <v>53</v>
      </c>
      <c r="U182" s="19" t="s">
        <v>54</v>
      </c>
      <c r="V182" s="19" t="s">
        <v>55</v>
      </c>
      <c r="W182" s="19" t="s">
        <v>56</v>
      </c>
      <c r="X182" s="19" t="s">
        <v>267</v>
      </c>
      <c r="Y182" s="19" t="s">
        <v>159</v>
      </c>
      <c r="Z182" s="19" t="s">
        <v>963</v>
      </c>
      <c r="AA182" s="19">
        <v>1</v>
      </c>
      <c r="AB182" s="19">
        <v>1</v>
      </c>
      <c r="AC182" s="19" t="s">
        <v>59</v>
      </c>
      <c r="AD182" s="19" t="s">
        <v>767</v>
      </c>
      <c r="AE182" s="19" t="s">
        <v>917</v>
      </c>
      <c r="AF182" s="19"/>
    </row>
    <row r="183" spans="1:34">
      <c r="A183" s="19">
        <v>176</v>
      </c>
      <c r="B183" s="19" t="s">
        <v>644</v>
      </c>
      <c r="C183" s="19" t="s">
        <v>266</v>
      </c>
      <c r="D183" s="19" t="str">
        <f>HYPERLINK("http://henontech.com/fieldsafety/harzard/harzard_show.php?rid=2173&amp;url=harzardrecs.php","操作工夜间巡查时，经过冷却泵时，被地面杂乱的黑皮管绊倒，造成小腿骨折")</f>
        <v>操作工夜间巡查时，经过冷却泵时，被地面杂乱的黑皮管绊倒，造成小腿骨折</v>
      </c>
      <c r="E183" s="19" t="s">
        <v>964</v>
      </c>
      <c r="F183" s="20" t="s">
        <v>42</v>
      </c>
      <c r="G183" s="21" t="s">
        <v>43</v>
      </c>
      <c r="H183" s="19" t="s">
        <v>44</v>
      </c>
      <c r="I183" s="19" t="s">
        <v>78</v>
      </c>
      <c r="J183" s="19" t="s">
        <v>64</v>
      </c>
      <c r="K183" s="19" t="s">
        <v>88</v>
      </c>
      <c r="L183" s="19" t="s">
        <v>65</v>
      </c>
      <c r="M183" s="19" t="s">
        <v>146</v>
      </c>
      <c r="N183" s="19" t="s">
        <v>965</v>
      </c>
      <c r="O183" s="19" t="s">
        <v>146</v>
      </c>
      <c r="P183" s="19" t="s">
        <v>767</v>
      </c>
      <c r="Q183" s="19" t="s">
        <v>666</v>
      </c>
      <c r="R183" s="19" t="s">
        <v>966</v>
      </c>
      <c r="S183" s="19"/>
      <c r="T183" s="19" t="s">
        <v>53</v>
      </c>
      <c r="U183" s="19" t="s">
        <v>54</v>
      </c>
      <c r="V183" s="19" t="s">
        <v>55</v>
      </c>
      <c r="W183" s="19" t="s">
        <v>56</v>
      </c>
      <c r="X183" s="19" t="s">
        <v>267</v>
      </c>
      <c r="Y183" s="19" t="s">
        <v>159</v>
      </c>
      <c r="Z183" s="19" t="s">
        <v>967</v>
      </c>
      <c r="AA183" s="19">
        <v>1</v>
      </c>
      <c r="AB183" s="19">
        <v>1</v>
      </c>
      <c r="AC183" s="19" t="s">
        <v>59</v>
      </c>
      <c r="AD183" s="19" t="s">
        <v>767</v>
      </c>
      <c r="AE183" s="19" t="s">
        <v>917</v>
      </c>
      <c r="AF183" s="19"/>
    </row>
    <row r="184" spans="1:34">
      <c r="A184" s="19">
        <v>177</v>
      </c>
      <c r="B184" s="19" t="s">
        <v>131</v>
      </c>
      <c r="C184" s="19" t="s">
        <v>968</v>
      </c>
      <c r="D184" s="19" t="str">
        <f>HYPERLINK("http://henontech.com/fieldsafety/harzard/harzard_show.php?rid=2175&amp;url=harzardrecs.php","软水加热器爬梯上悬挂旧包温铝皮，一名操作工巡检时，被旧铝皮砸中颈部，造成颈部划伤。")</f>
        <v>软水加热器爬梯上悬挂旧包温铝皮，一名操作工巡检时，被旧铝皮砸中颈部，造成颈部划伤。</v>
      </c>
      <c r="E184" s="19" t="s">
        <v>969</v>
      </c>
      <c r="F184" s="23" t="s">
        <v>227</v>
      </c>
      <c r="G184" s="21" t="s">
        <v>43</v>
      </c>
      <c r="H184" s="19" t="s">
        <v>44</v>
      </c>
      <c r="I184" s="19" t="s">
        <v>129</v>
      </c>
      <c r="J184" s="19"/>
      <c r="K184" s="19" t="s">
        <v>79</v>
      </c>
      <c r="L184" s="19"/>
      <c r="M184" s="19" t="s">
        <v>146</v>
      </c>
      <c r="N184" s="19" t="s">
        <v>970</v>
      </c>
      <c r="O184" s="19"/>
      <c r="P184" s="19"/>
      <c r="Q184" s="19"/>
      <c r="R184" s="19" t="s">
        <v>971</v>
      </c>
      <c r="S184" s="19" t="s">
        <v>972</v>
      </c>
      <c r="T184" s="19" t="s">
        <v>53</v>
      </c>
      <c r="U184" s="19" t="s">
        <v>71</v>
      </c>
      <c r="V184" s="19" t="s">
        <v>105</v>
      </c>
      <c r="W184" s="19" t="s">
        <v>96</v>
      </c>
      <c r="X184" s="19"/>
      <c r="Y184" s="19"/>
      <c r="Z184" s="19"/>
      <c r="AA184" s="19">
        <v>0</v>
      </c>
      <c r="AB184" s="19"/>
      <c r="AC184" s="19" t="s">
        <v>233</v>
      </c>
      <c r="AD184" s="19"/>
      <c r="AE184" s="19"/>
      <c r="AF184" s="19"/>
    </row>
    <row r="185" spans="1:34">
      <c r="A185" s="19">
        <v>178</v>
      </c>
      <c r="B185" s="19" t="s">
        <v>131</v>
      </c>
      <c r="C185" s="19" t="s">
        <v>263</v>
      </c>
      <c r="D185" s="19" t="str">
        <f>HYPERLINK("http://henontech.com/fieldsafety/harzard/harzard_show.php?rid=2177&amp;url=harzardrecs.php","夜间操作工巡查时，路过冷却泵时被地面杂乱的黑皮管绊倒，造成小腿骨折")</f>
        <v>夜间操作工巡查时，路过冷却泵时被地面杂乱的黑皮管绊倒，造成小腿骨折</v>
      </c>
      <c r="E185" s="19" t="s">
        <v>964</v>
      </c>
      <c r="F185" s="20" t="s">
        <v>42</v>
      </c>
      <c r="G185" s="21" t="s">
        <v>43</v>
      </c>
      <c r="H185" s="19" t="s">
        <v>44</v>
      </c>
      <c r="I185" s="19" t="s">
        <v>78</v>
      </c>
      <c r="J185" s="19" t="s">
        <v>64</v>
      </c>
      <c r="K185" s="19" t="s">
        <v>88</v>
      </c>
      <c r="L185" s="19" t="s">
        <v>65</v>
      </c>
      <c r="M185" s="19" t="s">
        <v>146</v>
      </c>
      <c r="N185" s="19" t="s">
        <v>965</v>
      </c>
      <c r="O185" s="19" t="s">
        <v>146</v>
      </c>
      <c r="P185" s="19" t="s">
        <v>767</v>
      </c>
      <c r="Q185" s="19" t="s">
        <v>422</v>
      </c>
      <c r="R185" s="19" t="s">
        <v>966</v>
      </c>
      <c r="S185" s="19"/>
      <c r="T185" s="19" t="s">
        <v>53</v>
      </c>
      <c r="U185" s="19" t="s">
        <v>54</v>
      </c>
      <c r="V185" s="19" t="s">
        <v>55</v>
      </c>
      <c r="W185" s="19" t="s">
        <v>56</v>
      </c>
      <c r="X185" s="19" t="s">
        <v>267</v>
      </c>
      <c r="Y185" s="19" t="s">
        <v>159</v>
      </c>
      <c r="Z185" s="19" t="s">
        <v>973</v>
      </c>
      <c r="AA185" s="19">
        <v>1</v>
      </c>
      <c r="AB185" s="19">
        <v>1</v>
      </c>
      <c r="AC185" s="19" t="s">
        <v>59</v>
      </c>
      <c r="AD185" s="19" t="s">
        <v>767</v>
      </c>
      <c r="AE185" s="19" t="s">
        <v>917</v>
      </c>
      <c r="AF185" s="19"/>
    </row>
    <row r="186" spans="1:34">
      <c r="A186" s="19">
        <v>179</v>
      </c>
      <c r="B186" s="19" t="s">
        <v>131</v>
      </c>
      <c r="C186" s="19" t="s">
        <v>494</v>
      </c>
      <c r="D186" s="19" t="str">
        <f>HYPERLINK("http://henontech.com/fieldsafety/harzard/harzard_show.php?rid=2180&amp;url=harzardrecs.php","外协人员在粗苯区域西距离地面约4米的框架上安装废气回收管道时，安全意识不强，安全带未按规定规范使用，如果不注意，可能从框架上坠落，造成左小腿骨折，送医治疗15天出院，在家休养3个月复工。")</f>
        <v>外协人员在粗苯区域西距离地面约4米的框架上安装废气回收管道时，安全意识不强，安全带未按规定规范使用，如果不注意，可能从框架上坠落，造成左小腿骨折，送医治疗15天出院，在家休养3个月复工。</v>
      </c>
      <c r="E186" s="19" t="s">
        <v>974</v>
      </c>
      <c r="F186" s="20" t="s">
        <v>42</v>
      </c>
      <c r="G186" s="22" t="s">
        <v>111</v>
      </c>
      <c r="H186" s="19" t="s">
        <v>44</v>
      </c>
      <c r="I186" s="19" t="s">
        <v>205</v>
      </c>
      <c r="J186" s="19" t="s">
        <v>45</v>
      </c>
      <c r="K186" s="19" t="s">
        <v>46</v>
      </c>
      <c r="L186" s="19" t="s">
        <v>65</v>
      </c>
      <c r="M186" s="19" t="s">
        <v>66</v>
      </c>
      <c r="N186" s="19" t="s">
        <v>975</v>
      </c>
      <c r="O186" s="19" t="s">
        <v>66</v>
      </c>
      <c r="P186" s="19" t="s">
        <v>68</v>
      </c>
      <c r="Q186" s="19" t="s">
        <v>907</v>
      </c>
      <c r="R186" s="19" t="s">
        <v>976</v>
      </c>
      <c r="S186" s="19"/>
      <c r="T186" s="19" t="s">
        <v>53</v>
      </c>
      <c r="U186" s="19" t="s">
        <v>54</v>
      </c>
      <c r="V186" s="19" t="s">
        <v>105</v>
      </c>
      <c r="W186" s="19" t="s">
        <v>72</v>
      </c>
      <c r="X186" s="19"/>
      <c r="Y186" s="19"/>
      <c r="Z186" s="19" t="s">
        <v>977</v>
      </c>
      <c r="AA186" s="19">
        <v>1</v>
      </c>
      <c r="AB186" s="19">
        <v>1</v>
      </c>
      <c r="AC186" s="19" t="s">
        <v>59</v>
      </c>
      <c r="AD186" s="19" t="s">
        <v>68</v>
      </c>
      <c r="AE186" s="19" t="s">
        <v>568</v>
      </c>
      <c r="AF186" s="19"/>
    </row>
    <row r="187" spans="1:34" customHeight="1" ht="42">
      <c r="A187" s="19">
        <v>180</v>
      </c>
      <c r="B187" s="19" t="s">
        <v>131</v>
      </c>
      <c r="C187" s="19" t="s">
        <v>135</v>
      </c>
      <c r="D187" s="19" t="str">
        <f>HYPERLINK("http://henontech.com/fieldsafety/harzard/harzard_show.php?rid=2181&amp;url=harzardrecs.php","干熄焦环境除尘西侧除尘管道.距地面七米框架处有一废旧钢筋，若遇大风天气，钢筋掉落，砸伤过路行人肩部，在家修养两天")</f>
        <v>干熄焦环境除尘西侧除尘管道.距地面七米框架处有一废旧钢筋，若遇大风天气，钢筋掉落，砸伤过路行人肩部，在家修养两天</v>
      </c>
      <c r="E187" s="19" t="s">
        <v>978</v>
      </c>
      <c r="F187" s="20" t="s">
        <v>42</v>
      </c>
      <c r="G187" s="21" t="s">
        <v>43</v>
      </c>
      <c r="H187" s="19" t="s">
        <v>44</v>
      </c>
      <c r="I187" s="19"/>
      <c r="J187" s="19" t="s">
        <v>308</v>
      </c>
      <c r="K187" s="19"/>
      <c r="L187" s="19"/>
      <c r="M187" s="19" t="s">
        <v>49</v>
      </c>
      <c r="N187" s="19" t="s">
        <v>979</v>
      </c>
      <c r="O187" s="19" t="s">
        <v>49</v>
      </c>
      <c r="P187" s="19" t="s">
        <v>138</v>
      </c>
      <c r="Q187" s="19" t="s">
        <v>907</v>
      </c>
      <c r="R187" s="19" t="s">
        <v>980</v>
      </c>
      <c r="S187" s="19" t="s">
        <v>981</v>
      </c>
      <c r="T187" s="19" t="s">
        <v>53</v>
      </c>
      <c r="U187" s="19" t="s">
        <v>54</v>
      </c>
      <c r="V187" s="19" t="s">
        <v>105</v>
      </c>
      <c r="W187" s="19" t="s">
        <v>72</v>
      </c>
      <c r="X187" s="19" t="s">
        <v>150</v>
      </c>
      <c r="Y187" s="19" t="s">
        <v>150</v>
      </c>
      <c r="Z187" s="19" t="s">
        <v>982</v>
      </c>
      <c r="AA187" s="19">
        <v>2</v>
      </c>
      <c r="AB187" s="19">
        <v>2</v>
      </c>
      <c r="AC187" s="19" t="s">
        <v>59</v>
      </c>
      <c r="AD187" s="19" t="s">
        <v>138</v>
      </c>
      <c r="AE187" s="19" t="s">
        <v>463</v>
      </c>
      <c r="AF187" s="19"/>
    </row>
    <row r="188" spans="1:34" customHeight="1" ht="42">
      <c r="A188" s="19">
        <v>181</v>
      </c>
      <c r="B188" s="19" t="s">
        <v>131</v>
      </c>
      <c r="C188" s="19" t="s">
        <v>49</v>
      </c>
      <c r="D188" s="19" t="str">
        <f>HYPERLINK("http://henontech.com/fieldsafety/harzard/harzard_show.php?rid=2182&amp;url=harzardrecs.php","炉顶旋臂吊处，一槽钢横放在端台上，一名职工在夜间工作时，因视线不好被槽钢绊倒，致使肩膀碰在旋臂吊铁架上，造成肩膀骨折。")</f>
        <v>炉顶旋臂吊处，一槽钢横放在端台上，一名职工在夜间工作时，因视线不好被槽钢绊倒，致使肩膀碰在旋臂吊铁架上，造成肩膀骨折。</v>
      </c>
      <c r="E188" s="19" t="s">
        <v>983</v>
      </c>
      <c r="F188" s="20" t="s">
        <v>42</v>
      </c>
      <c r="G188" s="22" t="s">
        <v>111</v>
      </c>
      <c r="H188" s="19" t="s">
        <v>44</v>
      </c>
      <c r="I188" s="19" t="s">
        <v>205</v>
      </c>
      <c r="J188" s="19" t="s">
        <v>308</v>
      </c>
      <c r="K188" s="19" t="s">
        <v>46</v>
      </c>
      <c r="L188" s="19" t="s">
        <v>505</v>
      </c>
      <c r="M188" s="19" t="s">
        <v>49</v>
      </c>
      <c r="N188" s="19" t="s">
        <v>808</v>
      </c>
      <c r="O188" s="19" t="s">
        <v>49</v>
      </c>
      <c r="P188" s="19" t="s">
        <v>804</v>
      </c>
      <c r="Q188" s="19" t="s">
        <v>984</v>
      </c>
      <c r="R188" s="19" t="s">
        <v>985</v>
      </c>
      <c r="S188" s="19"/>
      <c r="T188" s="19" t="s">
        <v>53</v>
      </c>
      <c r="U188" s="19" t="s">
        <v>54</v>
      </c>
      <c r="V188" s="19" t="s">
        <v>55</v>
      </c>
      <c r="W188" s="19" t="s">
        <v>56</v>
      </c>
      <c r="X188" s="19" t="s">
        <v>150</v>
      </c>
      <c r="Y188" s="19"/>
      <c r="Z188" s="19" t="s">
        <v>986</v>
      </c>
      <c r="AA188" s="19">
        <v>2</v>
      </c>
      <c r="AB188" s="19">
        <v>2</v>
      </c>
      <c r="AC188" s="19" t="s">
        <v>59</v>
      </c>
      <c r="AD188" s="19" t="s">
        <v>804</v>
      </c>
      <c r="AE188" s="19" t="s">
        <v>463</v>
      </c>
      <c r="AF188" s="19" t="s">
        <v>987</v>
      </c>
    </row>
    <row r="189" spans="1:34">
      <c r="A189" s="19">
        <v>182</v>
      </c>
      <c r="B189" s="19" t="s">
        <v>131</v>
      </c>
      <c r="C189" s="19" t="s">
        <v>365</v>
      </c>
      <c r="D189" s="19" t="str">
        <f>HYPERLINK("http://henontech.com/fieldsafety/harzard/harzard_show.php?rid=2183&amp;url=harzardrecs.php","南脱硫泡沫槽爬梯护拦损坏，操作人员下爬梯时脚下打滑从破损处跌落")</f>
        <v>南脱硫泡沫槽爬梯护拦损坏，操作人员下爬梯时脚下打滑从破损处跌落</v>
      </c>
      <c r="E189" s="19" t="s">
        <v>988</v>
      </c>
      <c r="F189" s="20" t="s">
        <v>42</v>
      </c>
      <c r="G189" s="21" t="s">
        <v>43</v>
      </c>
      <c r="H189" s="19" t="s">
        <v>44</v>
      </c>
      <c r="I189" s="19"/>
      <c r="J189" s="19" t="s">
        <v>64</v>
      </c>
      <c r="K189" s="19"/>
      <c r="L189" s="19"/>
      <c r="M189" s="19" t="s">
        <v>66</v>
      </c>
      <c r="N189" s="19" t="s">
        <v>101</v>
      </c>
      <c r="O189" s="19" t="s">
        <v>66</v>
      </c>
      <c r="P189" s="19" t="s">
        <v>68</v>
      </c>
      <c r="Q189" s="19" t="s">
        <v>907</v>
      </c>
      <c r="R189" s="19" t="s">
        <v>989</v>
      </c>
      <c r="S189" s="19"/>
      <c r="T189" s="19" t="s">
        <v>53</v>
      </c>
      <c r="U189" s="19" t="s">
        <v>54</v>
      </c>
      <c r="V189" s="19" t="s">
        <v>55</v>
      </c>
      <c r="W189" s="19" t="s">
        <v>56</v>
      </c>
      <c r="X189" s="19"/>
      <c r="Y189" s="19"/>
      <c r="Z189" s="19" t="s">
        <v>990</v>
      </c>
      <c r="AA189" s="19">
        <v>1</v>
      </c>
      <c r="AB189" s="19">
        <v>1</v>
      </c>
      <c r="AC189" s="19" t="s">
        <v>59</v>
      </c>
      <c r="AD189" s="19" t="s">
        <v>68</v>
      </c>
      <c r="AE189" s="19" t="s">
        <v>152</v>
      </c>
      <c r="AF189" s="19"/>
    </row>
    <row r="190" spans="1:34">
      <c r="A190" s="19">
        <v>183</v>
      </c>
      <c r="B190" s="19" t="s">
        <v>131</v>
      </c>
      <c r="C190" s="19" t="s">
        <v>531</v>
      </c>
      <c r="D190" s="19" t="str">
        <f>HYPERLINK("http://henontech.com/fieldsafety/harzard/harzard_show.php?rid=2184&amp;url=harzardrecs.php","粗苯操作室东侧电缆桥架盖板没有固定，一名巡检工在巡检时从下方经过，由于刮风，盖板掉落，砸到巡检工肩部造成巡检工肩部骨折，住院治疗3个月后复工上班。")</f>
        <v>粗苯操作室东侧电缆桥架盖板没有固定，一名巡检工在巡检时从下方经过，由于刮风，盖板掉落，砸到巡检工肩部造成巡检工肩部骨折，住院治疗3个月后复工上班。</v>
      </c>
      <c r="E190" s="19" t="s">
        <v>991</v>
      </c>
      <c r="F190" s="20" t="s">
        <v>42</v>
      </c>
      <c r="G190" s="21" t="s">
        <v>43</v>
      </c>
      <c r="H190" s="19" t="s">
        <v>44</v>
      </c>
      <c r="I190" s="19"/>
      <c r="J190" s="19" t="s">
        <v>64</v>
      </c>
      <c r="K190" s="19" t="s">
        <v>302</v>
      </c>
      <c r="L190" s="19"/>
      <c r="M190" s="19" t="s">
        <v>66</v>
      </c>
      <c r="N190" s="19" t="s">
        <v>992</v>
      </c>
      <c r="O190" s="19" t="s">
        <v>66</v>
      </c>
      <c r="P190" s="19" t="s">
        <v>68</v>
      </c>
      <c r="Q190" s="19" t="s">
        <v>907</v>
      </c>
      <c r="R190" s="19" t="s">
        <v>993</v>
      </c>
      <c r="S190" s="19"/>
      <c r="T190" s="19" t="s">
        <v>53</v>
      </c>
      <c r="U190" s="19" t="s">
        <v>54</v>
      </c>
      <c r="V190" s="19" t="s">
        <v>95</v>
      </c>
      <c r="W190" s="19" t="s">
        <v>117</v>
      </c>
      <c r="X190" s="19"/>
      <c r="Y190" s="19"/>
      <c r="Z190" s="19" t="s">
        <v>994</v>
      </c>
      <c r="AA190" s="19">
        <v>1</v>
      </c>
      <c r="AB190" s="19">
        <v>1</v>
      </c>
      <c r="AC190" s="19" t="s">
        <v>59</v>
      </c>
      <c r="AD190" s="19" t="s">
        <v>68</v>
      </c>
      <c r="AE190" s="19" t="s">
        <v>255</v>
      </c>
      <c r="AF190" s="19"/>
    </row>
    <row r="191" spans="1:34">
      <c r="A191" s="19">
        <v>184</v>
      </c>
      <c r="B191" s="19" t="s">
        <v>131</v>
      </c>
      <c r="C191" s="19" t="s">
        <v>365</v>
      </c>
      <c r="D191" s="19" t="str">
        <f>HYPERLINK("http://henontech.com/fieldsafety/harzard/harzard_show.php?rid=2185&amp;url=harzardrecs.php","南脱硫一层照明灯损坏，视线不清，如果操作工从此出上楼时，就有可能由于安全意识不强在楼梯处摔伤手臂，就医，误工三天。")</f>
        <v>南脱硫一层照明灯损坏，视线不清，如果操作工从此出上楼时，就有可能由于安全意识不强在楼梯处摔伤手臂，就医，误工三天。</v>
      </c>
      <c r="E191" s="19" t="s">
        <v>995</v>
      </c>
      <c r="F191" s="20" t="s">
        <v>42</v>
      </c>
      <c r="G191" s="21" t="s">
        <v>43</v>
      </c>
      <c r="H191" s="19" t="s">
        <v>44</v>
      </c>
      <c r="I191" s="19" t="s">
        <v>78</v>
      </c>
      <c r="J191" s="19" t="s">
        <v>64</v>
      </c>
      <c r="K191" s="19" t="s">
        <v>88</v>
      </c>
      <c r="L191" s="19" t="s">
        <v>65</v>
      </c>
      <c r="M191" s="19" t="s">
        <v>66</v>
      </c>
      <c r="N191" s="19" t="s">
        <v>996</v>
      </c>
      <c r="O191" s="19" t="s">
        <v>66</v>
      </c>
      <c r="P191" s="19" t="s">
        <v>68</v>
      </c>
      <c r="Q191" s="19" t="s">
        <v>907</v>
      </c>
      <c r="R191" s="19" t="s">
        <v>997</v>
      </c>
      <c r="S191" s="19"/>
      <c r="T191" s="19" t="s">
        <v>53</v>
      </c>
      <c r="U191" s="19" t="s">
        <v>54</v>
      </c>
      <c r="V191" s="19" t="s">
        <v>105</v>
      </c>
      <c r="W191" s="19" t="s">
        <v>72</v>
      </c>
      <c r="X191" s="19"/>
      <c r="Y191" s="19"/>
      <c r="Z191" s="19" t="s">
        <v>998</v>
      </c>
      <c r="AA191" s="19">
        <v>1</v>
      </c>
      <c r="AB191" s="19">
        <v>1</v>
      </c>
      <c r="AC191" s="19" t="s">
        <v>59</v>
      </c>
      <c r="AD191" s="19" t="s">
        <v>68</v>
      </c>
      <c r="AE191" s="19" t="s">
        <v>255</v>
      </c>
      <c r="AF191" s="19"/>
    </row>
    <row r="192" spans="1:34">
      <c r="A192" s="19">
        <v>185</v>
      </c>
      <c r="B192" s="19" t="s">
        <v>139</v>
      </c>
      <c r="C192" s="19" t="s">
        <v>874</v>
      </c>
      <c r="D192" s="19" t="str">
        <f>HYPERLINK("http://henontech.com/fieldsafety/harzard/harzard_show.php?rid=2186&amp;url=harzardrecs.php","变换操作工在排放二热交换器倒淋时，因倒淋管出口离地沟存在距离，使排出的热水和蒸汽向四周喷溅，造成操作人员脚腕部轻微烫伤，立即用冷水冲洗，到医务室清洗上药后复工。")</f>
        <v>变换操作工在排放二热交换器倒淋时，因倒淋管出口离地沟存在距离，使排出的热水和蒸汽向四周喷溅，造成操作人员脚腕部轻微烫伤，立即用冷水冲洗，到医务室清洗上药后复工。</v>
      </c>
      <c r="E192" s="19" t="s">
        <v>999</v>
      </c>
      <c r="F192" s="20" t="s">
        <v>42</v>
      </c>
      <c r="G192" s="21" t="s">
        <v>43</v>
      </c>
      <c r="H192" s="19" t="s">
        <v>44</v>
      </c>
      <c r="I192" s="19" t="s">
        <v>129</v>
      </c>
      <c r="J192" s="19" t="s">
        <v>64</v>
      </c>
      <c r="K192" s="19" t="s">
        <v>88</v>
      </c>
      <c r="L192" s="19" t="s">
        <v>65</v>
      </c>
      <c r="M192" s="19" t="s">
        <v>146</v>
      </c>
      <c r="N192" s="19" t="s">
        <v>876</v>
      </c>
      <c r="O192" s="19" t="s">
        <v>146</v>
      </c>
      <c r="P192" s="19" t="s">
        <v>767</v>
      </c>
      <c r="Q192" s="19" t="s">
        <v>907</v>
      </c>
      <c r="R192" s="19" t="s">
        <v>877</v>
      </c>
      <c r="S192" s="19"/>
      <c r="T192" s="19" t="s">
        <v>53</v>
      </c>
      <c r="U192" s="19" t="s">
        <v>71</v>
      </c>
      <c r="V192" s="19" t="s">
        <v>105</v>
      </c>
      <c r="W192" s="19" t="s">
        <v>96</v>
      </c>
      <c r="X192" s="19" t="s">
        <v>57</v>
      </c>
      <c r="Y192" s="19" t="s">
        <v>57</v>
      </c>
      <c r="Z192" s="19" t="s">
        <v>1000</v>
      </c>
      <c r="AA192" s="19">
        <v>1</v>
      </c>
      <c r="AB192" s="19">
        <v>0</v>
      </c>
      <c r="AC192" s="19" t="s">
        <v>59</v>
      </c>
      <c r="AD192" s="19" t="s">
        <v>767</v>
      </c>
      <c r="AE192" s="19" t="s">
        <v>917</v>
      </c>
      <c r="AF192" s="19" t="s">
        <v>950</v>
      </c>
    </row>
    <row r="193" spans="1:34">
      <c r="A193" s="19">
        <v>186</v>
      </c>
      <c r="B193" s="19" t="s">
        <v>139</v>
      </c>
      <c r="C193" s="19" t="s">
        <v>256</v>
      </c>
      <c r="D193" s="19" t="str">
        <f>HYPERLINK("http://henontech.com/fieldsafety/harzard/harzard_show.php?rid=2187&amp;url=harzardrecs.php","西硫铵卸酸槽往硫酸储槽打液管道因长年使用腐蚀严重并泄露，如果一名操作工在巡检时路过此处，可能被喷溅出来的少量硫酸溅到脸部，因个人防护意识较强加之立即用大量清水清洗，就医处理后在家休养五天复工，损工五天")</f>
        <v>西硫铵卸酸槽往硫酸储槽打液管道因长年使用腐蚀严重并泄露，如果一名操作工在巡检时路过此处，可能被喷溅出来的少量硫酸溅到脸部，因个人防护意识较强加之立即用大量清水清洗，就医处理后在家休养五天复工，损工五天</v>
      </c>
      <c r="E193" s="19" t="s">
        <v>1001</v>
      </c>
      <c r="F193" s="20" t="s">
        <v>42</v>
      </c>
      <c r="G193" s="22" t="s">
        <v>111</v>
      </c>
      <c r="H193" s="19" t="s">
        <v>44</v>
      </c>
      <c r="I193" s="19" t="s">
        <v>78</v>
      </c>
      <c r="J193" s="19" t="s">
        <v>64</v>
      </c>
      <c r="K193" s="19" t="s">
        <v>79</v>
      </c>
      <c r="L193" s="19" t="s">
        <v>65</v>
      </c>
      <c r="M193" s="19" t="s">
        <v>66</v>
      </c>
      <c r="N193" s="19" t="s">
        <v>1002</v>
      </c>
      <c r="O193" s="19" t="s">
        <v>66</v>
      </c>
      <c r="P193" s="19" t="s">
        <v>68</v>
      </c>
      <c r="Q193" s="19" t="s">
        <v>907</v>
      </c>
      <c r="R193" s="19" t="s">
        <v>1003</v>
      </c>
      <c r="S193" s="19"/>
      <c r="T193" s="19" t="s">
        <v>53</v>
      </c>
      <c r="U193" s="19" t="s">
        <v>54</v>
      </c>
      <c r="V193" s="19" t="s">
        <v>55</v>
      </c>
      <c r="W193" s="19" t="s">
        <v>56</v>
      </c>
      <c r="X193" s="19"/>
      <c r="Y193" s="19"/>
      <c r="Z193" s="19" t="s">
        <v>1004</v>
      </c>
      <c r="AA193" s="19">
        <v>1</v>
      </c>
      <c r="AB193" s="19">
        <v>1</v>
      </c>
      <c r="AC193" s="19" t="s">
        <v>59</v>
      </c>
      <c r="AD193" s="19" t="s">
        <v>68</v>
      </c>
      <c r="AE193" s="19" t="s">
        <v>396</v>
      </c>
      <c r="AF193" s="19"/>
    </row>
    <row r="194" spans="1:34">
      <c r="A194" s="19">
        <v>187</v>
      </c>
      <c r="B194" s="19" t="s">
        <v>139</v>
      </c>
      <c r="C194" s="19" t="s">
        <v>99</v>
      </c>
      <c r="D194" s="19" t="str">
        <f>HYPERLINK("http://henontech.com/fieldsafety/harzard/harzard_show.php?rid=2188&amp;url=harzardrecs.php","废气回收蒸汽吹扫与放空管道安装离地面过高，一名操作工在夜间巡检时，若注意力不集中，不慎被管道绊倒，可能造成手腕擦伤，送医务室上药后复工。")</f>
        <v>废气回收蒸汽吹扫与放空管道安装离地面过高，一名操作工在夜间巡检时，若注意力不集中，不慎被管道绊倒，可能造成手腕擦伤，送医务室上药后复工。</v>
      </c>
      <c r="E194" s="19" t="s">
        <v>1005</v>
      </c>
      <c r="F194" s="20" t="s">
        <v>42</v>
      </c>
      <c r="G194" s="21" t="s">
        <v>43</v>
      </c>
      <c r="H194" s="19" t="s">
        <v>44</v>
      </c>
      <c r="I194" s="19" t="s">
        <v>78</v>
      </c>
      <c r="J194" s="19" t="s">
        <v>64</v>
      </c>
      <c r="K194" s="19" t="s">
        <v>46</v>
      </c>
      <c r="L194" s="19" t="s">
        <v>65</v>
      </c>
      <c r="M194" s="19" t="s">
        <v>66</v>
      </c>
      <c r="N194" s="19" t="s">
        <v>751</v>
      </c>
      <c r="O194" s="19" t="s">
        <v>66</v>
      </c>
      <c r="P194" s="19" t="s">
        <v>68</v>
      </c>
      <c r="Q194" s="19" t="s">
        <v>922</v>
      </c>
      <c r="R194" s="19" t="s">
        <v>1006</v>
      </c>
      <c r="S194" s="19"/>
      <c r="T194" s="19" t="s">
        <v>53</v>
      </c>
      <c r="U194" s="19" t="s">
        <v>71</v>
      </c>
      <c r="V194" s="19" t="s">
        <v>105</v>
      </c>
      <c r="W194" s="19" t="s">
        <v>96</v>
      </c>
      <c r="X194" s="19"/>
      <c r="Y194" s="19"/>
      <c r="Z194" s="19" t="s">
        <v>1007</v>
      </c>
      <c r="AA194" s="19">
        <v>1</v>
      </c>
      <c r="AB194" s="19">
        <v>1</v>
      </c>
      <c r="AC194" s="19" t="s">
        <v>59</v>
      </c>
      <c r="AD194" s="19" t="s">
        <v>68</v>
      </c>
      <c r="AE194" s="19" t="s">
        <v>422</v>
      </c>
      <c r="AF194" s="19"/>
    </row>
    <row r="195" spans="1:34">
      <c r="A195" s="19">
        <v>188</v>
      </c>
      <c r="B195" s="19" t="s">
        <v>139</v>
      </c>
      <c r="C195" s="19" t="s">
        <v>49</v>
      </c>
      <c r="D195" s="19" t="str">
        <f>HYPERLINK("http://henontech.com/fieldsafety/harzard/harzard_show.php?rid=2189&amp;url=harzardrecs.php","1#循环水泵出口南侧排地沟盖板破损，一操作工巡检检查压力表时，不慎踩空摔倒，造成脚踝扭伤，损工5天")</f>
        <v>1#循环水泵出口南侧排地沟盖板破损，一操作工巡检检查压力表时，不慎踩空摔倒，造成脚踝扭伤，损工5天</v>
      </c>
      <c r="E195" s="19" t="s">
        <v>1008</v>
      </c>
      <c r="F195" s="20" t="s">
        <v>42</v>
      </c>
      <c r="G195" s="21" t="s">
        <v>43</v>
      </c>
      <c r="H195" s="19" t="s">
        <v>44</v>
      </c>
      <c r="I195" s="19" t="s">
        <v>129</v>
      </c>
      <c r="J195" s="19" t="s">
        <v>64</v>
      </c>
      <c r="K195" s="19" t="s">
        <v>302</v>
      </c>
      <c r="L195" s="19"/>
      <c r="M195" s="19" t="s">
        <v>49</v>
      </c>
      <c r="N195" s="19" t="s">
        <v>1009</v>
      </c>
      <c r="O195" s="19" t="s">
        <v>49</v>
      </c>
      <c r="P195" s="19" t="s">
        <v>138</v>
      </c>
      <c r="Q195" s="19" t="s">
        <v>907</v>
      </c>
      <c r="R195" s="19" t="s">
        <v>1010</v>
      </c>
      <c r="S195" s="19" t="s">
        <v>1011</v>
      </c>
      <c r="T195" s="19" t="s">
        <v>53</v>
      </c>
      <c r="U195" s="19" t="s">
        <v>54</v>
      </c>
      <c r="V195" s="19" t="s">
        <v>105</v>
      </c>
      <c r="W195" s="19" t="s">
        <v>72</v>
      </c>
      <c r="X195" s="19" t="s">
        <v>57</v>
      </c>
      <c r="Y195" s="19"/>
      <c r="Z195" s="19" t="s">
        <v>1012</v>
      </c>
      <c r="AA195" s="19">
        <v>1</v>
      </c>
      <c r="AB195" s="19">
        <v>1</v>
      </c>
      <c r="AC195" s="19" t="s">
        <v>59</v>
      </c>
      <c r="AD195" s="19" t="s">
        <v>138</v>
      </c>
      <c r="AE195" s="19" t="s">
        <v>463</v>
      </c>
      <c r="AF195" s="19"/>
    </row>
    <row r="196" spans="1:34">
      <c r="A196" s="19">
        <v>189</v>
      </c>
      <c r="B196" s="19" t="s">
        <v>139</v>
      </c>
      <c r="C196" s="19" t="s">
        <v>178</v>
      </c>
      <c r="D196" s="19" t="str">
        <f>HYPERLINK("http://henontech.com/fieldsafety/harzard/harzard_show.php?rid=2190&amp;url=harzardrecs.php","电工人员到楼顶检查天窗电机，右肩上挎着工具包，爬至到一半时，工具包不慎滑落，人员下意识的用右手去拿，另一只手没有抓紧爬梯从爬梯上跌落，身体右侧着地，造成身体右侧多处骨折，送医治疗损工150天。")</f>
        <v>电工人员到楼顶检查天窗电机，右肩上挎着工具包，爬至到一半时，工具包不慎滑落，人员下意识的用右手去拿，另一只手没有抓紧爬梯从爬梯上跌落，身体右侧着地，造成身体右侧多处骨折，送医治疗损工150天。</v>
      </c>
      <c r="E196" s="19" t="s">
        <v>1013</v>
      </c>
      <c r="F196" s="20" t="s">
        <v>42</v>
      </c>
      <c r="G196" s="21" t="s">
        <v>43</v>
      </c>
      <c r="H196" s="19" t="s">
        <v>44</v>
      </c>
      <c r="I196" s="19"/>
      <c r="J196" s="19"/>
      <c r="K196" s="19" t="s">
        <v>466</v>
      </c>
      <c r="L196" s="19"/>
      <c r="M196" s="19" t="s">
        <v>49</v>
      </c>
      <c r="N196" s="19" t="s">
        <v>137</v>
      </c>
      <c r="O196" s="19" t="s">
        <v>49</v>
      </c>
      <c r="P196" s="19" t="s">
        <v>138</v>
      </c>
      <c r="Q196" s="19" t="s">
        <v>907</v>
      </c>
      <c r="R196" s="19" t="s">
        <v>1014</v>
      </c>
      <c r="S196" s="19" t="s">
        <v>1015</v>
      </c>
      <c r="T196" s="19" t="s">
        <v>53</v>
      </c>
      <c r="U196" s="19" t="s">
        <v>54</v>
      </c>
      <c r="V196" s="19" t="s">
        <v>55</v>
      </c>
      <c r="W196" s="19" t="s">
        <v>56</v>
      </c>
      <c r="X196" s="19" t="s">
        <v>150</v>
      </c>
      <c r="Y196" s="19"/>
      <c r="Z196" s="19" t="s">
        <v>1016</v>
      </c>
      <c r="AA196" s="19">
        <v>1</v>
      </c>
      <c r="AB196" s="19">
        <v>1</v>
      </c>
      <c r="AC196" s="19" t="s">
        <v>59</v>
      </c>
      <c r="AD196" s="19" t="s">
        <v>138</v>
      </c>
      <c r="AE196" s="19" t="s">
        <v>463</v>
      </c>
      <c r="AF196" s="19"/>
    </row>
    <row r="197" spans="1:34">
      <c r="A197" s="19">
        <v>190</v>
      </c>
      <c r="B197" s="19" t="s">
        <v>139</v>
      </c>
      <c r="C197" s="19" t="s">
        <v>49</v>
      </c>
      <c r="D197" s="19" t="str">
        <f>HYPERLINK("http://henontech.com/fieldsafety/harzard/harzard_show.php?rid=2191&amp;url=harzardrecs.php","雨雪天气，员工在夜间操作3号4号减温减压时，由于照明灯（220v）线路未加防护套管 线头裸露，操作工脚底打滑，手扶漏电处，造成触电，经医院抢救无效死亡！")</f>
        <v>雨雪天气，员工在夜间操作3号4号减温减压时，由于照明灯（220v）线路未加防护套管 线头裸露，操作工脚底打滑，手扶漏电处，造成触电，经医院抢救无效死亡！</v>
      </c>
      <c r="E197" s="19" t="s">
        <v>1017</v>
      </c>
      <c r="F197" s="20" t="s">
        <v>42</v>
      </c>
      <c r="G197" s="21" t="s">
        <v>43</v>
      </c>
      <c r="H197" s="19" t="s">
        <v>44</v>
      </c>
      <c r="I197" s="19"/>
      <c r="J197" s="19" t="s">
        <v>112</v>
      </c>
      <c r="K197" s="19"/>
      <c r="L197" s="19"/>
      <c r="M197" s="19" t="s">
        <v>49</v>
      </c>
      <c r="N197" s="19" t="s">
        <v>1018</v>
      </c>
      <c r="O197" s="19" t="s">
        <v>49</v>
      </c>
      <c r="P197" s="19" t="s">
        <v>460</v>
      </c>
      <c r="Q197" s="19" t="s">
        <v>907</v>
      </c>
      <c r="R197" s="19" t="s">
        <v>1019</v>
      </c>
      <c r="S197" s="19" t="s">
        <v>1020</v>
      </c>
      <c r="T197" s="19" t="s">
        <v>53</v>
      </c>
      <c r="U197" s="19" t="s">
        <v>116</v>
      </c>
      <c r="V197" s="19" t="s">
        <v>105</v>
      </c>
      <c r="W197" s="19" t="s">
        <v>56</v>
      </c>
      <c r="X197" s="19" t="s">
        <v>57</v>
      </c>
      <c r="Y197" s="19"/>
      <c r="Z197" s="19" t="s">
        <v>1021</v>
      </c>
      <c r="AA197" s="19">
        <v>1</v>
      </c>
      <c r="AB197" s="19">
        <v>1</v>
      </c>
      <c r="AC197" s="19" t="s">
        <v>59</v>
      </c>
      <c r="AD197" s="19" t="s">
        <v>460</v>
      </c>
      <c r="AE197" s="19" t="s">
        <v>1022</v>
      </c>
      <c r="AF197" s="19" t="s">
        <v>1023</v>
      </c>
    </row>
    <row r="198" spans="1:34">
      <c r="A198" s="19">
        <v>191</v>
      </c>
      <c r="B198" s="19" t="s">
        <v>139</v>
      </c>
      <c r="C198" s="19" t="s">
        <v>219</v>
      </c>
      <c r="D198" s="19" t="str">
        <f>HYPERLINK("http://henontech.com/fieldsafety/harzard/harzard_show.php?rid=2192&amp;url=harzardrecs.php","北脱硫事故B槽爬梯顶部距地面约4米位置有一段护栏缺失，一名操作工到上面开关阀门或在巡检时，没有扶好护栏，脚底不稳，可能会从爬梯上滑落，造成右小腿骨折，住院治疗15天，回家修养3个月复工，损工3个月。")</f>
        <v>北脱硫事故B槽爬梯顶部距地面约4米位置有一段护栏缺失，一名操作工到上面开关阀门或在巡检时，没有扶好护栏，脚底不稳，可能会从爬梯上滑落，造成右小腿骨折，住院治疗15天，回家修养3个月复工，损工3个月。</v>
      </c>
      <c r="E198" s="19" t="s">
        <v>1024</v>
      </c>
      <c r="F198" s="20" t="s">
        <v>42</v>
      </c>
      <c r="G198" s="21" t="s">
        <v>43</v>
      </c>
      <c r="H198" s="19" t="s">
        <v>44</v>
      </c>
      <c r="I198" s="19" t="s">
        <v>78</v>
      </c>
      <c r="J198" s="19" t="s">
        <v>45</v>
      </c>
      <c r="K198" s="19" t="s">
        <v>466</v>
      </c>
      <c r="L198" s="19" t="s">
        <v>65</v>
      </c>
      <c r="M198" s="19" t="s">
        <v>66</v>
      </c>
      <c r="N198" s="19" t="s">
        <v>1025</v>
      </c>
      <c r="O198" s="19" t="s">
        <v>66</v>
      </c>
      <c r="P198" s="19" t="s">
        <v>68</v>
      </c>
      <c r="Q198" s="19" t="s">
        <v>922</v>
      </c>
      <c r="R198" s="19" t="s">
        <v>1026</v>
      </c>
      <c r="S198" s="19"/>
      <c r="T198" s="19" t="s">
        <v>53</v>
      </c>
      <c r="U198" s="19" t="s">
        <v>54</v>
      </c>
      <c r="V198" s="19" t="s">
        <v>105</v>
      </c>
      <c r="W198" s="19" t="s">
        <v>72</v>
      </c>
      <c r="X198" s="19"/>
      <c r="Y198" s="19"/>
      <c r="Z198" s="19" t="s">
        <v>1027</v>
      </c>
      <c r="AA198" s="19">
        <v>1</v>
      </c>
      <c r="AB198" s="19">
        <v>1</v>
      </c>
      <c r="AC198" s="19" t="s">
        <v>59</v>
      </c>
      <c r="AD198" s="19" t="s">
        <v>68</v>
      </c>
      <c r="AE198" s="19" t="s">
        <v>305</v>
      </c>
      <c r="AF198" s="19"/>
    </row>
    <row r="199" spans="1:34" customHeight="1" ht="42">
      <c r="A199" s="19">
        <v>192</v>
      </c>
      <c r="B199" s="19" t="s">
        <v>139</v>
      </c>
      <c r="C199" s="19" t="s">
        <v>178</v>
      </c>
      <c r="D199" s="19" t="str">
        <f>HYPERLINK("http://henontech.com/fieldsafety/harzard/harzard_show.php?rid=2193&amp;url=harzardrecs.php","冬季雨雪天气较多，爬梯台阶湿滑，一巡检人员通过循环水北侧爬梯去循环水池加药时，由于爬梯台阶未安装防滑条，台阶湿滑，巡检人员脚底打滑，从爬梯滑落至地面，送医治疗，脚踝扭伤，损工十天。")</f>
        <v>冬季雨雪天气较多，爬梯台阶湿滑，一巡检人员通过循环水北侧爬梯去循环水池加药时，由于爬梯台阶未安装防滑条，台阶湿滑，巡检人员脚底打滑，从爬梯滑落至地面，送医治疗，脚踝扭伤，损工十天。</v>
      </c>
      <c r="E199" s="19" t="s">
        <v>1028</v>
      </c>
      <c r="F199" s="20" t="s">
        <v>42</v>
      </c>
      <c r="G199" s="21" t="s">
        <v>43</v>
      </c>
      <c r="H199" s="19" t="s">
        <v>44</v>
      </c>
      <c r="I199" s="19" t="s">
        <v>761</v>
      </c>
      <c r="J199" s="19" t="s">
        <v>45</v>
      </c>
      <c r="K199" s="19" t="s">
        <v>466</v>
      </c>
      <c r="L199" s="19" t="s">
        <v>65</v>
      </c>
      <c r="M199" s="19" t="s">
        <v>49</v>
      </c>
      <c r="N199" s="19" t="s">
        <v>1029</v>
      </c>
      <c r="O199" s="19" t="s">
        <v>49</v>
      </c>
      <c r="P199" s="19" t="s">
        <v>138</v>
      </c>
      <c r="Q199" s="19" t="s">
        <v>922</v>
      </c>
      <c r="R199" s="19" t="s">
        <v>1030</v>
      </c>
      <c r="S199" s="19" t="s">
        <v>1031</v>
      </c>
      <c r="T199" s="19" t="s">
        <v>53</v>
      </c>
      <c r="U199" s="19" t="s">
        <v>54</v>
      </c>
      <c r="V199" s="19" t="s">
        <v>55</v>
      </c>
      <c r="W199" s="19" t="s">
        <v>56</v>
      </c>
      <c r="X199" s="19" t="s">
        <v>150</v>
      </c>
      <c r="Y199" s="19" t="s">
        <v>57</v>
      </c>
      <c r="Z199" s="19" t="s">
        <v>1032</v>
      </c>
      <c r="AA199" s="19">
        <v>2</v>
      </c>
      <c r="AB199" s="19">
        <v>2</v>
      </c>
      <c r="AC199" s="19" t="s">
        <v>59</v>
      </c>
      <c r="AD199" s="19" t="s">
        <v>138</v>
      </c>
      <c r="AE199" s="19" t="s">
        <v>463</v>
      </c>
      <c r="AF199" s="19"/>
    </row>
    <row r="200" spans="1:34">
      <c r="A200" s="19">
        <v>193</v>
      </c>
      <c r="B200" s="19" t="s">
        <v>139</v>
      </c>
      <c r="C200" s="19" t="s">
        <v>146</v>
      </c>
      <c r="D200" s="19" t="str">
        <f>HYPERLINK("http://henontech.com/fieldsafety/harzard/harzard_show.php?rid=2195&amp;url=harzardrecs.php","空分工段药剂桶盖破裂，一名巡检工在搬运药剂桶时，药剂桶盖掉落导致药剂大量喷出，喷溅到巡检工身上，造成皮肤灼伤。")</f>
        <v>空分工段药剂桶盖破裂，一名巡检工在搬运药剂桶时，药剂桶盖掉落导致药剂大量喷出，喷溅到巡检工身上，造成皮肤灼伤。</v>
      </c>
      <c r="E200" s="19" t="s">
        <v>1033</v>
      </c>
      <c r="F200" s="20" t="s">
        <v>42</v>
      </c>
      <c r="G200" s="22" t="s">
        <v>111</v>
      </c>
      <c r="H200" s="19" t="s">
        <v>44</v>
      </c>
      <c r="I200" s="19" t="s">
        <v>205</v>
      </c>
      <c r="J200" s="19" t="s">
        <v>650</v>
      </c>
      <c r="K200" s="19" t="s">
        <v>46</v>
      </c>
      <c r="L200" s="19" t="s">
        <v>65</v>
      </c>
      <c r="M200" s="19" t="s">
        <v>146</v>
      </c>
      <c r="N200" s="19" t="s">
        <v>1034</v>
      </c>
      <c r="O200" s="19" t="s">
        <v>146</v>
      </c>
      <c r="P200" s="19" t="s">
        <v>249</v>
      </c>
      <c r="Q200" s="19" t="s">
        <v>907</v>
      </c>
      <c r="R200" s="19" t="s">
        <v>1035</v>
      </c>
      <c r="S200" s="19"/>
      <c r="T200" s="19" t="s">
        <v>53</v>
      </c>
      <c r="U200" s="19" t="s">
        <v>54</v>
      </c>
      <c r="V200" s="19" t="s">
        <v>105</v>
      </c>
      <c r="W200" s="19" t="s">
        <v>72</v>
      </c>
      <c r="X200" s="19" t="s">
        <v>267</v>
      </c>
      <c r="Y200" s="19" t="s">
        <v>159</v>
      </c>
      <c r="Z200" s="19" t="s">
        <v>1036</v>
      </c>
      <c r="AA200" s="19">
        <v>1</v>
      </c>
      <c r="AB200" s="19">
        <v>1</v>
      </c>
      <c r="AC200" s="19" t="s">
        <v>59</v>
      </c>
      <c r="AD200" s="19" t="s">
        <v>249</v>
      </c>
      <c r="AE200" s="19" t="s">
        <v>666</v>
      </c>
      <c r="AF200" s="19"/>
    </row>
    <row r="201" spans="1:34">
      <c r="A201" s="19">
        <v>194</v>
      </c>
      <c r="B201" s="19" t="s">
        <v>139</v>
      </c>
      <c r="C201" s="19" t="s">
        <v>270</v>
      </c>
      <c r="D201" s="19" t="str">
        <f>HYPERLINK("http://henontech.com/fieldsafety/harzard/harzard_show.php?rid=2196&amp;url=harzardrecs.php","转化罗茨风机处地面撬棍用完未及时清理，夜间一名巡检人员不小心被绊倒，手掌磕到地面皮肤出血，到医务室检查处理后，回家休息2天.")</f>
        <v>转化罗茨风机处地面撬棍用完未及时清理，夜间一名巡检人员不小心被绊倒，手掌磕到地面皮肤出血，到医务室检查处理后，回家休息2天.</v>
      </c>
      <c r="E201" s="19" t="s">
        <v>1037</v>
      </c>
      <c r="F201" s="20" t="s">
        <v>42</v>
      </c>
      <c r="G201" s="21" t="s">
        <v>43</v>
      </c>
      <c r="H201" s="19" t="s">
        <v>44</v>
      </c>
      <c r="I201" s="19" t="s">
        <v>78</v>
      </c>
      <c r="J201" s="19" t="s">
        <v>64</v>
      </c>
      <c r="K201" s="19" t="s">
        <v>46</v>
      </c>
      <c r="L201" s="19" t="s">
        <v>662</v>
      </c>
      <c r="M201" s="19" t="s">
        <v>146</v>
      </c>
      <c r="N201" s="19" t="s">
        <v>1038</v>
      </c>
      <c r="O201" s="19" t="s">
        <v>146</v>
      </c>
      <c r="P201" s="19" t="s">
        <v>249</v>
      </c>
      <c r="Q201" s="19" t="s">
        <v>907</v>
      </c>
      <c r="R201" s="19" t="s">
        <v>506</v>
      </c>
      <c r="S201" s="19"/>
      <c r="T201" s="19" t="s">
        <v>53</v>
      </c>
      <c r="U201" s="19" t="s">
        <v>54</v>
      </c>
      <c r="V201" s="19" t="s">
        <v>95</v>
      </c>
      <c r="W201" s="19" t="s">
        <v>117</v>
      </c>
      <c r="X201" s="19" t="s">
        <v>267</v>
      </c>
      <c r="Y201" s="19" t="s">
        <v>159</v>
      </c>
      <c r="Z201" s="19" t="s">
        <v>1039</v>
      </c>
      <c r="AA201" s="19">
        <v>1</v>
      </c>
      <c r="AB201" s="19">
        <v>1</v>
      </c>
      <c r="AC201" s="19" t="s">
        <v>59</v>
      </c>
      <c r="AD201" s="19" t="s">
        <v>249</v>
      </c>
      <c r="AE201" s="19" t="s">
        <v>157</v>
      </c>
      <c r="AF201" s="19"/>
    </row>
    <row r="202" spans="1:34">
      <c r="A202" s="19">
        <v>195</v>
      </c>
      <c r="B202" s="19" t="s">
        <v>139</v>
      </c>
      <c r="C202" s="19" t="s">
        <v>276</v>
      </c>
      <c r="D202" s="19" t="str">
        <f>HYPERLINK("http://henontech.com/fieldsafety/harzard/harzard_show.php?rid=2197&amp;url=harzardrecs.php","四号离心机皮带破损，一名操作工在巡检擦拭离心机时，皮带在高速运转中突然断裂打出，致使操作工手部受伤，去医院包扎后，损工两天。")</f>
        <v>四号离心机皮带破损，一名操作工在巡检擦拭离心机时，皮带在高速运转中突然断裂打出，致使操作工手部受伤，去医院包扎后，损工两天。</v>
      </c>
      <c r="E202" s="19" t="s">
        <v>1040</v>
      </c>
      <c r="F202" s="20" t="s">
        <v>42</v>
      </c>
      <c r="G202" s="22" t="s">
        <v>111</v>
      </c>
      <c r="H202" s="19" t="s">
        <v>44</v>
      </c>
      <c r="I202" s="19" t="s">
        <v>78</v>
      </c>
      <c r="J202" s="19" t="s">
        <v>64</v>
      </c>
      <c r="K202" s="19" t="s">
        <v>88</v>
      </c>
      <c r="L202" s="19" t="s">
        <v>65</v>
      </c>
      <c r="M202" s="19" t="s">
        <v>146</v>
      </c>
      <c r="N202" s="19" t="s">
        <v>1041</v>
      </c>
      <c r="O202" s="19" t="s">
        <v>146</v>
      </c>
      <c r="P202" s="19" t="s">
        <v>249</v>
      </c>
      <c r="Q202" s="19" t="s">
        <v>1042</v>
      </c>
      <c r="R202" s="19" t="s">
        <v>1043</v>
      </c>
      <c r="S202" s="19"/>
      <c r="T202" s="19" t="s">
        <v>53</v>
      </c>
      <c r="U202" s="19" t="s">
        <v>54</v>
      </c>
      <c r="V202" s="19" t="s">
        <v>105</v>
      </c>
      <c r="W202" s="19" t="s">
        <v>72</v>
      </c>
      <c r="X202" s="19" t="s">
        <v>57</v>
      </c>
      <c r="Y202" s="19" t="s">
        <v>57</v>
      </c>
      <c r="Z202" s="19" t="s">
        <v>1044</v>
      </c>
      <c r="AA202" s="19">
        <v>1</v>
      </c>
      <c r="AB202" s="19">
        <v>1</v>
      </c>
      <c r="AC202" s="19" t="s">
        <v>59</v>
      </c>
      <c r="AD202" s="19" t="s">
        <v>249</v>
      </c>
      <c r="AE202" s="19" t="s">
        <v>334</v>
      </c>
      <c r="AF202" s="19"/>
    </row>
    <row r="203" spans="1:34">
      <c r="A203" s="19">
        <v>196</v>
      </c>
      <c r="B203" s="19" t="s">
        <v>139</v>
      </c>
      <c r="C203" s="19" t="s">
        <v>256</v>
      </c>
      <c r="D203" s="19" t="str">
        <f>HYPERLINK("http://henontech.com/fieldsafety/harzard/harzard_show.php?rid=2198&amp;url=harzardrecs.php","西硫铵1#硫酸储槽焊缝处腐蚀严重、泄露硫酸，假如一名操作工在巡检至此处时未佩戴防护面罩，可能被泄露的硫酸烧伤左脸皮肤，送医敷药并在家休养七天后复工。")</f>
        <v>西硫铵1#硫酸储槽焊缝处腐蚀严重、泄露硫酸，假如一名操作工在巡检至此处时未佩戴防护面罩，可能被泄露的硫酸烧伤左脸皮肤，送医敷药并在家休养七天后复工。</v>
      </c>
      <c r="E203" s="19" t="s">
        <v>1045</v>
      </c>
      <c r="F203" s="20" t="s">
        <v>42</v>
      </c>
      <c r="G203" s="21" t="s">
        <v>43</v>
      </c>
      <c r="H203" s="19" t="s">
        <v>44</v>
      </c>
      <c r="I203" s="19" t="s">
        <v>205</v>
      </c>
      <c r="J203" s="19" t="s">
        <v>45</v>
      </c>
      <c r="K203" s="19" t="s">
        <v>46</v>
      </c>
      <c r="L203" s="19" t="s">
        <v>65</v>
      </c>
      <c r="M203" s="19" t="s">
        <v>66</v>
      </c>
      <c r="N203" s="19" t="s">
        <v>1046</v>
      </c>
      <c r="O203" s="19" t="s">
        <v>66</v>
      </c>
      <c r="P203" s="19" t="s">
        <v>68</v>
      </c>
      <c r="Q203" s="19" t="s">
        <v>922</v>
      </c>
      <c r="R203" s="19" t="s">
        <v>1047</v>
      </c>
      <c r="S203" s="19"/>
      <c r="T203" s="19" t="s">
        <v>53</v>
      </c>
      <c r="U203" s="19" t="s">
        <v>54</v>
      </c>
      <c r="V203" s="19" t="s">
        <v>55</v>
      </c>
      <c r="W203" s="19" t="s">
        <v>56</v>
      </c>
      <c r="X203" s="19"/>
      <c r="Y203" s="19"/>
      <c r="Z203" s="19" t="s">
        <v>1048</v>
      </c>
      <c r="AA203" s="19">
        <v>1</v>
      </c>
      <c r="AB203" s="19">
        <v>1</v>
      </c>
      <c r="AC203" s="19" t="s">
        <v>59</v>
      </c>
      <c r="AD203" s="19" t="s">
        <v>68</v>
      </c>
      <c r="AE203" s="19" t="s">
        <v>305</v>
      </c>
      <c r="AF203" s="19"/>
    </row>
    <row r="204" spans="1:34" customHeight="1" ht="42">
      <c r="A204" s="19">
        <v>197</v>
      </c>
      <c r="B204" s="19" t="s">
        <v>157</v>
      </c>
      <c r="C204" s="19" t="s">
        <v>49</v>
      </c>
      <c r="D204" s="19" t="str">
        <f>HYPERLINK("http://henontech.com/fieldsafety/harzard/harzard_show.php?rid=2199&amp;url=harzardrecs.php","4.3米焦虑熄焦塔南侧一爬梯护栏开焊，假如巡检人员经过时不注意被扎伤小腿，去医院包扎后复工")</f>
        <v>4.3米焦虑熄焦塔南侧一爬梯护栏开焊，假如巡检人员经过时不注意被扎伤小腿，去医院包扎后复工</v>
      </c>
      <c r="E204" s="19" t="s">
        <v>1049</v>
      </c>
      <c r="F204" s="20" t="s">
        <v>42</v>
      </c>
      <c r="G204" s="21" t="s">
        <v>43</v>
      </c>
      <c r="H204" s="19" t="s">
        <v>44</v>
      </c>
      <c r="I204" s="19" t="s">
        <v>129</v>
      </c>
      <c r="J204" s="19" t="s">
        <v>64</v>
      </c>
      <c r="K204" s="19" t="s">
        <v>466</v>
      </c>
      <c r="L204" s="19" t="s">
        <v>65</v>
      </c>
      <c r="M204" s="19" t="s">
        <v>49</v>
      </c>
      <c r="N204" s="19" t="s">
        <v>1050</v>
      </c>
      <c r="O204" s="19" t="s">
        <v>49</v>
      </c>
      <c r="P204" s="19" t="s">
        <v>460</v>
      </c>
      <c r="Q204" s="19" t="s">
        <v>984</v>
      </c>
      <c r="R204" s="19" t="s">
        <v>1051</v>
      </c>
      <c r="S204" s="19"/>
      <c r="T204" s="19" t="s">
        <v>53</v>
      </c>
      <c r="U204" s="19" t="s">
        <v>71</v>
      </c>
      <c r="V204" s="19" t="s">
        <v>95</v>
      </c>
      <c r="W204" s="19" t="s">
        <v>56</v>
      </c>
      <c r="X204" s="19" t="s">
        <v>57</v>
      </c>
      <c r="Y204" s="19"/>
      <c r="Z204" s="19" t="s">
        <v>1052</v>
      </c>
      <c r="AA204" s="19">
        <v>2</v>
      </c>
      <c r="AB204" s="19">
        <v>0</v>
      </c>
      <c r="AC204" s="19" t="s">
        <v>59</v>
      </c>
      <c r="AD204" s="19" t="s">
        <v>460</v>
      </c>
      <c r="AE204" s="19" t="s">
        <v>313</v>
      </c>
      <c r="AF204" s="19" t="s">
        <v>314</v>
      </c>
    </row>
    <row r="205" spans="1:34" customHeight="1" ht="42">
      <c r="A205" s="19">
        <v>198</v>
      </c>
      <c r="B205" s="19" t="s">
        <v>157</v>
      </c>
      <c r="C205" s="19" t="s">
        <v>49</v>
      </c>
      <c r="D205" s="19" t="str">
        <f>HYPERLINK("http://henontech.com/fieldsafety/harzard/harzard_show.php?rid=2200&amp;url=harzardrecs.php","焦侧通廊地面水泥块凸起，一夜班员工通过时被绊倒，送医检查后左前臂骨折，需住院治疗十天，休养三个月。")</f>
        <v>焦侧通廊地面水泥块凸起，一夜班员工通过时被绊倒，送医检查后左前臂骨折，需住院治疗十天，休养三个月。</v>
      </c>
      <c r="E205" s="19" t="s">
        <v>1053</v>
      </c>
      <c r="F205" s="20" t="s">
        <v>42</v>
      </c>
      <c r="G205" s="22" t="s">
        <v>111</v>
      </c>
      <c r="H205" s="19" t="s">
        <v>44</v>
      </c>
      <c r="I205" s="19" t="s">
        <v>129</v>
      </c>
      <c r="J205" s="19" t="s">
        <v>64</v>
      </c>
      <c r="K205" s="19" t="s">
        <v>302</v>
      </c>
      <c r="L205" s="19"/>
      <c r="M205" s="19" t="s">
        <v>49</v>
      </c>
      <c r="N205" s="19" t="s">
        <v>1054</v>
      </c>
      <c r="O205" s="19" t="s">
        <v>49</v>
      </c>
      <c r="P205" s="19" t="s">
        <v>499</v>
      </c>
      <c r="Q205" s="19" t="s">
        <v>984</v>
      </c>
      <c r="R205" s="19" t="s">
        <v>1055</v>
      </c>
      <c r="S205" s="19"/>
      <c r="T205" s="19" t="s">
        <v>53</v>
      </c>
      <c r="U205" s="19" t="s">
        <v>54</v>
      </c>
      <c r="V205" s="19" t="s">
        <v>55</v>
      </c>
      <c r="W205" s="19" t="s">
        <v>56</v>
      </c>
      <c r="X205" s="19" t="s">
        <v>570</v>
      </c>
      <c r="Y205" s="19"/>
      <c r="Z205" s="19" t="s">
        <v>1056</v>
      </c>
      <c r="AA205" s="19">
        <v>2</v>
      </c>
      <c r="AB205" s="19">
        <v>2</v>
      </c>
      <c r="AC205" s="19" t="s">
        <v>59</v>
      </c>
      <c r="AD205" s="19" t="s">
        <v>499</v>
      </c>
      <c r="AE205" s="19" t="s">
        <v>313</v>
      </c>
      <c r="AF205" s="19"/>
    </row>
    <row r="206" spans="1:34" customHeight="1" ht="42">
      <c r="A206" s="19">
        <v>199</v>
      </c>
      <c r="B206" s="19" t="s">
        <v>157</v>
      </c>
      <c r="C206" s="19" t="s">
        <v>49</v>
      </c>
      <c r="D206" s="19" t="str">
        <f>HYPERLINK("http://henontech.com/fieldsafety/harzard/harzard_show.php?rid=2201&amp;url=harzardrecs.php","洗焦泵房窗户合页腐烂严重，万一巡检人员经过时坠落砸伤头部。去医院包扎，限工3天。")</f>
        <v>洗焦泵房窗户合页腐烂严重，万一巡检人员经过时坠落砸伤头部。去医院包扎，限工3天。</v>
      </c>
      <c r="E206" s="19" t="s">
        <v>1057</v>
      </c>
      <c r="F206" s="20" t="s">
        <v>42</v>
      </c>
      <c r="G206" s="22" t="s">
        <v>111</v>
      </c>
      <c r="H206" s="19" t="s">
        <v>44</v>
      </c>
      <c r="I206" s="19" t="s">
        <v>129</v>
      </c>
      <c r="J206" s="19" t="s">
        <v>64</v>
      </c>
      <c r="K206" s="19" t="s">
        <v>79</v>
      </c>
      <c r="L206" s="19" t="s">
        <v>65</v>
      </c>
      <c r="M206" s="19" t="s">
        <v>49</v>
      </c>
      <c r="N206" s="19" t="s">
        <v>1058</v>
      </c>
      <c r="O206" s="19" t="s">
        <v>49</v>
      </c>
      <c r="P206" s="19" t="s">
        <v>460</v>
      </c>
      <c r="Q206" s="19" t="s">
        <v>984</v>
      </c>
      <c r="R206" s="19" t="s">
        <v>1059</v>
      </c>
      <c r="S206" s="19"/>
      <c r="T206" s="19" t="s">
        <v>53</v>
      </c>
      <c r="U206" s="19" t="s">
        <v>54</v>
      </c>
      <c r="V206" s="19" t="s">
        <v>55</v>
      </c>
      <c r="W206" s="19" t="s">
        <v>56</v>
      </c>
      <c r="X206" s="19" t="s">
        <v>57</v>
      </c>
      <c r="Y206" s="19"/>
      <c r="Z206" s="19" t="s">
        <v>1060</v>
      </c>
      <c r="AA206" s="19">
        <v>2</v>
      </c>
      <c r="AB206" s="19">
        <v>2</v>
      </c>
      <c r="AC206" s="19" t="s">
        <v>59</v>
      </c>
      <c r="AD206" s="19" t="s">
        <v>460</v>
      </c>
      <c r="AE206" s="19" t="s">
        <v>475</v>
      </c>
      <c r="AF206" s="19"/>
    </row>
    <row r="207" spans="1:34" customHeight="1" ht="42">
      <c r="A207" s="19">
        <v>200</v>
      </c>
      <c r="B207" s="19" t="s">
        <v>157</v>
      </c>
      <c r="C207" s="19" t="s">
        <v>1061</v>
      </c>
      <c r="D207" s="19" t="str">
        <f>HYPERLINK("http://henontech.com/fieldsafety/harzard/harzard_show.php?rid=2202&amp;url=harzardrecs.php","2号炉通廊南头紧急疏散门向里开，如遇突发事件，人员紧急疏散开门受阻，错过逃生时机，造成五人中毒送医院治疗十五天，在家修养两个月。")</f>
        <v>2号炉通廊南头紧急疏散门向里开，如遇突发事件，人员紧急疏散开门受阻，错过逃生时机，造成五人中毒送医院治疗十五天，在家修养两个月。</v>
      </c>
      <c r="E207" s="19" t="s">
        <v>1062</v>
      </c>
      <c r="F207" s="20" t="s">
        <v>42</v>
      </c>
      <c r="G207" s="21" t="s">
        <v>43</v>
      </c>
      <c r="H207" s="19" t="s">
        <v>44</v>
      </c>
      <c r="I207" s="19" t="s">
        <v>129</v>
      </c>
      <c r="J207" s="19" t="s">
        <v>45</v>
      </c>
      <c r="K207" s="19" t="s">
        <v>302</v>
      </c>
      <c r="L207" s="19" t="s">
        <v>65</v>
      </c>
      <c r="M207" s="19" t="s">
        <v>49</v>
      </c>
      <c r="N207" s="19" t="s">
        <v>1063</v>
      </c>
      <c r="O207" s="19" t="s">
        <v>49</v>
      </c>
      <c r="P207" s="19" t="s">
        <v>460</v>
      </c>
      <c r="Q207" s="19" t="s">
        <v>1064</v>
      </c>
      <c r="R207" s="19" t="s">
        <v>1065</v>
      </c>
      <c r="S207" s="19"/>
      <c r="T207" s="19" t="s">
        <v>53</v>
      </c>
      <c r="U207" s="19" t="s">
        <v>54</v>
      </c>
      <c r="V207" s="19" t="s">
        <v>193</v>
      </c>
      <c r="W207" s="19" t="s">
        <v>96</v>
      </c>
      <c r="X207" s="19" t="s">
        <v>141</v>
      </c>
      <c r="Y207" s="19" t="s">
        <v>141</v>
      </c>
      <c r="Z207" s="19" t="s">
        <v>1066</v>
      </c>
      <c r="AA207" s="19">
        <v>2</v>
      </c>
      <c r="AB207" s="19">
        <v>2</v>
      </c>
      <c r="AC207" s="19" t="s">
        <v>59</v>
      </c>
      <c r="AD207" s="19" t="s">
        <v>460</v>
      </c>
      <c r="AE207" s="19" t="s">
        <v>313</v>
      </c>
      <c r="AF207" s="19"/>
    </row>
    <row r="208" spans="1:34" customHeight="1" ht="42">
      <c r="A208" s="19">
        <v>201</v>
      </c>
      <c r="B208" s="19" t="s">
        <v>157</v>
      </c>
      <c r="C208" s="19" t="s">
        <v>1067</v>
      </c>
      <c r="D208" s="19" t="str">
        <f>HYPERLINK("http://henontech.com/fieldsafety/harzard/harzard_show.php?rid=2203&amp;url=harzardrecs.php","1#炉机侧南头应急门开关困难，万一发生煤气泄漏、着火,难以起到逃生作用，造成人员死亡。")</f>
        <v>1#炉机侧南头应急门开关困难，万一发生煤气泄漏、着火,难以起到逃生作用，造成人员死亡。</v>
      </c>
      <c r="E208" s="19" t="s">
        <v>1068</v>
      </c>
      <c r="F208" s="20" t="s">
        <v>42</v>
      </c>
      <c r="G208" s="22" t="s">
        <v>111</v>
      </c>
      <c r="H208" s="19" t="s">
        <v>44</v>
      </c>
      <c r="I208" s="19" t="s">
        <v>129</v>
      </c>
      <c r="J208" s="19" t="s">
        <v>64</v>
      </c>
      <c r="K208" s="19" t="s">
        <v>79</v>
      </c>
      <c r="L208" s="19" t="s">
        <v>65</v>
      </c>
      <c r="M208" s="19" t="s">
        <v>49</v>
      </c>
      <c r="N208" s="19" t="s">
        <v>1069</v>
      </c>
      <c r="O208" s="19" t="s">
        <v>49</v>
      </c>
      <c r="P208" s="19" t="s">
        <v>499</v>
      </c>
      <c r="Q208" s="19" t="s">
        <v>984</v>
      </c>
      <c r="R208" s="19" t="s">
        <v>1070</v>
      </c>
      <c r="S208" s="19"/>
      <c r="T208" s="19" t="s">
        <v>53</v>
      </c>
      <c r="U208" s="19" t="s">
        <v>116</v>
      </c>
      <c r="V208" s="19" t="s">
        <v>105</v>
      </c>
      <c r="W208" s="19" t="s">
        <v>56</v>
      </c>
      <c r="X208" s="19"/>
      <c r="Y208" s="19"/>
      <c r="Z208" s="19" t="s">
        <v>1071</v>
      </c>
      <c r="AA208" s="19">
        <v>2</v>
      </c>
      <c r="AB208" s="19">
        <v>2</v>
      </c>
      <c r="AC208" s="19" t="s">
        <v>59</v>
      </c>
      <c r="AD208" s="19" t="s">
        <v>499</v>
      </c>
      <c r="AE208" s="19" t="s">
        <v>313</v>
      </c>
      <c r="AF208" s="19"/>
    </row>
    <row r="209" spans="1:34" customHeight="1" ht="42">
      <c r="A209" s="19">
        <v>202</v>
      </c>
      <c r="B209" s="19" t="s">
        <v>157</v>
      </c>
      <c r="C209" s="19" t="s">
        <v>1061</v>
      </c>
      <c r="D209" s="19" t="str">
        <f>HYPERLINK("http://henontech.com/fieldsafety/harzard/harzard_show.php?rid=2204&amp;url=harzardrecs.php","4.3m焦炉机侧烟道通廊北头！安全门因为难以快速开启！假如大量煤气泄露！难以快速撤离！造成人员死亡！")</f>
        <v>4.3m焦炉机侧烟道通廊北头！安全门因为难以快速开启！假如大量煤气泄露！难以快速撤离！造成人员死亡！</v>
      </c>
      <c r="E209" s="19" t="s">
        <v>1072</v>
      </c>
      <c r="F209" s="20" t="s">
        <v>42</v>
      </c>
      <c r="G209" s="22" t="s">
        <v>111</v>
      </c>
      <c r="H209" s="19" t="s">
        <v>44</v>
      </c>
      <c r="I209" s="19" t="s">
        <v>129</v>
      </c>
      <c r="J209" s="19" t="s">
        <v>64</v>
      </c>
      <c r="K209" s="19" t="s">
        <v>302</v>
      </c>
      <c r="L209" s="19" t="s">
        <v>65</v>
      </c>
      <c r="M209" s="19" t="s">
        <v>49</v>
      </c>
      <c r="N209" s="19" t="s">
        <v>1073</v>
      </c>
      <c r="O209" s="19" t="s">
        <v>49</v>
      </c>
      <c r="P209" s="19" t="s">
        <v>499</v>
      </c>
      <c r="Q209" s="19" t="s">
        <v>984</v>
      </c>
      <c r="R209" s="19" t="s">
        <v>1074</v>
      </c>
      <c r="S209" s="19"/>
      <c r="T209" s="19" t="s">
        <v>53</v>
      </c>
      <c r="U209" s="19" t="s">
        <v>116</v>
      </c>
      <c r="V209" s="19" t="s">
        <v>105</v>
      </c>
      <c r="W209" s="19" t="s">
        <v>56</v>
      </c>
      <c r="X209" s="19" t="s">
        <v>150</v>
      </c>
      <c r="Y209" s="19"/>
      <c r="Z209" s="19" t="s">
        <v>1075</v>
      </c>
      <c r="AA209" s="19">
        <v>2</v>
      </c>
      <c r="AB209" s="19">
        <v>2</v>
      </c>
      <c r="AC209" s="19" t="s">
        <v>59</v>
      </c>
      <c r="AD209" s="19" t="s">
        <v>499</v>
      </c>
      <c r="AE209" s="19" t="s">
        <v>313</v>
      </c>
      <c r="AF209" s="19"/>
    </row>
    <row r="210" spans="1:34">
      <c r="A210" s="19">
        <v>203</v>
      </c>
      <c r="B210" s="19" t="s">
        <v>157</v>
      </c>
      <c r="C210" s="19" t="s">
        <v>144</v>
      </c>
      <c r="D210" s="19" t="str">
        <f>HYPERLINK("http://henontech.com/fieldsafety/harzard/harzard_show.php?rid=2205&amp;url=harzardrecs.php","压缩岗位因检修更换旧阀门未及时清理现场，夜间一名巡检工在巡查过程中，因夜间视线不好，没能发现安全通道处阀门，被阀门拌倒造成手腕扭伤，立即就医治疗。")</f>
        <v>压缩岗位因检修更换旧阀门未及时清理现场，夜间一名巡检工在巡查过程中，因夜间视线不好，没能发现安全通道处阀门，被阀门拌倒造成手腕扭伤，立即就医治疗。</v>
      </c>
      <c r="E210" s="19" t="s">
        <v>1076</v>
      </c>
      <c r="F210" s="20" t="s">
        <v>42</v>
      </c>
      <c r="G210" s="21" t="s">
        <v>43</v>
      </c>
      <c r="H210" s="19" t="s">
        <v>44</v>
      </c>
      <c r="I210" s="19" t="s">
        <v>205</v>
      </c>
      <c r="J210" s="19" t="s">
        <v>64</v>
      </c>
      <c r="K210" s="19" t="s">
        <v>88</v>
      </c>
      <c r="L210" s="19"/>
      <c r="M210" s="19" t="s">
        <v>146</v>
      </c>
      <c r="N210" s="19" t="s">
        <v>249</v>
      </c>
      <c r="O210" s="19" t="s">
        <v>146</v>
      </c>
      <c r="P210" s="19" t="s">
        <v>249</v>
      </c>
      <c r="Q210" s="19" t="s">
        <v>284</v>
      </c>
      <c r="R210" s="19" t="s">
        <v>1077</v>
      </c>
      <c r="S210" s="19"/>
      <c r="T210" s="19" t="s">
        <v>53</v>
      </c>
      <c r="U210" s="19" t="s">
        <v>54</v>
      </c>
      <c r="V210" s="19" t="s">
        <v>105</v>
      </c>
      <c r="W210" s="19" t="s">
        <v>72</v>
      </c>
      <c r="X210" s="19" t="s">
        <v>150</v>
      </c>
      <c r="Y210" s="19" t="s">
        <v>150</v>
      </c>
      <c r="Z210" s="19" t="s">
        <v>1078</v>
      </c>
      <c r="AA210" s="19">
        <v>1</v>
      </c>
      <c r="AB210" s="19">
        <v>1</v>
      </c>
      <c r="AC210" s="19" t="s">
        <v>59</v>
      </c>
      <c r="AD210" s="19" t="s">
        <v>249</v>
      </c>
      <c r="AE210" s="19" t="s">
        <v>917</v>
      </c>
      <c r="AF210" s="19"/>
    </row>
    <row r="211" spans="1:34">
      <c r="A211" s="19">
        <v>204</v>
      </c>
      <c r="B211" s="19" t="s">
        <v>157</v>
      </c>
      <c r="C211" s="19" t="s">
        <v>968</v>
      </c>
      <c r="D211" s="19" t="str">
        <f>HYPERLINK("http://henontech.com/fieldsafety/harzard/harzard_show.php?rid=2206&amp;url=harzardrecs.php","液氨打槽爬梯底部未与地面固定，一名操作工在攀爬时，由于爬梯晃动，脚踩空跌落地面。造成手臂骨折。")</f>
        <v>液氨打槽爬梯底部未与地面固定，一名操作工在攀爬时，由于爬梯晃动，脚踩空跌落地面。造成手臂骨折。</v>
      </c>
      <c r="E211" s="19" t="s">
        <v>1079</v>
      </c>
      <c r="F211" s="20" t="s">
        <v>42</v>
      </c>
      <c r="G211" s="21" t="s">
        <v>43</v>
      </c>
      <c r="H211" s="19" t="s">
        <v>44</v>
      </c>
      <c r="I211" s="19" t="s">
        <v>129</v>
      </c>
      <c r="J211" s="19" t="s">
        <v>64</v>
      </c>
      <c r="K211" s="19" t="s">
        <v>466</v>
      </c>
      <c r="L211" s="19" t="s">
        <v>65</v>
      </c>
      <c r="M211" s="19" t="s">
        <v>146</v>
      </c>
      <c r="N211" s="19" t="s">
        <v>1080</v>
      </c>
      <c r="O211" s="19" t="s">
        <v>146</v>
      </c>
      <c r="P211" s="19" t="s">
        <v>249</v>
      </c>
      <c r="Q211" s="19" t="s">
        <v>922</v>
      </c>
      <c r="R211" s="19" t="s">
        <v>1081</v>
      </c>
      <c r="S211" s="19"/>
      <c r="T211" s="19" t="s">
        <v>53</v>
      </c>
      <c r="U211" s="19" t="s">
        <v>54</v>
      </c>
      <c r="V211" s="19" t="s">
        <v>105</v>
      </c>
      <c r="W211" s="19" t="s">
        <v>72</v>
      </c>
      <c r="X211" s="19" t="s">
        <v>570</v>
      </c>
      <c r="Y211" s="19" t="s">
        <v>570</v>
      </c>
      <c r="Z211" s="19" t="s">
        <v>1082</v>
      </c>
      <c r="AA211" s="19">
        <v>1</v>
      </c>
      <c r="AB211" s="19">
        <v>1</v>
      </c>
      <c r="AC211" s="19" t="s">
        <v>59</v>
      </c>
      <c r="AD211" s="19" t="s">
        <v>249</v>
      </c>
      <c r="AE211" s="19" t="s">
        <v>666</v>
      </c>
      <c r="AF211" s="19"/>
    </row>
    <row r="212" spans="1:34">
      <c r="A212" s="19">
        <v>205</v>
      </c>
      <c r="B212" s="19" t="s">
        <v>157</v>
      </c>
      <c r="C212" s="19" t="s">
        <v>330</v>
      </c>
      <c r="D212" s="19" t="str">
        <f>HYPERLINK("http://henontech.com/fieldsafety/harzard/harzard_show.php?rid=2207&amp;url=harzardrecs.php","缝包机接头处电缆裸露，当操作工在使用缝包机时不慎触电")</f>
        <v>缝包机接头处电缆裸露，当操作工在使用缝包机时不慎触电</v>
      </c>
      <c r="E212" s="19" t="s">
        <v>1083</v>
      </c>
      <c r="F212" s="20" t="s">
        <v>42</v>
      </c>
      <c r="G212" s="21" t="s">
        <v>43</v>
      </c>
      <c r="H212" s="19" t="s">
        <v>44</v>
      </c>
      <c r="I212" s="19" t="s">
        <v>205</v>
      </c>
      <c r="J212" s="19" t="s">
        <v>64</v>
      </c>
      <c r="K212" s="19" t="s">
        <v>88</v>
      </c>
      <c r="L212" s="19"/>
      <c r="M212" s="19" t="s">
        <v>146</v>
      </c>
      <c r="N212" s="19" t="s">
        <v>1084</v>
      </c>
      <c r="O212" s="19" t="s">
        <v>146</v>
      </c>
      <c r="P212" s="19" t="s">
        <v>767</v>
      </c>
      <c r="Q212" s="19" t="s">
        <v>922</v>
      </c>
      <c r="R212" s="19" t="s">
        <v>1085</v>
      </c>
      <c r="S212" s="19"/>
      <c r="T212" s="19" t="s">
        <v>53</v>
      </c>
      <c r="U212" s="19" t="s">
        <v>54</v>
      </c>
      <c r="V212" s="19" t="s">
        <v>105</v>
      </c>
      <c r="W212" s="19" t="s">
        <v>72</v>
      </c>
      <c r="X212" s="19" t="s">
        <v>570</v>
      </c>
      <c r="Y212" s="19" t="s">
        <v>570</v>
      </c>
      <c r="Z212" s="19" t="s">
        <v>1086</v>
      </c>
      <c r="AA212" s="19">
        <v>1</v>
      </c>
      <c r="AB212" s="19">
        <v>1</v>
      </c>
      <c r="AC212" s="19" t="s">
        <v>59</v>
      </c>
      <c r="AD212" s="19" t="s">
        <v>767</v>
      </c>
      <c r="AE212" s="19" t="s">
        <v>334</v>
      </c>
      <c r="AF212" s="19"/>
    </row>
    <row r="213" spans="1:34">
      <c r="A213" s="19">
        <v>206</v>
      </c>
      <c r="B213" s="19" t="s">
        <v>157</v>
      </c>
      <c r="C213" s="19" t="s">
        <v>62</v>
      </c>
      <c r="D213" s="19" t="str">
        <f>HYPERLINK("http://henontech.com/fieldsafety/harzard/harzard_show.php?rid=2208&amp;url=harzardrecs.php","风机2#电捕绝缘箱保温铝皮脱落，如果下雨淋湿内部保温层，使电捕绝缘箱温度降低，可能造成停电捕事故，影响正常生产3小时。")</f>
        <v>风机2#电捕绝缘箱保温铝皮脱落，如果下雨淋湿内部保温层，使电捕绝缘箱温度降低，可能造成停电捕事故，影响正常生产3小时。</v>
      </c>
      <c r="E213" s="19" t="s">
        <v>1087</v>
      </c>
      <c r="F213" s="20" t="s">
        <v>42</v>
      </c>
      <c r="G213" s="21" t="s">
        <v>43</v>
      </c>
      <c r="H213" s="19" t="s">
        <v>44</v>
      </c>
      <c r="I213" s="19" t="s">
        <v>129</v>
      </c>
      <c r="J213" s="19" t="s">
        <v>45</v>
      </c>
      <c r="K213" s="19" t="s">
        <v>46</v>
      </c>
      <c r="L213" s="19" t="s">
        <v>65</v>
      </c>
      <c r="M213" s="19" t="s">
        <v>66</v>
      </c>
      <c r="N213" s="19" t="s">
        <v>1088</v>
      </c>
      <c r="O213" s="19" t="s">
        <v>66</v>
      </c>
      <c r="P213" s="19" t="s">
        <v>68</v>
      </c>
      <c r="Q213" s="19" t="s">
        <v>984</v>
      </c>
      <c r="R213" s="19" t="s">
        <v>1089</v>
      </c>
      <c r="S213" s="19"/>
      <c r="T213" s="19" t="s">
        <v>104</v>
      </c>
      <c r="U213" s="19" t="s">
        <v>94</v>
      </c>
      <c r="V213" s="19" t="s">
        <v>105</v>
      </c>
      <c r="W213" s="19" t="s">
        <v>96</v>
      </c>
      <c r="X213" s="19"/>
      <c r="Y213" s="19"/>
      <c r="Z213" s="19" t="s">
        <v>1090</v>
      </c>
      <c r="AA213" s="19">
        <v>1</v>
      </c>
      <c r="AB213" s="19">
        <v>1</v>
      </c>
      <c r="AC213" s="19" t="s">
        <v>59</v>
      </c>
      <c r="AD213" s="19" t="s">
        <v>68</v>
      </c>
      <c r="AE213" s="19" t="s">
        <v>214</v>
      </c>
      <c r="AF213" s="19"/>
    </row>
    <row r="214" spans="1:34">
      <c r="A214" s="19">
        <v>207</v>
      </c>
      <c r="B214" s="19" t="s">
        <v>157</v>
      </c>
      <c r="C214" s="19" t="s">
        <v>295</v>
      </c>
      <c r="D214" s="19" t="str">
        <f>HYPERLINK("http://henontech.com/fieldsafety/harzard/harzard_show.php?rid=2209&amp;url=harzardrecs.php","压缩巡检室内静电地板塌陷，巡检工外出巡检时，没能及时发现不慎踩空，造成一名巡检工脚腕扭伤，立即就医诊断脚腕骨折，住院治疗。")</f>
        <v>压缩巡检室内静电地板塌陷，巡检工外出巡检时，没能及时发现不慎踩空，造成一名巡检工脚腕扭伤，立即就医诊断脚腕骨折，住院治疗。</v>
      </c>
      <c r="E214" s="19" t="s">
        <v>1091</v>
      </c>
      <c r="F214" s="20" t="s">
        <v>42</v>
      </c>
      <c r="G214" s="21" t="s">
        <v>43</v>
      </c>
      <c r="H214" s="19" t="s">
        <v>44</v>
      </c>
      <c r="I214" s="19" t="s">
        <v>205</v>
      </c>
      <c r="J214" s="19" t="s">
        <v>64</v>
      </c>
      <c r="K214" s="19" t="s">
        <v>88</v>
      </c>
      <c r="L214" s="19"/>
      <c r="M214" s="19" t="s">
        <v>146</v>
      </c>
      <c r="N214" s="19" t="s">
        <v>1092</v>
      </c>
      <c r="O214" s="19" t="s">
        <v>146</v>
      </c>
      <c r="P214" s="19" t="s">
        <v>249</v>
      </c>
      <c r="Q214" s="19" t="s">
        <v>922</v>
      </c>
      <c r="R214" s="19" t="s">
        <v>1093</v>
      </c>
      <c r="S214" s="19"/>
      <c r="T214" s="19" t="s">
        <v>53</v>
      </c>
      <c r="U214" s="19" t="s">
        <v>54</v>
      </c>
      <c r="V214" s="19" t="s">
        <v>105</v>
      </c>
      <c r="W214" s="19" t="s">
        <v>72</v>
      </c>
      <c r="X214" s="19" t="s">
        <v>359</v>
      </c>
      <c r="Y214" s="19" t="s">
        <v>359</v>
      </c>
      <c r="Z214" s="19" t="s">
        <v>1094</v>
      </c>
      <c r="AA214" s="19">
        <v>1</v>
      </c>
      <c r="AB214" s="19">
        <v>1</v>
      </c>
      <c r="AC214" s="19" t="s">
        <v>59</v>
      </c>
      <c r="AD214" s="19" t="s">
        <v>249</v>
      </c>
      <c r="AE214" s="19" t="s">
        <v>334</v>
      </c>
      <c r="AF214" s="19"/>
    </row>
    <row r="215" spans="1:34">
      <c r="A215" s="19">
        <v>208</v>
      </c>
      <c r="B215" s="19" t="s">
        <v>157</v>
      </c>
      <c r="C215" s="19" t="s">
        <v>295</v>
      </c>
      <c r="D215" s="19" t="str">
        <f>HYPERLINK("http://henontech.com/fieldsafety/harzard/harzard_show.php?rid=2210&amp;url=harzardrecs.php","一名操作工在巡检时，因踏板塌陷打滑扭伤脚踝，到医务室治疗。")</f>
        <v>一名操作工在巡检时，因踏板塌陷打滑扭伤脚踝，到医务室治疗。</v>
      </c>
      <c r="E215" s="19" t="s">
        <v>1095</v>
      </c>
      <c r="F215" s="20" t="s">
        <v>42</v>
      </c>
      <c r="G215" s="21" t="s">
        <v>43</v>
      </c>
      <c r="H215" s="19" t="s">
        <v>44</v>
      </c>
      <c r="I215" s="19" t="s">
        <v>205</v>
      </c>
      <c r="J215" s="19" t="s">
        <v>64</v>
      </c>
      <c r="K215" s="19" t="s">
        <v>466</v>
      </c>
      <c r="L215" s="19"/>
      <c r="M215" s="19" t="s">
        <v>146</v>
      </c>
      <c r="N215" s="19" t="s">
        <v>1096</v>
      </c>
      <c r="O215" s="19" t="s">
        <v>146</v>
      </c>
      <c r="P215" s="19" t="s">
        <v>249</v>
      </c>
      <c r="Q215" s="19" t="s">
        <v>922</v>
      </c>
      <c r="R215" s="19" t="s">
        <v>1097</v>
      </c>
      <c r="S215" s="19"/>
      <c r="T215" s="19" t="s">
        <v>53</v>
      </c>
      <c r="U215" s="19" t="s">
        <v>71</v>
      </c>
      <c r="V215" s="19" t="s">
        <v>55</v>
      </c>
      <c r="W215" s="19" t="s">
        <v>72</v>
      </c>
      <c r="X215" s="19" t="s">
        <v>570</v>
      </c>
      <c r="Y215" s="19" t="s">
        <v>570</v>
      </c>
      <c r="Z215" s="19" t="s">
        <v>1098</v>
      </c>
      <c r="AA215" s="19">
        <v>1</v>
      </c>
      <c r="AB215" s="19">
        <v>1</v>
      </c>
      <c r="AC215" s="19" t="s">
        <v>59</v>
      </c>
      <c r="AD215" s="19" t="s">
        <v>249</v>
      </c>
      <c r="AE215" s="19" t="s">
        <v>334</v>
      </c>
      <c r="AF215" s="19"/>
    </row>
    <row r="216" spans="1:34">
      <c r="A216" s="19">
        <v>209</v>
      </c>
      <c r="B216" s="19" t="s">
        <v>157</v>
      </c>
      <c r="C216" s="19" t="s">
        <v>1099</v>
      </c>
      <c r="D216" s="19" t="str">
        <f>HYPERLINK("http://henontech.com/fieldsafety/harzard/harzard_show.php?rid=2211&amp;url=harzardrecs.php","两盐大屋北侧窗户玻璃破裂，如果在五级大风天气一名操作工在巡检时经过此处，可能被破裂掉落的玻璃轻微划伤手臂，送医务室简单包扎后正常工作")</f>
        <v>两盐大屋北侧窗户玻璃破裂，如果在五级大风天气一名操作工在巡检时经过此处，可能被破裂掉落的玻璃轻微划伤手臂，送医务室简单包扎后正常工作</v>
      </c>
      <c r="E216" s="19" t="s">
        <v>1100</v>
      </c>
      <c r="F216" s="20" t="s">
        <v>42</v>
      </c>
      <c r="G216" s="21" t="s">
        <v>43</v>
      </c>
      <c r="H216" s="19" t="s">
        <v>44</v>
      </c>
      <c r="I216" s="19" t="s">
        <v>78</v>
      </c>
      <c r="J216" s="19" t="s">
        <v>64</v>
      </c>
      <c r="K216" s="19" t="s">
        <v>79</v>
      </c>
      <c r="L216" s="19" t="s">
        <v>65</v>
      </c>
      <c r="M216" s="19" t="s">
        <v>66</v>
      </c>
      <c r="N216" s="19" t="s">
        <v>1101</v>
      </c>
      <c r="O216" s="19" t="s">
        <v>66</v>
      </c>
      <c r="P216" s="19" t="s">
        <v>68</v>
      </c>
      <c r="Q216" s="19" t="s">
        <v>984</v>
      </c>
      <c r="R216" s="19" t="s">
        <v>1102</v>
      </c>
      <c r="S216" s="19"/>
      <c r="T216" s="19" t="s">
        <v>53</v>
      </c>
      <c r="U216" s="19" t="s">
        <v>71</v>
      </c>
      <c r="V216" s="19" t="s">
        <v>105</v>
      </c>
      <c r="W216" s="19" t="s">
        <v>96</v>
      </c>
      <c r="X216" s="19"/>
      <c r="Y216" s="19"/>
      <c r="Z216" s="19" t="s">
        <v>1103</v>
      </c>
      <c r="AA216" s="19">
        <v>1</v>
      </c>
      <c r="AB216" s="19">
        <v>1</v>
      </c>
      <c r="AC216" s="19" t="s">
        <v>59</v>
      </c>
      <c r="AD216" s="19" t="s">
        <v>68</v>
      </c>
      <c r="AE216" s="19" t="s">
        <v>305</v>
      </c>
      <c r="AF216" s="19"/>
    </row>
    <row r="217" spans="1:34">
      <c r="A217" s="19">
        <v>210</v>
      </c>
      <c r="B217" s="19" t="s">
        <v>157</v>
      </c>
      <c r="C217" s="19" t="s">
        <v>256</v>
      </c>
      <c r="D217" s="19" t="str">
        <f>HYPERLINK("http://henontech.com/fieldsafety/harzard/harzard_show.php?rid=2213&amp;url=harzardrecs.php","西硫铵饱和器母液加热器出口法兰因长时间使用被母液腐蚀严重，造成法兰焊缝漏液，一名维修人员在维修过程中，若未佩戴防护面罩可能会造成母液溅入眼内，立即用大量清水冲洗后无碍，正常工作")</f>
        <v>西硫铵饱和器母液加热器出口法兰因长时间使用被母液腐蚀严重，造成法兰焊缝漏液，一名维修人员在维修过程中，若未佩戴防护面罩可能会造成母液溅入眼内，立即用大量清水冲洗后无碍，正常工作</v>
      </c>
      <c r="E217" s="19" t="s">
        <v>1104</v>
      </c>
      <c r="F217" s="20" t="s">
        <v>42</v>
      </c>
      <c r="G217" s="21" t="s">
        <v>43</v>
      </c>
      <c r="H217" s="19" t="s">
        <v>44</v>
      </c>
      <c r="I217" s="19" t="s">
        <v>78</v>
      </c>
      <c r="J217" s="19" t="s">
        <v>45</v>
      </c>
      <c r="K217" s="19" t="s">
        <v>88</v>
      </c>
      <c r="L217" s="19" t="s">
        <v>65</v>
      </c>
      <c r="M217" s="19" t="s">
        <v>66</v>
      </c>
      <c r="N217" s="19" t="s">
        <v>1101</v>
      </c>
      <c r="O217" s="19" t="s">
        <v>66</v>
      </c>
      <c r="P217" s="19" t="s">
        <v>68</v>
      </c>
      <c r="Q217" s="19" t="s">
        <v>984</v>
      </c>
      <c r="R217" s="19" t="s">
        <v>1105</v>
      </c>
      <c r="S217" s="19"/>
      <c r="T217" s="19" t="s">
        <v>53</v>
      </c>
      <c r="U217" s="19" t="s">
        <v>94</v>
      </c>
      <c r="V217" s="19" t="s">
        <v>105</v>
      </c>
      <c r="W217" s="19" t="s">
        <v>96</v>
      </c>
      <c r="X217" s="19"/>
      <c r="Y217" s="19"/>
      <c r="Z217" s="19" t="s">
        <v>1106</v>
      </c>
      <c r="AA217" s="19">
        <v>1</v>
      </c>
      <c r="AB217" s="19">
        <v>1</v>
      </c>
      <c r="AC217" s="19" t="s">
        <v>59</v>
      </c>
      <c r="AD217" s="19" t="s">
        <v>68</v>
      </c>
      <c r="AE217" s="19" t="s">
        <v>305</v>
      </c>
      <c r="AF217" s="19"/>
    </row>
    <row r="218" spans="1:34" customHeight="1" ht="42">
      <c r="A218" s="19">
        <v>211</v>
      </c>
      <c r="B218" s="19" t="s">
        <v>157</v>
      </c>
      <c r="C218" s="19" t="s">
        <v>49</v>
      </c>
      <c r="D218" s="19" t="str">
        <f>HYPERLINK("http://henontech.com/fieldsafety/harzard/harzard_show.php?rid=2214&amp;url=harzardrecs.php","4.3米1#炉地下室南头地面油污较多，人员进入地下室经过此处时，发生人员跌倒，造成人员局部骨折住院治疗一周的损工事故")</f>
        <v>4.3米1#炉地下室南头地面油污较多，人员进入地下室经过此处时，发生人员跌倒，造成人员局部骨折住院治疗一周的损工事故</v>
      </c>
      <c r="E218" s="19" t="s">
        <v>1107</v>
      </c>
      <c r="F218" s="20" t="s">
        <v>42</v>
      </c>
      <c r="G218" s="21" t="s">
        <v>43</v>
      </c>
      <c r="H218" s="19" t="s">
        <v>44</v>
      </c>
      <c r="I218" s="19"/>
      <c r="J218" s="19" t="s">
        <v>64</v>
      </c>
      <c r="K218" s="19"/>
      <c r="L218" s="19"/>
      <c r="M218" s="19" t="s">
        <v>49</v>
      </c>
      <c r="N218" s="19" t="s">
        <v>1108</v>
      </c>
      <c r="O218" s="19" t="s">
        <v>49</v>
      </c>
      <c r="P218" s="19" t="s">
        <v>460</v>
      </c>
      <c r="Q218" s="19" t="s">
        <v>984</v>
      </c>
      <c r="R218" s="19" t="s">
        <v>1109</v>
      </c>
      <c r="S218" s="19"/>
      <c r="T218" s="19" t="s">
        <v>53</v>
      </c>
      <c r="U218" s="19" t="s">
        <v>54</v>
      </c>
      <c r="V218" s="19" t="s">
        <v>105</v>
      </c>
      <c r="W218" s="19" t="s">
        <v>72</v>
      </c>
      <c r="X218" s="19"/>
      <c r="Y218" s="19"/>
      <c r="Z218" s="19" t="s">
        <v>1110</v>
      </c>
      <c r="AA218" s="19">
        <v>2</v>
      </c>
      <c r="AB218" s="19">
        <v>2</v>
      </c>
      <c r="AC218" s="19" t="s">
        <v>59</v>
      </c>
      <c r="AD218" s="19" t="s">
        <v>460</v>
      </c>
      <c r="AE218" s="19" t="s">
        <v>313</v>
      </c>
      <c r="AF218" s="19"/>
    </row>
    <row r="219" spans="1:34">
      <c r="A219" s="19">
        <v>212</v>
      </c>
      <c r="B219" s="19" t="s">
        <v>157</v>
      </c>
      <c r="C219" s="19" t="s">
        <v>263</v>
      </c>
      <c r="D219" s="19" t="str">
        <f>HYPERLINK("http://henontech.com/fieldsafety/harzard/harzard_show.php?rid=2215&amp;url=harzardrecs.php","1#分馏塔二层平台有外协人员刷漆时遗落的漆桶，大风天一名操作工巡检时被刮落的漆桶砸中右肩部，立即送医治疗。")</f>
        <v>1#分馏塔二层平台有外协人员刷漆时遗落的漆桶，大风天一名操作工巡检时被刮落的漆桶砸中右肩部，立即送医治疗。</v>
      </c>
      <c r="E219" s="19" t="s">
        <v>1111</v>
      </c>
      <c r="F219" s="20" t="s">
        <v>42</v>
      </c>
      <c r="G219" s="21" t="s">
        <v>43</v>
      </c>
      <c r="H219" s="19" t="s">
        <v>44</v>
      </c>
      <c r="I219" s="19" t="s">
        <v>205</v>
      </c>
      <c r="J219" s="19"/>
      <c r="K219" s="19" t="s">
        <v>46</v>
      </c>
      <c r="L219" s="19"/>
      <c r="M219" s="19" t="s">
        <v>146</v>
      </c>
      <c r="N219" s="19" t="s">
        <v>1112</v>
      </c>
      <c r="O219" s="19" t="s">
        <v>146</v>
      </c>
      <c r="P219" s="19" t="s">
        <v>249</v>
      </c>
      <c r="Q219" s="19" t="s">
        <v>922</v>
      </c>
      <c r="R219" s="19" t="s">
        <v>1113</v>
      </c>
      <c r="S219" s="19"/>
      <c r="T219" s="19" t="s">
        <v>53</v>
      </c>
      <c r="U219" s="19" t="s">
        <v>54</v>
      </c>
      <c r="V219" s="19" t="s">
        <v>55</v>
      </c>
      <c r="W219" s="19" t="s">
        <v>56</v>
      </c>
      <c r="X219" s="19" t="s">
        <v>267</v>
      </c>
      <c r="Y219" s="19" t="s">
        <v>159</v>
      </c>
      <c r="Z219" s="19" t="s">
        <v>1114</v>
      </c>
      <c r="AA219" s="19">
        <v>1</v>
      </c>
      <c r="AB219" s="19">
        <v>1</v>
      </c>
      <c r="AC219" s="19" t="s">
        <v>59</v>
      </c>
      <c r="AD219" s="19" t="s">
        <v>249</v>
      </c>
      <c r="AE219" s="19" t="s">
        <v>334</v>
      </c>
      <c r="AF219" s="19"/>
    </row>
    <row r="220" spans="1:34" customHeight="1" ht="42">
      <c r="A220" s="19">
        <v>213</v>
      </c>
      <c r="B220" s="19" t="s">
        <v>157</v>
      </c>
      <c r="C220" s="19" t="s">
        <v>49</v>
      </c>
      <c r="D220" s="19" t="str">
        <f>HYPERLINK("http://henontech.com/fieldsafety/harzard/harzard_show.php?rid=2216&amp;url=harzardrecs.php","4.3米焦炉地下室北头门子合页断裂，万一一名员工经过时门子倾倒砸到手臂，造成手臂擦伤，去医务室包扎处理")</f>
        <v>4.3米焦炉地下室北头门子合页断裂，万一一名员工经过时门子倾倒砸到手臂，造成手臂擦伤，去医务室包扎处理</v>
      </c>
      <c r="E220" s="19" t="s">
        <v>1115</v>
      </c>
      <c r="F220" s="20" t="s">
        <v>42</v>
      </c>
      <c r="G220" s="21" t="s">
        <v>43</v>
      </c>
      <c r="H220" s="19" t="s">
        <v>44</v>
      </c>
      <c r="I220" s="19" t="s">
        <v>129</v>
      </c>
      <c r="J220" s="19" t="s">
        <v>64</v>
      </c>
      <c r="K220" s="19" t="s">
        <v>79</v>
      </c>
      <c r="L220" s="19" t="s">
        <v>65</v>
      </c>
      <c r="M220" s="19" t="s">
        <v>49</v>
      </c>
      <c r="N220" s="19" t="s">
        <v>1116</v>
      </c>
      <c r="O220" s="19" t="s">
        <v>49</v>
      </c>
      <c r="P220" s="19" t="s">
        <v>460</v>
      </c>
      <c r="Q220" s="19" t="s">
        <v>984</v>
      </c>
      <c r="R220" s="19" t="s">
        <v>1117</v>
      </c>
      <c r="S220" s="19"/>
      <c r="T220" s="19" t="s">
        <v>53</v>
      </c>
      <c r="U220" s="19" t="s">
        <v>54</v>
      </c>
      <c r="V220" s="19" t="s">
        <v>105</v>
      </c>
      <c r="W220" s="19" t="s">
        <v>72</v>
      </c>
      <c r="X220" s="19" t="s">
        <v>57</v>
      </c>
      <c r="Y220" s="19"/>
      <c r="Z220" s="19" t="s">
        <v>1118</v>
      </c>
      <c r="AA220" s="19">
        <v>2</v>
      </c>
      <c r="AB220" s="19">
        <v>2</v>
      </c>
      <c r="AC220" s="19" t="s">
        <v>59</v>
      </c>
      <c r="AD220" s="19" t="s">
        <v>460</v>
      </c>
      <c r="AE220" s="19" t="s">
        <v>313</v>
      </c>
      <c r="AF220" s="19"/>
    </row>
    <row r="221" spans="1:34">
      <c r="A221" s="19">
        <v>214</v>
      </c>
      <c r="B221" s="19" t="s">
        <v>157</v>
      </c>
      <c r="C221" s="19" t="s">
        <v>256</v>
      </c>
      <c r="D221" s="19" t="str">
        <f>HYPERLINK("http://henontech.com/fieldsafety/harzard/harzard_show.php?rid=2217&amp;url=harzardrecs.php","西硫铵东框架一废弃管线因无法拆除，长年在管架上已腐蚀断裂，如果一名操作工巡检经过此处时，废弃管线可能从管架上掉落，砸到巡检人员，因劳保穿戴规范，仅头部被轻微砸伤，送医院治疗5天康复。")</f>
        <v>西硫铵东框架一废弃管线因无法拆除，长年在管架上已腐蚀断裂，如果一名操作工巡检经过此处时，废弃管线可能从管架上掉落，砸到巡检人员，因劳保穿戴规范，仅头部被轻微砸伤，送医院治疗5天康复。</v>
      </c>
      <c r="E221" s="19" t="s">
        <v>1119</v>
      </c>
      <c r="F221" s="20" t="s">
        <v>42</v>
      </c>
      <c r="G221" s="21" t="s">
        <v>43</v>
      </c>
      <c r="H221" s="19" t="s">
        <v>44</v>
      </c>
      <c r="I221" s="19" t="s">
        <v>78</v>
      </c>
      <c r="J221" s="19" t="s">
        <v>64</v>
      </c>
      <c r="K221" s="19" t="s">
        <v>46</v>
      </c>
      <c r="L221" s="19" t="s">
        <v>65</v>
      </c>
      <c r="M221" s="19" t="s">
        <v>66</v>
      </c>
      <c r="N221" s="19" t="s">
        <v>1120</v>
      </c>
      <c r="O221" s="19" t="s">
        <v>66</v>
      </c>
      <c r="P221" s="19" t="s">
        <v>68</v>
      </c>
      <c r="Q221" s="19" t="s">
        <v>984</v>
      </c>
      <c r="R221" s="19" t="s">
        <v>1121</v>
      </c>
      <c r="S221" s="19"/>
      <c r="T221" s="19" t="s">
        <v>53</v>
      </c>
      <c r="U221" s="19" t="s">
        <v>54</v>
      </c>
      <c r="V221" s="19" t="s">
        <v>105</v>
      </c>
      <c r="W221" s="19" t="s">
        <v>72</v>
      </c>
      <c r="X221" s="19"/>
      <c r="Y221" s="19"/>
      <c r="Z221" s="19" t="s">
        <v>1122</v>
      </c>
      <c r="AA221" s="19">
        <v>1</v>
      </c>
      <c r="AB221" s="19">
        <v>1</v>
      </c>
      <c r="AC221" s="19" t="s">
        <v>59</v>
      </c>
      <c r="AD221" s="19" t="s">
        <v>68</v>
      </c>
      <c r="AE221" s="19" t="s">
        <v>517</v>
      </c>
      <c r="AF221" s="19"/>
    </row>
    <row r="222" spans="1:34">
      <c r="A222" s="19">
        <v>215</v>
      </c>
      <c r="B222" s="19" t="s">
        <v>157</v>
      </c>
      <c r="C222" s="19" t="s">
        <v>270</v>
      </c>
      <c r="D222" s="19" t="str">
        <f>HYPERLINK("http://henontech.com/fieldsafety/harzard/harzard_show.php?rid=2218&amp;url=harzardrecs.php","焦炉预热器管架有维修时未清理的保温材料，一名操作工巡检时被掉落的保温材料砸伤胳膊，造成骨折住院治疗")</f>
        <v>焦炉预热器管架有维修时未清理的保温材料，一名操作工巡检时被掉落的保温材料砸伤胳膊，造成骨折住院治疗</v>
      </c>
      <c r="E222" s="19" t="s">
        <v>1123</v>
      </c>
      <c r="F222" s="20" t="s">
        <v>42</v>
      </c>
      <c r="G222" s="21" t="s">
        <v>43</v>
      </c>
      <c r="H222" s="19" t="s">
        <v>44</v>
      </c>
      <c r="I222" s="19" t="s">
        <v>205</v>
      </c>
      <c r="J222" s="19"/>
      <c r="K222" s="19" t="s">
        <v>46</v>
      </c>
      <c r="L222" s="19"/>
      <c r="M222" s="19" t="s">
        <v>146</v>
      </c>
      <c r="N222" s="19" t="s">
        <v>1124</v>
      </c>
      <c r="O222" s="19" t="s">
        <v>146</v>
      </c>
      <c r="P222" s="19" t="s">
        <v>249</v>
      </c>
      <c r="Q222" s="19" t="s">
        <v>922</v>
      </c>
      <c r="R222" s="19" t="s">
        <v>1125</v>
      </c>
      <c r="S222" s="19"/>
      <c r="T222" s="19" t="s">
        <v>53</v>
      </c>
      <c r="U222" s="19" t="s">
        <v>54</v>
      </c>
      <c r="V222" s="19" t="s">
        <v>55</v>
      </c>
      <c r="W222" s="19" t="s">
        <v>56</v>
      </c>
      <c r="X222" s="19" t="s">
        <v>267</v>
      </c>
      <c r="Y222" s="19" t="s">
        <v>159</v>
      </c>
      <c r="Z222" s="19" t="s">
        <v>1126</v>
      </c>
      <c r="AA222" s="19">
        <v>1</v>
      </c>
      <c r="AB222" s="19">
        <v>1</v>
      </c>
      <c r="AC222" s="19" t="s">
        <v>59</v>
      </c>
      <c r="AD222" s="19" t="s">
        <v>249</v>
      </c>
      <c r="AE222" s="19" t="s">
        <v>334</v>
      </c>
      <c r="AF222" s="19"/>
    </row>
    <row r="223" spans="1:34">
      <c r="A223" s="19">
        <v>216</v>
      </c>
      <c r="B223" s="19" t="s">
        <v>157</v>
      </c>
      <c r="C223" s="19" t="s">
        <v>246</v>
      </c>
      <c r="D223" s="19" t="str">
        <f>HYPERLINK("http://henontech.com/fieldsafety/harzard/harzard_show.php?rid=2220&amp;url=harzardrecs.php","1号吸氨泵机械密封漏液，一名操作工在巡检过程中氨水不慎溅入眼内，送医院救治")</f>
        <v>1号吸氨泵机械密封漏液，一名操作工在巡检过程中氨水不慎溅入眼内，送医院救治</v>
      </c>
      <c r="E223" s="19" t="s">
        <v>1127</v>
      </c>
      <c r="F223" s="20" t="s">
        <v>42</v>
      </c>
      <c r="G223" s="22" t="s">
        <v>111</v>
      </c>
      <c r="H223" s="19" t="s">
        <v>44</v>
      </c>
      <c r="I223" s="19" t="s">
        <v>129</v>
      </c>
      <c r="J223" s="19" t="s">
        <v>64</v>
      </c>
      <c r="K223" s="19" t="s">
        <v>46</v>
      </c>
      <c r="L223" s="19"/>
      <c r="M223" s="19" t="s">
        <v>146</v>
      </c>
      <c r="N223" s="19" t="s">
        <v>248</v>
      </c>
      <c r="O223" s="19" t="s">
        <v>146</v>
      </c>
      <c r="P223" s="19" t="s">
        <v>148</v>
      </c>
      <c r="Q223" s="19" t="s">
        <v>502</v>
      </c>
      <c r="R223" s="19" t="s">
        <v>1128</v>
      </c>
      <c r="S223" s="19"/>
      <c r="T223" s="19" t="s">
        <v>53</v>
      </c>
      <c r="U223" s="19" t="s">
        <v>54</v>
      </c>
      <c r="V223" s="19" t="s">
        <v>55</v>
      </c>
      <c r="W223" s="19" t="s">
        <v>56</v>
      </c>
      <c r="X223" s="19" t="s">
        <v>57</v>
      </c>
      <c r="Y223" s="19" t="s">
        <v>57</v>
      </c>
      <c r="Z223" s="19" t="s">
        <v>1129</v>
      </c>
      <c r="AA223" s="19">
        <v>1</v>
      </c>
      <c r="AB223" s="19">
        <v>1</v>
      </c>
      <c r="AC223" s="19" t="s">
        <v>59</v>
      </c>
      <c r="AD223" s="19" t="s">
        <v>148</v>
      </c>
      <c r="AE223" s="19" t="s">
        <v>917</v>
      </c>
      <c r="AF223" s="19" t="s">
        <v>1130</v>
      </c>
    </row>
    <row r="224" spans="1:34">
      <c r="A224" s="19">
        <v>217</v>
      </c>
      <c r="B224" s="19" t="s">
        <v>157</v>
      </c>
      <c r="C224" s="19" t="s">
        <v>1131</v>
      </c>
      <c r="D224" s="19" t="str">
        <f>HYPERLINK("http://henontech.com/fieldsafety/harzard/harzard_show.php?rid=2221&amp;url=harzardrecs.php","一名巡检工在巡检码垛机运转情况过程中，由于护栏门未锁闭将护栏门向里推开被运行中的机械手重击头部当场昏迷，另一名巡检工发现立即通知班长将其送往医院抢救。")</f>
        <v>一名巡检工在巡检码垛机运转情况过程中，由于护栏门未锁闭将护栏门向里推开被运行中的机械手重击头部当场昏迷，另一名巡检工发现立即通知班长将其送往医院抢救。</v>
      </c>
      <c r="E224" s="19" t="s">
        <v>1132</v>
      </c>
      <c r="F224" s="20" t="s">
        <v>42</v>
      </c>
      <c r="G224" s="24" t="s">
        <v>534</v>
      </c>
      <c r="H224" s="19" t="s">
        <v>44</v>
      </c>
      <c r="I224" s="19" t="s">
        <v>205</v>
      </c>
      <c r="J224" s="19" t="s">
        <v>308</v>
      </c>
      <c r="K224" s="19" t="s">
        <v>88</v>
      </c>
      <c r="L224" s="19"/>
      <c r="M224" s="19" t="s">
        <v>146</v>
      </c>
      <c r="N224" s="19" t="s">
        <v>332</v>
      </c>
      <c r="O224" s="19" t="s">
        <v>146</v>
      </c>
      <c r="P224" s="19" t="s">
        <v>249</v>
      </c>
      <c r="Q224" s="19" t="s">
        <v>1064</v>
      </c>
      <c r="R224" s="19" t="s">
        <v>1133</v>
      </c>
      <c r="S224" s="19"/>
      <c r="T224" s="19" t="s">
        <v>53</v>
      </c>
      <c r="U224" s="19" t="s">
        <v>116</v>
      </c>
      <c r="V224" s="19" t="s">
        <v>105</v>
      </c>
      <c r="W224" s="19" t="s">
        <v>56</v>
      </c>
      <c r="X224" s="19" t="s">
        <v>57</v>
      </c>
      <c r="Y224" s="19" t="s">
        <v>57</v>
      </c>
      <c r="Z224" s="19" t="s">
        <v>1134</v>
      </c>
      <c r="AA224" s="19">
        <v>1</v>
      </c>
      <c r="AB224" s="19">
        <v>1</v>
      </c>
      <c r="AC224" s="19" t="s">
        <v>59</v>
      </c>
      <c r="AD224" s="19" t="s">
        <v>249</v>
      </c>
      <c r="AE224" s="19" t="s">
        <v>334</v>
      </c>
      <c r="AF224" s="19"/>
    </row>
    <row r="225" spans="1:34">
      <c r="A225" s="19">
        <v>218</v>
      </c>
      <c r="B225" s="19" t="s">
        <v>152</v>
      </c>
      <c r="C225" s="19" t="s">
        <v>1135</v>
      </c>
      <c r="D225" s="19" t="str">
        <f>HYPERLINK("http://henontech.com/fieldsafety/harzard/harzard_show.php?rid=2222&amp;url=harzardrecs.php","一名操作工巡检过程中，接线箱接线柱无防爆泥，现场可燃气体进入接线箱，引发防爆箱爆炸。")</f>
        <v>一名操作工巡检过程中，接线箱接线柱无防爆泥，现场可燃气体进入接线箱，引发防爆箱爆炸。</v>
      </c>
      <c r="E225" s="19" t="s">
        <v>1136</v>
      </c>
      <c r="F225" s="20" t="s">
        <v>42</v>
      </c>
      <c r="G225" s="22" t="s">
        <v>111</v>
      </c>
      <c r="H225" s="19" t="s">
        <v>44</v>
      </c>
      <c r="I225" s="19" t="s">
        <v>129</v>
      </c>
      <c r="J225" s="19" t="s">
        <v>64</v>
      </c>
      <c r="K225" s="19" t="s">
        <v>46</v>
      </c>
      <c r="L225" s="19"/>
      <c r="M225" s="19" t="s">
        <v>146</v>
      </c>
      <c r="N225" s="19" t="s">
        <v>156</v>
      </c>
      <c r="O225" s="19" t="s">
        <v>146</v>
      </c>
      <c r="P225" s="19" t="s">
        <v>249</v>
      </c>
      <c r="Q225" s="19" t="s">
        <v>984</v>
      </c>
      <c r="R225" s="19" t="s">
        <v>1137</v>
      </c>
      <c r="S225" s="19"/>
      <c r="T225" s="19" t="s">
        <v>53</v>
      </c>
      <c r="U225" s="19" t="s">
        <v>116</v>
      </c>
      <c r="V225" s="19" t="s">
        <v>105</v>
      </c>
      <c r="W225" s="19" t="s">
        <v>56</v>
      </c>
      <c r="X225" s="19" t="s">
        <v>570</v>
      </c>
      <c r="Y225" s="19" t="s">
        <v>570</v>
      </c>
      <c r="Z225" s="19" t="s">
        <v>1138</v>
      </c>
      <c r="AA225" s="19">
        <v>1</v>
      </c>
      <c r="AB225" s="19">
        <v>1</v>
      </c>
      <c r="AC225" s="19" t="s">
        <v>59</v>
      </c>
      <c r="AD225" s="19" t="s">
        <v>249</v>
      </c>
      <c r="AE225" s="19" t="s">
        <v>334</v>
      </c>
      <c r="AF225" s="19"/>
    </row>
    <row r="226" spans="1:34">
      <c r="A226" s="19">
        <v>219</v>
      </c>
      <c r="B226" s="19" t="s">
        <v>152</v>
      </c>
      <c r="C226" s="19" t="s">
        <v>241</v>
      </c>
      <c r="D226" s="19" t="str">
        <f>HYPERLINK("http://henontech.com/fieldsafety/harzard/harzard_show.php?rid=2223&amp;url=harzardrecs.php","东硫铵2#小母液泵因长时间使用，管道法兰焊缝处腐蚀严重造成法兰焊缝喷母液，假如一名操作工在夜间擦拭泵体卫生时，被法兰焊缝喷溅出来的母液溅入眼中，立即用大量清水冲洗后无碍，正常工作")</f>
        <v>东硫铵2#小母液泵因长时间使用，管道法兰焊缝处腐蚀严重造成法兰焊缝喷母液，假如一名操作工在夜间擦拭泵体卫生时，被法兰焊缝喷溅出来的母液溅入眼中，立即用大量清水冲洗后无碍，正常工作</v>
      </c>
      <c r="E226" s="19" t="s">
        <v>1139</v>
      </c>
      <c r="F226" s="20" t="s">
        <v>42</v>
      </c>
      <c r="G226" s="21" t="s">
        <v>43</v>
      </c>
      <c r="H226" s="19" t="s">
        <v>44</v>
      </c>
      <c r="I226" s="19" t="s">
        <v>78</v>
      </c>
      <c r="J226" s="19" t="s">
        <v>64</v>
      </c>
      <c r="K226" s="19" t="s">
        <v>46</v>
      </c>
      <c r="L226" s="19" t="s">
        <v>65</v>
      </c>
      <c r="M226" s="19" t="s">
        <v>66</v>
      </c>
      <c r="N226" s="19" t="s">
        <v>1140</v>
      </c>
      <c r="O226" s="19" t="s">
        <v>66</v>
      </c>
      <c r="P226" s="19" t="s">
        <v>68</v>
      </c>
      <c r="Q226" s="19" t="s">
        <v>984</v>
      </c>
      <c r="R226" s="19" t="s">
        <v>1141</v>
      </c>
      <c r="S226" s="19"/>
      <c r="T226" s="19" t="s">
        <v>53</v>
      </c>
      <c r="U226" s="19" t="s">
        <v>94</v>
      </c>
      <c r="V226" s="19" t="s">
        <v>105</v>
      </c>
      <c r="W226" s="19" t="s">
        <v>96</v>
      </c>
      <c r="X226" s="19"/>
      <c r="Y226" s="19"/>
      <c r="Z226" s="19" t="s">
        <v>1142</v>
      </c>
      <c r="AA226" s="19">
        <v>1</v>
      </c>
      <c r="AB226" s="19">
        <v>1</v>
      </c>
      <c r="AC226" s="19" t="s">
        <v>59</v>
      </c>
      <c r="AD226" s="19" t="s">
        <v>68</v>
      </c>
      <c r="AE226" s="19" t="s">
        <v>305</v>
      </c>
      <c r="AF226" s="19"/>
    </row>
    <row r="227" spans="1:34">
      <c r="A227" s="19">
        <v>220</v>
      </c>
      <c r="B227" s="19" t="s">
        <v>152</v>
      </c>
      <c r="C227" s="19" t="s">
        <v>1143</v>
      </c>
      <c r="D227" s="19" t="str">
        <f>HYPERLINK("http://henontech.com/fieldsafety/harzard/harzard_show.php?rid=2224&amp;url=harzardrecs.php","低压配电室，380v配电柜柜门与柜体接地线脱落，导致柜门带电，电运人员在巡检时未带绝缘手套，用双手向两侧开启柜门上观察内部情况时，触电倒地经医院抢救无效死亡。")</f>
        <v>低压配电室，380v配电柜柜门与柜体接地线脱落，导致柜门带电，电运人员在巡检时未带绝缘手套，用双手向两侧开启柜门上观察内部情况时，触电倒地经医院抢救无效死亡。</v>
      </c>
      <c r="E227" s="19" t="s">
        <v>1017</v>
      </c>
      <c r="F227" s="20" t="s">
        <v>42</v>
      </c>
      <c r="G227" s="21" t="s">
        <v>43</v>
      </c>
      <c r="H227" s="19" t="s">
        <v>44</v>
      </c>
      <c r="I227" s="19" t="s">
        <v>129</v>
      </c>
      <c r="J227" s="19" t="s">
        <v>45</v>
      </c>
      <c r="K227" s="19"/>
      <c r="L227" s="19"/>
      <c r="M227" s="19" t="s">
        <v>49</v>
      </c>
      <c r="N227" s="19" t="s">
        <v>1144</v>
      </c>
      <c r="O227" s="19" t="s">
        <v>49</v>
      </c>
      <c r="P227" s="19" t="s">
        <v>460</v>
      </c>
      <c r="Q227" s="19" t="s">
        <v>502</v>
      </c>
      <c r="R227" s="19" t="s">
        <v>1145</v>
      </c>
      <c r="S227" s="19" t="s">
        <v>1146</v>
      </c>
      <c r="T227" s="19" t="s">
        <v>53</v>
      </c>
      <c r="U227" s="19" t="s">
        <v>116</v>
      </c>
      <c r="V227" s="19" t="s">
        <v>55</v>
      </c>
      <c r="W227" s="19" t="s">
        <v>117</v>
      </c>
      <c r="X227" s="19" t="s">
        <v>57</v>
      </c>
      <c r="Y227" s="19"/>
      <c r="Z227" s="19" t="s">
        <v>1147</v>
      </c>
      <c r="AA227" s="19">
        <v>1</v>
      </c>
      <c r="AB227" s="19">
        <v>1</v>
      </c>
      <c r="AC227" s="19" t="s">
        <v>59</v>
      </c>
      <c r="AD227" s="19" t="s">
        <v>460</v>
      </c>
      <c r="AE227" s="19" t="s">
        <v>1022</v>
      </c>
      <c r="AF227" s="19"/>
    </row>
    <row r="228" spans="1:34">
      <c r="A228" s="19"/>
      <c r="B228" s="19"/>
      <c r="C228" s="19"/>
      <c r="D228" s="19" t="str">
        <f>HYPERLINK("http://henontech.com/fieldsafety/harzard/harzard_show.php?rid=2224&amp;url=harzardrecs.php","低压配电室，380v配电柜柜门与柜体接地线脱落，电缆破皮导致柜门带电，电运人员在巡检时未戴绝缘手套，用双手向两侧开启柜门时左手与带电柜门接触，触电倒地，送医抢救无效死亡。")</f>
        <v>低压配电室，380v配电柜柜门与柜体接地线脱落，电缆破皮导致柜门带电，电运人员在巡检时未戴绝缘手套，用双手向两侧开启柜门时左手与带电柜门接触，触电倒地，送医抢救无效死亡。</v>
      </c>
      <c r="E228" s="19" t="s">
        <v>1017</v>
      </c>
      <c r="F228" s="19"/>
      <c r="G228" s="19"/>
      <c r="H228" s="19"/>
      <c r="I228" s="19"/>
      <c r="J228" s="19" t="s">
        <v>112</v>
      </c>
      <c r="K228" s="19"/>
      <c r="L228" s="19"/>
      <c r="M228" s="19"/>
      <c r="N228" s="19"/>
      <c r="O228" s="19"/>
      <c r="P228" s="19"/>
      <c r="Q228" s="19"/>
      <c r="R228" s="19"/>
      <c r="S228" s="19"/>
      <c r="T228" s="19" t="s">
        <v>53</v>
      </c>
      <c r="U228" s="19" t="s">
        <v>116</v>
      </c>
      <c r="V228" s="19" t="s">
        <v>55</v>
      </c>
      <c r="W228" s="19" t="s">
        <v>117</v>
      </c>
      <c r="X228" s="19"/>
      <c r="Y228" s="19"/>
      <c r="Z228" s="19"/>
      <c r="AA228" s="19"/>
      <c r="AB228" s="19"/>
      <c r="AC228" s="19"/>
      <c r="AD228" s="19"/>
      <c r="AE228" s="19"/>
      <c r="AF228" s="19"/>
    </row>
    <row r="229" spans="1:34">
      <c r="A229" s="19">
        <v>221</v>
      </c>
      <c r="B229" s="19" t="s">
        <v>152</v>
      </c>
      <c r="C229" s="19" t="s">
        <v>276</v>
      </c>
      <c r="D229" s="19" t="str">
        <f>HYPERLINK("http://henontech.com/fieldsafety/harzard/harzard_show.php?rid=2225&amp;url=harzardrecs.php","晶分地池入口阀门扳手未及时撤除，一操作工巡检途径此处因刮大风扳手卡的不紧掉下来砸伤脚，及时送往医务室治疗。")</f>
        <v>晶分地池入口阀门扳手未及时撤除，一操作工巡检途径此处因刮大风扳手卡的不紧掉下来砸伤脚，及时送往医务室治疗。</v>
      </c>
      <c r="E229" s="19" t="s">
        <v>1148</v>
      </c>
      <c r="F229" s="20" t="s">
        <v>42</v>
      </c>
      <c r="G229" s="21" t="s">
        <v>43</v>
      </c>
      <c r="H229" s="19" t="s">
        <v>44</v>
      </c>
      <c r="I229" s="19" t="s">
        <v>129</v>
      </c>
      <c r="J229" s="19"/>
      <c r="K229" s="19" t="s">
        <v>46</v>
      </c>
      <c r="L229" s="19"/>
      <c r="M229" s="19" t="s">
        <v>146</v>
      </c>
      <c r="N229" s="19" t="s">
        <v>1149</v>
      </c>
      <c r="O229" s="19" t="s">
        <v>146</v>
      </c>
      <c r="P229" s="19" t="s">
        <v>249</v>
      </c>
      <c r="Q229" s="19" t="s">
        <v>984</v>
      </c>
      <c r="R229" s="19" t="s">
        <v>1150</v>
      </c>
      <c r="S229" s="19"/>
      <c r="T229" s="19" t="s">
        <v>53</v>
      </c>
      <c r="U229" s="19" t="s">
        <v>71</v>
      </c>
      <c r="V229" s="19" t="s">
        <v>105</v>
      </c>
      <c r="W229" s="19" t="s">
        <v>96</v>
      </c>
      <c r="X229" s="19" t="s">
        <v>57</v>
      </c>
      <c r="Y229" s="19" t="s">
        <v>57</v>
      </c>
      <c r="Z229" s="19" t="s">
        <v>1151</v>
      </c>
      <c r="AA229" s="19">
        <v>1</v>
      </c>
      <c r="AB229" s="19">
        <v>1</v>
      </c>
      <c r="AC229" s="19" t="s">
        <v>59</v>
      </c>
      <c r="AD229" s="19" t="s">
        <v>249</v>
      </c>
      <c r="AE229" s="19" t="s">
        <v>334</v>
      </c>
      <c r="AF229" s="19"/>
    </row>
    <row r="230" spans="1:34">
      <c r="A230" s="19">
        <v>222</v>
      </c>
      <c r="B230" s="19" t="s">
        <v>152</v>
      </c>
      <c r="C230" s="19" t="s">
        <v>178</v>
      </c>
      <c r="D230" s="19" t="str">
        <f>HYPERLINK("http://henontech.com/fieldsafety/harzard/harzard_show.php?rid=2228&amp;url=harzardrecs.php","主控楼顶3#减温减压无行走平台，巡检人员巡检3#减温减压时踩踏翻越高温高压管线，高温高压管线泄露蒸汽由下至上吹割巡检人员全身，巡检人员全身重度烫伤，呼吸道烫伤，部分肢体割裂伤，送医治疗15天后死亡。")</f>
        <v>主控楼顶3#减温减压无行走平台，巡检人员巡检3#减温减压时踩踏翻越高温高压管线，高温高压管线泄露蒸汽由下至上吹割巡检人员全身，巡检人员全身重度烫伤，呼吸道烫伤，部分肢体割裂伤，送医治疗15天后死亡。</v>
      </c>
      <c r="E230" s="19" t="s">
        <v>1152</v>
      </c>
      <c r="F230" s="20" t="s">
        <v>42</v>
      </c>
      <c r="G230" s="21" t="s">
        <v>43</v>
      </c>
      <c r="H230" s="19" t="s">
        <v>44</v>
      </c>
      <c r="I230" s="19" t="s">
        <v>297</v>
      </c>
      <c r="J230" s="19" t="s">
        <v>165</v>
      </c>
      <c r="K230" s="19" t="s">
        <v>46</v>
      </c>
      <c r="L230" s="19"/>
      <c r="M230" s="19" t="s">
        <v>49</v>
      </c>
      <c r="N230" s="19" t="s">
        <v>138</v>
      </c>
      <c r="O230" s="19" t="s">
        <v>49</v>
      </c>
      <c r="P230" s="19" t="s">
        <v>460</v>
      </c>
      <c r="Q230" s="19" t="s">
        <v>984</v>
      </c>
      <c r="R230" s="19" t="s">
        <v>183</v>
      </c>
      <c r="S230" s="19" t="s">
        <v>1153</v>
      </c>
      <c r="T230" s="19" t="s">
        <v>53</v>
      </c>
      <c r="U230" s="19" t="s">
        <v>116</v>
      </c>
      <c r="V230" s="19" t="s">
        <v>105</v>
      </c>
      <c r="W230" s="19" t="s">
        <v>56</v>
      </c>
      <c r="X230" s="19" t="s">
        <v>57</v>
      </c>
      <c r="Y230" s="19"/>
      <c r="Z230" s="19" t="s">
        <v>1154</v>
      </c>
      <c r="AA230" s="19">
        <v>1</v>
      </c>
      <c r="AB230" s="19">
        <v>1</v>
      </c>
      <c r="AC230" s="19" t="s">
        <v>59</v>
      </c>
      <c r="AD230" s="19" t="s">
        <v>460</v>
      </c>
      <c r="AE230" s="19" t="s">
        <v>1022</v>
      </c>
      <c r="AF230" s="19"/>
    </row>
    <row r="231" spans="1:34">
      <c r="A231" s="19">
        <v>223</v>
      </c>
      <c r="B231" s="19" t="s">
        <v>152</v>
      </c>
      <c r="C231" s="19" t="s">
        <v>1155</v>
      </c>
      <c r="D231" s="19" t="str">
        <f>HYPERLINK("http://henontech.com/fieldsafety/harzard/harzard_show.php?rid=2229&amp;url=harzardrecs.php","精脱硫脱硫泵防护罩松动为加固牢")</f>
        <v>精脱硫脱硫泵防护罩松动为加固牢</v>
      </c>
      <c r="E231" s="19" t="s">
        <v>1156</v>
      </c>
      <c r="F231" s="20" t="s">
        <v>42</v>
      </c>
      <c r="G231" s="21" t="s">
        <v>43</v>
      </c>
      <c r="H231" s="19" t="s">
        <v>44</v>
      </c>
      <c r="I231" s="19" t="s">
        <v>78</v>
      </c>
      <c r="J231" s="19" t="s">
        <v>64</v>
      </c>
      <c r="K231" s="19" t="s">
        <v>46</v>
      </c>
      <c r="L231" s="19" t="s">
        <v>662</v>
      </c>
      <c r="M231" s="19" t="s">
        <v>146</v>
      </c>
      <c r="N231" s="19" t="s">
        <v>1157</v>
      </c>
      <c r="O231" s="19" t="s">
        <v>146</v>
      </c>
      <c r="P231" s="19" t="s">
        <v>249</v>
      </c>
      <c r="Q231" s="19" t="s">
        <v>984</v>
      </c>
      <c r="R231" s="19" t="s">
        <v>1158</v>
      </c>
      <c r="S231" s="19"/>
      <c r="T231" s="19" t="s">
        <v>53</v>
      </c>
      <c r="U231" s="19" t="s">
        <v>71</v>
      </c>
      <c r="V231" s="19" t="s">
        <v>105</v>
      </c>
      <c r="W231" s="19" t="s">
        <v>96</v>
      </c>
      <c r="X231" s="19" t="s">
        <v>57</v>
      </c>
      <c r="Y231" s="19" t="s">
        <v>57</v>
      </c>
      <c r="Z231" s="19" t="s">
        <v>1159</v>
      </c>
      <c r="AA231" s="19">
        <v>1</v>
      </c>
      <c r="AB231" s="19">
        <v>1</v>
      </c>
      <c r="AC231" s="19" t="s">
        <v>59</v>
      </c>
      <c r="AD231" s="19" t="s">
        <v>249</v>
      </c>
      <c r="AE231" s="19" t="s">
        <v>334</v>
      </c>
      <c r="AF231" s="19" t="s">
        <v>1160</v>
      </c>
    </row>
    <row r="232" spans="1:34">
      <c r="A232" s="19">
        <v>224</v>
      </c>
      <c r="B232" s="19" t="s">
        <v>152</v>
      </c>
      <c r="C232" s="19" t="s">
        <v>350</v>
      </c>
      <c r="D232" s="19" t="str">
        <f>HYPERLINK("http://henontech.com/fieldsafety/harzard/harzard_show.php?rid=2230&amp;url=harzardrecs.php","东澄清槽压焦油平台腐蚀严重断裂，一名操作工在压焦油上下台阶时一不小心可能会从四米高的平台坠落至地面，造成腿部骨折，住院治疗十五天，在家休养三个月后复工。")</f>
        <v>东澄清槽压焦油平台腐蚀严重断裂，一名操作工在压焦油上下台阶时一不小心可能会从四米高的平台坠落至地面，造成腿部骨折，住院治疗十五天，在家休养三个月后复工。</v>
      </c>
      <c r="E232" s="19" t="s">
        <v>1161</v>
      </c>
      <c r="F232" s="20" t="s">
        <v>42</v>
      </c>
      <c r="G232" s="21" t="s">
        <v>43</v>
      </c>
      <c r="H232" s="19" t="s">
        <v>44</v>
      </c>
      <c r="I232" s="19" t="s">
        <v>205</v>
      </c>
      <c r="J232" s="19" t="s">
        <v>64</v>
      </c>
      <c r="K232" s="19" t="s">
        <v>466</v>
      </c>
      <c r="L232" s="19" t="s">
        <v>65</v>
      </c>
      <c r="M232" s="19" t="s">
        <v>66</v>
      </c>
      <c r="N232" s="19" t="s">
        <v>1162</v>
      </c>
      <c r="O232" s="19" t="s">
        <v>66</v>
      </c>
      <c r="P232" s="19" t="s">
        <v>68</v>
      </c>
      <c r="Q232" s="19" t="s">
        <v>1064</v>
      </c>
      <c r="R232" s="19" t="s">
        <v>1163</v>
      </c>
      <c r="S232" s="19"/>
      <c r="T232" s="19" t="s">
        <v>53</v>
      </c>
      <c r="U232" s="19" t="s">
        <v>54</v>
      </c>
      <c r="V232" s="19" t="s">
        <v>105</v>
      </c>
      <c r="W232" s="19" t="s">
        <v>72</v>
      </c>
      <c r="X232" s="19"/>
      <c r="Y232" s="19"/>
      <c r="Z232" s="19" t="s">
        <v>1164</v>
      </c>
      <c r="AA232" s="19">
        <v>1</v>
      </c>
      <c r="AB232" s="19">
        <v>1</v>
      </c>
      <c r="AC232" s="19" t="s">
        <v>59</v>
      </c>
      <c r="AD232" s="19" t="s">
        <v>68</v>
      </c>
      <c r="AE232" s="19" t="s">
        <v>214</v>
      </c>
      <c r="AF232" s="19"/>
    </row>
    <row r="233" spans="1:34">
      <c r="A233" s="19">
        <v>225</v>
      </c>
      <c r="B233" s="19" t="s">
        <v>152</v>
      </c>
      <c r="C233" s="19" t="s">
        <v>246</v>
      </c>
      <c r="D233" s="19" t="str">
        <f>HYPERLINK("http://henontech.com/fieldsafety/harzard/harzard_show.php?rid=2231&amp;url=harzardrecs.php","浓氨槽输出管线焊口腐蚀严重有砂眼，一名操作工在氨水输出时巡检到此处，没有戴防护镜，管线砂眼处因为压力作用出现喷溅现象，不慎溅入操作工眼里造成眼睛灼伤，紧急清洗后送医救治。")</f>
        <v>浓氨槽输出管线焊口腐蚀严重有砂眼，一名操作工在氨水输出时巡检到此处，没有戴防护镜，管线砂眼处因为压力作用出现喷溅现象，不慎溅入操作工眼里造成眼睛灼伤，紧急清洗后送医救治。</v>
      </c>
      <c r="E233" s="19" t="s">
        <v>1165</v>
      </c>
      <c r="F233" s="20" t="s">
        <v>42</v>
      </c>
      <c r="G233" s="22" t="s">
        <v>111</v>
      </c>
      <c r="H233" s="19" t="s">
        <v>44</v>
      </c>
      <c r="I233" s="19" t="s">
        <v>205</v>
      </c>
      <c r="J233" s="19" t="s">
        <v>64</v>
      </c>
      <c r="K233" s="19" t="s">
        <v>46</v>
      </c>
      <c r="L233" s="19" t="s">
        <v>65</v>
      </c>
      <c r="M233" s="19" t="s">
        <v>146</v>
      </c>
      <c r="N233" s="19" t="s">
        <v>278</v>
      </c>
      <c r="O233" s="19" t="s">
        <v>146</v>
      </c>
      <c r="P233" s="19" t="s">
        <v>249</v>
      </c>
      <c r="Q233" s="19" t="s">
        <v>984</v>
      </c>
      <c r="R233" s="19" t="s">
        <v>1166</v>
      </c>
      <c r="S233" s="19"/>
      <c r="T233" s="19" t="s">
        <v>53</v>
      </c>
      <c r="U233" s="19" t="s">
        <v>54</v>
      </c>
      <c r="V233" s="19" t="s">
        <v>95</v>
      </c>
      <c r="W233" s="19" t="s">
        <v>117</v>
      </c>
      <c r="X233" s="19"/>
      <c r="Y233" s="19"/>
      <c r="Z233" s="19" t="s">
        <v>1167</v>
      </c>
      <c r="AA233" s="19">
        <v>1</v>
      </c>
      <c r="AB233" s="19">
        <v>1</v>
      </c>
      <c r="AC233" s="19" t="s">
        <v>59</v>
      </c>
      <c r="AD233" s="19" t="s">
        <v>249</v>
      </c>
      <c r="AE233" s="19" t="s">
        <v>666</v>
      </c>
      <c r="AF233" s="19"/>
    </row>
    <row r="234" spans="1:34">
      <c r="A234" s="19">
        <v>226</v>
      </c>
      <c r="B234" s="19" t="s">
        <v>1168</v>
      </c>
      <c r="C234" s="19" t="s">
        <v>188</v>
      </c>
      <c r="D234" s="19" t="str">
        <f>HYPERLINK("http://henontech.com/fieldsafety/harzard/harzard_show.php?rid=2232&amp;url=harzardrecs.php","泵房内洗脱液管道腐蚀严重有砂眼，操作工在确定漏点时没带防护眼镜，在管道有压力作用下喷溅入操作工眼内，经医院检查轻度灼伤造成红肿，在家休养两天后复工")</f>
        <v>泵房内洗脱液管道腐蚀严重有砂眼，操作工在确定漏点时没带防护眼镜，在管道有压力作用下喷溅入操作工眼内，经医院检查轻度灼伤造成红肿，在家休养两天后复工</v>
      </c>
      <c r="E234" s="19" t="s">
        <v>1169</v>
      </c>
      <c r="F234" s="20" t="s">
        <v>42</v>
      </c>
      <c r="G234" s="21" t="s">
        <v>43</v>
      </c>
      <c r="H234" s="19" t="s">
        <v>44</v>
      </c>
      <c r="I234" s="19" t="s">
        <v>297</v>
      </c>
      <c r="J234" s="19" t="s">
        <v>45</v>
      </c>
      <c r="K234" s="19"/>
      <c r="L234" s="19"/>
      <c r="M234" s="19" t="s">
        <v>89</v>
      </c>
      <c r="N234" s="19" t="s">
        <v>1170</v>
      </c>
      <c r="O234" s="19" t="s">
        <v>89</v>
      </c>
      <c r="P234" s="19" t="s">
        <v>91</v>
      </c>
      <c r="Q234" s="19" t="s">
        <v>1171</v>
      </c>
      <c r="R234" s="19" t="s">
        <v>1172</v>
      </c>
      <c r="S234" s="19"/>
      <c r="T234" s="19" t="s">
        <v>53</v>
      </c>
      <c r="U234" s="19" t="s">
        <v>54</v>
      </c>
      <c r="V234" s="19" t="s">
        <v>105</v>
      </c>
      <c r="W234" s="19" t="s">
        <v>72</v>
      </c>
      <c r="X234" s="19" t="s">
        <v>57</v>
      </c>
      <c r="Y234" s="19" t="s">
        <v>57</v>
      </c>
      <c r="Z234" s="19" t="s">
        <v>1173</v>
      </c>
      <c r="AA234" s="19">
        <v>1</v>
      </c>
      <c r="AB234" s="19">
        <v>1</v>
      </c>
      <c r="AC234" s="19" t="s">
        <v>59</v>
      </c>
      <c r="AD234" s="19" t="s">
        <v>91</v>
      </c>
      <c r="AE234" s="19" t="s">
        <v>1174</v>
      </c>
      <c r="AF234" s="19" t="s">
        <v>1175</v>
      </c>
    </row>
    <row r="235" spans="1:34">
      <c r="A235" s="19">
        <v>227</v>
      </c>
      <c r="B235" s="19" t="s">
        <v>1168</v>
      </c>
      <c r="C235" s="19" t="s">
        <v>256</v>
      </c>
      <c r="D235" s="19" t="str">
        <f>HYPERLINK("http://henontech.com/fieldsafety/harzard/harzard_show.php?rid=2234&amp;url=harzardrecs.php","西硫铵热交换器管道阀门有漏点，一名维修工在更换阀门时，没有加模板没有完全卸压，让热水伤害到脸部，造成住院治疗15天后出院，在家休养1个月下了康复。造成一人损工事故。")</f>
        <v>西硫铵热交换器管道阀门有漏点，一名维修工在更换阀门时，没有加模板没有完全卸压，让热水伤害到脸部，造成住院治疗15天后出院，在家休养1个月下了康复。造成一人损工事故。</v>
      </c>
      <c r="E235" s="19" t="s">
        <v>1176</v>
      </c>
      <c r="F235" s="20" t="s">
        <v>42</v>
      </c>
      <c r="G235" s="21" t="s">
        <v>43</v>
      </c>
      <c r="H235" s="19" t="s">
        <v>44</v>
      </c>
      <c r="I235" s="19" t="s">
        <v>129</v>
      </c>
      <c r="J235" s="19" t="s">
        <v>64</v>
      </c>
      <c r="K235" s="19" t="s">
        <v>46</v>
      </c>
      <c r="L235" s="19" t="s">
        <v>662</v>
      </c>
      <c r="M235" s="19" t="s">
        <v>66</v>
      </c>
      <c r="N235" s="19" t="s">
        <v>1177</v>
      </c>
      <c r="O235" s="19" t="s">
        <v>66</v>
      </c>
      <c r="P235" s="19" t="s">
        <v>68</v>
      </c>
      <c r="Q235" s="19" t="s">
        <v>446</v>
      </c>
      <c r="R235" s="19" t="s">
        <v>1178</v>
      </c>
      <c r="S235" s="19"/>
      <c r="T235" s="19" t="s">
        <v>53</v>
      </c>
      <c r="U235" s="19" t="s">
        <v>54</v>
      </c>
      <c r="V235" s="19" t="s">
        <v>105</v>
      </c>
      <c r="W235" s="19" t="s">
        <v>72</v>
      </c>
      <c r="X235" s="19"/>
      <c r="Y235" s="19"/>
      <c r="Z235" s="19" t="s">
        <v>1179</v>
      </c>
      <c r="AA235" s="19">
        <v>1</v>
      </c>
      <c r="AB235" s="19">
        <v>1</v>
      </c>
      <c r="AC235" s="19" t="s">
        <v>59</v>
      </c>
      <c r="AD235" s="19" t="s">
        <v>68</v>
      </c>
      <c r="AE235" s="19" t="s">
        <v>422</v>
      </c>
      <c r="AF235" s="19"/>
    </row>
    <row r="236" spans="1:34">
      <c r="A236" s="19">
        <v>228</v>
      </c>
      <c r="B236" s="19" t="s">
        <v>1168</v>
      </c>
      <c r="C236" s="19" t="s">
        <v>954</v>
      </c>
      <c r="D236" s="19" t="str">
        <f>HYPERLINK("http://henontech.com/fieldsafety/harzard/harzard_show.php?rid=2235&amp;url=harzardrecs.php","碳化一楼凉水塔平台人孔盖板未及时复位，一名巡检人员夜间巡检时不慎掉入池内溺水，送医院抢救无效死亡。")</f>
        <v>碳化一楼凉水塔平台人孔盖板未及时复位，一名巡检人员夜间巡检时不慎掉入池内溺水，送医院抢救无效死亡。</v>
      </c>
      <c r="E236" s="19" t="s">
        <v>1180</v>
      </c>
      <c r="F236" s="20" t="s">
        <v>42</v>
      </c>
      <c r="G236" s="22" t="s">
        <v>111</v>
      </c>
      <c r="H236" s="19" t="s">
        <v>44</v>
      </c>
      <c r="I236" s="19"/>
      <c r="J236" s="19" t="s">
        <v>64</v>
      </c>
      <c r="K236" s="19" t="s">
        <v>46</v>
      </c>
      <c r="L236" s="19"/>
      <c r="M236" s="19" t="s">
        <v>146</v>
      </c>
      <c r="N236" s="19" t="s">
        <v>1181</v>
      </c>
      <c r="O236" s="19" t="s">
        <v>146</v>
      </c>
      <c r="P236" s="19" t="s">
        <v>148</v>
      </c>
      <c r="Q236" s="19" t="s">
        <v>502</v>
      </c>
      <c r="R236" s="19" t="s">
        <v>1182</v>
      </c>
      <c r="S236" s="19"/>
      <c r="T236" s="19" t="s">
        <v>53</v>
      </c>
      <c r="U236" s="19" t="s">
        <v>116</v>
      </c>
      <c r="V236" s="19" t="s">
        <v>105</v>
      </c>
      <c r="W236" s="19" t="s">
        <v>56</v>
      </c>
      <c r="X236" s="19" t="s">
        <v>570</v>
      </c>
      <c r="Y236" s="19" t="s">
        <v>570</v>
      </c>
      <c r="Z236" s="19" t="s">
        <v>1183</v>
      </c>
      <c r="AA236" s="19">
        <v>1</v>
      </c>
      <c r="AB236" s="19">
        <v>1</v>
      </c>
      <c r="AC236" s="19" t="s">
        <v>59</v>
      </c>
      <c r="AD236" s="19" t="s">
        <v>148</v>
      </c>
      <c r="AE236" s="19" t="s">
        <v>917</v>
      </c>
      <c r="AF236" s="19" t="s">
        <v>1184</v>
      </c>
    </row>
    <row r="237" spans="1:34" customHeight="1" ht="42">
      <c r="A237" s="19">
        <v>229</v>
      </c>
      <c r="B237" s="19" t="s">
        <v>1168</v>
      </c>
      <c r="C237" s="19" t="s">
        <v>1185</v>
      </c>
      <c r="D237" s="19" t="str">
        <f>HYPERLINK("http://henontech.com/fieldsafety/harzard/harzard_show.php?rid=2236&amp;url=harzardrecs.php","巡检工经过电缆沟时盖板断裂造成巡检工掉入电缆沟摔伤。")</f>
        <v>巡检工经过电缆沟时盖板断裂造成巡检工掉入电缆沟摔伤。</v>
      </c>
      <c r="E237" s="19" t="s">
        <v>1186</v>
      </c>
      <c r="F237" s="20" t="s">
        <v>42</v>
      </c>
      <c r="G237" s="21" t="s">
        <v>43</v>
      </c>
      <c r="H237" s="19" t="s">
        <v>44</v>
      </c>
      <c r="I237" s="19" t="s">
        <v>78</v>
      </c>
      <c r="J237" s="19" t="s">
        <v>64</v>
      </c>
      <c r="K237" s="19"/>
      <c r="L237" s="19"/>
      <c r="M237" s="19" t="s">
        <v>229</v>
      </c>
      <c r="N237" s="19" t="s">
        <v>669</v>
      </c>
      <c r="O237" s="19" t="s">
        <v>229</v>
      </c>
      <c r="P237" s="19" t="s">
        <v>669</v>
      </c>
      <c r="Q237" s="19" t="s">
        <v>1187</v>
      </c>
      <c r="R237" s="19" t="s">
        <v>1188</v>
      </c>
      <c r="S237" s="19"/>
      <c r="T237" s="19" t="s">
        <v>53</v>
      </c>
      <c r="U237" s="19" t="s">
        <v>54</v>
      </c>
      <c r="V237" s="19" t="s">
        <v>105</v>
      </c>
      <c r="W237" s="19" t="s">
        <v>72</v>
      </c>
      <c r="X237" s="19" t="s">
        <v>57</v>
      </c>
      <c r="Y237" s="19" t="s">
        <v>57</v>
      </c>
      <c r="Z237" s="19" t="s">
        <v>1189</v>
      </c>
      <c r="AA237" s="19">
        <v>2</v>
      </c>
      <c r="AB237" s="19">
        <v>1</v>
      </c>
      <c r="AC237" s="19" t="s">
        <v>59</v>
      </c>
      <c r="AD237" s="19" t="s">
        <v>669</v>
      </c>
      <c r="AE237" s="19" t="s">
        <v>673</v>
      </c>
      <c r="AF237" s="19" t="s">
        <v>1190</v>
      </c>
    </row>
    <row r="238" spans="1:34" customHeight="1" ht="42">
      <c r="A238" s="19">
        <v>230</v>
      </c>
      <c r="B238" s="19" t="s">
        <v>1168</v>
      </c>
      <c r="C238" s="19" t="s">
        <v>1185</v>
      </c>
      <c r="D238" s="19" t="str">
        <f>HYPERLINK("http://henontech.com/fieldsafety/harzard/harzard_show.php?rid=2237&amp;url=harzardrecs.php","巡检工经过电缆沟时盖板断裂造成巡检工掉入电缆沟摔伤。")</f>
        <v>巡检工经过电缆沟时盖板断裂造成巡检工掉入电缆沟摔伤。</v>
      </c>
      <c r="E238" s="19" t="s">
        <v>1186</v>
      </c>
      <c r="F238" s="20" t="s">
        <v>42</v>
      </c>
      <c r="G238" s="21" t="s">
        <v>43</v>
      </c>
      <c r="H238" s="19" t="s">
        <v>44</v>
      </c>
      <c r="I238" s="19" t="s">
        <v>78</v>
      </c>
      <c r="J238" s="19" t="s">
        <v>64</v>
      </c>
      <c r="K238" s="19"/>
      <c r="L238" s="19"/>
      <c r="M238" s="19" t="s">
        <v>229</v>
      </c>
      <c r="N238" s="19" t="s">
        <v>669</v>
      </c>
      <c r="O238" s="19" t="s">
        <v>229</v>
      </c>
      <c r="P238" s="19" t="s">
        <v>669</v>
      </c>
      <c r="Q238" s="19" t="s">
        <v>1187</v>
      </c>
      <c r="R238" s="19" t="s">
        <v>1188</v>
      </c>
      <c r="S238" s="19"/>
      <c r="T238" s="19" t="s">
        <v>53</v>
      </c>
      <c r="U238" s="19" t="s">
        <v>54</v>
      </c>
      <c r="V238" s="19" t="s">
        <v>105</v>
      </c>
      <c r="W238" s="19" t="s">
        <v>72</v>
      </c>
      <c r="X238" s="19" t="s">
        <v>57</v>
      </c>
      <c r="Y238" s="19" t="s">
        <v>57</v>
      </c>
      <c r="Z238" s="19" t="s">
        <v>1189</v>
      </c>
      <c r="AA238" s="19">
        <v>2</v>
      </c>
      <c r="AB238" s="19">
        <v>1</v>
      </c>
      <c r="AC238" s="19" t="s">
        <v>59</v>
      </c>
      <c r="AD238" s="19" t="s">
        <v>669</v>
      </c>
      <c r="AE238" s="19" t="s">
        <v>673</v>
      </c>
      <c r="AF238" s="19" t="s">
        <v>1191</v>
      </c>
    </row>
    <row r="239" spans="1:34" customHeight="1" ht="42">
      <c r="A239" s="19">
        <v>231</v>
      </c>
      <c r="B239" s="19" t="s">
        <v>1168</v>
      </c>
      <c r="C239" s="19" t="s">
        <v>464</v>
      </c>
      <c r="D239" s="19" t="str">
        <f>HYPERLINK("http://henontech.com/fieldsafety/harzard/harzard_show.php?rid=2238&amp;url=harzardrecs.php","5.5米焦一皮带护栏一段缺失，假如一巡检人员经过时，衣服下摆或袖口没有系紧，被转动皮带辊子绞住，将人员带入，被皮带与辊子挤压，导致人员死亡。")</f>
        <v>5.5米焦一皮带护栏一段缺失，假如一巡检人员经过时，衣服下摆或袖口没有系紧，被转动皮带辊子绞住，将人员带入，被皮带与辊子挤压，导致人员死亡。</v>
      </c>
      <c r="E239" s="19" t="s">
        <v>1068</v>
      </c>
      <c r="F239" s="20" t="s">
        <v>42</v>
      </c>
      <c r="G239" s="24" t="s">
        <v>534</v>
      </c>
      <c r="H239" s="19" t="s">
        <v>44</v>
      </c>
      <c r="I239" s="19" t="s">
        <v>297</v>
      </c>
      <c r="J239" s="19" t="s">
        <v>45</v>
      </c>
      <c r="K239" s="19" t="s">
        <v>466</v>
      </c>
      <c r="L239" s="19" t="s">
        <v>65</v>
      </c>
      <c r="M239" s="19" t="s">
        <v>49</v>
      </c>
      <c r="N239" s="19" t="s">
        <v>50</v>
      </c>
      <c r="O239" s="19" t="s">
        <v>49</v>
      </c>
      <c r="P239" s="19" t="s">
        <v>50</v>
      </c>
      <c r="Q239" s="19" t="s">
        <v>1064</v>
      </c>
      <c r="R239" s="19" t="s">
        <v>841</v>
      </c>
      <c r="S239" s="19"/>
      <c r="T239" s="19" t="s">
        <v>53</v>
      </c>
      <c r="U239" s="19" t="s">
        <v>116</v>
      </c>
      <c r="V239" s="19" t="s">
        <v>55</v>
      </c>
      <c r="W239" s="19" t="s">
        <v>117</v>
      </c>
      <c r="X239" s="19" t="s">
        <v>57</v>
      </c>
      <c r="Y239" s="19"/>
      <c r="Z239" s="19" t="s">
        <v>1192</v>
      </c>
      <c r="AA239" s="19">
        <v>2</v>
      </c>
      <c r="AB239" s="19">
        <v>2</v>
      </c>
      <c r="AC239" s="19" t="s">
        <v>59</v>
      </c>
      <c r="AD239" s="19" t="s">
        <v>50</v>
      </c>
      <c r="AE239" s="19" t="s">
        <v>1168</v>
      </c>
      <c r="AF239" s="19"/>
    </row>
    <row r="240" spans="1:34">
      <c r="A240" s="19">
        <v>232</v>
      </c>
      <c r="B240" s="19" t="s">
        <v>1168</v>
      </c>
      <c r="C240" s="19" t="s">
        <v>163</v>
      </c>
      <c r="D240" s="19" t="str">
        <f>HYPERLINK("http://henontech.com/fieldsafety/harzard/harzard_show.php?rid=2239&amp;url=harzardrecs.php","超浓水水池高5.5米，爬梯无安全护笼，无防护门及安全警示牌，一员工清理池底后水靴和橡胶手套沾水防滑性能降低，清理完后攀登爬梯至出口时脚底打滑，手抓握不牢坠落池底，脚踝骨折，送医治疗后休养4个月。")</f>
        <v>超浓水水池高5.5米，爬梯无安全护笼，无防护门及安全警示牌，一员工清理池底后水靴和橡胶手套沾水防滑性能降低，清理完后攀登爬梯至出口时脚底打滑，手抓握不牢坠落池底，脚踝骨折，送医治疗后休养4个月。</v>
      </c>
      <c r="E240" s="19" t="s">
        <v>1193</v>
      </c>
      <c r="F240" s="20" t="s">
        <v>42</v>
      </c>
      <c r="G240" s="21" t="s">
        <v>43</v>
      </c>
      <c r="H240" s="19" t="s">
        <v>44</v>
      </c>
      <c r="I240" s="19"/>
      <c r="J240" s="19" t="s">
        <v>45</v>
      </c>
      <c r="K240" s="19" t="s">
        <v>79</v>
      </c>
      <c r="L240" s="19" t="s">
        <v>65</v>
      </c>
      <c r="M240" s="19" t="s">
        <v>49</v>
      </c>
      <c r="N240" s="19" t="s">
        <v>166</v>
      </c>
      <c r="O240" s="19" t="s">
        <v>49</v>
      </c>
      <c r="P240" s="19" t="s">
        <v>460</v>
      </c>
      <c r="Q240" s="19" t="s">
        <v>1064</v>
      </c>
      <c r="R240" s="19" t="s">
        <v>1194</v>
      </c>
      <c r="S240" s="19" t="s">
        <v>1195</v>
      </c>
      <c r="T240" s="19" t="s">
        <v>53</v>
      </c>
      <c r="U240" s="19" t="s">
        <v>54</v>
      </c>
      <c r="V240" s="19" t="s">
        <v>55</v>
      </c>
      <c r="W240" s="19" t="s">
        <v>56</v>
      </c>
      <c r="X240" s="19" t="s">
        <v>57</v>
      </c>
      <c r="Y240" s="19"/>
      <c r="Z240" s="19" t="s">
        <v>1196</v>
      </c>
      <c r="AA240" s="19">
        <v>1</v>
      </c>
      <c r="AB240" s="19">
        <v>1</v>
      </c>
      <c r="AC240" s="19" t="s">
        <v>59</v>
      </c>
      <c r="AD240" s="19" t="s">
        <v>460</v>
      </c>
      <c r="AE240" s="19" t="s">
        <v>463</v>
      </c>
      <c r="AF240" s="19" t="s">
        <v>1197</v>
      </c>
    </row>
    <row r="241" spans="1:34">
      <c r="A241" s="19">
        <v>233</v>
      </c>
      <c r="B241" s="19" t="s">
        <v>1168</v>
      </c>
      <c r="C241" s="19" t="s">
        <v>99</v>
      </c>
      <c r="D241" s="19" t="str">
        <f>HYPERLINK("http://henontech.com/fieldsafety/harzard/harzard_show.php?rid=2240&amp;url=harzardrecs.php","南风机初冷器施工现场，氧气瓶直立放置无固定，如果施工人员经过，恰巧氧气瓶放置不稳倾倒，砸伤施工人员右脚小拇指骨折，住院治疗30天，在家休养60天，损工90天。")</f>
        <v>南风机初冷器施工现场，氧气瓶直立放置无固定，如果施工人员经过，恰巧氧气瓶放置不稳倾倒，砸伤施工人员右脚小拇指骨折，住院治疗30天，在家休养60天，损工90天。</v>
      </c>
      <c r="E241" s="19" t="s">
        <v>1198</v>
      </c>
      <c r="F241" s="20" t="s">
        <v>42</v>
      </c>
      <c r="G241" s="21" t="s">
        <v>43</v>
      </c>
      <c r="H241" s="19" t="s">
        <v>44</v>
      </c>
      <c r="I241" s="19" t="s">
        <v>78</v>
      </c>
      <c r="J241" s="19" t="s">
        <v>45</v>
      </c>
      <c r="K241" s="19" t="s">
        <v>46</v>
      </c>
      <c r="L241" s="19" t="s">
        <v>65</v>
      </c>
      <c r="M241" s="19" t="s">
        <v>66</v>
      </c>
      <c r="N241" s="19" t="s">
        <v>1199</v>
      </c>
      <c r="O241" s="19" t="s">
        <v>66</v>
      </c>
      <c r="P241" s="19" t="s">
        <v>68</v>
      </c>
      <c r="Q241" s="19" t="s">
        <v>446</v>
      </c>
      <c r="R241" s="19" t="s">
        <v>1200</v>
      </c>
      <c r="S241" s="19"/>
      <c r="T241" s="19" t="s">
        <v>53</v>
      </c>
      <c r="U241" s="19" t="s">
        <v>54</v>
      </c>
      <c r="V241" s="19" t="s">
        <v>105</v>
      </c>
      <c r="W241" s="19" t="s">
        <v>72</v>
      </c>
      <c r="X241" s="19"/>
      <c r="Y241" s="19"/>
      <c r="Z241" s="19" t="s">
        <v>1201</v>
      </c>
      <c r="AA241" s="19">
        <v>1</v>
      </c>
      <c r="AB241" s="19">
        <v>1</v>
      </c>
      <c r="AC241" s="19" t="s">
        <v>59</v>
      </c>
      <c r="AD241" s="19" t="s">
        <v>68</v>
      </c>
      <c r="AE241" s="19" t="s">
        <v>1202</v>
      </c>
      <c r="AF241" s="19"/>
    </row>
    <row r="242" spans="1:34">
      <c r="A242" s="19">
        <v>234</v>
      </c>
      <c r="B242" s="19" t="s">
        <v>1168</v>
      </c>
      <c r="C242" s="19" t="s">
        <v>1203</v>
      </c>
      <c r="D242" s="19" t="str">
        <f>HYPERLINK("http://henontech.com/fieldsafety/harzard/harzard_show.php?rid=2241&amp;url=harzardrecs.php","一巡检人员巡检蒸汽管线时，左胳膊被1#减温减压前电动门阀杆处漏出约535℃的蒸汽烫伤，送医院救治，诊断为深二度烫伤，住院治疗28天。")</f>
        <v>一巡检人员巡检蒸汽管线时，左胳膊被1#减温减压前电动门阀杆处漏出约535℃的蒸汽烫伤，送医院救治，诊断为深二度烫伤，住院治疗28天。</v>
      </c>
      <c r="E242" s="19" t="s">
        <v>1204</v>
      </c>
      <c r="F242" s="23" t="s">
        <v>227</v>
      </c>
      <c r="G242" s="21" t="s">
        <v>43</v>
      </c>
      <c r="H242" s="19" t="s">
        <v>44</v>
      </c>
      <c r="I242" s="19" t="s">
        <v>129</v>
      </c>
      <c r="J242" s="19" t="s">
        <v>165</v>
      </c>
      <c r="K242" s="19" t="s">
        <v>88</v>
      </c>
      <c r="L242" s="19" t="s">
        <v>65</v>
      </c>
      <c r="M242" s="19" t="s">
        <v>49</v>
      </c>
      <c r="N242" s="19" t="s">
        <v>181</v>
      </c>
      <c r="O242" s="19"/>
      <c r="P242" s="19"/>
      <c r="Q242" s="19"/>
      <c r="R242" s="19" t="s">
        <v>1205</v>
      </c>
      <c r="S242" s="19" t="s">
        <v>1206</v>
      </c>
      <c r="T242" s="19" t="s">
        <v>53</v>
      </c>
      <c r="U242" s="19" t="s">
        <v>54</v>
      </c>
      <c r="V242" s="19" t="s">
        <v>55</v>
      </c>
      <c r="W242" s="19" t="s">
        <v>56</v>
      </c>
      <c r="X242" s="19"/>
      <c r="Y242" s="19"/>
      <c r="Z242" s="19"/>
      <c r="AA242" s="19">
        <v>0</v>
      </c>
      <c r="AB242" s="19"/>
      <c r="AC242" s="19" t="s">
        <v>233</v>
      </c>
      <c r="AD242" s="19"/>
      <c r="AE242" s="19"/>
      <c r="AF242" s="19"/>
    </row>
    <row r="243" spans="1:34">
      <c r="A243" s="19">
        <v>235</v>
      </c>
      <c r="B243" s="19" t="s">
        <v>1168</v>
      </c>
      <c r="C243" s="19" t="s">
        <v>1203</v>
      </c>
      <c r="D243" s="19" t="str">
        <f>HYPERLINK("http://henontech.com/fieldsafety/harzard/harzard_show.php?rid=2242&amp;url=harzardrecs.php","一操作工在巡检减温减压时，因2#减温减压后电动门法兰处漏汽，不慎被漏出的蒸汽（约360℃）烫伤右胳膊，送医院救治。")</f>
        <v>一操作工在巡检减温减压时，因2#减温减压后电动门法兰处漏汽，不慎被漏出的蒸汽（约360℃）烫伤右胳膊，送医院救治。</v>
      </c>
      <c r="E243" s="19" t="s">
        <v>1207</v>
      </c>
      <c r="F243" s="20" t="s">
        <v>42</v>
      </c>
      <c r="G243" s="21" t="s">
        <v>43</v>
      </c>
      <c r="H243" s="19" t="s">
        <v>44</v>
      </c>
      <c r="I243" s="19" t="s">
        <v>78</v>
      </c>
      <c r="J243" s="19" t="s">
        <v>165</v>
      </c>
      <c r="K243" s="19" t="s">
        <v>88</v>
      </c>
      <c r="L243" s="19" t="s">
        <v>65</v>
      </c>
      <c r="M243" s="19" t="s">
        <v>49</v>
      </c>
      <c r="N243" s="19" t="s">
        <v>1208</v>
      </c>
      <c r="O243" s="19" t="s">
        <v>49</v>
      </c>
      <c r="P243" s="19" t="s">
        <v>173</v>
      </c>
      <c r="Q243" s="19" t="s">
        <v>502</v>
      </c>
      <c r="R243" s="19" t="s">
        <v>1209</v>
      </c>
      <c r="S243" s="19" t="s">
        <v>1210</v>
      </c>
      <c r="T243" s="19" t="s">
        <v>53</v>
      </c>
      <c r="U243" s="19" t="s">
        <v>54</v>
      </c>
      <c r="V243" s="19" t="s">
        <v>55</v>
      </c>
      <c r="W243" s="19" t="s">
        <v>56</v>
      </c>
      <c r="X243" s="19" t="s">
        <v>57</v>
      </c>
      <c r="Y243" s="19"/>
      <c r="Z243" s="19" t="s">
        <v>1211</v>
      </c>
      <c r="AA243" s="19">
        <v>1</v>
      </c>
      <c r="AB243" s="19">
        <v>1</v>
      </c>
      <c r="AC243" s="19" t="s">
        <v>59</v>
      </c>
      <c r="AD243" s="19" t="s">
        <v>173</v>
      </c>
      <c r="AE243" s="19" t="s">
        <v>1212</v>
      </c>
      <c r="AF243" s="19" t="s">
        <v>1213</v>
      </c>
    </row>
    <row r="244" spans="1:34">
      <c r="A244" s="19">
        <v>236</v>
      </c>
      <c r="B244" s="19" t="s">
        <v>1168</v>
      </c>
      <c r="C244" s="19" t="s">
        <v>178</v>
      </c>
      <c r="D244" s="19" t="str">
        <f>HYPERLINK("http://henontech.com/fieldsafety/harzard/harzard_show.php?rid=2243&amp;url=harzardrecs.php","直流油泵联轴器、止回阀损坏，停电期间，油泵无法正常给汽轮机提供润滑用油，导致汽轮机各轴瓦烧毁、转子两端磨损。")</f>
        <v>直流油泵联轴器、止回阀损坏，停电期间，油泵无法正常给汽轮机提供润滑用油，导致汽轮机各轴瓦烧毁、转子两端磨损。</v>
      </c>
      <c r="E244" s="19" t="s">
        <v>1214</v>
      </c>
      <c r="F244" s="23" t="s">
        <v>227</v>
      </c>
      <c r="G244" s="21" t="s">
        <v>43</v>
      </c>
      <c r="H244" s="19" t="s">
        <v>44</v>
      </c>
      <c r="I244" s="19" t="s">
        <v>129</v>
      </c>
      <c r="J244" s="19" t="s">
        <v>64</v>
      </c>
      <c r="K244" s="19" t="s">
        <v>88</v>
      </c>
      <c r="L244" s="19" t="s">
        <v>65</v>
      </c>
      <c r="M244" s="19" t="s">
        <v>49</v>
      </c>
      <c r="N244" s="19" t="s">
        <v>1208</v>
      </c>
      <c r="O244" s="19"/>
      <c r="P244" s="19"/>
      <c r="Q244" s="19"/>
      <c r="R244" s="19" t="s">
        <v>1215</v>
      </c>
      <c r="S244" s="19" t="s">
        <v>1216</v>
      </c>
      <c r="T244" s="19" t="s">
        <v>104</v>
      </c>
      <c r="U244" s="19" t="s">
        <v>54</v>
      </c>
      <c r="V244" s="19" t="s">
        <v>55</v>
      </c>
      <c r="W244" s="19" t="s">
        <v>56</v>
      </c>
      <c r="X244" s="19"/>
      <c r="Y244" s="19"/>
      <c r="Z244" s="19"/>
      <c r="AA244" s="19">
        <v>0</v>
      </c>
      <c r="AB244" s="19"/>
      <c r="AC244" s="19" t="s">
        <v>233</v>
      </c>
      <c r="AD244" s="19"/>
      <c r="AE244" s="19"/>
      <c r="AF244" s="19"/>
    </row>
    <row r="245" spans="1:34">
      <c r="A245" s="19">
        <v>237</v>
      </c>
      <c r="B245" s="19" t="s">
        <v>167</v>
      </c>
      <c r="C245" s="19" t="s">
        <v>620</v>
      </c>
      <c r="D245" s="19" t="str">
        <f>HYPERLINK("http://henontech.com/fieldsafety/harzard/harzard_show.php?rid=2244&amp;url=harzardrecs.php","南冷凝液下泵接地线翘起，一操作工如果巡检经过此处，可能被接地线绊倒导致膝盖擦伤，经医务室检查包扎后无大碍，不影响正常工作复工。")</f>
        <v>南冷凝液下泵接地线翘起，一操作工如果巡检经过此处，可能被接地线绊倒导致膝盖擦伤，经医务室检查包扎后无大碍，不影响正常工作复工。</v>
      </c>
      <c r="E245" s="19" t="s">
        <v>1217</v>
      </c>
      <c r="F245" s="20" t="s">
        <v>42</v>
      </c>
      <c r="G245" s="21" t="s">
        <v>43</v>
      </c>
      <c r="H245" s="19" t="s">
        <v>44</v>
      </c>
      <c r="I245" s="19" t="s">
        <v>78</v>
      </c>
      <c r="J245" s="19" t="s">
        <v>64</v>
      </c>
      <c r="K245" s="19" t="s">
        <v>46</v>
      </c>
      <c r="L245" s="19" t="s">
        <v>65</v>
      </c>
      <c r="M245" s="19" t="s">
        <v>66</v>
      </c>
      <c r="N245" s="19" t="s">
        <v>1218</v>
      </c>
      <c r="O245" s="19" t="s">
        <v>66</v>
      </c>
      <c r="P245" s="19" t="s">
        <v>68</v>
      </c>
      <c r="Q245" s="19" t="s">
        <v>446</v>
      </c>
      <c r="R245" s="19" t="s">
        <v>1219</v>
      </c>
      <c r="S245" s="19"/>
      <c r="T245" s="19" t="s">
        <v>53</v>
      </c>
      <c r="U245" s="19" t="s">
        <v>71</v>
      </c>
      <c r="V245" s="19" t="s">
        <v>105</v>
      </c>
      <c r="W245" s="19" t="s">
        <v>96</v>
      </c>
      <c r="X245" s="19"/>
      <c r="Y245" s="19"/>
      <c r="Z245" s="19" t="s">
        <v>1220</v>
      </c>
      <c r="AA245" s="19">
        <v>1</v>
      </c>
      <c r="AB245" s="19">
        <v>1</v>
      </c>
      <c r="AC245" s="19" t="s">
        <v>59</v>
      </c>
      <c r="AD245" s="19" t="s">
        <v>68</v>
      </c>
      <c r="AE245" s="19" t="s">
        <v>568</v>
      </c>
      <c r="AF245" s="19"/>
    </row>
    <row r="246" spans="1:34">
      <c r="A246" s="19">
        <v>238</v>
      </c>
      <c r="B246" s="19" t="s">
        <v>1168</v>
      </c>
      <c r="C246" s="19" t="s">
        <v>1221</v>
      </c>
      <c r="D246" s="19" t="str">
        <f>HYPERLINK("http://henontech.com/fieldsafety/harzard/harzard_show.php?rid=2245&amp;url=harzardrecs.php","提升机变频室充电屏经常性故障报警，如不及时查找排除故障隐患，会引起直流电源无法正常供电，致使使用直流电源控制的设备不能正常操作，影响生产造成财产损失")</f>
        <v>提升机变频室充电屏经常性故障报警，如不及时查找排除故障隐患，会引起直流电源无法正常供电，致使使用直流电源控制的设备不能正常操作，影响生产造成财产损失</v>
      </c>
      <c r="E246" s="19" t="s">
        <v>1222</v>
      </c>
      <c r="F246" s="20" t="s">
        <v>42</v>
      </c>
      <c r="G246" s="21" t="s">
        <v>43</v>
      </c>
      <c r="H246" s="19" t="s">
        <v>44</v>
      </c>
      <c r="I246" s="19" t="s">
        <v>129</v>
      </c>
      <c r="J246" s="19" t="s">
        <v>64</v>
      </c>
      <c r="K246" s="19" t="s">
        <v>79</v>
      </c>
      <c r="L246" s="19" t="s">
        <v>65</v>
      </c>
      <c r="M246" s="19" t="s">
        <v>49</v>
      </c>
      <c r="N246" s="19" t="s">
        <v>1223</v>
      </c>
      <c r="O246" s="19" t="s">
        <v>49</v>
      </c>
      <c r="P246" s="19" t="s">
        <v>1224</v>
      </c>
      <c r="Q246" s="19" t="s">
        <v>502</v>
      </c>
      <c r="R246" s="19" t="s">
        <v>1225</v>
      </c>
      <c r="S246" s="19" t="s">
        <v>1226</v>
      </c>
      <c r="T246" s="19" t="s">
        <v>104</v>
      </c>
      <c r="U246" s="19" t="s">
        <v>94</v>
      </c>
      <c r="V246" s="19" t="s">
        <v>95</v>
      </c>
      <c r="W246" s="19" t="s">
        <v>96</v>
      </c>
      <c r="X246" s="19" t="s">
        <v>359</v>
      </c>
      <c r="Y246" s="19"/>
      <c r="Z246" s="19" t="s">
        <v>1227</v>
      </c>
      <c r="AA246" s="19">
        <v>1</v>
      </c>
      <c r="AB246" s="19">
        <v>1</v>
      </c>
      <c r="AC246" s="19" t="s">
        <v>59</v>
      </c>
      <c r="AD246" s="19" t="s">
        <v>1224</v>
      </c>
      <c r="AE246" s="19" t="s">
        <v>917</v>
      </c>
      <c r="AF246" s="19" t="s">
        <v>1228</v>
      </c>
    </row>
    <row r="247" spans="1:34">
      <c r="A247" s="19">
        <v>239</v>
      </c>
      <c r="B247" s="19" t="s">
        <v>1168</v>
      </c>
      <c r="C247" s="19" t="s">
        <v>178</v>
      </c>
      <c r="D247" s="19" t="str">
        <f>HYPERLINK("http://henontech.com/fieldsafety/harzard/harzard_show.php?rid=2246&amp;url=harzardrecs.php","一操作工巡查主控楼顶设备设施时，因爬梯未加装护栏，爬至离地面4米处时不慎跌落，送医救治，诊断为左腿骨折。")</f>
        <v>一操作工巡查主控楼顶设备设施时，因爬梯未加装护栏，爬至离地面4米处时不慎跌落，送医救治，诊断为左腿骨折。</v>
      </c>
      <c r="E247" s="19" t="s">
        <v>1229</v>
      </c>
      <c r="F247" s="20" t="s">
        <v>42</v>
      </c>
      <c r="G247" s="21" t="s">
        <v>43</v>
      </c>
      <c r="H247" s="19" t="s">
        <v>44</v>
      </c>
      <c r="I247" s="19" t="s">
        <v>205</v>
      </c>
      <c r="J247" s="19" t="s">
        <v>45</v>
      </c>
      <c r="K247" s="19" t="s">
        <v>79</v>
      </c>
      <c r="L247" s="19" t="s">
        <v>65</v>
      </c>
      <c r="M247" s="19" t="s">
        <v>49</v>
      </c>
      <c r="N247" s="19" t="s">
        <v>1230</v>
      </c>
      <c r="O247" s="19" t="s">
        <v>49</v>
      </c>
      <c r="P247" s="19" t="s">
        <v>138</v>
      </c>
      <c r="Q247" s="19" t="s">
        <v>502</v>
      </c>
      <c r="R247" s="19" t="s">
        <v>1231</v>
      </c>
      <c r="S247" s="19" t="s">
        <v>1232</v>
      </c>
      <c r="T247" s="19" t="s">
        <v>53</v>
      </c>
      <c r="U247" s="19" t="s">
        <v>54</v>
      </c>
      <c r="V247" s="19" t="s">
        <v>55</v>
      </c>
      <c r="W247" s="19" t="s">
        <v>56</v>
      </c>
      <c r="X247" s="19" t="s">
        <v>150</v>
      </c>
      <c r="Y247" s="19"/>
      <c r="Z247" s="19" t="s">
        <v>1016</v>
      </c>
      <c r="AA247" s="19">
        <v>1</v>
      </c>
      <c r="AB247" s="19">
        <v>1</v>
      </c>
      <c r="AC247" s="19" t="s">
        <v>59</v>
      </c>
      <c r="AD247" s="19" t="s">
        <v>138</v>
      </c>
      <c r="AE247" s="19" t="s">
        <v>463</v>
      </c>
      <c r="AF247" s="19"/>
    </row>
    <row r="248" spans="1:34" customHeight="1" ht="42">
      <c r="A248" s="19">
        <v>240</v>
      </c>
      <c r="B248" s="19" t="s">
        <v>1168</v>
      </c>
      <c r="C248" s="19" t="s">
        <v>1233</v>
      </c>
      <c r="D248" s="19" t="str">
        <f>HYPERLINK("http://henontech.com/fieldsafety/harzard/harzard_show.php?rid=2247&amp;url=harzardrecs.php","5.5米拦焦磨电轨总开关上方挡板太小，无法起防泥水作用，雨雪天气，一旦泥水进入配电箱会造成内部380伏电器短路跳闸，烧坏开关无法出焦")</f>
        <v>5.5米拦焦磨电轨总开关上方挡板太小，无法起防泥水作用，雨雪天气，一旦泥水进入配电箱会造成内部380伏电器短路跳闸，烧坏开关无法出焦</v>
      </c>
      <c r="E248" s="19" t="s">
        <v>1234</v>
      </c>
      <c r="F248" s="20" t="s">
        <v>42</v>
      </c>
      <c r="G248" s="22" t="s">
        <v>111</v>
      </c>
      <c r="H248" s="19" t="s">
        <v>44</v>
      </c>
      <c r="I248" s="19"/>
      <c r="J248" s="19" t="s">
        <v>45</v>
      </c>
      <c r="K248" s="19" t="s">
        <v>79</v>
      </c>
      <c r="L248" s="19" t="s">
        <v>65</v>
      </c>
      <c r="M248" s="19" t="s">
        <v>49</v>
      </c>
      <c r="N248" s="19" t="s">
        <v>1235</v>
      </c>
      <c r="O248" s="19" t="s">
        <v>49</v>
      </c>
      <c r="P248" s="19" t="s">
        <v>460</v>
      </c>
      <c r="Q248" s="19" t="s">
        <v>1042</v>
      </c>
      <c r="R248" s="19" t="s">
        <v>1236</v>
      </c>
      <c r="S248" s="19"/>
      <c r="T248" s="19" t="s">
        <v>104</v>
      </c>
      <c r="U248" s="19" t="s">
        <v>71</v>
      </c>
      <c r="V248" s="19" t="s">
        <v>105</v>
      </c>
      <c r="W248" s="19" t="s">
        <v>96</v>
      </c>
      <c r="X248" s="19" t="s">
        <v>150</v>
      </c>
      <c r="Y248" s="19"/>
      <c r="Z248" s="19" t="s">
        <v>1237</v>
      </c>
      <c r="AA248" s="19">
        <v>2</v>
      </c>
      <c r="AB248" s="19">
        <v>2</v>
      </c>
      <c r="AC248" s="19" t="s">
        <v>59</v>
      </c>
      <c r="AD248" s="19" t="s">
        <v>460</v>
      </c>
      <c r="AE248" s="19" t="s">
        <v>463</v>
      </c>
      <c r="AF248" s="19"/>
    </row>
    <row r="249" spans="1:34">
      <c r="A249" s="19">
        <v>241</v>
      </c>
      <c r="B249" s="19" t="s">
        <v>1168</v>
      </c>
      <c r="C249" s="19" t="s">
        <v>707</v>
      </c>
      <c r="D249" s="19" t="str">
        <f>HYPERLINK("http://henontech.com/fieldsafety/harzard/harzard_show.php?rid=2248&amp;url=harzardrecs.php","导烟车操作室门坏。下大雨时，因操作室门坏，导致大量雨水进入操作室，致使操作台电路连电，导烟车全车断电，无法使用")</f>
        <v>导烟车操作室门坏。下大雨时，因操作室门坏，导致大量雨水进入操作室，致使操作台电路连电，导烟车全车断电，无法使用</v>
      </c>
      <c r="E249" s="19" t="s">
        <v>1238</v>
      </c>
      <c r="F249" s="23" t="s">
        <v>227</v>
      </c>
      <c r="G249" s="21" t="s">
        <v>43</v>
      </c>
      <c r="H249" s="19" t="s">
        <v>44</v>
      </c>
      <c r="I249" s="19" t="s">
        <v>129</v>
      </c>
      <c r="J249" s="19" t="s">
        <v>45</v>
      </c>
      <c r="K249" s="19"/>
      <c r="L249" s="19"/>
      <c r="M249" s="19" t="s">
        <v>49</v>
      </c>
      <c r="N249" s="19" t="s">
        <v>710</v>
      </c>
      <c r="O249" s="19"/>
      <c r="P249" s="19"/>
      <c r="Q249" s="19"/>
      <c r="R249" s="19" t="s">
        <v>1239</v>
      </c>
      <c r="S249" s="19" t="s">
        <v>1240</v>
      </c>
      <c r="T249" s="19" t="s">
        <v>104</v>
      </c>
      <c r="U249" s="19" t="s">
        <v>94</v>
      </c>
      <c r="V249" s="19" t="s">
        <v>95</v>
      </c>
      <c r="W249" s="19" t="s">
        <v>96</v>
      </c>
      <c r="X249" s="19"/>
      <c r="Y249" s="19"/>
      <c r="Z249" s="19"/>
      <c r="AA249" s="19">
        <v>0</v>
      </c>
      <c r="AB249" s="19"/>
      <c r="AC249" s="19" t="s">
        <v>233</v>
      </c>
      <c r="AD249" s="19"/>
      <c r="AE249" s="19"/>
      <c r="AF249" s="19"/>
    </row>
    <row r="250" spans="1:34">
      <c r="A250" s="19">
        <v>242</v>
      </c>
      <c r="B250" s="19" t="s">
        <v>167</v>
      </c>
      <c r="C250" s="19" t="s">
        <v>531</v>
      </c>
      <c r="D250" s="19" t="str">
        <f>HYPERLINK("http://henontech.com/fieldsafety/harzard/harzard_show.php?rid=2253&amp;url=harzardrecs.php","粗苯区域施工人员操作时安全帽未挂绳，假设旁边人操作时出现失误，设备发生倒塌掉落，可能将未挂绳人员安全帽打落，造成头部伤害，送医检查，轻微脑震荡，损工半个月。")</f>
        <v>粗苯区域施工人员操作时安全帽未挂绳，假设旁边人操作时出现失误，设备发生倒塌掉落，可能将未挂绳人员安全帽打落，造成头部伤害，送医检查，轻微脑震荡，损工半个月。</v>
      </c>
      <c r="E250" s="19" t="s">
        <v>1241</v>
      </c>
      <c r="F250" s="20" t="s">
        <v>42</v>
      </c>
      <c r="G250" s="24" t="s">
        <v>534</v>
      </c>
      <c r="H250" s="19" t="s">
        <v>44</v>
      </c>
      <c r="I250" s="19" t="s">
        <v>129</v>
      </c>
      <c r="J250" s="19" t="s">
        <v>45</v>
      </c>
      <c r="K250" s="19" t="s">
        <v>79</v>
      </c>
      <c r="L250" s="19" t="s">
        <v>65</v>
      </c>
      <c r="M250" s="19" t="s">
        <v>66</v>
      </c>
      <c r="N250" s="19" t="s">
        <v>1242</v>
      </c>
      <c r="O250" s="19" t="s">
        <v>66</v>
      </c>
      <c r="P250" s="19" t="s">
        <v>68</v>
      </c>
      <c r="Q250" s="19" t="s">
        <v>1243</v>
      </c>
      <c r="R250" s="19" t="s">
        <v>1244</v>
      </c>
      <c r="S250" s="19"/>
      <c r="T250" s="19" t="s">
        <v>53</v>
      </c>
      <c r="U250" s="19" t="s">
        <v>54</v>
      </c>
      <c r="V250" s="19" t="s">
        <v>105</v>
      </c>
      <c r="W250" s="19" t="s">
        <v>72</v>
      </c>
      <c r="X250" s="19"/>
      <c r="Y250" s="19"/>
      <c r="Z250" s="19" t="s">
        <v>1245</v>
      </c>
      <c r="AA250" s="19">
        <v>1</v>
      </c>
      <c r="AB250" s="19">
        <v>1</v>
      </c>
      <c r="AC250" s="19" t="s">
        <v>59</v>
      </c>
      <c r="AD250" s="19" t="s">
        <v>68</v>
      </c>
      <c r="AE250" s="19" t="s">
        <v>1202</v>
      </c>
      <c r="AF250" s="19"/>
    </row>
    <row r="251" spans="1:34" customHeight="1" ht="42">
      <c r="A251" s="19">
        <v>243</v>
      </c>
      <c r="B251" s="19" t="s">
        <v>167</v>
      </c>
      <c r="C251" s="19" t="s">
        <v>1246</v>
      </c>
      <c r="D251" s="19" t="str">
        <f>HYPERLINK("http://henontech.com/fieldsafety/harzard/harzard_show.php?rid=2254&amp;url=harzardrecs.php","巡检人员巡检超滤设备时，因超滤排污管道处无盖板，导致巡检过程中一脚踏入排污沟导致小腿骨折")</f>
        <v>巡检人员巡检超滤设备时，因超滤排污管道处无盖板，导致巡检过程中一脚踏入排污沟导致小腿骨折</v>
      </c>
      <c r="E251" s="19" t="s">
        <v>1247</v>
      </c>
      <c r="F251" s="20" t="s">
        <v>42</v>
      </c>
      <c r="G251" s="21" t="s">
        <v>43</v>
      </c>
      <c r="H251" s="19" t="s">
        <v>44</v>
      </c>
      <c r="I251" s="19" t="s">
        <v>78</v>
      </c>
      <c r="J251" s="19" t="s">
        <v>45</v>
      </c>
      <c r="K251" s="19"/>
      <c r="L251" s="19"/>
      <c r="M251" s="19" t="s">
        <v>229</v>
      </c>
      <c r="N251" s="19" t="s">
        <v>1248</v>
      </c>
      <c r="O251" s="19" t="s">
        <v>229</v>
      </c>
      <c r="P251" s="19" t="s">
        <v>669</v>
      </c>
      <c r="Q251" s="19" t="s">
        <v>670</v>
      </c>
      <c r="R251" s="19" t="s">
        <v>1249</v>
      </c>
      <c r="S251" s="19"/>
      <c r="T251" s="19" t="s">
        <v>53</v>
      </c>
      <c r="U251" s="19" t="s">
        <v>54</v>
      </c>
      <c r="V251" s="19" t="s">
        <v>55</v>
      </c>
      <c r="W251" s="19" t="s">
        <v>56</v>
      </c>
      <c r="X251" s="19" t="s">
        <v>57</v>
      </c>
      <c r="Y251" s="19"/>
      <c r="Z251" s="19" t="s">
        <v>1250</v>
      </c>
      <c r="AA251" s="19">
        <v>2</v>
      </c>
      <c r="AB251" s="19">
        <v>1</v>
      </c>
      <c r="AC251" s="19" t="s">
        <v>59</v>
      </c>
      <c r="AD251" s="19" t="s">
        <v>669</v>
      </c>
      <c r="AE251" s="19" t="s">
        <v>673</v>
      </c>
      <c r="AF251" s="19" t="s">
        <v>1251</v>
      </c>
    </row>
    <row r="252" spans="1:34">
      <c r="A252" s="19">
        <v>244</v>
      </c>
      <c r="B252" s="19" t="s">
        <v>167</v>
      </c>
      <c r="C252" s="19" t="s">
        <v>49</v>
      </c>
      <c r="D252" s="19" t="str">
        <f>HYPERLINK("http://henontech.com/fieldsafety/harzard/harzard_show.php?rid=2258&amp;url=harzardrecs.php","一操作工在打扫行车爬梯时，因未安装防滑条，操作工脚底打滑，不慎从四米高爬梯摔落至下方平台，送医救治，诊断为左小腿骨折，住院治疗20天，休养三个月。")</f>
        <v>一操作工在打扫行车爬梯时，因未安装防滑条，操作工脚底打滑，不慎从四米高爬梯摔落至下方平台，送医救治，诊断为左小腿骨折，住院治疗20天，休养三个月。</v>
      </c>
      <c r="E252" s="19" t="s">
        <v>1252</v>
      </c>
      <c r="F252" s="20" t="s">
        <v>42</v>
      </c>
      <c r="G252" s="21" t="s">
        <v>43</v>
      </c>
      <c r="H252" s="19" t="s">
        <v>44</v>
      </c>
      <c r="I252" s="19" t="s">
        <v>129</v>
      </c>
      <c r="J252" s="19" t="s">
        <v>45</v>
      </c>
      <c r="K252" s="19" t="s">
        <v>46</v>
      </c>
      <c r="L252" s="19"/>
      <c r="M252" s="19" t="s">
        <v>49</v>
      </c>
      <c r="N252" s="19" t="s">
        <v>180</v>
      </c>
      <c r="O252" s="19" t="s">
        <v>49</v>
      </c>
      <c r="P252" s="19" t="s">
        <v>138</v>
      </c>
      <c r="Q252" s="19" t="s">
        <v>1042</v>
      </c>
      <c r="R252" s="19" t="s">
        <v>1253</v>
      </c>
      <c r="S252" s="19" t="s">
        <v>1254</v>
      </c>
      <c r="T252" s="19" t="s">
        <v>53</v>
      </c>
      <c r="U252" s="19" t="s">
        <v>54</v>
      </c>
      <c r="V252" s="19" t="s">
        <v>55</v>
      </c>
      <c r="W252" s="19" t="s">
        <v>56</v>
      </c>
      <c r="X252" s="19" t="s">
        <v>150</v>
      </c>
      <c r="Y252" s="19"/>
      <c r="Z252" s="19" t="s">
        <v>1255</v>
      </c>
      <c r="AA252" s="19">
        <v>1</v>
      </c>
      <c r="AB252" s="19">
        <v>1</v>
      </c>
      <c r="AC252" s="19" t="s">
        <v>59</v>
      </c>
      <c r="AD252" s="19" t="s">
        <v>138</v>
      </c>
      <c r="AE252" s="19" t="s">
        <v>463</v>
      </c>
      <c r="AF252" s="19"/>
    </row>
    <row r="253" spans="1:34">
      <c r="A253" s="19">
        <v>245</v>
      </c>
      <c r="B253" s="19" t="s">
        <v>1202</v>
      </c>
      <c r="C253" s="19" t="s">
        <v>324</v>
      </c>
      <c r="D253" s="19" t="str">
        <f>HYPERLINK("http://henontech.com/fieldsafety/harzard/harzard_show.php?rid=2260&amp;url=harzardrecs.php","精炼操作工在日常巡检时，踩到盖板处，突然破裂，操作工掉入地沟内，并砸伤腿部")</f>
        <v>精炼操作工在日常巡检时，踩到盖板处，突然破裂，操作工掉入地沟内，并砸伤腿部</v>
      </c>
      <c r="E253" s="19" t="s">
        <v>1256</v>
      </c>
      <c r="F253" s="20" t="s">
        <v>42</v>
      </c>
      <c r="G253" s="21" t="s">
        <v>43</v>
      </c>
      <c r="H253" s="19" t="s">
        <v>44</v>
      </c>
      <c r="I253" s="19"/>
      <c r="J253" s="19" t="s">
        <v>64</v>
      </c>
      <c r="K253" s="19" t="s">
        <v>46</v>
      </c>
      <c r="L253" s="19"/>
      <c r="M253" s="19" t="s">
        <v>146</v>
      </c>
      <c r="N253" s="19" t="s">
        <v>326</v>
      </c>
      <c r="O253" s="19" t="s">
        <v>146</v>
      </c>
      <c r="P253" s="19" t="s">
        <v>249</v>
      </c>
      <c r="Q253" s="19" t="s">
        <v>1042</v>
      </c>
      <c r="R253" s="19" t="s">
        <v>1257</v>
      </c>
      <c r="S253" s="19"/>
      <c r="T253" s="19" t="s">
        <v>53</v>
      </c>
      <c r="U253" s="19" t="s">
        <v>71</v>
      </c>
      <c r="V253" s="19" t="s">
        <v>55</v>
      </c>
      <c r="W253" s="19" t="s">
        <v>72</v>
      </c>
      <c r="X253" s="19" t="s">
        <v>570</v>
      </c>
      <c r="Y253" s="19" t="s">
        <v>570</v>
      </c>
      <c r="Z253" s="19" t="s">
        <v>1258</v>
      </c>
      <c r="AA253" s="19">
        <v>1</v>
      </c>
      <c r="AB253" s="19">
        <v>1</v>
      </c>
      <c r="AC253" s="19" t="s">
        <v>59</v>
      </c>
      <c r="AD253" s="19" t="s">
        <v>249</v>
      </c>
      <c r="AE253" s="19" t="s">
        <v>334</v>
      </c>
      <c r="AF253" s="19"/>
    </row>
    <row r="254" spans="1:34">
      <c r="A254" s="19">
        <v>246</v>
      </c>
      <c r="B254" s="19" t="s">
        <v>1202</v>
      </c>
      <c r="C254" s="19" t="s">
        <v>631</v>
      </c>
      <c r="D254" s="19" t="str">
        <f>HYPERLINK("http://henontech.com/fieldsafety/harzard/harzard_show.php?rid=2262&amp;url=harzardrecs.php","煤八皮带机岗位110#消防箱破损")</f>
        <v>煤八皮带机岗位110#消防箱破损</v>
      </c>
      <c r="E254" s="19" t="s">
        <v>1259</v>
      </c>
      <c r="F254" s="20" t="s">
        <v>42</v>
      </c>
      <c r="G254" s="21" t="s">
        <v>43</v>
      </c>
      <c r="H254" s="19" t="s">
        <v>44</v>
      </c>
      <c r="I254" s="19" t="s">
        <v>129</v>
      </c>
      <c r="J254" s="19" t="s">
        <v>64</v>
      </c>
      <c r="K254" s="19" t="s">
        <v>79</v>
      </c>
      <c r="L254" s="19" t="s">
        <v>65</v>
      </c>
      <c r="M254" s="19" t="s">
        <v>633</v>
      </c>
      <c r="N254" s="19" t="s">
        <v>1260</v>
      </c>
      <c r="O254" s="19" t="s">
        <v>633</v>
      </c>
      <c r="P254" s="19" t="s">
        <v>1260</v>
      </c>
      <c r="Q254" s="19" t="s">
        <v>1261</v>
      </c>
      <c r="R254" s="19" t="s">
        <v>1262</v>
      </c>
      <c r="S254" s="19"/>
      <c r="T254" s="19" t="s">
        <v>392</v>
      </c>
      <c r="U254" s="19" t="s">
        <v>94</v>
      </c>
      <c r="V254" s="19" t="s">
        <v>193</v>
      </c>
      <c r="W254" s="19" t="s">
        <v>96</v>
      </c>
      <c r="X254" s="19" t="s">
        <v>570</v>
      </c>
      <c r="Y254" s="19"/>
      <c r="Z254" s="19" t="s">
        <v>1263</v>
      </c>
      <c r="AA254" s="19">
        <v>1</v>
      </c>
      <c r="AB254" s="19">
        <v>1</v>
      </c>
      <c r="AC254" s="19" t="s">
        <v>59</v>
      </c>
      <c r="AD254" s="19" t="s">
        <v>1260</v>
      </c>
      <c r="AE254" s="19" t="s">
        <v>1264</v>
      </c>
      <c r="AF254" s="19" t="s">
        <v>1265</v>
      </c>
    </row>
    <row r="255" spans="1:34">
      <c r="A255" s="19">
        <v>247</v>
      </c>
      <c r="B255" s="19" t="s">
        <v>1202</v>
      </c>
      <c r="C255" s="19" t="s">
        <v>656</v>
      </c>
      <c r="D255" s="19" t="str">
        <f>HYPERLINK("http://henontech.com/fieldsafety/harzard/harzard_show.php?rid=2264&amp;url=harzardrecs.php","拐弯处，水沟盖板未盖，行人通过时陷入沟中，造成脚腕扭伤。")</f>
        <v>拐弯处，水沟盖板未盖，行人通过时陷入沟中，造成脚腕扭伤。</v>
      </c>
      <c r="E255" s="19" t="s">
        <v>1266</v>
      </c>
      <c r="F255" s="20" t="s">
        <v>42</v>
      </c>
      <c r="G255" s="22" t="s">
        <v>111</v>
      </c>
      <c r="H255" s="19" t="s">
        <v>44</v>
      </c>
      <c r="I255" s="19" t="s">
        <v>297</v>
      </c>
      <c r="J255" s="19" t="s">
        <v>45</v>
      </c>
      <c r="K255" s="19"/>
      <c r="L255" s="19"/>
      <c r="M255" s="19" t="s">
        <v>633</v>
      </c>
      <c r="N255" s="19" t="s">
        <v>1267</v>
      </c>
      <c r="O255" s="19" t="s">
        <v>633</v>
      </c>
      <c r="P255" s="19" t="s">
        <v>1268</v>
      </c>
      <c r="Q255" s="19" t="s">
        <v>182</v>
      </c>
      <c r="R255" s="19" t="s">
        <v>1269</v>
      </c>
      <c r="S255" s="19"/>
      <c r="T255" s="19" t="s">
        <v>53</v>
      </c>
      <c r="U255" s="19" t="s">
        <v>71</v>
      </c>
      <c r="V255" s="19" t="s">
        <v>55</v>
      </c>
      <c r="W255" s="19" t="s">
        <v>72</v>
      </c>
      <c r="X255" s="19" t="s">
        <v>359</v>
      </c>
      <c r="Y255" s="19"/>
      <c r="Z255" s="19" t="s">
        <v>1270</v>
      </c>
      <c r="AA255" s="19">
        <v>1</v>
      </c>
      <c r="AB255" s="19">
        <v>1</v>
      </c>
      <c r="AC255" s="19" t="s">
        <v>59</v>
      </c>
      <c r="AD255" s="19" t="s">
        <v>1268</v>
      </c>
      <c r="AE255" s="19" t="s">
        <v>1261</v>
      </c>
      <c r="AF255" s="19" t="s">
        <v>1271</v>
      </c>
    </row>
    <row r="256" spans="1:34">
      <c r="A256" s="19">
        <v>248</v>
      </c>
      <c r="B256" s="19" t="s">
        <v>1202</v>
      </c>
      <c r="C256" s="19" t="s">
        <v>656</v>
      </c>
      <c r="D256" s="19" t="str">
        <f>HYPERLINK("http://henontech.com/fieldsafety/harzard/harzard_show.php?rid=2265&amp;url=harzardrecs.php","岗位胶带通过过桥开焊，操作工扶过桥护栏通过时，侧身跌入胶带，造成人员面部擦伤。")</f>
        <v>岗位胶带通过过桥开焊，操作工扶过桥护栏通过时，侧身跌入胶带，造成人员面部擦伤。</v>
      </c>
      <c r="E256" s="19" t="s">
        <v>1272</v>
      </c>
      <c r="F256" s="20" t="s">
        <v>42</v>
      </c>
      <c r="G256" s="21" t="s">
        <v>43</v>
      </c>
      <c r="H256" s="19" t="s">
        <v>44</v>
      </c>
      <c r="I256" s="19"/>
      <c r="J256" s="19" t="s">
        <v>64</v>
      </c>
      <c r="K256" s="19"/>
      <c r="L256" s="19"/>
      <c r="M256" s="19" t="s">
        <v>633</v>
      </c>
      <c r="N256" s="19" t="s">
        <v>1273</v>
      </c>
      <c r="O256" s="19" t="s">
        <v>633</v>
      </c>
      <c r="P256" s="19" t="s">
        <v>1268</v>
      </c>
      <c r="Q256" s="19" t="s">
        <v>1243</v>
      </c>
      <c r="R256" s="19" t="s">
        <v>1274</v>
      </c>
      <c r="S256" s="19"/>
      <c r="T256" s="19" t="s">
        <v>53</v>
      </c>
      <c r="U256" s="19" t="s">
        <v>71</v>
      </c>
      <c r="V256" s="19" t="s">
        <v>105</v>
      </c>
      <c r="W256" s="19" t="s">
        <v>96</v>
      </c>
      <c r="X256" s="19" t="s">
        <v>57</v>
      </c>
      <c r="Y256" s="19"/>
      <c r="Z256" s="19" t="s">
        <v>1275</v>
      </c>
      <c r="AA256" s="19">
        <v>1</v>
      </c>
      <c r="AB256" s="19">
        <v>1</v>
      </c>
      <c r="AC256" s="19" t="s">
        <v>59</v>
      </c>
      <c r="AD256" s="19" t="s">
        <v>1268</v>
      </c>
      <c r="AE256" s="19" t="s">
        <v>1261</v>
      </c>
      <c r="AF256" s="19" t="s">
        <v>1276</v>
      </c>
    </row>
    <row r="257" spans="1:34">
      <c r="A257" s="19">
        <v>249</v>
      </c>
      <c r="B257" s="19" t="s">
        <v>1202</v>
      </c>
      <c r="C257" s="19" t="s">
        <v>1277</v>
      </c>
      <c r="D257" s="19" t="str">
        <f>HYPERLINK("http://henontech.com/fieldsafety/harzard/harzard_show.php?rid=2269&amp;url=harzardrecs.php","深度处理加药间放盐酸阀门坏，盐酸泄漏到地面，形成酸雾，如操作人员巡检至此未带防护口罩，吸入酸雾，造成短暂的口鼻咽喉部位黏膜不适。")</f>
        <v>深度处理加药间放盐酸阀门坏，盐酸泄漏到地面，形成酸雾，如操作人员巡检至此未带防护口罩，吸入酸雾，造成短暂的口鼻咽喉部位黏膜不适。</v>
      </c>
      <c r="E257" s="19" t="s">
        <v>1278</v>
      </c>
      <c r="F257" s="20" t="s">
        <v>42</v>
      </c>
      <c r="G257" s="21" t="s">
        <v>43</v>
      </c>
      <c r="H257" s="19" t="s">
        <v>44</v>
      </c>
      <c r="I257" s="19"/>
      <c r="J257" s="19" t="s">
        <v>64</v>
      </c>
      <c r="K257" s="19" t="s">
        <v>79</v>
      </c>
      <c r="L257" s="19" t="s">
        <v>65</v>
      </c>
      <c r="M257" s="19" t="s">
        <v>89</v>
      </c>
      <c r="N257" s="19" t="s">
        <v>190</v>
      </c>
      <c r="O257" s="19" t="s">
        <v>89</v>
      </c>
      <c r="P257" s="19" t="s">
        <v>91</v>
      </c>
      <c r="Q257" s="19" t="s">
        <v>1171</v>
      </c>
      <c r="R257" s="19" t="s">
        <v>1279</v>
      </c>
      <c r="S257" s="19"/>
      <c r="T257" s="19" t="s">
        <v>53</v>
      </c>
      <c r="U257" s="19" t="s">
        <v>71</v>
      </c>
      <c r="V257" s="19" t="s">
        <v>55</v>
      </c>
      <c r="W257" s="19" t="s">
        <v>72</v>
      </c>
      <c r="X257" s="19" t="s">
        <v>57</v>
      </c>
      <c r="Y257" s="19" t="s">
        <v>57</v>
      </c>
      <c r="Z257" s="19" t="s">
        <v>541</v>
      </c>
      <c r="AA257" s="19">
        <v>1</v>
      </c>
      <c r="AB257" s="19">
        <v>1</v>
      </c>
      <c r="AC257" s="19" t="s">
        <v>59</v>
      </c>
      <c r="AD257" s="19" t="s">
        <v>91</v>
      </c>
      <c r="AE257" s="19" t="s">
        <v>1174</v>
      </c>
      <c r="AF257" s="19" t="s">
        <v>210</v>
      </c>
    </row>
    <row r="258" spans="1:34">
      <c r="A258" s="19">
        <v>250</v>
      </c>
      <c r="B258" s="19" t="s">
        <v>1202</v>
      </c>
      <c r="C258" s="19" t="s">
        <v>1280</v>
      </c>
      <c r="D258" s="19" t="str">
        <f>HYPERLINK("http://henontech.com/fieldsafety/harzard/harzard_show.php?rid=2270&amp;url=harzardrecs.php","一巡检工巡检至提升机七层西侧平台时，不慎被脚底蛇皮管拌到，由于缺少护栏，从40米高处跌落至地面，当场死亡")</f>
        <v>一巡检工巡检至提升机七层西侧平台时，不慎被脚底蛇皮管拌到，由于缺少护栏，从40米高处跌落至地面，当场死亡</v>
      </c>
      <c r="E258" s="19" t="s">
        <v>1281</v>
      </c>
      <c r="F258" s="20" t="s">
        <v>42</v>
      </c>
      <c r="G258" s="21" t="s">
        <v>43</v>
      </c>
      <c r="H258" s="19" t="s">
        <v>44</v>
      </c>
      <c r="I258" s="19"/>
      <c r="J258" s="19" t="s">
        <v>64</v>
      </c>
      <c r="K258" s="19" t="s">
        <v>46</v>
      </c>
      <c r="L258" s="19" t="s">
        <v>65</v>
      </c>
      <c r="M258" s="19" t="s">
        <v>49</v>
      </c>
      <c r="N258" s="19" t="s">
        <v>1282</v>
      </c>
      <c r="O258" s="19" t="s">
        <v>49</v>
      </c>
      <c r="P258" s="19" t="s">
        <v>1029</v>
      </c>
      <c r="Q258" s="19" t="s">
        <v>1174</v>
      </c>
      <c r="R258" s="19" t="s">
        <v>1283</v>
      </c>
      <c r="S258" s="19" t="s">
        <v>1284</v>
      </c>
      <c r="T258" s="19" t="s">
        <v>53</v>
      </c>
      <c r="U258" s="19" t="s">
        <v>116</v>
      </c>
      <c r="V258" s="19" t="s">
        <v>95</v>
      </c>
      <c r="W258" s="19" t="s">
        <v>117</v>
      </c>
      <c r="X258" s="19" t="s">
        <v>150</v>
      </c>
      <c r="Y258" s="19" t="s">
        <v>150</v>
      </c>
      <c r="Z258" s="19" t="s">
        <v>1285</v>
      </c>
      <c r="AA258" s="19">
        <v>1</v>
      </c>
      <c r="AB258" s="19">
        <v>1</v>
      </c>
      <c r="AC258" s="19" t="s">
        <v>59</v>
      </c>
      <c r="AD258" s="19" t="s">
        <v>1029</v>
      </c>
      <c r="AE258" s="19" t="s">
        <v>917</v>
      </c>
      <c r="AF258" s="19" t="s">
        <v>1286</v>
      </c>
    </row>
    <row r="259" spans="1:34">
      <c r="A259" s="19">
        <v>251</v>
      </c>
      <c r="B259" s="19" t="s">
        <v>1261</v>
      </c>
      <c r="C259" s="19" t="s">
        <v>178</v>
      </c>
      <c r="D259" s="19" t="str">
        <f>HYPERLINK("http://henontech.com/fieldsafety/harzard/harzard_show.php?rid=2272&amp;url=harzardrecs.php","冷却塔顶部无护栏，平台湿滑，一维修工在清理顶部风机皮带时，未系安全带，脚底打滑，从4米高塔顶跌落，送医救治，诊断为右小腿骨折，住院治疗20天，回家休养三个月。")</f>
        <v>冷却塔顶部无护栏，平台湿滑，一维修工在清理顶部风机皮带时，未系安全带，脚底打滑，从4米高塔顶跌落，送医救治，诊断为右小腿骨折，住院治疗20天，回家休养三个月。</v>
      </c>
      <c r="E259" s="19" t="s">
        <v>1287</v>
      </c>
      <c r="F259" s="20" t="s">
        <v>42</v>
      </c>
      <c r="G259" s="21" t="s">
        <v>43</v>
      </c>
      <c r="H259" s="19" t="s">
        <v>44</v>
      </c>
      <c r="I259" s="19" t="s">
        <v>129</v>
      </c>
      <c r="J259" s="19" t="s">
        <v>45</v>
      </c>
      <c r="K259" s="19" t="s">
        <v>46</v>
      </c>
      <c r="L259" s="19" t="s">
        <v>65</v>
      </c>
      <c r="M259" s="19" t="s">
        <v>49</v>
      </c>
      <c r="N259" s="19" t="s">
        <v>1230</v>
      </c>
      <c r="O259" s="19" t="s">
        <v>49</v>
      </c>
      <c r="P259" s="19" t="s">
        <v>460</v>
      </c>
      <c r="Q259" s="19" t="s">
        <v>1042</v>
      </c>
      <c r="R259" s="19" t="s">
        <v>1288</v>
      </c>
      <c r="S259" s="19" t="s">
        <v>1289</v>
      </c>
      <c r="T259" s="19" t="s">
        <v>53</v>
      </c>
      <c r="U259" s="19" t="s">
        <v>54</v>
      </c>
      <c r="V259" s="19" t="s">
        <v>55</v>
      </c>
      <c r="W259" s="19" t="s">
        <v>56</v>
      </c>
      <c r="X259" s="19" t="s">
        <v>141</v>
      </c>
      <c r="Y259" s="19"/>
      <c r="Z259" s="19" t="s">
        <v>1290</v>
      </c>
      <c r="AA259" s="19">
        <v>1</v>
      </c>
      <c r="AB259" s="19">
        <v>1</v>
      </c>
      <c r="AC259" s="19" t="s">
        <v>59</v>
      </c>
      <c r="AD259" s="19" t="s">
        <v>460</v>
      </c>
      <c r="AE259" s="19" t="s">
        <v>1291</v>
      </c>
      <c r="AF259" s="19"/>
    </row>
    <row r="260" spans="1:34">
      <c r="A260" s="19">
        <v>252</v>
      </c>
      <c r="B260" s="19" t="s">
        <v>182</v>
      </c>
      <c r="C260" s="19" t="s">
        <v>163</v>
      </c>
      <c r="D260" s="19" t="str">
        <f>HYPERLINK("http://henontech.com/fieldsafety/harzard/harzard_show.php?rid=2275&amp;url=harzardrecs.php","除盐水站一楼加药间窗户玻璃破裂，大风天气，一名员工巡检至此时，玻璃被风吹落掉到该员工右胳膊处，将该员工右胳膊割伤，送医后缝合十针，损工3天。")</f>
        <v>除盐水站一楼加药间窗户玻璃破裂，大风天气，一名员工巡检至此时，玻璃被风吹落掉到该员工右胳膊处，将该员工右胳膊割伤，送医后缝合十针，损工3天。</v>
      </c>
      <c r="E260" s="19" t="s">
        <v>1292</v>
      </c>
      <c r="F260" s="20" t="s">
        <v>42</v>
      </c>
      <c r="G260" s="21" t="s">
        <v>43</v>
      </c>
      <c r="H260" s="19" t="s">
        <v>44</v>
      </c>
      <c r="I260" s="19" t="s">
        <v>78</v>
      </c>
      <c r="J260" s="19" t="s">
        <v>64</v>
      </c>
      <c r="K260" s="19"/>
      <c r="L260" s="19"/>
      <c r="M260" s="19" t="s">
        <v>49</v>
      </c>
      <c r="N260" s="19" t="s">
        <v>1293</v>
      </c>
      <c r="O260" s="19" t="s">
        <v>49</v>
      </c>
      <c r="P260" s="19" t="s">
        <v>138</v>
      </c>
      <c r="Q260" s="19" t="s">
        <v>502</v>
      </c>
      <c r="R260" s="19" t="s">
        <v>1294</v>
      </c>
      <c r="S260" s="19" t="s">
        <v>1295</v>
      </c>
      <c r="T260" s="19" t="s">
        <v>53</v>
      </c>
      <c r="U260" s="19" t="s">
        <v>54</v>
      </c>
      <c r="V260" s="19" t="s">
        <v>105</v>
      </c>
      <c r="W260" s="19" t="s">
        <v>72</v>
      </c>
      <c r="X260" s="19" t="s">
        <v>57</v>
      </c>
      <c r="Y260" s="19"/>
      <c r="Z260" s="19" t="s">
        <v>1296</v>
      </c>
      <c r="AA260" s="19">
        <v>1</v>
      </c>
      <c r="AB260" s="19">
        <v>1</v>
      </c>
      <c r="AC260" s="19" t="s">
        <v>59</v>
      </c>
      <c r="AD260" s="19" t="s">
        <v>138</v>
      </c>
      <c r="AE260" s="19" t="s">
        <v>463</v>
      </c>
      <c r="AF260" s="19"/>
    </row>
    <row r="261" spans="1:34">
      <c r="A261" s="19">
        <v>253</v>
      </c>
      <c r="B261" s="19" t="s">
        <v>182</v>
      </c>
      <c r="C261" s="19" t="s">
        <v>330</v>
      </c>
      <c r="D261" s="19" t="str">
        <f>HYPERLINK("http://henontech.com/fieldsafety/harzard/harzard_show.php?rid=2280&amp;url=harzardrecs.php","包装间平台清理料仓用的不锈钢管未及时撤除，当夜班操作工巡检时，因视线不清被不锈钢管拌倒右臂磕到旁边铁件上，造成右臂骨折，住院治疗。")</f>
        <v>包装间平台清理料仓用的不锈钢管未及时撤除，当夜班操作工巡检时，因视线不清被不锈钢管拌倒右臂磕到旁边铁件上，造成右臂骨折，住院治疗。</v>
      </c>
      <c r="E261" s="19" t="s">
        <v>1297</v>
      </c>
      <c r="F261" s="20" t="s">
        <v>42</v>
      </c>
      <c r="G261" s="21" t="s">
        <v>43</v>
      </c>
      <c r="H261" s="19" t="s">
        <v>44</v>
      </c>
      <c r="I261" s="19" t="s">
        <v>297</v>
      </c>
      <c r="J261" s="19" t="s">
        <v>64</v>
      </c>
      <c r="K261" s="19" t="s">
        <v>88</v>
      </c>
      <c r="L261" s="19" t="s">
        <v>65</v>
      </c>
      <c r="M261" s="19" t="s">
        <v>146</v>
      </c>
      <c r="N261" s="19" t="s">
        <v>1298</v>
      </c>
      <c r="O261" s="19" t="s">
        <v>146</v>
      </c>
      <c r="P261" s="19" t="s">
        <v>148</v>
      </c>
      <c r="Q261" s="19" t="s">
        <v>502</v>
      </c>
      <c r="R261" s="19" t="s">
        <v>1299</v>
      </c>
      <c r="S261" s="19"/>
      <c r="T261" s="19" t="s">
        <v>53</v>
      </c>
      <c r="U261" s="19" t="s">
        <v>54</v>
      </c>
      <c r="V261" s="19" t="s">
        <v>55</v>
      </c>
      <c r="W261" s="19" t="s">
        <v>56</v>
      </c>
      <c r="X261" s="19" t="s">
        <v>57</v>
      </c>
      <c r="Y261" s="19" t="s">
        <v>57</v>
      </c>
      <c r="Z261" s="19" t="s">
        <v>1300</v>
      </c>
      <c r="AA261" s="19">
        <v>1</v>
      </c>
      <c r="AB261" s="19">
        <v>1</v>
      </c>
      <c r="AC261" s="19" t="s">
        <v>59</v>
      </c>
      <c r="AD261" s="19" t="s">
        <v>148</v>
      </c>
      <c r="AE261" s="19" t="s">
        <v>917</v>
      </c>
      <c r="AF261" s="19" t="s">
        <v>1301</v>
      </c>
    </row>
    <row r="262" spans="1:34">
      <c r="A262" s="19">
        <v>254</v>
      </c>
      <c r="B262" s="19" t="s">
        <v>182</v>
      </c>
      <c r="C262" s="19" t="s">
        <v>330</v>
      </c>
      <c r="D262" s="19" t="str">
        <f>HYPERLINK("http://henontech.com/fieldsafety/harzard/harzard_show.php?rid=2281&amp;url=harzardrecs.php","周转库北门，托盘放置太高不齐，操作工在打扫路面卫生时，因辩识不到位，托盘落下，砸伤右脚，住院治疗")</f>
        <v>周转库北门，托盘放置太高不齐，操作工在打扫路面卫生时，因辩识不到位，托盘落下，砸伤右脚，住院治疗</v>
      </c>
      <c r="E262" s="19" t="s">
        <v>1302</v>
      </c>
      <c r="F262" s="20" t="s">
        <v>42</v>
      </c>
      <c r="G262" s="21" t="s">
        <v>43</v>
      </c>
      <c r="H262" s="19" t="s">
        <v>44</v>
      </c>
      <c r="I262" s="19" t="s">
        <v>78</v>
      </c>
      <c r="J262" s="19" t="s">
        <v>64</v>
      </c>
      <c r="K262" s="19" t="s">
        <v>46</v>
      </c>
      <c r="L262" s="19" t="s">
        <v>65</v>
      </c>
      <c r="M262" s="19" t="s">
        <v>146</v>
      </c>
      <c r="N262" s="19" t="s">
        <v>1303</v>
      </c>
      <c r="O262" s="19" t="s">
        <v>146</v>
      </c>
      <c r="P262" s="19" t="s">
        <v>1304</v>
      </c>
      <c r="Q262" s="19" t="s">
        <v>1042</v>
      </c>
      <c r="R262" s="19" t="s">
        <v>1305</v>
      </c>
      <c r="S262" s="19"/>
      <c r="T262" s="19" t="s">
        <v>53</v>
      </c>
      <c r="U262" s="19" t="s">
        <v>54</v>
      </c>
      <c r="V262" s="19" t="s">
        <v>55</v>
      </c>
      <c r="W262" s="19" t="s">
        <v>56</v>
      </c>
      <c r="X262" s="19" t="s">
        <v>57</v>
      </c>
      <c r="Y262" s="19" t="s">
        <v>57</v>
      </c>
      <c r="Z262" s="19" t="s">
        <v>1306</v>
      </c>
      <c r="AA262" s="19">
        <v>1</v>
      </c>
      <c r="AB262" s="19">
        <v>1</v>
      </c>
      <c r="AC262" s="19" t="s">
        <v>59</v>
      </c>
      <c r="AD262" s="19" t="s">
        <v>1304</v>
      </c>
      <c r="AE262" s="19" t="s">
        <v>334</v>
      </c>
      <c r="AF262" s="19" t="s">
        <v>1307</v>
      </c>
    </row>
    <row r="263" spans="1:34">
      <c r="A263" s="19">
        <v>255</v>
      </c>
      <c r="B263" s="19" t="s">
        <v>182</v>
      </c>
      <c r="C263" s="19" t="s">
        <v>1203</v>
      </c>
      <c r="D263" s="19" t="str">
        <f>HYPERLINK("http://henontech.com/fieldsafety/harzard/harzard_show.php?rid=2283&amp;url=harzardrecs.php","3#减温减压电动阀未设防雨罩，雨雪天气造成锈蚀损坏，财产损失5万元")</f>
        <v>3#减温减压电动阀未设防雨罩，雨雪天气造成锈蚀损坏，财产损失5万元</v>
      </c>
      <c r="E263" s="19" t="s">
        <v>1308</v>
      </c>
      <c r="F263" s="20" t="s">
        <v>42</v>
      </c>
      <c r="G263" s="21" t="s">
        <v>43</v>
      </c>
      <c r="H263" s="19" t="s">
        <v>44</v>
      </c>
      <c r="I263" s="19"/>
      <c r="J263" s="19" t="s">
        <v>45</v>
      </c>
      <c r="K263" s="19"/>
      <c r="L263" s="19"/>
      <c r="M263" s="19" t="s">
        <v>49</v>
      </c>
      <c r="N263" s="19" t="s">
        <v>1309</v>
      </c>
      <c r="O263" s="19" t="s">
        <v>49</v>
      </c>
      <c r="P263" s="19" t="s">
        <v>138</v>
      </c>
      <c r="Q263" s="19" t="s">
        <v>502</v>
      </c>
      <c r="R263" s="19" t="s">
        <v>1310</v>
      </c>
      <c r="S263" s="19" t="s">
        <v>1311</v>
      </c>
      <c r="T263" s="19" t="s">
        <v>104</v>
      </c>
      <c r="U263" s="19" t="s">
        <v>71</v>
      </c>
      <c r="V263" s="19" t="s">
        <v>55</v>
      </c>
      <c r="W263" s="19" t="s">
        <v>72</v>
      </c>
      <c r="X263" s="19" t="s">
        <v>57</v>
      </c>
      <c r="Y263" s="19"/>
      <c r="Z263" s="19" t="s">
        <v>1312</v>
      </c>
      <c r="AA263" s="19">
        <v>1</v>
      </c>
      <c r="AB263" s="19">
        <v>1</v>
      </c>
      <c r="AC263" s="19" t="s">
        <v>59</v>
      </c>
      <c r="AD263" s="19" t="s">
        <v>138</v>
      </c>
      <c r="AE263" s="19" t="s">
        <v>463</v>
      </c>
      <c r="AF263" s="19"/>
    </row>
    <row r="264" spans="1:34">
      <c r="A264" s="19">
        <v>256</v>
      </c>
      <c r="B264" s="19" t="s">
        <v>182</v>
      </c>
      <c r="C264" s="19" t="s">
        <v>1313</v>
      </c>
      <c r="D264" s="19" t="str">
        <f>HYPERLINK("http://henontech.com/fieldsafety/harzard/harzard_show.php?rid=2284&amp;url=harzardrecs.php","柴油机消防泵电瓶线夹处电缆破损，柴油机本体及地面有油污，在做柴油机启动试验时破损处打火引起火灾烧坏电瓶，造成财产损失5000元")</f>
        <v>柴油机消防泵电瓶线夹处电缆破损，柴油机本体及地面有油污，在做柴油机启动试验时破损处打火引起火灾烧坏电瓶，造成财产损失5000元</v>
      </c>
      <c r="E264" s="19" t="s">
        <v>1314</v>
      </c>
      <c r="F264" s="20" t="s">
        <v>42</v>
      </c>
      <c r="G264" s="21" t="s">
        <v>43</v>
      </c>
      <c r="H264" s="19" t="s">
        <v>44</v>
      </c>
      <c r="I264" s="19"/>
      <c r="J264" s="19" t="s">
        <v>64</v>
      </c>
      <c r="K264" s="19"/>
      <c r="L264" s="19"/>
      <c r="M264" s="19" t="s">
        <v>49</v>
      </c>
      <c r="N264" s="19" t="s">
        <v>1315</v>
      </c>
      <c r="O264" s="19" t="s">
        <v>49</v>
      </c>
      <c r="P264" s="19" t="s">
        <v>138</v>
      </c>
      <c r="Q264" s="19" t="s">
        <v>502</v>
      </c>
      <c r="R264" s="19" t="s">
        <v>1316</v>
      </c>
      <c r="S264" s="19" t="s">
        <v>1317</v>
      </c>
      <c r="T264" s="19" t="s">
        <v>104</v>
      </c>
      <c r="U264" s="19" t="s">
        <v>94</v>
      </c>
      <c r="V264" s="19" t="s">
        <v>55</v>
      </c>
      <c r="W264" s="19" t="s">
        <v>96</v>
      </c>
      <c r="X264" s="19" t="s">
        <v>57</v>
      </c>
      <c r="Y264" s="19"/>
      <c r="Z264" s="19" t="s">
        <v>1318</v>
      </c>
      <c r="AA264" s="19">
        <v>1</v>
      </c>
      <c r="AB264" s="19">
        <v>1</v>
      </c>
      <c r="AC264" s="19" t="s">
        <v>59</v>
      </c>
      <c r="AD264" s="19" t="s">
        <v>138</v>
      </c>
      <c r="AE264" s="19" t="s">
        <v>463</v>
      </c>
      <c r="AF264" s="19"/>
    </row>
    <row r="265" spans="1:34">
      <c r="A265" s="19">
        <v>257</v>
      </c>
      <c r="B265" s="19" t="s">
        <v>182</v>
      </c>
      <c r="C265" s="19" t="s">
        <v>49</v>
      </c>
      <c r="D265" s="19" t="str">
        <f>HYPERLINK("http://henontech.com/fieldsafety/harzard/harzard_show.php?rid=2285&amp;url=harzardrecs.php","循环水消防水池原自动上水管弃用与主管分离后，悬挂在消防水池上部进水口，一巡检人员巡检经过时，水管从进水口向外脱落与巡检人员正面相对，将巡检人员左耳下部擦伤，经简单处理后继续工作。")</f>
        <v>循环水消防水池原自动上水管弃用与主管分离后，悬挂在消防水池上部进水口，一巡检人员巡检经过时，水管从进水口向外脱落与巡检人员正面相对，将巡检人员左耳下部擦伤，经简单处理后继续工作。</v>
      </c>
      <c r="E265" s="19" t="s">
        <v>1319</v>
      </c>
      <c r="F265" s="20" t="s">
        <v>42</v>
      </c>
      <c r="G265" s="21" t="s">
        <v>43</v>
      </c>
      <c r="H265" s="19" t="s">
        <v>44</v>
      </c>
      <c r="I265" s="19"/>
      <c r="J265" s="19" t="s">
        <v>64</v>
      </c>
      <c r="K265" s="19"/>
      <c r="L265" s="19"/>
      <c r="M265" s="19" t="s">
        <v>49</v>
      </c>
      <c r="N265" s="19" t="s">
        <v>1320</v>
      </c>
      <c r="O265" s="19" t="s">
        <v>49</v>
      </c>
      <c r="P265" s="19" t="s">
        <v>173</v>
      </c>
      <c r="Q265" s="19" t="s">
        <v>502</v>
      </c>
      <c r="R265" s="19" t="s">
        <v>1321</v>
      </c>
      <c r="S265" s="19" t="s">
        <v>1322</v>
      </c>
      <c r="T265" s="19" t="s">
        <v>53</v>
      </c>
      <c r="U265" s="19" t="s">
        <v>71</v>
      </c>
      <c r="V265" s="19" t="s">
        <v>105</v>
      </c>
      <c r="W265" s="19" t="s">
        <v>96</v>
      </c>
      <c r="X265" s="19" t="s">
        <v>57</v>
      </c>
      <c r="Y265" s="19"/>
      <c r="Z265" s="19" t="s">
        <v>1323</v>
      </c>
      <c r="AA265" s="19">
        <v>1</v>
      </c>
      <c r="AB265" s="19">
        <v>1</v>
      </c>
      <c r="AC265" s="19" t="s">
        <v>59</v>
      </c>
      <c r="AD265" s="19" t="s">
        <v>173</v>
      </c>
      <c r="AE265" s="19" t="s">
        <v>917</v>
      </c>
      <c r="AF265" s="19" t="s">
        <v>1324</v>
      </c>
    </row>
    <row r="266" spans="1:34">
      <c r="A266" s="19">
        <v>258</v>
      </c>
      <c r="B266" s="19" t="s">
        <v>182</v>
      </c>
      <c r="C266" s="19" t="s">
        <v>1325</v>
      </c>
      <c r="D266" s="19" t="str">
        <f>HYPERLINK("http://henontech.com/fieldsafety/harzard/harzard_show.php?rid=2287&amp;url=harzardrecs.php","地下室冷焦带减速机联轴器未加防护罩，一名员工给电机时，手臂抬落手套不甚卷入联轴器，造成手指骨折住院治疗十天后回家休养三个月，造成损工事故")</f>
        <v>地下室冷焦带减速机联轴器未加防护罩，一名员工给电机时，手臂抬落手套不甚卷入联轴器，造成手指骨折住院治疗十天后回家休养三个月，造成损工事故</v>
      </c>
      <c r="E266" s="19" t="s">
        <v>1326</v>
      </c>
      <c r="F266" s="20" t="s">
        <v>42</v>
      </c>
      <c r="G266" s="21" t="s">
        <v>43</v>
      </c>
      <c r="H266" s="19" t="s">
        <v>44</v>
      </c>
      <c r="I266" s="19" t="s">
        <v>205</v>
      </c>
      <c r="J266" s="19" t="s">
        <v>64</v>
      </c>
      <c r="K266" s="19" t="s">
        <v>46</v>
      </c>
      <c r="L266" s="19"/>
      <c r="M266" s="19" t="s">
        <v>49</v>
      </c>
      <c r="N266" s="19" t="s">
        <v>1327</v>
      </c>
      <c r="O266" s="19" t="s">
        <v>49</v>
      </c>
      <c r="P266" s="19" t="s">
        <v>1029</v>
      </c>
      <c r="Q266" s="19" t="s">
        <v>1042</v>
      </c>
      <c r="R266" s="19" t="s">
        <v>1328</v>
      </c>
      <c r="S266" s="19" t="s">
        <v>1329</v>
      </c>
      <c r="T266" s="19" t="s">
        <v>53</v>
      </c>
      <c r="U266" s="19" t="s">
        <v>54</v>
      </c>
      <c r="V266" s="19" t="s">
        <v>55</v>
      </c>
      <c r="W266" s="19" t="s">
        <v>56</v>
      </c>
      <c r="X266" s="19" t="s">
        <v>150</v>
      </c>
      <c r="Y266" s="19" t="s">
        <v>150</v>
      </c>
      <c r="Z266" s="19" t="s">
        <v>1330</v>
      </c>
      <c r="AA266" s="19">
        <v>1</v>
      </c>
      <c r="AB266" s="19">
        <v>1</v>
      </c>
      <c r="AC266" s="19" t="s">
        <v>59</v>
      </c>
      <c r="AD266" s="19" t="s">
        <v>1029</v>
      </c>
      <c r="AE266" s="19" t="s">
        <v>917</v>
      </c>
      <c r="AF266" s="19" t="s">
        <v>1331</v>
      </c>
    </row>
    <row r="267" spans="1:34">
      <c r="A267" s="19">
        <v>259</v>
      </c>
      <c r="B267" s="19" t="s">
        <v>182</v>
      </c>
      <c r="C267" s="19" t="s">
        <v>1313</v>
      </c>
      <c r="D267" s="19" t="str">
        <f>HYPERLINK("http://henontech.com/fieldsafety/harzard/harzard_show.php?rid=2288&amp;url=harzardrecs.php","由于循环水池补水管高50厘米，横跨走廊，补水管没有跨越阶梯，一巡检人员巡检跨越时，不慎绊倒，身体前倾，双手撑地，导致左手手腕扭伤，损工五天。")</f>
        <v>由于循环水池补水管高50厘米，横跨走廊，补水管没有跨越阶梯，一巡检人员巡检跨越时，不慎绊倒，身体前倾，双手撑地，导致左手手腕扭伤，损工五天。</v>
      </c>
      <c r="E267" s="19" t="s">
        <v>1332</v>
      </c>
      <c r="F267" s="20" t="s">
        <v>42</v>
      </c>
      <c r="G267" s="21" t="s">
        <v>43</v>
      </c>
      <c r="H267" s="19" t="s">
        <v>44</v>
      </c>
      <c r="I267" s="19" t="s">
        <v>78</v>
      </c>
      <c r="J267" s="19" t="s">
        <v>45</v>
      </c>
      <c r="K267" s="19" t="s">
        <v>466</v>
      </c>
      <c r="L267" s="19"/>
      <c r="M267" s="19" t="s">
        <v>49</v>
      </c>
      <c r="N267" s="19" t="s">
        <v>1333</v>
      </c>
      <c r="O267" s="19" t="s">
        <v>49</v>
      </c>
      <c r="P267" s="19" t="s">
        <v>460</v>
      </c>
      <c r="Q267" s="19" t="s">
        <v>502</v>
      </c>
      <c r="R267" s="19" t="s">
        <v>1334</v>
      </c>
      <c r="S267" s="19" t="s">
        <v>1335</v>
      </c>
      <c r="T267" s="19" t="s">
        <v>53</v>
      </c>
      <c r="U267" s="19" t="s">
        <v>54</v>
      </c>
      <c r="V267" s="19" t="s">
        <v>55</v>
      </c>
      <c r="W267" s="19" t="s">
        <v>56</v>
      </c>
      <c r="X267" s="19" t="s">
        <v>57</v>
      </c>
      <c r="Y267" s="19"/>
      <c r="Z267" s="19" t="s">
        <v>1336</v>
      </c>
      <c r="AA267" s="19">
        <v>1</v>
      </c>
      <c r="AB267" s="19">
        <v>1</v>
      </c>
      <c r="AC267" s="19" t="s">
        <v>59</v>
      </c>
      <c r="AD267" s="19" t="s">
        <v>460</v>
      </c>
      <c r="AE267" s="19" t="s">
        <v>1291</v>
      </c>
      <c r="AF267" s="19"/>
    </row>
    <row r="268" spans="1:34">
      <c r="A268" s="19">
        <v>260</v>
      </c>
      <c r="B268" s="19" t="s">
        <v>182</v>
      </c>
      <c r="C268" s="19" t="s">
        <v>178</v>
      </c>
      <c r="D268" s="19" t="str">
        <f>HYPERLINK("http://henontech.com/fieldsafety/harzard/harzard_show.php?rid=2289&amp;url=harzardrecs.php","汽机房西门南排水管管道松动，大风天气一人员巡检此处时排水管掉落砸至巡检人员右肩部，送医治疗诊断为右肩肩胛骨骨折，损工两个月")</f>
        <v>汽机房西门南排水管管道松动，大风天气一人员巡检此处时排水管掉落砸至巡检人员右肩部，送医治疗诊断为右肩肩胛骨骨折，损工两个月</v>
      </c>
      <c r="E268" s="19" t="s">
        <v>1337</v>
      </c>
      <c r="F268" s="20" t="s">
        <v>42</v>
      </c>
      <c r="G268" s="21" t="s">
        <v>43</v>
      </c>
      <c r="H268" s="19" t="s">
        <v>44</v>
      </c>
      <c r="I268" s="19" t="s">
        <v>78</v>
      </c>
      <c r="J268" s="19" t="s">
        <v>64</v>
      </c>
      <c r="K268" s="19"/>
      <c r="L268" s="19"/>
      <c r="M268" s="19" t="s">
        <v>49</v>
      </c>
      <c r="N268" s="19" t="s">
        <v>1338</v>
      </c>
      <c r="O268" s="19" t="s">
        <v>49</v>
      </c>
      <c r="P268" s="19" t="s">
        <v>460</v>
      </c>
      <c r="Q268" s="19" t="s">
        <v>1042</v>
      </c>
      <c r="R268" s="19" t="s">
        <v>1339</v>
      </c>
      <c r="S268" s="19" t="s">
        <v>1340</v>
      </c>
      <c r="T268" s="19" t="s">
        <v>53</v>
      </c>
      <c r="U268" s="19" t="s">
        <v>54</v>
      </c>
      <c r="V268" s="19" t="s">
        <v>105</v>
      </c>
      <c r="W268" s="19" t="s">
        <v>72</v>
      </c>
      <c r="X268" s="19" t="s">
        <v>57</v>
      </c>
      <c r="Y268" s="19"/>
      <c r="Z268" s="19" t="s">
        <v>1341</v>
      </c>
      <c r="AA268" s="19">
        <v>1</v>
      </c>
      <c r="AB268" s="19">
        <v>1</v>
      </c>
      <c r="AC268" s="19" t="s">
        <v>59</v>
      </c>
      <c r="AD268" s="19" t="s">
        <v>460</v>
      </c>
      <c r="AE268" s="19" t="s">
        <v>1342</v>
      </c>
      <c r="AF268" s="19"/>
    </row>
    <row r="269" spans="1:34">
      <c r="A269" s="19">
        <v>261</v>
      </c>
      <c r="B269" s="19" t="s">
        <v>182</v>
      </c>
      <c r="C269" s="19" t="s">
        <v>1325</v>
      </c>
      <c r="D269" s="19" t="str">
        <f>HYPERLINK("http://henontech.com/fieldsafety/harzard/harzard_show.php?rid=2291&amp;url=harzardrecs.php","一维修人员在进行气割作业时，因未佩戴防护眼镜或面罩，导致飞起的铁渣不慎溅落在其右眼里，造成眼睛灼伤，住院治疗三个月。")</f>
        <v>一维修人员在进行气割作业时，因未佩戴防护眼镜或面罩，导致飞起的铁渣不慎溅落在其右眼里，造成眼睛灼伤，住院治疗三个月。</v>
      </c>
      <c r="E269" s="19" t="s">
        <v>1343</v>
      </c>
      <c r="F269" s="20" t="s">
        <v>42</v>
      </c>
      <c r="G269" s="21" t="s">
        <v>43</v>
      </c>
      <c r="H269" s="19" t="s">
        <v>44</v>
      </c>
      <c r="I269" s="19" t="s">
        <v>205</v>
      </c>
      <c r="J269" s="19" t="s">
        <v>64</v>
      </c>
      <c r="K269" s="19"/>
      <c r="L269" s="19"/>
      <c r="M269" s="19" t="s">
        <v>49</v>
      </c>
      <c r="N269" s="19" t="s">
        <v>1344</v>
      </c>
      <c r="O269" s="19" t="s">
        <v>49</v>
      </c>
      <c r="P269" s="19" t="s">
        <v>173</v>
      </c>
      <c r="Q269" s="19" t="s">
        <v>1042</v>
      </c>
      <c r="R269" s="19" t="s">
        <v>1345</v>
      </c>
      <c r="S269" s="19" t="s">
        <v>1346</v>
      </c>
      <c r="T269" s="19" t="s">
        <v>53</v>
      </c>
      <c r="U269" s="19" t="s">
        <v>54</v>
      </c>
      <c r="V269" s="19" t="s">
        <v>95</v>
      </c>
      <c r="W269" s="19" t="s">
        <v>117</v>
      </c>
      <c r="X269" s="19" t="s">
        <v>359</v>
      </c>
      <c r="Y269" s="19"/>
      <c r="Z269" s="19" t="s">
        <v>1347</v>
      </c>
      <c r="AA269" s="19">
        <v>1</v>
      </c>
      <c r="AB269" s="19">
        <v>1</v>
      </c>
      <c r="AC269" s="19" t="s">
        <v>59</v>
      </c>
      <c r="AD269" s="19" t="s">
        <v>173</v>
      </c>
      <c r="AE269" s="19" t="s">
        <v>1212</v>
      </c>
      <c r="AF269" s="19" t="s">
        <v>1348</v>
      </c>
    </row>
    <row r="270" spans="1:34">
      <c r="A270" s="19">
        <v>262</v>
      </c>
      <c r="B270" s="19" t="s">
        <v>1264</v>
      </c>
      <c r="C270" s="19" t="s">
        <v>968</v>
      </c>
      <c r="D270" s="19" t="str">
        <f>HYPERLINK("http://henontech.com/fieldsafety/harzard/harzard_show.php?rid=2293&amp;url=harzardrecs.php","地沟盖板破碎，路过时不小心踩到，盖板塌陷，会掉入其中！一名操作工在巡检过程中，踩到破裂地沟盖板，盖板塌陷，把脚歪伤，在家休息一周后复工！")</f>
        <v>地沟盖板破碎，路过时不小心踩到，盖板塌陷，会掉入其中！一名操作工在巡检过程中，踩到破裂地沟盖板，盖板塌陷，把脚歪伤，在家休息一周后复工！</v>
      </c>
      <c r="E270" s="19" t="s">
        <v>1349</v>
      </c>
      <c r="F270" s="20" t="s">
        <v>42</v>
      </c>
      <c r="G270" s="21" t="s">
        <v>43</v>
      </c>
      <c r="H270" s="19" t="s">
        <v>44</v>
      </c>
      <c r="I270" s="19" t="s">
        <v>78</v>
      </c>
      <c r="J270" s="19" t="s">
        <v>64</v>
      </c>
      <c r="K270" s="19" t="s">
        <v>1350</v>
      </c>
      <c r="L270" s="19" t="s">
        <v>65</v>
      </c>
      <c r="M270" s="19" t="s">
        <v>146</v>
      </c>
      <c r="N270" s="19" t="s">
        <v>1351</v>
      </c>
      <c r="O270" s="19" t="s">
        <v>146</v>
      </c>
      <c r="P270" s="19" t="s">
        <v>767</v>
      </c>
      <c r="Q270" s="19" t="s">
        <v>1352</v>
      </c>
      <c r="R270" s="19" t="s">
        <v>1353</v>
      </c>
      <c r="S270" s="19"/>
      <c r="T270" s="19" t="s">
        <v>53</v>
      </c>
      <c r="U270" s="19" t="s">
        <v>71</v>
      </c>
      <c r="V270" s="19" t="s">
        <v>105</v>
      </c>
      <c r="W270" s="19" t="s">
        <v>96</v>
      </c>
      <c r="X270" s="19" t="s">
        <v>570</v>
      </c>
      <c r="Y270" s="19" t="s">
        <v>570</v>
      </c>
      <c r="Z270" s="19" t="s">
        <v>1354</v>
      </c>
      <c r="AA270" s="19">
        <v>1</v>
      </c>
      <c r="AB270" s="19">
        <v>1</v>
      </c>
      <c r="AC270" s="19" t="s">
        <v>59</v>
      </c>
      <c r="AD270" s="19" t="s">
        <v>767</v>
      </c>
      <c r="AE270" s="19" t="s">
        <v>334</v>
      </c>
      <c r="AF270" s="19"/>
    </row>
    <row r="271" spans="1:34">
      <c r="A271" s="19">
        <v>263</v>
      </c>
      <c r="B271" s="19" t="s">
        <v>237</v>
      </c>
      <c r="C271" s="19" t="s">
        <v>246</v>
      </c>
      <c r="D271" s="19" t="str">
        <f>HYPERLINK("http://henontech.com/fieldsafety/harzard/harzard_show.php?rid=2303&amp;url=harzardrecs.php","吸氨罐区氨水罐取样阀未按规定设置双截止阀，操作工取样后关闭截止阀失灵，造成氨水罐内20立方氨水流入围堰内，立刻关闭氨水罐进口阀用清水稀释清理2小时后，更换双截止阀后恢复生产。")</f>
        <v>吸氨罐区氨水罐取样阀未按规定设置双截止阀，操作工取样后关闭截止阀失灵，造成氨水罐内20立方氨水流入围堰内，立刻关闭氨水罐进口阀用清水稀释清理2小时后，更换双截止阀后恢复生产。</v>
      </c>
      <c r="E271" s="19" t="s">
        <v>1355</v>
      </c>
      <c r="F271" s="23" t="s">
        <v>227</v>
      </c>
      <c r="G271" s="21" t="s">
        <v>43</v>
      </c>
      <c r="H271" s="19" t="s">
        <v>44</v>
      </c>
      <c r="I271" s="19" t="s">
        <v>78</v>
      </c>
      <c r="J271" s="19" t="s">
        <v>64</v>
      </c>
      <c r="K271" s="19" t="s">
        <v>46</v>
      </c>
      <c r="L271" s="19" t="s">
        <v>65</v>
      </c>
      <c r="M271" s="19" t="s">
        <v>146</v>
      </c>
      <c r="N271" s="19" t="s">
        <v>1356</v>
      </c>
      <c r="O271" s="19"/>
      <c r="P271" s="19"/>
      <c r="Q271" s="19"/>
      <c r="R271" s="19" t="s">
        <v>1357</v>
      </c>
      <c r="S271" s="19" t="s">
        <v>1358</v>
      </c>
      <c r="T271" s="19" t="s">
        <v>392</v>
      </c>
      <c r="U271" s="19" t="s">
        <v>94</v>
      </c>
      <c r="V271" s="19" t="s">
        <v>55</v>
      </c>
      <c r="W271" s="19" t="s">
        <v>96</v>
      </c>
      <c r="X271" s="19"/>
      <c r="Y271" s="19"/>
      <c r="Z271" s="19"/>
      <c r="AA271" s="19">
        <v>0</v>
      </c>
      <c r="AB271" s="19"/>
      <c r="AC271" s="19" t="s">
        <v>233</v>
      </c>
      <c r="AD271" s="19"/>
      <c r="AE271" s="19"/>
      <c r="AF271" s="19"/>
    </row>
    <row r="272" spans="1:34">
      <c r="A272" s="19">
        <v>264</v>
      </c>
      <c r="B272" s="19" t="s">
        <v>255</v>
      </c>
      <c r="C272" s="19" t="s">
        <v>330</v>
      </c>
      <c r="D272" s="19" t="str">
        <f>HYPERLINK("http://henontech.com/fieldsafety/harzard/harzard_show.php?rid=2311&amp;url=harzardrecs.php","一职工冲刷磅体作业，因冬季气温较低，磅体表面瞬间结冰，作业人员移动过程中脚下打滑，后仰跌倒受伤，送医院检查尾骨骨折，住院治疗一个月，休息两个月。")</f>
        <v>一职工冲刷磅体作业，因冬季气温较低，磅体表面瞬间结冰，作业人员移动过程中脚下打滑，后仰跌倒受伤，送医院检查尾骨骨折，住院治疗一个月，休息两个月。</v>
      </c>
      <c r="E272" s="19" t="s">
        <v>1359</v>
      </c>
      <c r="F272" s="20" t="s">
        <v>42</v>
      </c>
      <c r="G272" s="22" t="s">
        <v>111</v>
      </c>
      <c r="H272" s="19" t="s">
        <v>44</v>
      </c>
      <c r="I272" s="19" t="s">
        <v>205</v>
      </c>
      <c r="J272" s="19" t="s">
        <v>87</v>
      </c>
      <c r="K272" s="19" t="s">
        <v>46</v>
      </c>
      <c r="L272" s="19" t="s">
        <v>65</v>
      </c>
      <c r="M272" s="19" t="s">
        <v>633</v>
      </c>
      <c r="N272" s="19" t="s">
        <v>1360</v>
      </c>
      <c r="O272" s="19" t="s">
        <v>633</v>
      </c>
      <c r="P272" s="19" t="s">
        <v>634</v>
      </c>
      <c r="Q272" s="19" t="s">
        <v>284</v>
      </c>
      <c r="R272" s="19" t="s">
        <v>1361</v>
      </c>
      <c r="S272" s="19"/>
      <c r="T272" s="19" t="s">
        <v>53</v>
      </c>
      <c r="U272" s="19" t="s">
        <v>54</v>
      </c>
      <c r="V272" s="19" t="s">
        <v>55</v>
      </c>
      <c r="W272" s="19" t="s">
        <v>56</v>
      </c>
      <c r="X272" s="19"/>
      <c r="Y272" s="19"/>
      <c r="Z272" s="19" t="s">
        <v>1362</v>
      </c>
      <c r="AA272" s="19">
        <v>1</v>
      </c>
      <c r="AB272" s="19">
        <v>1</v>
      </c>
      <c r="AC272" s="19" t="s">
        <v>59</v>
      </c>
      <c r="AD272" s="19" t="s">
        <v>634</v>
      </c>
      <c r="AE272" s="19" t="s">
        <v>284</v>
      </c>
      <c r="AF272" s="19"/>
    </row>
    <row r="273" spans="1:34">
      <c r="A273" s="19">
        <v>265</v>
      </c>
      <c r="B273" s="19" t="s">
        <v>214</v>
      </c>
      <c r="C273" s="19" t="s">
        <v>1363</v>
      </c>
      <c r="D273" s="19" t="str">
        <f>HYPERLINK("http://henontech.com/fieldsafety/harzard/harzard_show.php?rid=2312&amp;url=harzardrecs.php","一名岗位操作人员在巡检设备时，发现托辊停止转动，用手将其转动，导致右手挤伤，送医院检查，右臂手部骨折，住院15天，休养2个月。")</f>
        <v>一名岗位操作人员在巡检设备时，发现托辊停止转动，用手将其转动，导致右手挤伤，送医院检查，右臂手部骨折，住院15天，休养2个月。</v>
      </c>
      <c r="E273" s="19" t="s">
        <v>1364</v>
      </c>
      <c r="F273" s="20" t="s">
        <v>42</v>
      </c>
      <c r="G273" s="22" t="s">
        <v>111</v>
      </c>
      <c r="H273" s="19" t="s">
        <v>44</v>
      </c>
      <c r="I273" s="19" t="s">
        <v>205</v>
      </c>
      <c r="J273" s="19" t="s">
        <v>64</v>
      </c>
      <c r="K273" s="19" t="s">
        <v>88</v>
      </c>
      <c r="L273" s="19"/>
      <c r="M273" s="19" t="s">
        <v>633</v>
      </c>
      <c r="N273" s="19" t="s">
        <v>1365</v>
      </c>
      <c r="O273" s="19" t="s">
        <v>633</v>
      </c>
      <c r="P273" s="19" t="s">
        <v>634</v>
      </c>
      <c r="Q273" s="19" t="s">
        <v>313</v>
      </c>
      <c r="R273" s="19" t="s">
        <v>1366</v>
      </c>
      <c r="S273" s="19" t="s">
        <v>1367</v>
      </c>
      <c r="T273" s="19" t="s">
        <v>53</v>
      </c>
      <c r="U273" s="19" t="s">
        <v>54</v>
      </c>
      <c r="V273" s="19" t="s">
        <v>55</v>
      </c>
      <c r="W273" s="19" t="s">
        <v>56</v>
      </c>
      <c r="X273" s="19"/>
      <c r="Y273" s="19"/>
      <c r="Z273" s="19" t="s">
        <v>1368</v>
      </c>
      <c r="AA273" s="19">
        <v>1</v>
      </c>
      <c r="AB273" s="19">
        <v>1</v>
      </c>
      <c r="AC273" s="19" t="s">
        <v>59</v>
      </c>
      <c r="AD273" s="19" t="s">
        <v>634</v>
      </c>
      <c r="AE273" s="19" t="s">
        <v>313</v>
      </c>
      <c r="AF273" s="19"/>
    </row>
    <row r="274" spans="1:34">
      <c r="A274" s="19">
        <v>266</v>
      </c>
      <c r="B274" s="19" t="s">
        <v>214</v>
      </c>
      <c r="C274" s="19" t="s">
        <v>631</v>
      </c>
      <c r="D274" s="19" t="str">
        <f>HYPERLINK("http://henontech.com/fieldsafety/harzard/harzard_show.php?rid=2314&amp;url=harzardrecs.php","由于水沟盖板缺失，操作人员经过时，不慎掉入水沟内，造成左腿受伤。送往医院检查经确诊为左腿肌肉擦伤，住院两天，在家休养五天后复工")</f>
        <v>由于水沟盖板缺失，操作人员经过时，不慎掉入水沟内，造成左腿受伤。送往医院检查经确诊为左腿肌肉擦伤，住院两天，在家休养五天后复工</v>
      </c>
      <c r="E274" s="19" t="s">
        <v>1369</v>
      </c>
      <c r="F274" s="20" t="s">
        <v>42</v>
      </c>
      <c r="G274" s="22" t="s">
        <v>111</v>
      </c>
      <c r="H274" s="19" t="s">
        <v>44</v>
      </c>
      <c r="I274" s="19" t="s">
        <v>78</v>
      </c>
      <c r="J274" s="19" t="s">
        <v>64</v>
      </c>
      <c r="K274" s="19" t="s">
        <v>46</v>
      </c>
      <c r="L274" s="19" t="s">
        <v>65</v>
      </c>
      <c r="M274" s="19" t="s">
        <v>633</v>
      </c>
      <c r="N274" s="19" t="s">
        <v>1370</v>
      </c>
      <c r="O274" s="19" t="s">
        <v>633</v>
      </c>
      <c r="P274" s="19" t="s">
        <v>634</v>
      </c>
      <c r="Q274" s="19" t="s">
        <v>305</v>
      </c>
      <c r="R274" s="19" t="s">
        <v>1371</v>
      </c>
      <c r="S274" s="19"/>
      <c r="T274" s="19" t="s">
        <v>53</v>
      </c>
      <c r="U274" s="19" t="s">
        <v>71</v>
      </c>
      <c r="V274" s="19" t="s">
        <v>55</v>
      </c>
      <c r="W274" s="19" t="s">
        <v>72</v>
      </c>
      <c r="X274" s="19"/>
      <c r="Y274" s="19"/>
      <c r="Z274" s="19" t="s">
        <v>1372</v>
      </c>
      <c r="AA274" s="19">
        <v>1</v>
      </c>
      <c r="AB274" s="19">
        <v>1</v>
      </c>
      <c r="AC274" s="19" t="s">
        <v>59</v>
      </c>
      <c r="AD274" s="19" t="s">
        <v>634</v>
      </c>
      <c r="AE274" s="19" t="s">
        <v>305</v>
      </c>
      <c r="AF274" s="19"/>
    </row>
    <row r="275" spans="1:34">
      <c r="A275" s="19">
        <v>267</v>
      </c>
      <c r="B275" s="19" t="s">
        <v>214</v>
      </c>
      <c r="C275" s="19" t="s">
        <v>1373</v>
      </c>
      <c r="D275" s="19" t="str">
        <f>HYPERLINK("http://henontech.com/fieldsafety/harzard/harzard_show.php?rid=2315&amp;url=harzardrecs.php","深度处理加药间还原剂变频器故障，深度处理工段不能正常启动，生化因长时间停车液位上涨，导致污水外溢，对周边环境造成轻度污染，车间通报批评。")</f>
        <v>深度处理加药间还原剂变频器故障，深度处理工段不能正常启动，生化因长时间停车液位上涨，导致污水外溢，对周边环境造成轻度污染，车间通报批评。</v>
      </c>
      <c r="E275" s="19" t="s">
        <v>1374</v>
      </c>
      <c r="F275" s="20" t="s">
        <v>42</v>
      </c>
      <c r="G275" s="21" t="s">
        <v>43</v>
      </c>
      <c r="H275" s="19" t="s">
        <v>44</v>
      </c>
      <c r="I275" s="19"/>
      <c r="J275" s="19" t="s">
        <v>64</v>
      </c>
      <c r="K275" s="19"/>
      <c r="L275" s="19"/>
      <c r="M275" s="19" t="s">
        <v>89</v>
      </c>
      <c r="N275" s="19" t="s">
        <v>1375</v>
      </c>
      <c r="O275" s="19" t="s">
        <v>89</v>
      </c>
      <c r="P275" s="19" t="s">
        <v>91</v>
      </c>
      <c r="Q275" s="19" t="s">
        <v>1171</v>
      </c>
      <c r="R275" s="19" t="s">
        <v>191</v>
      </c>
      <c r="S275" s="19"/>
      <c r="T275" s="19" t="s">
        <v>392</v>
      </c>
      <c r="U275" s="19" t="s">
        <v>94</v>
      </c>
      <c r="V275" s="19" t="s">
        <v>95</v>
      </c>
      <c r="W275" s="19" t="s">
        <v>96</v>
      </c>
      <c r="X275" s="19" t="s">
        <v>57</v>
      </c>
      <c r="Y275" s="19" t="s">
        <v>57</v>
      </c>
      <c r="Z275" s="19" t="s">
        <v>1376</v>
      </c>
      <c r="AA275" s="19">
        <v>1</v>
      </c>
      <c r="AB275" s="19">
        <v>1</v>
      </c>
      <c r="AC275" s="19" t="s">
        <v>59</v>
      </c>
      <c r="AD275" s="19" t="s">
        <v>91</v>
      </c>
      <c r="AE275" s="19" t="s">
        <v>1174</v>
      </c>
      <c r="AF275" s="19"/>
    </row>
    <row r="276" spans="1:34">
      <c r="A276" s="19">
        <v>268</v>
      </c>
      <c r="B276" s="19" t="s">
        <v>255</v>
      </c>
      <c r="C276" s="19" t="s">
        <v>1377</v>
      </c>
      <c r="D276" s="19" t="str">
        <f>HYPERLINK("http://henontech.com/fieldsafety/harzard/harzard_show.php?rid=2316&amp;url=harzardrecs.php","焦油罐蒸汽输水管道垫子破损造成蒸汽外漏，如果操作工在夜班期间在操作时不慎被蒸汽烫到，立即送到医务室进行处理，经处理后不影响工作")</f>
        <v>焦油罐蒸汽输水管道垫子破损造成蒸汽外漏，如果操作工在夜班期间在操作时不慎被蒸汽烫到，立即送到医务室进行处理，经处理后不影响工作</v>
      </c>
      <c r="E276" s="19" t="s">
        <v>1378</v>
      </c>
      <c r="F276" s="20" t="s">
        <v>42</v>
      </c>
      <c r="G276" s="21" t="s">
        <v>43</v>
      </c>
      <c r="H276" s="19" t="s">
        <v>44</v>
      </c>
      <c r="I276" s="19" t="s">
        <v>78</v>
      </c>
      <c r="J276" s="19" t="s">
        <v>64</v>
      </c>
      <c r="K276" s="19" t="s">
        <v>46</v>
      </c>
      <c r="L276" s="19" t="s">
        <v>65</v>
      </c>
      <c r="M276" s="19" t="s">
        <v>66</v>
      </c>
      <c r="N276" s="19" t="s">
        <v>1379</v>
      </c>
      <c r="O276" s="19" t="s">
        <v>66</v>
      </c>
      <c r="P276" s="19" t="s">
        <v>68</v>
      </c>
      <c r="Q276" s="19" t="s">
        <v>1380</v>
      </c>
      <c r="R276" s="19" t="s">
        <v>1381</v>
      </c>
      <c r="S276" s="19"/>
      <c r="T276" s="19" t="s">
        <v>53</v>
      </c>
      <c r="U276" s="19" t="s">
        <v>71</v>
      </c>
      <c r="V276" s="19" t="s">
        <v>105</v>
      </c>
      <c r="W276" s="19" t="s">
        <v>96</v>
      </c>
      <c r="X276" s="19"/>
      <c r="Y276" s="19"/>
      <c r="Z276" s="19" t="s">
        <v>607</v>
      </c>
      <c r="AA276" s="19">
        <v>1</v>
      </c>
      <c r="AB276" s="19">
        <v>1</v>
      </c>
      <c r="AC276" s="19" t="s">
        <v>59</v>
      </c>
      <c r="AD276" s="19" t="s">
        <v>68</v>
      </c>
      <c r="AE276" s="19" t="s">
        <v>517</v>
      </c>
      <c r="AF276" s="19"/>
    </row>
    <row r="277" spans="1:34">
      <c r="A277" s="19">
        <v>269</v>
      </c>
      <c r="B277" s="19" t="s">
        <v>255</v>
      </c>
      <c r="C277" s="19" t="s">
        <v>256</v>
      </c>
      <c r="D277" s="19" t="str">
        <f>HYPERLINK("http://henontech.com/fieldsafety/harzard/harzard_show.php?rid=2317&amp;url=harzardrecs.php","西硫铵泡沫槽支架腐蚀严重，一名操作工在上平台时，槽体倾斜不慎坠落，造成小腿骨折，住院治疗半月，回家休息三月后正常工作。")</f>
        <v>西硫铵泡沫槽支架腐蚀严重，一名操作工在上平台时，槽体倾斜不慎坠落，造成小腿骨折，住院治疗半月，回家休息三月后正常工作。</v>
      </c>
      <c r="E277" s="19" t="s">
        <v>1382</v>
      </c>
      <c r="F277" s="20" t="s">
        <v>42</v>
      </c>
      <c r="G277" s="21" t="s">
        <v>43</v>
      </c>
      <c r="H277" s="19" t="s">
        <v>44</v>
      </c>
      <c r="I277" s="19" t="s">
        <v>129</v>
      </c>
      <c r="J277" s="19" t="s">
        <v>64</v>
      </c>
      <c r="K277" s="19" t="s">
        <v>46</v>
      </c>
      <c r="L277" s="19" t="s">
        <v>65</v>
      </c>
      <c r="M277" s="19" t="s">
        <v>66</v>
      </c>
      <c r="N277" s="19" t="s">
        <v>416</v>
      </c>
      <c r="O277" s="19" t="s">
        <v>66</v>
      </c>
      <c r="P277" s="19" t="s">
        <v>68</v>
      </c>
      <c r="Q277" s="19" t="s">
        <v>1380</v>
      </c>
      <c r="R277" s="19" t="s">
        <v>726</v>
      </c>
      <c r="S277" s="19"/>
      <c r="T277" s="19" t="s">
        <v>53</v>
      </c>
      <c r="U277" s="19" t="s">
        <v>54</v>
      </c>
      <c r="V277" s="19" t="s">
        <v>55</v>
      </c>
      <c r="W277" s="19" t="s">
        <v>56</v>
      </c>
      <c r="X277" s="19"/>
      <c r="Y277" s="19"/>
      <c r="Z277" s="19" t="s">
        <v>1383</v>
      </c>
      <c r="AA277" s="19">
        <v>1</v>
      </c>
      <c r="AB277" s="19">
        <v>1</v>
      </c>
      <c r="AC277" s="19" t="s">
        <v>59</v>
      </c>
      <c r="AD277" s="19" t="s">
        <v>68</v>
      </c>
      <c r="AE277" s="19" t="s">
        <v>305</v>
      </c>
      <c r="AF277" s="19"/>
    </row>
    <row r="278" spans="1:34">
      <c r="A278" s="19">
        <v>270</v>
      </c>
      <c r="B278" s="19" t="s">
        <v>255</v>
      </c>
      <c r="C278" s="19" t="s">
        <v>1363</v>
      </c>
      <c r="D278" s="19" t="str">
        <f>HYPERLINK("http://henontech.com/fieldsafety/harzard/harzard_show.php?rid=2318&amp;url=harzardrecs.php","一操作工在煤九通廊下部擦玻璃时，由于彩钢包边腐蚀严重，突然脱落，砸中正在下方作业的操作工，班组立即组织人员送医救治，经医诊断，确诊为脸部肌肉划伤，缝合三针，住院治疗七天，休养五天后复工")</f>
        <v>一操作工在煤九通廊下部擦玻璃时，由于彩钢包边腐蚀严重，突然脱落，砸中正在下方作业的操作工，班组立即组织人员送医救治，经医诊断，确诊为脸部肌肉划伤，缝合三针，住院治疗七天，休养五天后复工</v>
      </c>
      <c r="E278" s="19" t="s">
        <v>1384</v>
      </c>
      <c r="F278" s="20" t="s">
        <v>42</v>
      </c>
      <c r="G278" s="22" t="s">
        <v>111</v>
      </c>
      <c r="H278" s="19" t="s">
        <v>44</v>
      </c>
      <c r="I278" s="19" t="s">
        <v>78</v>
      </c>
      <c r="J278" s="19" t="s">
        <v>45</v>
      </c>
      <c r="K278" s="19" t="s">
        <v>46</v>
      </c>
      <c r="L278" s="19" t="s">
        <v>65</v>
      </c>
      <c r="M278" s="19" t="s">
        <v>633</v>
      </c>
      <c r="N278" s="19" t="s">
        <v>1385</v>
      </c>
      <c r="O278" s="19" t="s">
        <v>633</v>
      </c>
      <c r="P278" s="19" t="s">
        <v>634</v>
      </c>
      <c r="Q278" s="19" t="s">
        <v>284</v>
      </c>
      <c r="R278" s="19" t="s">
        <v>1386</v>
      </c>
      <c r="S278" s="19"/>
      <c r="T278" s="19" t="s">
        <v>53</v>
      </c>
      <c r="U278" s="19" t="s">
        <v>71</v>
      </c>
      <c r="V278" s="19" t="s">
        <v>55</v>
      </c>
      <c r="W278" s="19" t="s">
        <v>72</v>
      </c>
      <c r="X278" s="19"/>
      <c r="Y278" s="19"/>
      <c r="Z278" s="19" t="s">
        <v>1387</v>
      </c>
      <c r="AA278" s="19">
        <v>1</v>
      </c>
      <c r="AB278" s="19">
        <v>1</v>
      </c>
      <c r="AC278" s="19" t="s">
        <v>59</v>
      </c>
      <c r="AD278" s="19" t="s">
        <v>634</v>
      </c>
      <c r="AE278" s="19" t="s">
        <v>284</v>
      </c>
      <c r="AF278" s="19"/>
    </row>
    <row r="279" spans="1:34">
      <c r="A279" s="19">
        <v>271</v>
      </c>
      <c r="B279" s="19" t="s">
        <v>255</v>
      </c>
      <c r="C279" s="19" t="s">
        <v>941</v>
      </c>
      <c r="D279" s="19" t="str">
        <f>HYPERLINK("http://henontech.com/fieldsafety/harzard/harzard_show.php?rid=2330&amp;url=harzardrecs.php","蒸汽过热器法兰螺丝松动蒸汽泄露，一名巡检工到附近巡检被蒸汽烫伤手部")</f>
        <v>蒸汽过热器法兰螺丝松动蒸汽泄露，一名巡检工到附近巡检被蒸汽烫伤手部</v>
      </c>
      <c r="E279" s="19" t="s">
        <v>1388</v>
      </c>
      <c r="F279" s="20" t="s">
        <v>42</v>
      </c>
      <c r="G279" s="21" t="s">
        <v>43</v>
      </c>
      <c r="H279" s="19" t="s">
        <v>44</v>
      </c>
      <c r="I279" s="19" t="s">
        <v>129</v>
      </c>
      <c r="J279" s="19" t="s">
        <v>64</v>
      </c>
      <c r="K279" s="19" t="s">
        <v>79</v>
      </c>
      <c r="L279" s="19"/>
      <c r="M279" s="19" t="s">
        <v>146</v>
      </c>
      <c r="N279" s="19" t="s">
        <v>272</v>
      </c>
      <c r="O279" s="19" t="s">
        <v>146</v>
      </c>
      <c r="P279" s="19" t="s">
        <v>148</v>
      </c>
      <c r="Q279" s="19" t="s">
        <v>1389</v>
      </c>
      <c r="R279" s="19" t="s">
        <v>1390</v>
      </c>
      <c r="S279" s="19"/>
      <c r="T279" s="19" t="s">
        <v>53</v>
      </c>
      <c r="U279" s="19" t="s">
        <v>71</v>
      </c>
      <c r="V279" s="19" t="s">
        <v>55</v>
      </c>
      <c r="W279" s="19" t="s">
        <v>72</v>
      </c>
      <c r="X279" s="19" t="s">
        <v>267</v>
      </c>
      <c r="Y279" s="19" t="s">
        <v>159</v>
      </c>
      <c r="Z279" s="19" t="s">
        <v>1391</v>
      </c>
      <c r="AA279" s="19">
        <v>1</v>
      </c>
      <c r="AB279" s="19">
        <v>1</v>
      </c>
      <c r="AC279" s="19" t="s">
        <v>59</v>
      </c>
      <c r="AD279" s="19" t="s">
        <v>148</v>
      </c>
      <c r="AE279" s="19" t="s">
        <v>917</v>
      </c>
      <c r="AF279" s="19" t="s">
        <v>1392</v>
      </c>
    </row>
    <row r="280" spans="1:34" customHeight="1" ht="42">
      <c r="A280" s="19">
        <v>272</v>
      </c>
      <c r="B280" s="19" t="s">
        <v>1393</v>
      </c>
      <c r="C280" s="19" t="s">
        <v>1394</v>
      </c>
      <c r="D280" s="19" t="str">
        <f>HYPERLINK("http://henontech.com/fieldsafety/harzard/harzard_show.php?rid=3155&amp;url=harzardrecs.php","除尘设备吊装过程中，未设隔离区且无人监护，一人路过吊装设备底部，设备脱钩坠落，砸中头部")</f>
        <v>除尘设备吊装过程中，未设隔离区且无人监护，一人路过吊装设备底部，设备脱钩坠落，砸中头部</v>
      </c>
      <c r="E280" s="19" t="s">
        <v>807</v>
      </c>
      <c r="F280" s="20" t="s">
        <v>42</v>
      </c>
      <c r="G280" s="22" t="s">
        <v>111</v>
      </c>
      <c r="H280" s="19" t="s">
        <v>44</v>
      </c>
      <c r="I280" s="19" t="s">
        <v>129</v>
      </c>
      <c r="J280" s="19" t="s">
        <v>64</v>
      </c>
      <c r="K280" s="19" t="s">
        <v>79</v>
      </c>
      <c r="L280" s="19" t="s">
        <v>65</v>
      </c>
      <c r="M280" s="19" t="s">
        <v>49</v>
      </c>
      <c r="N280" s="19" t="s">
        <v>1395</v>
      </c>
      <c r="O280" s="19" t="s">
        <v>49</v>
      </c>
      <c r="P280" s="19" t="s">
        <v>804</v>
      </c>
      <c r="Q280" s="19" t="s">
        <v>1396</v>
      </c>
      <c r="R280" s="19" t="s">
        <v>1397</v>
      </c>
      <c r="S280" s="19"/>
      <c r="T280" s="19" t="s">
        <v>53</v>
      </c>
      <c r="U280" s="19" t="s">
        <v>116</v>
      </c>
      <c r="V280" s="19" t="s">
        <v>55</v>
      </c>
      <c r="W280" s="19" t="s">
        <v>117</v>
      </c>
      <c r="X280" s="19" t="s">
        <v>150</v>
      </c>
      <c r="Y280" s="19"/>
      <c r="Z280" s="19" t="s">
        <v>1398</v>
      </c>
      <c r="AA280" s="19">
        <v>2</v>
      </c>
      <c r="AB280" s="19">
        <v>2</v>
      </c>
      <c r="AC280" s="19" t="s">
        <v>59</v>
      </c>
      <c r="AD280" s="19" t="s">
        <v>804</v>
      </c>
      <c r="AE280" s="19" t="s">
        <v>1399</v>
      </c>
      <c r="AF280" s="19"/>
    </row>
    <row r="281" spans="1:34" customHeight="1" ht="42">
      <c r="A281" s="19">
        <v>273</v>
      </c>
      <c r="B281" s="19" t="s">
        <v>1400</v>
      </c>
      <c r="C281" s="19" t="s">
        <v>49</v>
      </c>
      <c r="D281" s="19" t="str">
        <f>HYPERLINK("http://henontech.com/fieldsafety/harzard/harzard_show.php?rid=3267&amp;url=harzardrecs.php","一名职工在机侧通廊巡检时，不慎被顶部脱落的水泥块砸重又臂，造成前小臂骨折，住院治疗15天，休养2个月。")</f>
        <v>一名职工在机侧通廊巡检时，不慎被顶部脱落的水泥块砸重又臂，造成前小臂骨折，住院治疗15天，休养2个月。</v>
      </c>
      <c r="E281" s="19" t="s">
        <v>1401</v>
      </c>
      <c r="F281" s="20" t="s">
        <v>42</v>
      </c>
      <c r="G281" s="21" t="s">
        <v>43</v>
      </c>
      <c r="H281" s="19" t="s">
        <v>44</v>
      </c>
      <c r="I281" s="19" t="s">
        <v>205</v>
      </c>
      <c r="J281" s="19" t="s">
        <v>64</v>
      </c>
      <c r="K281" s="19" t="s">
        <v>79</v>
      </c>
      <c r="L281" s="19" t="s">
        <v>65</v>
      </c>
      <c r="M281" s="19" t="s">
        <v>49</v>
      </c>
      <c r="N281" s="19" t="s">
        <v>700</v>
      </c>
      <c r="O281" s="19" t="s">
        <v>49</v>
      </c>
      <c r="P281" s="19" t="s">
        <v>499</v>
      </c>
      <c r="Q281" s="19" t="s">
        <v>1402</v>
      </c>
      <c r="R281" s="19" t="s">
        <v>1403</v>
      </c>
      <c r="S281" s="19"/>
      <c r="T281" s="19" t="s">
        <v>53</v>
      </c>
      <c r="U281" s="19" t="s">
        <v>54</v>
      </c>
      <c r="V281" s="19" t="s">
        <v>55</v>
      </c>
      <c r="W281" s="19" t="s">
        <v>56</v>
      </c>
      <c r="X281" s="19" t="s">
        <v>150</v>
      </c>
      <c r="Y281" s="19"/>
      <c r="Z281" s="19" t="s">
        <v>1404</v>
      </c>
      <c r="AA281" s="19">
        <v>2</v>
      </c>
      <c r="AB281" s="19">
        <v>0</v>
      </c>
      <c r="AC281" s="19" t="s">
        <v>59</v>
      </c>
      <c r="AD281" s="19" t="s">
        <v>499</v>
      </c>
      <c r="AE281" s="19" t="s">
        <v>1405</v>
      </c>
      <c r="AF281" s="19" t="s">
        <v>1406</v>
      </c>
    </row>
    <row r="282" spans="1:34" customHeight="1" ht="42">
      <c r="A282" s="19">
        <v>274</v>
      </c>
      <c r="B282" s="19" t="s">
        <v>1407</v>
      </c>
      <c r="C282" s="19" t="s">
        <v>1408</v>
      </c>
      <c r="D282" s="19" t="str">
        <f>HYPERLINK("http://henontech.com/fieldsafety/harzard/harzard_show.php?rid=3431&amp;url=harzardrecs.php","老化水工业水泵接触器连接线接点发热")</f>
        <v>老化水工业水泵接触器连接线接点发热</v>
      </c>
      <c r="E282" s="19" t="s">
        <v>1409</v>
      </c>
      <c r="F282" s="20" t="s">
        <v>42</v>
      </c>
      <c r="G282" s="21" t="s">
        <v>43</v>
      </c>
      <c r="H282" s="19" t="s">
        <v>44</v>
      </c>
      <c r="I282" s="19"/>
      <c r="J282" s="19"/>
      <c r="K282" s="19"/>
      <c r="L282" s="19" t="s">
        <v>65</v>
      </c>
      <c r="M282" s="19" t="s">
        <v>229</v>
      </c>
      <c r="N282" s="19" t="s">
        <v>1410</v>
      </c>
      <c r="O282" s="19" t="s">
        <v>229</v>
      </c>
      <c r="P282" s="19" t="s">
        <v>1410</v>
      </c>
      <c r="Q282" s="19" t="s">
        <v>1411</v>
      </c>
      <c r="R282" s="19" t="s">
        <v>1412</v>
      </c>
      <c r="S282" s="19"/>
      <c r="T282" s="19" t="s">
        <v>104</v>
      </c>
      <c r="U282" s="19" t="s">
        <v>94</v>
      </c>
      <c r="V282" s="19" t="s">
        <v>105</v>
      </c>
      <c r="W282" s="19" t="s">
        <v>96</v>
      </c>
      <c r="X282" s="19" t="s">
        <v>57</v>
      </c>
      <c r="Y282" s="19"/>
      <c r="Z282" s="19" t="s">
        <v>1413</v>
      </c>
      <c r="AA282" s="19">
        <v>2</v>
      </c>
      <c r="AB282" s="19">
        <v>1</v>
      </c>
      <c r="AC282" s="19" t="s">
        <v>59</v>
      </c>
      <c r="AD282" s="19" t="s">
        <v>1410</v>
      </c>
      <c r="AE282" s="19" t="s">
        <v>1414</v>
      </c>
      <c r="AF282" s="19" t="s">
        <v>1415</v>
      </c>
    </row>
    <row r="283" spans="1:34" customHeight="1" ht="42">
      <c r="A283" s="19">
        <v>275</v>
      </c>
      <c r="B283" s="19" t="s">
        <v>1416</v>
      </c>
      <c r="C283" s="19" t="s">
        <v>1236</v>
      </c>
      <c r="D283" s="19" t="str">
        <f>HYPERLINK("http://henontech.com/fieldsafety/harzard/harzard_show.php?rid=3641&amp;url=harzardrecs.php","干熄车接焦操作时，若掉出的红焦从缺少防护网处，掉入通廊内恰巧掉到在此清扫卫生的一名职工脖子上，送医院治疗一天休养七天。")</f>
        <v>干熄车接焦操作时，若掉出的红焦从缺少防护网处，掉入通廊内恰巧掉到在此清扫卫生的一名职工脖子上，送医院治疗一天休养七天。</v>
      </c>
      <c r="E283" s="19" t="s">
        <v>1417</v>
      </c>
      <c r="F283" s="20" t="s">
        <v>42</v>
      </c>
      <c r="G283" s="21" t="s">
        <v>43</v>
      </c>
      <c r="H283" s="19" t="s">
        <v>44</v>
      </c>
      <c r="I283" s="19"/>
      <c r="J283" s="19" t="s">
        <v>64</v>
      </c>
      <c r="K283" s="19"/>
      <c r="L283" s="19"/>
      <c r="M283" s="19" t="s">
        <v>49</v>
      </c>
      <c r="N283" s="19" t="s">
        <v>1418</v>
      </c>
      <c r="O283" s="19" t="s">
        <v>49</v>
      </c>
      <c r="P283" s="19" t="s">
        <v>499</v>
      </c>
      <c r="Q283" s="19" t="s">
        <v>1419</v>
      </c>
      <c r="R283" s="19" t="s">
        <v>1420</v>
      </c>
      <c r="S283" s="19"/>
      <c r="T283" s="19" t="s">
        <v>53</v>
      </c>
      <c r="U283" s="19" t="s">
        <v>54</v>
      </c>
      <c r="V283" s="19" t="s">
        <v>55</v>
      </c>
      <c r="W283" s="19" t="s">
        <v>56</v>
      </c>
      <c r="X283" s="19" t="s">
        <v>150</v>
      </c>
      <c r="Y283" s="19"/>
      <c r="Z283" s="19" t="s">
        <v>1421</v>
      </c>
      <c r="AA283" s="19">
        <v>2</v>
      </c>
      <c r="AB283" s="19">
        <v>2</v>
      </c>
      <c r="AC283" s="19" t="s">
        <v>59</v>
      </c>
      <c r="AD283" s="19" t="s">
        <v>499</v>
      </c>
      <c r="AE283" s="19" t="s">
        <v>1405</v>
      </c>
      <c r="AF283" s="19" t="s">
        <v>1422</v>
      </c>
    </row>
    <row r="284" spans="1:34" customHeight="1" ht="42">
      <c r="A284" s="19">
        <v>276</v>
      </c>
      <c r="B284" s="19" t="s">
        <v>1423</v>
      </c>
      <c r="C284" s="19" t="s">
        <v>1424</v>
      </c>
      <c r="D284" s="19" t="str">
        <f>HYPERLINK("http://henontech.com/fieldsafety/harzard/harzard_show.php?rid=4190&amp;url=harzardrecs.php","一名巡检工巡检至2#循环水泵处时由于地面电缆散落，导致巡检工绊倒，致使左手手面挫伤，简单处理包扎后，继续工作。。")</f>
        <v>一名巡检工巡检至2#循环水泵处时由于地面电缆散落，导致巡检工绊倒，致使左手手面挫伤，简单处理包扎后，继续工作。。</v>
      </c>
      <c r="E284" s="19" t="s">
        <v>1425</v>
      </c>
      <c r="F284" s="20" t="s">
        <v>42</v>
      </c>
      <c r="G284" s="21" t="s">
        <v>43</v>
      </c>
      <c r="H284" s="19" t="s">
        <v>44</v>
      </c>
      <c r="I284" s="19"/>
      <c r="J284" s="19" t="s">
        <v>64</v>
      </c>
      <c r="K284" s="19" t="s">
        <v>46</v>
      </c>
      <c r="L284" s="19" t="s">
        <v>65</v>
      </c>
      <c r="M284" s="19" t="s">
        <v>229</v>
      </c>
      <c r="N284" s="19" t="s">
        <v>1426</v>
      </c>
      <c r="O284" s="19" t="s">
        <v>229</v>
      </c>
      <c r="P284" s="19" t="s">
        <v>1410</v>
      </c>
      <c r="Q284" s="19" t="s">
        <v>1411</v>
      </c>
      <c r="R284" s="19" t="s">
        <v>1427</v>
      </c>
      <c r="S284" s="19"/>
      <c r="T284" s="19" t="s">
        <v>53</v>
      </c>
      <c r="U284" s="19" t="s">
        <v>94</v>
      </c>
      <c r="V284" s="19" t="s">
        <v>55</v>
      </c>
      <c r="W284" s="19" t="s">
        <v>96</v>
      </c>
      <c r="X284" s="19" t="s">
        <v>57</v>
      </c>
      <c r="Y284" s="19"/>
      <c r="Z284" s="19" t="s">
        <v>1428</v>
      </c>
      <c r="AA284" s="19">
        <v>2</v>
      </c>
      <c r="AB284" s="19">
        <v>2</v>
      </c>
      <c r="AC284" s="19" t="s">
        <v>59</v>
      </c>
      <c r="AD284" s="19" t="s">
        <v>1410</v>
      </c>
      <c r="AE284" s="19" t="s">
        <v>1414</v>
      </c>
      <c r="AF284" s="19" t="s">
        <v>1429</v>
      </c>
    </row>
    <row r="285" spans="1:34" customHeight="1" ht="42">
      <c r="A285" s="19">
        <v>277</v>
      </c>
      <c r="B285" s="19" t="s">
        <v>1430</v>
      </c>
      <c r="C285" s="19" t="s">
        <v>1431</v>
      </c>
      <c r="D285" s="19" t="str">
        <f>HYPERLINK("http://henontech.com/fieldsafety/harzard/harzard_show.php?rid=4284&amp;url=harzardrecs.php","热力老化水电源柜隔离刀闸灭弧罩缺失，在拉合过程中造成短路，使上一级开关跳闸，造成大面积停电")</f>
        <v>热力老化水电源柜隔离刀闸灭弧罩缺失，在拉合过程中造成短路，使上一级开关跳闸，造成大面积停电</v>
      </c>
      <c r="E285" s="19" t="s">
        <v>1432</v>
      </c>
      <c r="F285" s="20" t="s">
        <v>42</v>
      </c>
      <c r="G285" s="21" t="s">
        <v>43</v>
      </c>
      <c r="H285" s="19" t="s">
        <v>44</v>
      </c>
      <c r="I285" s="19" t="s">
        <v>129</v>
      </c>
      <c r="J285" s="19" t="s">
        <v>64</v>
      </c>
      <c r="K285" s="19"/>
      <c r="L285" s="19" t="s">
        <v>65</v>
      </c>
      <c r="M285" s="19" t="s">
        <v>229</v>
      </c>
      <c r="N285" s="19" t="s">
        <v>1410</v>
      </c>
      <c r="O285" s="19" t="s">
        <v>229</v>
      </c>
      <c r="P285" s="19" t="s">
        <v>1410</v>
      </c>
      <c r="Q285" s="19" t="s">
        <v>1433</v>
      </c>
      <c r="R285" s="19" t="s">
        <v>1434</v>
      </c>
      <c r="S285" s="19"/>
      <c r="T285" s="19" t="s">
        <v>104</v>
      </c>
      <c r="U285" s="19" t="s">
        <v>94</v>
      </c>
      <c r="V285" s="19" t="s">
        <v>105</v>
      </c>
      <c r="W285" s="19" t="s">
        <v>96</v>
      </c>
      <c r="X285" s="19" t="s">
        <v>57</v>
      </c>
      <c r="Y285" s="19" t="s">
        <v>57</v>
      </c>
      <c r="Z285" s="19" t="s">
        <v>1435</v>
      </c>
      <c r="AA285" s="19">
        <v>2</v>
      </c>
      <c r="AB285" s="19">
        <v>2</v>
      </c>
      <c r="AC285" s="19" t="s">
        <v>59</v>
      </c>
      <c r="AD285" s="19" t="s">
        <v>1410</v>
      </c>
      <c r="AE285" s="19" t="s">
        <v>1414</v>
      </c>
      <c r="AF285" s="19" t="s">
        <v>42</v>
      </c>
    </row>
    <row r="286" spans="1:34" customHeight="1" ht="42">
      <c r="A286" s="19">
        <v>278</v>
      </c>
      <c r="B286" s="19" t="s">
        <v>1436</v>
      </c>
      <c r="C286" s="19" t="s">
        <v>1437</v>
      </c>
      <c r="D286" s="19" t="str">
        <f>HYPERLINK("http://henontech.com/fieldsafety/harzard/harzard_show.php?rid=4785&amp;url=harzardrecs.php","二次风机排风扇口被异物堵塞，易造成设备温度升高，长时间运行，设备过热停止运行")</f>
        <v>二次风机排风扇口被异物堵塞，易造成设备温度升高，长时间运行，设备过热停止运行</v>
      </c>
      <c r="E286" s="19" t="s">
        <v>1438</v>
      </c>
      <c r="F286" s="20" t="s">
        <v>42</v>
      </c>
      <c r="G286" s="21" t="s">
        <v>43</v>
      </c>
      <c r="H286" s="19" t="s">
        <v>44</v>
      </c>
      <c r="I286" s="19" t="s">
        <v>129</v>
      </c>
      <c r="J286" s="19" t="s">
        <v>308</v>
      </c>
      <c r="K286" s="19" t="s">
        <v>88</v>
      </c>
      <c r="L286" s="19" t="s">
        <v>65</v>
      </c>
      <c r="M286" s="19" t="s">
        <v>229</v>
      </c>
      <c r="N286" s="19" t="s">
        <v>1439</v>
      </c>
      <c r="O286" s="19" t="s">
        <v>229</v>
      </c>
      <c r="P286" s="19" t="s">
        <v>1410</v>
      </c>
      <c r="Q286" s="19" t="s">
        <v>1440</v>
      </c>
      <c r="R286" s="19" t="s">
        <v>1441</v>
      </c>
      <c r="S286" s="19"/>
      <c r="T286" s="19" t="s">
        <v>104</v>
      </c>
      <c r="U286" s="19" t="s">
        <v>94</v>
      </c>
      <c r="V286" s="19" t="s">
        <v>105</v>
      </c>
      <c r="W286" s="19" t="s">
        <v>96</v>
      </c>
      <c r="X286" s="19" t="s">
        <v>57</v>
      </c>
      <c r="Y286" s="19"/>
      <c r="Z286" s="19" t="s">
        <v>1442</v>
      </c>
      <c r="AA286" s="19">
        <v>2</v>
      </c>
      <c r="AB286" s="19">
        <v>2</v>
      </c>
      <c r="AC286" s="19" t="s">
        <v>59</v>
      </c>
      <c r="AD286" s="19" t="s">
        <v>1410</v>
      </c>
      <c r="AE286" s="19" t="s">
        <v>1414</v>
      </c>
      <c r="AF286" s="19" t="s">
        <v>1443</v>
      </c>
    </row>
    <row r="287" spans="1:34" customHeight="1" ht="42">
      <c r="A287" s="19">
        <v>279</v>
      </c>
      <c r="B287" s="19" t="s">
        <v>1444</v>
      </c>
      <c r="C287" s="19" t="s">
        <v>1431</v>
      </c>
      <c r="D287" s="19" t="str">
        <f>HYPERLINK("http://henontech.com/fieldsafety/harzard/harzard_show.php?rid=4875&amp;url=harzardrecs.php","一名操作工在巡检时由于新操作室操作盘后无盖板不慎踩空，造成脚腕脱臼")</f>
        <v>一名操作工在巡检时由于新操作室操作盘后无盖板不慎踩空，造成脚腕脱臼</v>
      </c>
      <c r="E287" s="19" t="s">
        <v>1445</v>
      </c>
      <c r="F287" s="20" t="s">
        <v>42</v>
      </c>
      <c r="G287" s="21" t="s">
        <v>43</v>
      </c>
      <c r="H287" s="19" t="s">
        <v>709</v>
      </c>
      <c r="I287" s="19" t="s">
        <v>129</v>
      </c>
      <c r="J287" s="19" t="s">
        <v>64</v>
      </c>
      <c r="K287" s="19" t="s">
        <v>88</v>
      </c>
      <c r="L287" s="19" t="s">
        <v>65</v>
      </c>
      <c r="M287" s="19" t="s">
        <v>229</v>
      </c>
      <c r="N287" s="19" t="s">
        <v>1446</v>
      </c>
      <c r="O287" s="19" t="s">
        <v>229</v>
      </c>
      <c r="P287" s="19" t="s">
        <v>1410</v>
      </c>
      <c r="Q287" s="19" t="s">
        <v>1440</v>
      </c>
      <c r="R287" s="19" t="s">
        <v>1447</v>
      </c>
      <c r="S287" s="19"/>
      <c r="T287" s="19" t="s">
        <v>53</v>
      </c>
      <c r="U287" s="19" t="s">
        <v>54</v>
      </c>
      <c r="V287" s="19" t="s">
        <v>55</v>
      </c>
      <c r="W287" s="19" t="s">
        <v>56</v>
      </c>
      <c r="X287" s="19" t="s">
        <v>57</v>
      </c>
      <c r="Y287" s="19"/>
      <c r="Z287" s="19" t="s">
        <v>1448</v>
      </c>
      <c r="AA287" s="19">
        <v>2</v>
      </c>
      <c r="AB287" s="19">
        <v>2</v>
      </c>
      <c r="AC287" s="19" t="s">
        <v>59</v>
      </c>
      <c r="AD287" s="19" t="s">
        <v>1410</v>
      </c>
      <c r="AE287" s="19" t="s">
        <v>1414</v>
      </c>
      <c r="AF287" s="19" t="s">
        <v>1449</v>
      </c>
    </row>
    <row r="288" spans="1:34" customHeight="1" ht="42">
      <c r="A288" s="19">
        <v>280</v>
      </c>
      <c r="B288" s="19" t="s">
        <v>1411</v>
      </c>
      <c r="C288" s="19" t="s">
        <v>1450</v>
      </c>
      <c r="D288" s="19" t="str">
        <f>HYPERLINK("http://henontech.com/fieldsafety/harzard/harzard_show.php?rid=5668&amp;url=harzardrecs.php","电缆没有规范架起或者埋设")</f>
        <v>电缆没有规范架起或者埋设</v>
      </c>
      <c r="E288" s="19" t="s">
        <v>1451</v>
      </c>
      <c r="F288" s="20" t="s">
        <v>42</v>
      </c>
      <c r="G288" s="21" t="s">
        <v>43</v>
      </c>
      <c r="H288" s="19" t="s">
        <v>709</v>
      </c>
      <c r="I288" s="19" t="s">
        <v>205</v>
      </c>
      <c r="J288" s="19" t="s">
        <v>45</v>
      </c>
      <c r="K288" s="19" t="s">
        <v>46</v>
      </c>
      <c r="L288" s="19" t="s">
        <v>1452</v>
      </c>
      <c r="M288" s="19" t="s">
        <v>229</v>
      </c>
      <c r="N288" s="19" t="s">
        <v>724</v>
      </c>
      <c r="O288" s="19" t="s">
        <v>229</v>
      </c>
      <c r="P288" s="19" t="s">
        <v>1410</v>
      </c>
      <c r="Q288" s="19" t="s">
        <v>1433</v>
      </c>
      <c r="R288" s="19" t="s">
        <v>1453</v>
      </c>
      <c r="S288" s="19"/>
      <c r="T288" s="19" t="s">
        <v>53</v>
      </c>
      <c r="U288" s="19" t="s">
        <v>116</v>
      </c>
      <c r="V288" s="19" t="s">
        <v>105</v>
      </c>
      <c r="W288" s="19" t="s">
        <v>56</v>
      </c>
      <c r="X288" s="19" t="s">
        <v>57</v>
      </c>
      <c r="Y288" s="19"/>
      <c r="Z288" s="19" t="s">
        <v>1454</v>
      </c>
      <c r="AA288" s="19">
        <v>2</v>
      </c>
      <c r="AB288" s="19">
        <v>2</v>
      </c>
      <c r="AC288" s="19" t="s">
        <v>59</v>
      </c>
      <c r="AD288" s="19" t="s">
        <v>1410</v>
      </c>
      <c r="AE288" s="19" t="s">
        <v>1414</v>
      </c>
      <c r="AF288" s="19" t="s">
        <v>42</v>
      </c>
    </row>
    <row r="289" spans="1:34" customHeight="1" ht="42">
      <c r="A289" s="19">
        <v>281</v>
      </c>
      <c r="B289" s="19" t="s">
        <v>1455</v>
      </c>
      <c r="C289" s="19" t="s">
        <v>470</v>
      </c>
      <c r="D289" s="19" t="str">
        <f>HYPERLINK("http://henontech.com/fieldsafety/harzard/harzard_show.php?rid=5736&amp;url=harzardrecs.php","一名外协施工人员，在修补炉墙过程中，高度2.5米，未系安全带，假如不慎从简易架子掉落，造成手臂骨折，住院30天，休养4个月康复")</f>
        <v>一名外协施工人员，在修补炉墙过程中，高度2.5米，未系安全带，假如不慎从简易架子掉落，造成手臂骨折，住院30天，休养4个月康复</v>
      </c>
      <c r="E289" s="19" t="s">
        <v>315</v>
      </c>
      <c r="F289" s="20" t="s">
        <v>42</v>
      </c>
      <c r="G289" s="22" t="s">
        <v>111</v>
      </c>
      <c r="H289" s="19" t="s">
        <v>44</v>
      </c>
      <c r="I289" s="19"/>
      <c r="J289" s="19" t="s">
        <v>64</v>
      </c>
      <c r="K289" s="19" t="s">
        <v>79</v>
      </c>
      <c r="L289" s="19" t="s">
        <v>65</v>
      </c>
      <c r="M289" s="19" t="s">
        <v>49</v>
      </c>
      <c r="N289" s="19" t="s">
        <v>316</v>
      </c>
      <c r="O289" s="19" t="s">
        <v>49</v>
      </c>
      <c r="P289" s="19" t="s">
        <v>499</v>
      </c>
      <c r="Q289" s="19" t="s">
        <v>1456</v>
      </c>
      <c r="R289" s="19" t="s">
        <v>1457</v>
      </c>
      <c r="S289" s="19"/>
      <c r="T289" s="19" t="s">
        <v>53</v>
      </c>
      <c r="U289" s="19" t="s">
        <v>54</v>
      </c>
      <c r="V289" s="19" t="s">
        <v>55</v>
      </c>
      <c r="W289" s="19" t="s">
        <v>56</v>
      </c>
      <c r="X289" s="19"/>
      <c r="Y289" s="19" t="s">
        <v>141</v>
      </c>
      <c r="Z289" s="19" t="s">
        <v>1458</v>
      </c>
      <c r="AA289" s="19">
        <v>2</v>
      </c>
      <c r="AB289" s="19">
        <v>2</v>
      </c>
      <c r="AC289" s="19" t="s">
        <v>59</v>
      </c>
      <c r="AD289" s="19" t="s">
        <v>499</v>
      </c>
      <c r="AE289" s="19" t="s">
        <v>1433</v>
      </c>
      <c r="AF289" s="19" t="s">
        <v>1459</v>
      </c>
    </row>
    <row r="290" spans="1:34" customHeight="1" ht="42">
      <c r="A290" s="19">
        <v>282</v>
      </c>
      <c r="B290" s="19" t="s">
        <v>1460</v>
      </c>
      <c r="C290" s="19" t="s">
        <v>1461</v>
      </c>
      <c r="D290" s="19" t="str">
        <f>HYPERLINK("http://henontech.com/fieldsafety/harzard/harzard_show.php?rid=5950&amp;url=harzardrecs.php","一工人经过机侧通廊时，通廊顶部混凝土恰巧大面积脱落砸中其身上，安全帽没有承受住压力导致破裂后混凝土直接砸到他头上导致当场昏迷不醒，现场救援无果后医院人员鉴定其瞳孔放大确定死亡。")</f>
        <v>一工人经过机侧通廊时，通廊顶部混凝土恰巧大面积脱落砸中其身上，安全帽没有承受住压力导致破裂后混凝土直接砸到他头上导致当场昏迷不醒，现场救援无果后医院人员鉴定其瞳孔放大确定死亡。</v>
      </c>
      <c r="E290" s="19" t="s">
        <v>1068</v>
      </c>
      <c r="F290" s="20" t="s">
        <v>42</v>
      </c>
      <c r="G290" s="22" t="s">
        <v>111</v>
      </c>
      <c r="H290" s="19" t="s">
        <v>44</v>
      </c>
      <c r="I290" s="19" t="s">
        <v>129</v>
      </c>
      <c r="J290" s="19" t="s">
        <v>308</v>
      </c>
      <c r="K290" s="19" t="s">
        <v>88</v>
      </c>
      <c r="L290" s="19" t="s">
        <v>662</v>
      </c>
      <c r="M290" s="19" t="s">
        <v>49</v>
      </c>
      <c r="N290" s="19" t="s">
        <v>1462</v>
      </c>
      <c r="O290" s="19" t="s">
        <v>49</v>
      </c>
      <c r="P290" s="19" t="s">
        <v>1260</v>
      </c>
      <c r="Q290" s="19" t="s">
        <v>1463</v>
      </c>
      <c r="R290" s="19" t="s">
        <v>1464</v>
      </c>
      <c r="S290" s="19"/>
      <c r="T290" s="19" t="s">
        <v>53</v>
      </c>
      <c r="U290" s="19" t="s">
        <v>54</v>
      </c>
      <c r="V290" s="19" t="s">
        <v>55</v>
      </c>
      <c r="W290" s="19" t="s">
        <v>56</v>
      </c>
      <c r="X290" s="19" t="s">
        <v>150</v>
      </c>
      <c r="Y290" s="19"/>
      <c r="Z290" s="19" t="s">
        <v>1465</v>
      </c>
      <c r="AA290" s="19">
        <v>2</v>
      </c>
      <c r="AB290" s="19">
        <v>2</v>
      </c>
      <c r="AC290" s="19" t="s">
        <v>59</v>
      </c>
      <c r="AD290" s="19" t="s">
        <v>1260</v>
      </c>
      <c r="AE290" s="19" t="s">
        <v>1405</v>
      </c>
      <c r="AF290" s="19"/>
    </row>
    <row r="291" spans="1:34" customHeight="1" ht="42">
      <c r="A291" s="19">
        <v>283</v>
      </c>
      <c r="B291" s="19" t="s">
        <v>1466</v>
      </c>
      <c r="C291" s="19" t="s">
        <v>1424</v>
      </c>
      <c r="D291" s="19" t="str">
        <f>HYPERLINK("http://henontech.com/fieldsafety/harzard/harzard_show.php?rid=6325&amp;url=harzardrecs.php","2#循环泵处电缆杂乱，容易造成巡检人员绊倒，需截裁处理")</f>
        <v>2#循环泵处电缆杂乱，容易造成巡检人员绊倒，需截裁处理</v>
      </c>
      <c r="E291" s="19" t="s">
        <v>1467</v>
      </c>
      <c r="F291" s="20" t="s">
        <v>42</v>
      </c>
      <c r="G291" s="21" t="s">
        <v>43</v>
      </c>
      <c r="H291" s="19" t="s">
        <v>44</v>
      </c>
      <c r="I291" s="19"/>
      <c r="J291" s="19" t="s">
        <v>64</v>
      </c>
      <c r="K291" s="19" t="s">
        <v>1350</v>
      </c>
      <c r="L291" s="19"/>
      <c r="M291" s="19" t="s">
        <v>229</v>
      </c>
      <c r="N291" s="19" t="s">
        <v>1468</v>
      </c>
      <c r="O291" s="19" t="s">
        <v>229</v>
      </c>
      <c r="P291" s="19" t="s">
        <v>1410</v>
      </c>
      <c r="Q291" s="19" t="s">
        <v>1433</v>
      </c>
      <c r="R291" s="19" t="s">
        <v>1469</v>
      </c>
      <c r="S291" s="19"/>
      <c r="T291" s="19" t="s">
        <v>53</v>
      </c>
      <c r="U291" s="19" t="s">
        <v>94</v>
      </c>
      <c r="V291" s="19" t="s">
        <v>95</v>
      </c>
      <c r="W291" s="19" t="s">
        <v>96</v>
      </c>
      <c r="X291" s="19" t="s">
        <v>57</v>
      </c>
      <c r="Y291" s="19"/>
      <c r="Z291" s="19" t="s">
        <v>1470</v>
      </c>
      <c r="AA291" s="19">
        <v>2</v>
      </c>
      <c r="AB291" s="19">
        <v>1</v>
      </c>
      <c r="AC291" s="19" t="s">
        <v>59</v>
      </c>
      <c r="AD291" s="19" t="s">
        <v>1410</v>
      </c>
      <c r="AE291" s="19" t="s">
        <v>1414</v>
      </c>
      <c r="AF291" s="19" t="s">
        <v>42</v>
      </c>
    </row>
    <row r="292" spans="1:34" customHeight="1" ht="42">
      <c r="A292" s="19">
        <v>284</v>
      </c>
      <c r="B292" s="19" t="s">
        <v>1471</v>
      </c>
      <c r="C292" s="19" t="s">
        <v>1472</v>
      </c>
      <c r="D292" s="19" t="str">
        <f>HYPERLINK("http://henontech.com/fieldsafety/harzard/harzard_show.php?rid=6523&amp;url=harzardrecs.php","电缆仪表线路因无盖下雨时进雨水，使电线老化漏电，造成锅炉压火停炉")</f>
        <v>电缆仪表线路因无盖下雨时进雨水，使电线老化漏电，造成锅炉压火停炉</v>
      </c>
      <c r="E292" s="19" t="s">
        <v>1473</v>
      </c>
      <c r="F292" s="20" t="s">
        <v>42</v>
      </c>
      <c r="G292" s="21" t="s">
        <v>43</v>
      </c>
      <c r="H292" s="19" t="s">
        <v>709</v>
      </c>
      <c r="I292" s="19" t="s">
        <v>129</v>
      </c>
      <c r="J292" s="19" t="s">
        <v>64</v>
      </c>
      <c r="K292" s="19" t="s">
        <v>46</v>
      </c>
      <c r="L292" s="19" t="s">
        <v>65</v>
      </c>
      <c r="M292" s="19" t="s">
        <v>229</v>
      </c>
      <c r="N292" s="19" t="s">
        <v>1474</v>
      </c>
      <c r="O292" s="19" t="s">
        <v>229</v>
      </c>
      <c r="P292" s="19" t="s">
        <v>1410</v>
      </c>
      <c r="Q292" s="19" t="s">
        <v>1433</v>
      </c>
      <c r="R292" s="19" t="s">
        <v>1475</v>
      </c>
      <c r="S292" s="19"/>
      <c r="T292" s="19" t="s">
        <v>104</v>
      </c>
      <c r="U292" s="19" t="s">
        <v>71</v>
      </c>
      <c r="V292" s="19" t="s">
        <v>55</v>
      </c>
      <c r="W292" s="19" t="s">
        <v>72</v>
      </c>
      <c r="X292" s="19" t="s">
        <v>57</v>
      </c>
      <c r="Y292" s="19"/>
      <c r="Z292" s="19" t="s">
        <v>1476</v>
      </c>
      <c r="AA292" s="19">
        <v>2</v>
      </c>
      <c r="AB292" s="19">
        <v>1</v>
      </c>
      <c r="AC292" s="19" t="s">
        <v>59</v>
      </c>
      <c r="AD292" s="19" t="s">
        <v>1410</v>
      </c>
      <c r="AE292" s="19" t="s">
        <v>1414</v>
      </c>
      <c r="AF292" s="19" t="s">
        <v>42</v>
      </c>
    </row>
    <row r="293" spans="1:34" customHeight="1" ht="42">
      <c r="A293" s="19">
        <v>285</v>
      </c>
      <c r="B293" s="19" t="s">
        <v>1477</v>
      </c>
      <c r="C293" s="19" t="s">
        <v>1478</v>
      </c>
      <c r="D293" s="19" t="str">
        <f>HYPERLINK("http://henontech.com/fieldsafety/harzard/harzard_show.php?rid=11309&amp;url=harzardrecs.php","煤场抓斗主绳串柱销受长期磨损，抓斗脱落，将一名巡检人员砸伤，送医院抢救无效死亡")</f>
        <v>煤场抓斗主绳串柱销受长期磨损，抓斗脱落，将一名巡检人员砸伤，送医院抢救无效死亡</v>
      </c>
      <c r="E293" s="19" t="s">
        <v>1479</v>
      </c>
      <c r="F293" s="20" t="s">
        <v>42</v>
      </c>
      <c r="G293" s="21" t="s">
        <v>43</v>
      </c>
      <c r="H293" s="19" t="s">
        <v>1480</v>
      </c>
      <c r="I293" s="19"/>
      <c r="J293" s="19" t="s">
        <v>64</v>
      </c>
      <c r="K293" s="19"/>
      <c r="L293" s="19"/>
      <c r="M293" s="19" t="s">
        <v>229</v>
      </c>
      <c r="N293" s="19" t="s">
        <v>1481</v>
      </c>
      <c r="O293" s="19" t="s">
        <v>229</v>
      </c>
      <c r="P293" s="19" t="s">
        <v>669</v>
      </c>
      <c r="Q293" s="19" t="s">
        <v>1482</v>
      </c>
      <c r="R293" s="19" t="s">
        <v>1483</v>
      </c>
      <c r="S293" s="19"/>
      <c r="T293" s="19" t="s">
        <v>53</v>
      </c>
      <c r="U293" s="19" t="s">
        <v>116</v>
      </c>
      <c r="V293" s="19" t="s">
        <v>55</v>
      </c>
      <c r="W293" s="19" t="s">
        <v>117</v>
      </c>
      <c r="X293" s="19" t="s">
        <v>57</v>
      </c>
      <c r="Y293" s="19"/>
      <c r="Z293" s="19" t="s">
        <v>1484</v>
      </c>
      <c r="AA293" s="19">
        <v>2</v>
      </c>
      <c r="AB293" s="19">
        <v>2</v>
      </c>
      <c r="AC293" s="19" t="s">
        <v>59</v>
      </c>
      <c r="AD293" s="19" t="s">
        <v>669</v>
      </c>
      <c r="AE293" s="19" t="s">
        <v>1405</v>
      </c>
      <c r="AF293" s="19"/>
    </row>
    <row r="294" spans="1:34" customHeight="1" ht="42">
      <c r="A294" s="19">
        <v>286</v>
      </c>
      <c r="B294" s="19" t="s">
        <v>1477</v>
      </c>
      <c r="C294" s="19" t="s">
        <v>1431</v>
      </c>
      <c r="D294" s="19" t="str">
        <f>HYPERLINK("http://henontech.com/fieldsafety/harzard/harzard_show.php?rid=11378&amp;url=harzardrecs.php","化学水操作室地板破裂，一维修工在维修设备时，可能导致右脚扭伤，送医院就医，在家休养7天，损工7天")</f>
        <v>化学水操作室地板破裂，一维修工在维修设备时，可能导致右脚扭伤，送医院就医，在家休养7天，损工7天</v>
      </c>
      <c r="E294" s="19" t="s">
        <v>1485</v>
      </c>
      <c r="F294" s="20" t="s">
        <v>42</v>
      </c>
      <c r="G294" s="21" t="s">
        <v>43</v>
      </c>
      <c r="H294" s="19" t="s">
        <v>44</v>
      </c>
      <c r="I294" s="19" t="s">
        <v>205</v>
      </c>
      <c r="J294" s="19" t="s">
        <v>64</v>
      </c>
      <c r="K294" s="19" t="s">
        <v>88</v>
      </c>
      <c r="L294" s="19" t="s">
        <v>65</v>
      </c>
      <c r="M294" s="19" t="s">
        <v>229</v>
      </c>
      <c r="N294" s="19" t="s">
        <v>1486</v>
      </c>
      <c r="O294" s="19" t="s">
        <v>229</v>
      </c>
      <c r="P294" s="19" t="s">
        <v>1410</v>
      </c>
      <c r="Q294" s="19" t="s">
        <v>1433</v>
      </c>
      <c r="R294" s="19" t="s">
        <v>1487</v>
      </c>
      <c r="S294" s="19"/>
      <c r="T294" s="19" t="s">
        <v>53</v>
      </c>
      <c r="U294" s="19" t="s">
        <v>54</v>
      </c>
      <c r="V294" s="19" t="s">
        <v>105</v>
      </c>
      <c r="W294" s="19" t="s">
        <v>72</v>
      </c>
      <c r="X294" s="19" t="s">
        <v>57</v>
      </c>
      <c r="Y294" s="19"/>
      <c r="Z294" s="19" t="s">
        <v>1488</v>
      </c>
      <c r="AA294" s="19">
        <v>2</v>
      </c>
      <c r="AB294" s="19">
        <v>2</v>
      </c>
      <c r="AC294" s="19" t="s">
        <v>59</v>
      </c>
      <c r="AD294" s="19" t="s">
        <v>1410</v>
      </c>
      <c r="AE294" s="19" t="s">
        <v>1414</v>
      </c>
      <c r="AF294" s="19" t="s">
        <v>1489</v>
      </c>
    </row>
    <row r="295" spans="1:34" customHeight="1" ht="42">
      <c r="A295" s="19">
        <v>287</v>
      </c>
      <c r="B295" s="19" t="s">
        <v>1490</v>
      </c>
      <c r="C295" s="19" t="s">
        <v>1491</v>
      </c>
      <c r="D295" s="19" t="str">
        <f>HYPERLINK("http://henontech.com/fieldsafety/harzard/harzard_show.php?rid=11408&amp;url=harzardrecs.php","中班一名操作工天黑送照明灯时，手碰触到照明配电箱裸露的接线处，因触电倒地及时脱离，除感觉浑身乏力外，未造成大的伤害。")</f>
        <v>中班一名操作工天黑送照明灯时，手碰触到照明配电箱裸露的接线处，因触电倒地及时脱离，除感觉浑身乏力外，未造成大的伤害。</v>
      </c>
      <c r="E295" s="19" t="s">
        <v>1492</v>
      </c>
      <c r="F295" s="20" t="s">
        <v>42</v>
      </c>
      <c r="G295" s="21" t="s">
        <v>43</v>
      </c>
      <c r="H295" s="19" t="s">
        <v>44</v>
      </c>
      <c r="I295" s="19" t="s">
        <v>78</v>
      </c>
      <c r="J295" s="19" t="s">
        <v>45</v>
      </c>
      <c r="K295" s="19" t="s">
        <v>88</v>
      </c>
      <c r="L295" s="19"/>
      <c r="M295" s="19" t="s">
        <v>229</v>
      </c>
      <c r="N295" s="19" t="s">
        <v>1493</v>
      </c>
      <c r="O295" s="19" t="s">
        <v>229</v>
      </c>
      <c r="P295" s="19" t="s">
        <v>1410</v>
      </c>
      <c r="Q295" s="19" t="s">
        <v>1433</v>
      </c>
      <c r="R295" s="19" t="s">
        <v>1494</v>
      </c>
      <c r="S295" s="19"/>
      <c r="T295" s="19" t="s">
        <v>53</v>
      </c>
      <c r="U295" s="19" t="s">
        <v>71</v>
      </c>
      <c r="V295" s="19" t="s">
        <v>105</v>
      </c>
      <c r="W295" s="19" t="s">
        <v>96</v>
      </c>
      <c r="X295" s="19" t="s">
        <v>57</v>
      </c>
      <c r="Y295" s="19"/>
      <c r="Z295" s="19" t="s">
        <v>1495</v>
      </c>
      <c r="AA295" s="19">
        <v>2</v>
      </c>
      <c r="AB295" s="19">
        <v>2</v>
      </c>
      <c r="AC295" s="19" t="s">
        <v>59</v>
      </c>
      <c r="AD295" s="19" t="s">
        <v>1410</v>
      </c>
      <c r="AE295" s="19" t="s">
        <v>1414</v>
      </c>
      <c r="AF295" s="19" t="s">
        <v>42</v>
      </c>
    </row>
    <row r="296" spans="1:34" customHeight="1" ht="42">
      <c r="A296" s="19">
        <v>288</v>
      </c>
      <c r="B296" s="19" t="s">
        <v>1496</v>
      </c>
      <c r="C296" s="19" t="s">
        <v>1497</v>
      </c>
      <c r="D296" s="19" t="str">
        <f>HYPERLINK("http://henontech.com/fieldsafety/harzard/harzard_show.php?rid=11581&amp;url=harzardrecs.php","照明箱内接线排未用绝缘板防护")</f>
        <v>照明箱内接线排未用绝缘板防护</v>
      </c>
      <c r="E296" s="19" t="s">
        <v>1498</v>
      </c>
      <c r="F296" s="20" t="s">
        <v>42</v>
      </c>
      <c r="G296" s="21" t="s">
        <v>43</v>
      </c>
      <c r="H296" s="19" t="s">
        <v>44</v>
      </c>
      <c r="I296" s="19" t="s">
        <v>129</v>
      </c>
      <c r="J296" s="19" t="s">
        <v>64</v>
      </c>
      <c r="K296" s="19" t="s">
        <v>46</v>
      </c>
      <c r="L296" s="19" t="s">
        <v>65</v>
      </c>
      <c r="M296" s="19" t="s">
        <v>229</v>
      </c>
      <c r="N296" s="19" t="s">
        <v>1499</v>
      </c>
      <c r="O296" s="19" t="s">
        <v>229</v>
      </c>
      <c r="P296" s="19" t="s">
        <v>1410</v>
      </c>
      <c r="Q296" s="19" t="s">
        <v>1433</v>
      </c>
      <c r="R296" s="19" t="s">
        <v>1500</v>
      </c>
      <c r="S296" s="19"/>
      <c r="T296" s="19" t="s">
        <v>53</v>
      </c>
      <c r="U296" s="19" t="s">
        <v>94</v>
      </c>
      <c r="V296" s="19" t="s">
        <v>105</v>
      </c>
      <c r="W296" s="19" t="s">
        <v>96</v>
      </c>
      <c r="X296" s="19" t="s">
        <v>57</v>
      </c>
      <c r="Y296" s="19"/>
      <c r="Z296" s="19" t="s">
        <v>1501</v>
      </c>
      <c r="AA296" s="19">
        <v>2</v>
      </c>
      <c r="AB296" s="19">
        <v>2</v>
      </c>
      <c r="AC296" s="19" t="s">
        <v>59</v>
      </c>
      <c r="AD296" s="19" t="s">
        <v>1410</v>
      </c>
      <c r="AE296" s="19" t="s">
        <v>1414</v>
      </c>
      <c r="AF296" s="19" t="s">
        <v>42</v>
      </c>
    </row>
    <row r="297" spans="1:34" customHeight="1" ht="42">
      <c r="A297" s="19">
        <v>289</v>
      </c>
      <c r="B297" s="19" t="s">
        <v>1502</v>
      </c>
      <c r="C297" s="19" t="s">
        <v>1503</v>
      </c>
      <c r="D297" s="19" t="str">
        <f>HYPERLINK("http://henontech.com/fieldsafety/harzard/harzard_show.php?rid=12110&amp;url=harzardrecs.php","炉顶电缆盖损失，旁边蒸汽阀门一旦泄露，烫坏电缆。")</f>
        <v>炉顶电缆盖损失，旁边蒸汽阀门一旦泄露，烫坏电缆。</v>
      </c>
      <c r="E297" s="19" t="s">
        <v>1504</v>
      </c>
      <c r="F297" s="20" t="s">
        <v>42</v>
      </c>
      <c r="G297" s="21" t="s">
        <v>43</v>
      </c>
      <c r="H297" s="19" t="s">
        <v>709</v>
      </c>
      <c r="I297" s="19" t="s">
        <v>129</v>
      </c>
      <c r="J297" s="19" t="s">
        <v>45</v>
      </c>
      <c r="K297" s="19" t="s">
        <v>79</v>
      </c>
      <c r="L297" s="19" t="s">
        <v>65</v>
      </c>
      <c r="M297" s="19" t="s">
        <v>229</v>
      </c>
      <c r="N297" s="19" t="s">
        <v>1505</v>
      </c>
      <c r="O297" s="19" t="s">
        <v>229</v>
      </c>
      <c r="P297" s="19" t="s">
        <v>1410</v>
      </c>
      <c r="Q297" s="19" t="s">
        <v>1482</v>
      </c>
      <c r="R297" s="19" t="s">
        <v>1506</v>
      </c>
      <c r="S297" s="19"/>
      <c r="T297" s="19" t="s">
        <v>104</v>
      </c>
      <c r="U297" s="19" t="s">
        <v>94</v>
      </c>
      <c r="V297" s="19" t="s">
        <v>105</v>
      </c>
      <c r="W297" s="19" t="s">
        <v>96</v>
      </c>
      <c r="X297" s="19" t="s">
        <v>57</v>
      </c>
      <c r="Y297" s="19"/>
      <c r="Z297" s="19" t="s">
        <v>1507</v>
      </c>
      <c r="AA297" s="19">
        <v>2</v>
      </c>
      <c r="AB297" s="19">
        <v>1</v>
      </c>
      <c r="AC297" s="19" t="s">
        <v>59</v>
      </c>
      <c r="AD297" s="19" t="s">
        <v>1410</v>
      </c>
      <c r="AE297" s="19" t="s">
        <v>1414</v>
      </c>
      <c r="AF297" s="19" t="s">
        <v>1508</v>
      </c>
    </row>
    <row r="298" spans="1:34" customHeight="1" ht="42">
      <c r="A298" s="19">
        <v>290</v>
      </c>
      <c r="B298" s="19" t="s">
        <v>1509</v>
      </c>
      <c r="C298" s="19" t="s">
        <v>1510</v>
      </c>
      <c r="D298" s="19" t="str">
        <f>HYPERLINK("http://henontech.com/fieldsafety/harzard/harzard_show.php?rid=12404&amp;url=harzardrecs.php","输煤1号皮带楼梯处电源开关盒盖缺失，一名操作工上煤时巡检到此处，由于楼梯狭窄，光线不够充足，马虎大意，肩膀不慎碰到配电盒，索性反应迅速，没有被电到。")</f>
        <v>输煤1号皮带楼梯处电源开关盒盖缺失，一名操作工上煤时巡检到此处，由于楼梯狭窄，光线不够充足，马虎大意，肩膀不慎碰到配电盒，索性反应迅速，没有被电到。</v>
      </c>
      <c r="E298" s="19" t="s">
        <v>1511</v>
      </c>
      <c r="F298" s="20" t="s">
        <v>42</v>
      </c>
      <c r="G298" s="21" t="s">
        <v>43</v>
      </c>
      <c r="H298" s="19" t="s">
        <v>44</v>
      </c>
      <c r="I298" s="19" t="s">
        <v>78</v>
      </c>
      <c r="J298" s="19" t="s">
        <v>64</v>
      </c>
      <c r="K298" s="19" t="s">
        <v>88</v>
      </c>
      <c r="L298" s="19" t="s">
        <v>65</v>
      </c>
      <c r="M298" s="19" t="s">
        <v>229</v>
      </c>
      <c r="N298" s="19" t="s">
        <v>1512</v>
      </c>
      <c r="O298" s="19" t="s">
        <v>229</v>
      </c>
      <c r="P298" s="19" t="s">
        <v>1410</v>
      </c>
      <c r="Q298" s="19" t="s">
        <v>1482</v>
      </c>
      <c r="R298" s="19" t="s">
        <v>1513</v>
      </c>
      <c r="S298" s="19"/>
      <c r="T298" s="19" t="s">
        <v>53</v>
      </c>
      <c r="U298" s="19" t="s">
        <v>94</v>
      </c>
      <c r="V298" s="19" t="s">
        <v>55</v>
      </c>
      <c r="W298" s="19" t="s">
        <v>96</v>
      </c>
      <c r="X298" s="19" t="s">
        <v>57</v>
      </c>
      <c r="Y298" s="19"/>
      <c r="Z298" s="19" t="s">
        <v>1514</v>
      </c>
      <c r="AA298" s="19">
        <v>2</v>
      </c>
      <c r="AB298" s="19">
        <v>2</v>
      </c>
      <c r="AC298" s="19" t="s">
        <v>59</v>
      </c>
      <c r="AD298" s="19" t="s">
        <v>1410</v>
      </c>
      <c r="AE298" s="19" t="s">
        <v>1414</v>
      </c>
      <c r="AF298" s="19" t="s">
        <v>1515</v>
      </c>
    </row>
    <row r="299" spans="1:34" customHeight="1" ht="42">
      <c r="A299" s="19">
        <v>291</v>
      </c>
      <c r="B299" s="19" t="s">
        <v>1516</v>
      </c>
      <c r="C299" s="19" t="s">
        <v>1517</v>
      </c>
      <c r="D299" s="19" t="str">
        <f>HYPERLINK("http://henontech.com/fieldsafety/harzard/harzard_show.php?rid=15197&amp;url=harzardrecs.php","下雨时深井屋子内电缆都在雨水里泡着，抄数时如果有漏电的容易发生触电事故")</f>
        <v>下雨时深井屋子内电缆都在雨水里泡着，抄数时如果有漏电的容易发生触电事故</v>
      </c>
      <c r="E299" s="19" t="s">
        <v>616</v>
      </c>
      <c r="F299" s="20" t="s">
        <v>42</v>
      </c>
      <c r="G299" s="21" t="s">
        <v>43</v>
      </c>
      <c r="H299" s="19" t="s">
        <v>44</v>
      </c>
      <c r="I299" s="19" t="s">
        <v>129</v>
      </c>
      <c r="J299" s="19" t="s">
        <v>308</v>
      </c>
      <c r="K299" s="19" t="s">
        <v>46</v>
      </c>
      <c r="L299" s="19" t="s">
        <v>228</v>
      </c>
      <c r="M299" s="19" t="s">
        <v>229</v>
      </c>
      <c r="N299" s="19" t="s">
        <v>724</v>
      </c>
      <c r="O299" s="19" t="s">
        <v>229</v>
      </c>
      <c r="P299" s="19" t="s">
        <v>1410</v>
      </c>
      <c r="Q299" s="19" t="s">
        <v>1482</v>
      </c>
      <c r="R299" s="19" t="s">
        <v>1518</v>
      </c>
      <c r="S299" s="19"/>
      <c r="T299" s="19" t="s">
        <v>53</v>
      </c>
      <c r="U299" s="19" t="s">
        <v>116</v>
      </c>
      <c r="V299" s="19" t="s">
        <v>105</v>
      </c>
      <c r="W299" s="19" t="s">
        <v>56</v>
      </c>
      <c r="X299" s="19" t="s">
        <v>57</v>
      </c>
      <c r="Y299" s="19"/>
      <c r="Z299" s="19" t="s">
        <v>1519</v>
      </c>
      <c r="AA299" s="19">
        <v>2</v>
      </c>
      <c r="AB299" s="19">
        <v>1</v>
      </c>
      <c r="AC299" s="19" t="s">
        <v>59</v>
      </c>
      <c r="AD299" s="19" t="s">
        <v>1410</v>
      </c>
      <c r="AE299" s="19" t="s">
        <v>1414</v>
      </c>
      <c r="AF299" s="19" t="s">
        <v>42</v>
      </c>
    </row>
    <row r="300" spans="1:34" customHeight="1" ht="42">
      <c r="A300" s="19">
        <v>292</v>
      </c>
      <c r="B300" s="19" t="s">
        <v>1520</v>
      </c>
      <c r="C300" s="19" t="s">
        <v>639</v>
      </c>
      <c r="D300" s="19" t="str">
        <f>HYPERLINK("http://henontech.com/fieldsafety/harzard/harzard_show.php?rid=15352&amp;url=harzardrecs.php","脱硫塔闸板电机防护罩脱落，时间长了造成电机损坏，造成闸板下落，造成锅炉停车")</f>
        <v>脱硫塔闸板电机防护罩脱落，时间长了造成电机损坏，造成闸板下落，造成锅炉停车</v>
      </c>
      <c r="E300" s="19" t="s">
        <v>1521</v>
      </c>
      <c r="F300" s="20" t="s">
        <v>42</v>
      </c>
      <c r="G300" s="21" t="s">
        <v>43</v>
      </c>
      <c r="H300" s="19" t="s">
        <v>44</v>
      </c>
      <c r="I300" s="19" t="s">
        <v>129</v>
      </c>
      <c r="J300" s="19" t="s">
        <v>64</v>
      </c>
      <c r="K300" s="19" t="s">
        <v>46</v>
      </c>
      <c r="L300" s="19" t="s">
        <v>65</v>
      </c>
      <c r="M300" s="19" t="s">
        <v>229</v>
      </c>
      <c r="N300" s="19" t="s">
        <v>1522</v>
      </c>
      <c r="O300" s="19" t="s">
        <v>229</v>
      </c>
      <c r="P300" s="19" t="s">
        <v>1410</v>
      </c>
      <c r="Q300" s="19" t="s">
        <v>1482</v>
      </c>
      <c r="R300" s="19" t="s">
        <v>639</v>
      </c>
      <c r="S300" s="19"/>
      <c r="T300" s="19" t="s">
        <v>104</v>
      </c>
      <c r="U300" s="19" t="s">
        <v>94</v>
      </c>
      <c r="V300" s="19" t="s">
        <v>105</v>
      </c>
      <c r="W300" s="19" t="s">
        <v>96</v>
      </c>
      <c r="X300" s="19" t="s">
        <v>57</v>
      </c>
      <c r="Y300" s="19"/>
      <c r="Z300" s="19" t="s">
        <v>1523</v>
      </c>
      <c r="AA300" s="19">
        <v>2</v>
      </c>
      <c r="AB300" s="19">
        <v>1</v>
      </c>
      <c r="AC300" s="19" t="s">
        <v>59</v>
      </c>
      <c r="AD300" s="19" t="s">
        <v>1410</v>
      </c>
      <c r="AE300" s="19" t="s">
        <v>1414</v>
      </c>
      <c r="AF300" s="19" t="s">
        <v>42</v>
      </c>
    </row>
    <row r="301" spans="1:34" customHeight="1" ht="42">
      <c r="A301" s="19">
        <v>293</v>
      </c>
      <c r="B301" s="19" t="s">
        <v>1524</v>
      </c>
      <c r="C301" s="19" t="s">
        <v>1525</v>
      </c>
      <c r="D301" s="19" t="str">
        <f>HYPERLINK("http://henontech.com/fieldsafety/harzard/harzard_show.php?rid=15665&amp;url=harzardrecs.php","电动葫芦电源线破损露线，一操作工操作时触电")</f>
        <v>电动葫芦电源线破损露线，一操作工操作时触电</v>
      </c>
      <c r="E301" s="19" t="s">
        <v>1526</v>
      </c>
      <c r="F301" s="20" t="s">
        <v>42</v>
      </c>
      <c r="G301" s="21" t="s">
        <v>43</v>
      </c>
      <c r="H301" s="19" t="s">
        <v>44</v>
      </c>
      <c r="I301" s="19" t="s">
        <v>761</v>
      </c>
      <c r="J301" s="19" t="s">
        <v>45</v>
      </c>
      <c r="K301" s="19" t="s">
        <v>46</v>
      </c>
      <c r="L301" s="19" t="s">
        <v>65</v>
      </c>
      <c r="M301" s="19" t="s">
        <v>229</v>
      </c>
      <c r="N301" s="19" t="s">
        <v>1410</v>
      </c>
      <c r="O301" s="19" t="s">
        <v>229</v>
      </c>
      <c r="P301" s="19" t="s">
        <v>1410</v>
      </c>
      <c r="Q301" s="19" t="s">
        <v>1482</v>
      </c>
      <c r="R301" s="19" t="s">
        <v>1527</v>
      </c>
      <c r="S301" s="19"/>
      <c r="T301" s="19" t="s">
        <v>53</v>
      </c>
      <c r="U301" s="19" t="s">
        <v>71</v>
      </c>
      <c r="V301" s="19" t="s">
        <v>105</v>
      </c>
      <c r="W301" s="19" t="s">
        <v>96</v>
      </c>
      <c r="X301" s="19" t="s">
        <v>57</v>
      </c>
      <c r="Y301" s="19"/>
      <c r="Z301" s="19" t="s">
        <v>1528</v>
      </c>
      <c r="AA301" s="19">
        <v>2</v>
      </c>
      <c r="AB301" s="19">
        <v>1</v>
      </c>
      <c r="AC301" s="19" t="s">
        <v>59</v>
      </c>
      <c r="AD301" s="19" t="s">
        <v>1410</v>
      </c>
      <c r="AE301" s="19" t="s">
        <v>1414</v>
      </c>
      <c r="AF301" s="19" t="s">
        <v>1529</v>
      </c>
    </row>
    <row r="302" spans="1:34" customHeight="1" ht="42">
      <c r="A302" s="19">
        <v>294</v>
      </c>
      <c r="B302" s="19" t="s">
        <v>1524</v>
      </c>
      <c r="C302" s="19" t="s">
        <v>1525</v>
      </c>
      <c r="D302" s="19" t="str">
        <f>HYPERLINK("http://henontech.com/fieldsafety/harzard/harzard_show.php?rid=15726&amp;url=harzardrecs.php","锅炉平台西接线盒无封堵，下雨时可能导致进水引起设备短路跳闸，造成不必要的损失")</f>
        <v>锅炉平台西接线盒无封堵，下雨时可能导致进水引起设备短路跳闸，造成不必要的损失</v>
      </c>
      <c r="E302" s="19" t="s">
        <v>1530</v>
      </c>
      <c r="F302" s="20" t="s">
        <v>42</v>
      </c>
      <c r="G302" s="21" t="s">
        <v>43</v>
      </c>
      <c r="H302" s="19" t="s">
        <v>44</v>
      </c>
      <c r="I302" s="19" t="s">
        <v>205</v>
      </c>
      <c r="J302" s="19" t="s">
        <v>64</v>
      </c>
      <c r="K302" s="19" t="s">
        <v>46</v>
      </c>
      <c r="L302" s="19"/>
      <c r="M302" s="19" t="s">
        <v>229</v>
      </c>
      <c r="N302" s="19" t="s">
        <v>1486</v>
      </c>
      <c r="O302" s="19" t="s">
        <v>229</v>
      </c>
      <c r="P302" s="19" t="s">
        <v>1410</v>
      </c>
      <c r="Q302" s="19" t="s">
        <v>1482</v>
      </c>
      <c r="R302" s="19" t="s">
        <v>1531</v>
      </c>
      <c r="S302" s="19"/>
      <c r="T302" s="19" t="s">
        <v>104</v>
      </c>
      <c r="U302" s="19" t="s">
        <v>94</v>
      </c>
      <c r="V302" s="19" t="s">
        <v>193</v>
      </c>
      <c r="W302" s="19" t="s">
        <v>96</v>
      </c>
      <c r="X302" s="19" t="s">
        <v>57</v>
      </c>
      <c r="Y302" s="19"/>
      <c r="Z302" s="19" t="s">
        <v>1532</v>
      </c>
      <c r="AA302" s="19">
        <v>2</v>
      </c>
      <c r="AB302" s="19">
        <v>1</v>
      </c>
      <c r="AC302" s="19" t="s">
        <v>59</v>
      </c>
      <c r="AD302" s="19" t="s">
        <v>1410</v>
      </c>
      <c r="AE302" s="19" t="s">
        <v>1414</v>
      </c>
      <c r="AF302" s="19" t="s">
        <v>42</v>
      </c>
    </row>
    <row r="303" spans="1:34" customHeight="1" ht="42">
      <c r="A303" s="19">
        <v>295</v>
      </c>
      <c r="B303" s="19" t="s">
        <v>1533</v>
      </c>
      <c r="C303" s="19" t="s">
        <v>85</v>
      </c>
      <c r="D303" s="19" t="str">
        <f>HYPERLINK("http://henontech.com/fieldsafety/harzard/harzard_show.php?rid=16014&amp;url=harzardrecs.php","硫酸罐腐蚀破损，一操作工放硫酸时不慎溅到右腿上，腐蚀破工作服及皮肤，就医后住院治疗一天，休息一周后复工")</f>
        <v>硫酸罐腐蚀破损，一操作工放硫酸时不慎溅到右腿上，腐蚀破工作服及皮肤，就医后住院治疗一天，休息一周后复工</v>
      </c>
      <c r="E303" s="19" t="s">
        <v>1534</v>
      </c>
      <c r="F303" s="20" t="s">
        <v>42</v>
      </c>
      <c r="G303" s="22" t="s">
        <v>111</v>
      </c>
      <c r="H303" s="19" t="s">
        <v>44</v>
      </c>
      <c r="I303" s="19" t="s">
        <v>78</v>
      </c>
      <c r="J303" s="19" t="s">
        <v>64</v>
      </c>
      <c r="K303" s="19" t="s">
        <v>46</v>
      </c>
      <c r="L303" s="19"/>
      <c r="M303" s="19" t="s">
        <v>89</v>
      </c>
      <c r="N303" s="19" t="s">
        <v>1535</v>
      </c>
      <c r="O303" s="19" t="s">
        <v>89</v>
      </c>
      <c r="P303" s="19" t="s">
        <v>1536</v>
      </c>
      <c r="Q303" s="19" t="s">
        <v>1537</v>
      </c>
      <c r="R303" s="19" t="s">
        <v>1538</v>
      </c>
      <c r="S303" s="19"/>
      <c r="T303" s="19" t="s">
        <v>53</v>
      </c>
      <c r="U303" s="19" t="s">
        <v>71</v>
      </c>
      <c r="V303" s="19" t="s">
        <v>55</v>
      </c>
      <c r="W303" s="19" t="s">
        <v>72</v>
      </c>
      <c r="X303" s="19" t="s">
        <v>57</v>
      </c>
      <c r="Y303" s="19"/>
      <c r="Z303" s="19" t="s">
        <v>1539</v>
      </c>
      <c r="AA303" s="19">
        <v>2</v>
      </c>
      <c r="AB303" s="19">
        <v>2</v>
      </c>
      <c r="AC303" s="19" t="s">
        <v>59</v>
      </c>
      <c r="AD303" s="19" t="s">
        <v>1536</v>
      </c>
      <c r="AE303" s="19" t="s">
        <v>1399</v>
      </c>
      <c r="AF303" s="19"/>
    </row>
    <row r="304" spans="1:34" customHeight="1" ht="42">
      <c r="A304" s="19">
        <v>296</v>
      </c>
      <c r="B304" s="19" t="s">
        <v>1540</v>
      </c>
      <c r="C304" s="19" t="s">
        <v>1525</v>
      </c>
      <c r="D304" s="19" t="str">
        <f>HYPERLINK("http://henontech.com/fieldsafety/harzard/harzard_show.php?rid=16242&amp;url=harzardrecs.php","一名操作工在巡检时，不慎被乱放的电缆架盖板给绊倒，造成右手前臂骨折。")</f>
        <v>一名操作工在巡检时，不慎被乱放的电缆架盖板给绊倒，造成右手前臂骨折。</v>
      </c>
      <c r="E304" s="19" t="s">
        <v>1541</v>
      </c>
      <c r="F304" s="20" t="s">
        <v>42</v>
      </c>
      <c r="G304" s="21" t="s">
        <v>43</v>
      </c>
      <c r="H304" s="19" t="s">
        <v>44</v>
      </c>
      <c r="I304" s="19" t="s">
        <v>78</v>
      </c>
      <c r="J304" s="19" t="s">
        <v>64</v>
      </c>
      <c r="K304" s="19" t="s">
        <v>46</v>
      </c>
      <c r="L304" s="19"/>
      <c r="M304" s="19" t="s">
        <v>229</v>
      </c>
      <c r="N304" s="19" t="s">
        <v>1542</v>
      </c>
      <c r="O304" s="19" t="s">
        <v>229</v>
      </c>
      <c r="P304" s="19" t="s">
        <v>1410</v>
      </c>
      <c r="Q304" s="19" t="s">
        <v>1433</v>
      </c>
      <c r="R304" s="19" t="s">
        <v>1543</v>
      </c>
      <c r="S304" s="19"/>
      <c r="T304" s="19" t="s">
        <v>53</v>
      </c>
      <c r="U304" s="19" t="s">
        <v>54</v>
      </c>
      <c r="V304" s="19" t="s">
        <v>55</v>
      </c>
      <c r="W304" s="19" t="s">
        <v>56</v>
      </c>
      <c r="X304" s="19" t="s">
        <v>57</v>
      </c>
      <c r="Y304" s="19"/>
      <c r="Z304" s="19" t="s">
        <v>1544</v>
      </c>
      <c r="AA304" s="19">
        <v>2</v>
      </c>
      <c r="AB304" s="19">
        <v>2</v>
      </c>
      <c r="AC304" s="19" t="s">
        <v>59</v>
      </c>
      <c r="AD304" s="19" t="s">
        <v>1410</v>
      </c>
      <c r="AE304" s="19" t="s">
        <v>1414</v>
      </c>
      <c r="AF304" s="19" t="s">
        <v>42</v>
      </c>
    </row>
    <row r="305" spans="1:34">
      <c r="A305" s="19">
        <v>297</v>
      </c>
      <c r="B305" s="19" t="s">
        <v>1545</v>
      </c>
      <c r="C305" s="19" t="s">
        <v>1546</v>
      </c>
      <c r="D305" s="19" t="str">
        <f>HYPERLINK("http://henontech.com/fieldsafety/harzard/harzard_show.php?rid=16808&amp;url=harzardrecs.php","干熄焦焦粉仓二层北边侧部分护栏缺失，离地高度约10米，一名巡检人员巡检经过时，假如不慎跌落，造成一人头部着地，当场死亡。")</f>
        <v>干熄焦焦粉仓二层北边侧部分护栏缺失，离地高度约10米，一名巡检人员巡检经过时，假如不慎跌落，造成一人头部着地，当场死亡。</v>
      </c>
      <c r="E305" s="19" t="s">
        <v>1547</v>
      </c>
      <c r="F305" s="20" t="s">
        <v>42</v>
      </c>
      <c r="G305" s="21" t="s">
        <v>43</v>
      </c>
      <c r="H305" s="19" t="s">
        <v>44</v>
      </c>
      <c r="I305" s="19"/>
      <c r="J305" s="19" t="s">
        <v>64</v>
      </c>
      <c r="K305" s="19"/>
      <c r="L305" s="19"/>
      <c r="M305" s="19" t="s">
        <v>49</v>
      </c>
      <c r="N305" s="19" t="s">
        <v>1548</v>
      </c>
      <c r="O305" s="19" t="s">
        <v>49</v>
      </c>
      <c r="P305" s="19" t="s">
        <v>460</v>
      </c>
      <c r="Q305" s="19" t="s">
        <v>1549</v>
      </c>
      <c r="R305" s="19" t="s">
        <v>1550</v>
      </c>
      <c r="S305" s="19"/>
      <c r="T305" s="19" t="s">
        <v>53</v>
      </c>
      <c r="U305" s="19" t="s">
        <v>116</v>
      </c>
      <c r="V305" s="19" t="s">
        <v>55</v>
      </c>
      <c r="W305" s="19" t="s">
        <v>117</v>
      </c>
      <c r="X305" s="19"/>
      <c r="Y305" s="19"/>
      <c r="Z305" s="19" t="s">
        <v>1551</v>
      </c>
      <c r="AA305" s="19">
        <v>1</v>
      </c>
      <c r="AB305" s="19">
        <v>1</v>
      </c>
      <c r="AC305" s="19" t="s">
        <v>59</v>
      </c>
      <c r="AD305" s="19" t="s">
        <v>460</v>
      </c>
      <c r="AE305" s="19" t="s">
        <v>1552</v>
      </c>
      <c r="AF305" s="19"/>
    </row>
    <row r="306" spans="1:34" customHeight="1" ht="42">
      <c r="A306" s="19">
        <v>298</v>
      </c>
      <c r="B306" s="19" t="s">
        <v>1545</v>
      </c>
      <c r="C306" s="19" t="s">
        <v>49</v>
      </c>
      <c r="D306" s="19" t="str">
        <f>HYPERLINK("http://henontech.com/fieldsafety/harzard/harzard_show.php?rid=16813&amp;url=harzardrecs.php","焦四机头滚筒联轴器无护罩，未设警示标志。设备运转时，一操作人员清扫该设备，右前臂不慎被击伤，造成右前臂骨折，住院治疗90天。")</f>
        <v>焦四机头滚筒联轴器无护罩，未设警示标志。设备运转时，一操作人员清扫该设备，右前臂不慎被击伤，造成右前臂骨折，住院治疗90天。</v>
      </c>
      <c r="E306" s="19" t="s">
        <v>315</v>
      </c>
      <c r="F306" s="20" t="s">
        <v>42</v>
      </c>
      <c r="G306" s="21" t="s">
        <v>43</v>
      </c>
      <c r="H306" s="19" t="s">
        <v>44</v>
      </c>
      <c r="I306" s="19"/>
      <c r="J306" s="19" t="s">
        <v>64</v>
      </c>
      <c r="K306" s="19"/>
      <c r="L306" s="19"/>
      <c r="M306" s="19" t="s">
        <v>49</v>
      </c>
      <c r="N306" s="19" t="s">
        <v>1553</v>
      </c>
      <c r="O306" s="19" t="s">
        <v>49</v>
      </c>
      <c r="P306" s="19" t="s">
        <v>460</v>
      </c>
      <c r="Q306" s="19" t="s">
        <v>1554</v>
      </c>
      <c r="R306" s="19" t="s">
        <v>1555</v>
      </c>
      <c r="S306" s="19"/>
      <c r="T306" s="19" t="s">
        <v>53</v>
      </c>
      <c r="U306" s="19" t="s">
        <v>54</v>
      </c>
      <c r="V306" s="19" t="s">
        <v>95</v>
      </c>
      <c r="W306" s="19" t="s">
        <v>117</v>
      </c>
      <c r="X306" s="19" t="s">
        <v>57</v>
      </c>
      <c r="Y306" s="19"/>
      <c r="Z306" s="19" t="s">
        <v>1556</v>
      </c>
      <c r="AA306" s="19">
        <v>2</v>
      </c>
      <c r="AB306" s="19">
        <v>2</v>
      </c>
      <c r="AC306" s="19" t="s">
        <v>59</v>
      </c>
      <c r="AD306" s="19" t="s">
        <v>460</v>
      </c>
      <c r="AE306" s="19" t="s">
        <v>1557</v>
      </c>
      <c r="AF306" s="19"/>
    </row>
    <row r="307" spans="1:34" customHeight="1" ht="42">
      <c r="A307" s="19">
        <v>299</v>
      </c>
      <c r="B307" s="19" t="s">
        <v>1545</v>
      </c>
      <c r="C307" s="19" t="s">
        <v>805</v>
      </c>
      <c r="D307" s="19" t="str">
        <f>HYPERLINK("http://henontech.com/fieldsafety/harzard/harzard_show.php?rid=16873&amp;url=harzardrecs.php","机侧二层平台南部地面破裂，一旦一名工作人员在清理卫生时地面塌陷，将会造成一人坠落死亡")</f>
        <v>机侧二层平台南部地面破裂，一旦一名工作人员在清理卫生时地面塌陷，将会造成一人坠落死亡</v>
      </c>
      <c r="E307" s="19" t="s">
        <v>1152</v>
      </c>
      <c r="F307" s="20" t="s">
        <v>42</v>
      </c>
      <c r="G307" s="21" t="s">
        <v>43</v>
      </c>
      <c r="H307" s="19" t="s">
        <v>44</v>
      </c>
      <c r="I307" s="19" t="s">
        <v>129</v>
      </c>
      <c r="J307" s="19" t="s">
        <v>87</v>
      </c>
      <c r="K307" s="19" t="s">
        <v>302</v>
      </c>
      <c r="L307" s="19" t="s">
        <v>65</v>
      </c>
      <c r="M307" s="19" t="s">
        <v>49</v>
      </c>
      <c r="N307" s="19" t="s">
        <v>1558</v>
      </c>
      <c r="O307" s="19" t="s">
        <v>49</v>
      </c>
      <c r="P307" s="19" t="s">
        <v>460</v>
      </c>
      <c r="Q307" s="19" t="s">
        <v>1554</v>
      </c>
      <c r="R307" s="19" t="s">
        <v>1559</v>
      </c>
      <c r="S307" s="19"/>
      <c r="T307" s="19" t="s">
        <v>53</v>
      </c>
      <c r="U307" s="19" t="s">
        <v>116</v>
      </c>
      <c r="V307" s="19" t="s">
        <v>105</v>
      </c>
      <c r="W307" s="19" t="s">
        <v>56</v>
      </c>
      <c r="X307" s="19" t="s">
        <v>150</v>
      </c>
      <c r="Y307" s="19"/>
      <c r="Z307" s="19" t="s">
        <v>1560</v>
      </c>
      <c r="AA307" s="19">
        <v>2</v>
      </c>
      <c r="AB307" s="19">
        <v>2</v>
      </c>
      <c r="AC307" s="19" t="s">
        <v>59</v>
      </c>
      <c r="AD307" s="19" t="s">
        <v>460</v>
      </c>
      <c r="AE307" s="19" t="s">
        <v>1557</v>
      </c>
      <c r="AF307" s="19"/>
    </row>
    <row r="308" spans="1:34">
      <c r="A308" s="19">
        <v>300</v>
      </c>
      <c r="B308" s="19" t="s">
        <v>1545</v>
      </c>
      <c r="C308" s="19" t="s">
        <v>1546</v>
      </c>
      <c r="D308" s="19" t="str">
        <f>HYPERLINK("http://henontech.com/fieldsafety/harzard/harzard_show.php?rid=16876&amp;url=harzardrecs.php","干熄焦环境除尘爬梯护栏底部锈蚀严重，部分断裂，巡检人员巡检经过时，一旦护栏掉落，砸中巡检人员，造成一名人员肩部骨折，住院治疗60天。")</f>
        <v>干熄焦环境除尘爬梯护栏底部锈蚀严重，部分断裂，巡检人员巡检经过时，一旦护栏掉落，砸中巡检人员，造成一名人员肩部骨折，住院治疗60天。</v>
      </c>
      <c r="E308" s="19" t="s">
        <v>315</v>
      </c>
      <c r="F308" s="20" t="s">
        <v>42</v>
      </c>
      <c r="G308" s="21" t="s">
        <v>43</v>
      </c>
      <c r="H308" s="19" t="s">
        <v>44</v>
      </c>
      <c r="I308" s="19"/>
      <c r="J308" s="19" t="s">
        <v>64</v>
      </c>
      <c r="K308" s="19"/>
      <c r="L308" s="19"/>
      <c r="M308" s="19" t="s">
        <v>49</v>
      </c>
      <c r="N308" s="19" t="s">
        <v>1561</v>
      </c>
      <c r="O308" s="19" t="s">
        <v>49</v>
      </c>
      <c r="P308" s="19" t="s">
        <v>460</v>
      </c>
      <c r="Q308" s="19" t="s">
        <v>1549</v>
      </c>
      <c r="R308" s="19" t="s">
        <v>1562</v>
      </c>
      <c r="S308" s="19"/>
      <c r="T308" s="19" t="s">
        <v>53</v>
      </c>
      <c r="U308" s="19" t="s">
        <v>54</v>
      </c>
      <c r="V308" s="19" t="s">
        <v>55</v>
      </c>
      <c r="W308" s="19" t="s">
        <v>56</v>
      </c>
      <c r="X308" s="19"/>
      <c r="Y308" s="19"/>
      <c r="Z308" s="19" t="s">
        <v>1563</v>
      </c>
      <c r="AA308" s="19">
        <v>1</v>
      </c>
      <c r="AB308" s="19">
        <v>1</v>
      </c>
      <c r="AC308" s="19" t="s">
        <v>59</v>
      </c>
      <c r="AD308" s="19" t="s">
        <v>460</v>
      </c>
      <c r="AE308" s="19" t="s">
        <v>1564</v>
      </c>
      <c r="AF308" s="19"/>
    </row>
    <row r="309" spans="1:34" customHeight="1" ht="42">
      <c r="A309" s="19">
        <v>301</v>
      </c>
      <c r="B309" s="19" t="s">
        <v>1545</v>
      </c>
      <c r="C309" s="19" t="s">
        <v>985</v>
      </c>
      <c r="D309" s="19" t="str">
        <f>HYPERLINK("http://henontech.com/fieldsafety/harzard/harzard_show.php?rid=16893&amp;url=harzardrecs.php","导烟车1号机爪油缸长期使用，油封老化无法使用，造成装煤作业时机侧冒烟的环保事故被集团公司通报")</f>
        <v>导烟车1号机爪油缸长期使用，油封老化无法使用，造成装煤作业时机侧冒烟的环保事故被集团公司通报</v>
      </c>
      <c r="E309" s="19" t="s">
        <v>1565</v>
      </c>
      <c r="F309" s="20" t="s">
        <v>42</v>
      </c>
      <c r="G309" s="21" t="s">
        <v>43</v>
      </c>
      <c r="H309" s="19" t="s">
        <v>44</v>
      </c>
      <c r="I309" s="19" t="s">
        <v>1566</v>
      </c>
      <c r="J309" s="19" t="s">
        <v>64</v>
      </c>
      <c r="K309" s="19" t="s">
        <v>79</v>
      </c>
      <c r="L309" s="19"/>
      <c r="M309" s="19" t="s">
        <v>49</v>
      </c>
      <c r="N309" s="19" t="s">
        <v>1567</v>
      </c>
      <c r="O309" s="19" t="s">
        <v>49</v>
      </c>
      <c r="P309" s="19" t="s">
        <v>460</v>
      </c>
      <c r="Q309" s="19" t="s">
        <v>1554</v>
      </c>
      <c r="R309" s="19" t="s">
        <v>1568</v>
      </c>
      <c r="S309" s="19"/>
      <c r="T309" s="19" t="s">
        <v>1569</v>
      </c>
      <c r="U309" s="19" t="s">
        <v>54</v>
      </c>
      <c r="V309" s="19" t="s">
        <v>95</v>
      </c>
      <c r="W309" s="19" t="s">
        <v>117</v>
      </c>
      <c r="X309" s="19" t="s">
        <v>57</v>
      </c>
      <c r="Y309" s="19"/>
      <c r="Z309" s="19" t="s">
        <v>1570</v>
      </c>
      <c r="AA309" s="19">
        <v>2</v>
      </c>
      <c r="AB309" s="19">
        <v>2</v>
      </c>
      <c r="AC309" s="19" t="s">
        <v>59</v>
      </c>
      <c r="AD309" s="19" t="s">
        <v>460</v>
      </c>
      <c r="AE309" s="19" t="s">
        <v>1557</v>
      </c>
      <c r="AF309" s="19"/>
    </row>
    <row r="310" spans="1:34" customHeight="1" ht="42">
      <c r="A310" s="19">
        <v>302</v>
      </c>
      <c r="B310" s="19" t="s">
        <v>1545</v>
      </c>
      <c r="C310" s="19" t="s">
        <v>1571</v>
      </c>
      <c r="D310" s="19" t="str">
        <f>HYPERLINK("http://henontech.com/fieldsafety/harzard/harzard_show.php?rid=16899&amp;url=harzardrecs.php","脱硫塔控制电源箱防雨罩脱落，容易造成雨水进入配电盘，造成电器短路，导致脱硫工段停止运行")</f>
        <v>脱硫塔控制电源箱防雨罩脱落，容易造成雨水进入配电盘，造成电器短路，导致脱硫工段停止运行</v>
      </c>
      <c r="E310" s="19" t="s">
        <v>1572</v>
      </c>
      <c r="F310" s="20" t="s">
        <v>42</v>
      </c>
      <c r="G310" s="21" t="s">
        <v>43</v>
      </c>
      <c r="H310" s="19" t="s">
        <v>44</v>
      </c>
      <c r="I310" s="19" t="s">
        <v>129</v>
      </c>
      <c r="J310" s="19" t="s">
        <v>45</v>
      </c>
      <c r="K310" s="19" t="s">
        <v>46</v>
      </c>
      <c r="L310" s="19" t="s">
        <v>65</v>
      </c>
      <c r="M310" s="19" t="s">
        <v>229</v>
      </c>
      <c r="N310" s="19" t="s">
        <v>1439</v>
      </c>
      <c r="O310" s="19" t="s">
        <v>229</v>
      </c>
      <c r="P310" s="19" t="s">
        <v>1410</v>
      </c>
      <c r="Q310" s="19" t="s">
        <v>1433</v>
      </c>
      <c r="R310" s="19" t="s">
        <v>639</v>
      </c>
      <c r="S310" s="19"/>
      <c r="T310" s="19" t="s">
        <v>392</v>
      </c>
      <c r="U310" s="19" t="s">
        <v>94</v>
      </c>
      <c r="V310" s="19" t="s">
        <v>105</v>
      </c>
      <c r="W310" s="19" t="s">
        <v>96</v>
      </c>
      <c r="X310" s="19" t="s">
        <v>57</v>
      </c>
      <c r="Y310" s="19"/>
      <c r="Z310" s="19" t="s">
        <v>1573</v>
      </c>
      <c r="AA310" s="19">
        <v>2</v>
      </c>
      <c r="AB310" s="19">
        <v>2</v>
      </c>
      <c r="AC310" s="19" t="s">
        <v>59</v>
      </c>
      <c r="AD310" s="19" t="s">
        <v>1410</v>
      </c>
      <c r="AE310" s="19" t="s">
        <v>1414</v>
      </c>
      <c r="AF310" s="19" t="s">
        <v>42</v>
      </c>
    </row>
    <row r="311" spans="1:34">
      <c r="A311" s="19">
        <v>303</v>
      </c>
      <c r="B311" s="19" t="s">
        <v>1574</v>
      </c>
      <c r="C311" s="19" t="s">
        <v>1546</v>
      </c>
      <c r="D311" s="19" t="str">
        <f>HYPERLINK("http://henontech.com/fieldsafety/harzard/harzard_show.php?rid=17030&amp;url=harzardrecs.php","干熄车余煤箱漏煤粉，一名操作工在底部清理卫生时，煤粉落入眼睛，眼部红肿，去医务室清洗用药休息一天后复工。")</f>
        <v>干熄车余煤箱漏煤粉，一名操作工在底部清理卫生时，煤粉落入眼睛，眼部红肿，去医务室清洗用药休息一天后复工。</v>
      </c>
      <c r="E311" s="19" t="s">
        <v>1575</v>
      </c>
      <c r="F311" s="20" t="s">
        <v>42</v>
      </c>
      <c r="G311" s="21" t="s">
        <v>43</v>
      </c>
      <c r="H311" s="19" t="s">
        <v>44</v>
      </c>
      <c r="I311" s="19" t="s">
        <v>129</v>
      </c>
      <c r="J311" s="19" t="s">
        <v>64</v>
      </c>
      <c r="K311" s="19" t="s">
        <v>46</v>
      </c>
      <c r="L311" s="19" t="s">
        <v>65</v>
      </c>
      <c r="M311" s="19" t="s">
        <v>49</v>
      </c>
      <c r="N311" s="19" t="s">
        <v>1576</v>
      </c>
      <c r="O311" s="19" t="s">
        <v>49</v>
      </c>
      <c r="P311" s="19" t="s">
        <v>310</v>
      </c>
      <c r="Q311" s="19" t="s">
        <v>1549</v>
      </c>
      <c r="R311" s="19" t="s">
        <v>461</v>
      </c>
      <c r="S311" s="19"/>
      <c r="T311" s="19" t="s">
        <v>53</v>
      </c>
      <c r="U311" s="19" t="s">
        <v>54</v>
      </c>
      <c r="V311" s="19" t="s">
        <v>55</v>
      </c>
      <c r="W311" s="19" t="s">
        <v>56</v>
      </c>
      <c r="X311" s="19"/>
      <c r="Y311" s="19"/>
      <c r="Z311" s="19" t="s">
        <v>1577</v>
      </c>
      <c r="AA311" s="19">
        <v>1</v>
      </c>
      <c r="AB311" s="19">
        <v>1</v>
      </c>
      <c r="AC311" s="19" t="s">
        <v>59</v>
      </c>
      <c r="AD311" s="19" t="s">
        <v>310</v>
      </c>
      <c r="AE311" s="19" t="s">
        <v>1552</v>
      </c>
      <c r="AF311" s="19" t="s">
        <v>1578</v>
      </c>
    </row>
    <row r="312" spans="1:34" customHeight="1" ht="42">
      <c r="A312" s="19">
        <v>304</v>
      </c>
      <c r="B312" s="19" t="s">
        <v>1579</v>
      </c>
      <c r="C312" s="19" t="s">
        <v>1580</v>
      </c>
      <c r="D312" s="19" t="str">
        <f>HYPERLINK("http://henontech.com/fieldsafety/harzard/harzard_show.php?rid=17340&amp;url=harzardrecs.php","5.5米焦炉送煤车一号刮板机机头箱体多年使用变形严重，盖板盖不到位。一职工在清理余煤残焦时盖板翻落，躲避不及掉入运动的链条中，两脚掌当场被绞断，造成终身残废。")</f>
        <v>5.5米焦炉送煤车一号刮板机机头箱体多年使用变形严重，盖板盖不到位。一职工在清理余煤残焦时盖板翻落，躲避不及掉入运动的链条中，两脚掌当场被绞断，造成终身残废。</v>
      </c>
      <c r="E312" s="19" t="s">
        <v>53</v>
      </c>
      <c r="F312" s="20" t="s">
        <v>42</v>
      </c>
      <c r="G312" s="22" t="s">
        <v>111</v>
      </c>
      <c r="H312" s="19" t="s">
        <v>44</v>
      </c>
      <c r="I312" s="19" t="s">
        <v>129</v>
      </c>
      <c r="J312" s="19" t="s">
        <v>64</v>
      </c>
      <c r="K312" s="19" t="s">
        <v>466</v>
      </c>
      <c r="L312" s="19" t="s">
        <v>65</v>
      </c>
      <c r="M312" s="19" t="s">
        <v>49</v>
      </c>
      <c r="N312" s="19" t="s">
        <v>1581</v>
      </c>
      <c r="O312" s="19" t="s">
        <v>49</v>
      </c>
      <c r="P312" s="19" t="s">
        <v>460</v>
      </c>
      <c r="Q312" s="19" t="s">
        <v>1554</v>
      </c>
      <c r="R312" s="19" t="s">
        <v>1582</v>
      </c>
      <c r="S312" s="19"/>
      <c r="T312" s="19" t="s">
        <v>53</v>
      </c>
      <c r="U312" s="19" t="s">
        <v>54</v>
      </c>
      <c r="V312" s="19" t="s">
        <v>95</v>
      </c>
      <c r="W312" s="19" t="s">
        <v>117</v>
      </c>
      <c r="X312" s="19" t="s">
        <v>57</v>
      </c>
      <c r="Y312" s="19"/>
      <c r="Z312" s="19" t="s">
        <v>1583</v>
      </c>
      <c r="AA312" s="19">
        <v>2</v>
      </c>
      <c r="AB312" s="19">
        <v>2</v>
      </c>
      <c r="AC312" s="19" t="s">
        <v>59</v>
      </c>
      <c r="AD312" s="19" t="s">
        <v>460</v>
      </c>
      <c r="AE312" s="19" t="s">
        <v>1564</v>
      </c>
      <c r="AF312" s="19"/>
    </row>
    <row r="313" spans="1:34" customHeight="1" ht="42">
      <c r="A313" s="19">
        <v>305</v>
      </c>
      <c r="B313" s="19" t="s">
        <v>1584</v>
      </c>
      <c r="C313" s="19" t="s">
        <v>1525</v>
      </c>
      <c r="D313" s="19" t="str">
        <f>HYPERLINK("http://henontech.com/fieldsafety/harzard/harzard_show.php?rid=17374&amp;url=harzardrecs.php","夜晚巡查人员不小心掉进下水道中造成伤害")</f>
        <v>夜晚巡查人员不小心掉进下水道中造成伤害</v>
      </c>
      <c r="E313" s="19" t="s">
        <v>1585</v>
      </c>
      <c r="F313" s="20" t="s">
        <v>42</v>
      </c>
      <c r="G313" s="21" t="s">
        <v>43</v>
      </c>
      <c r="H313" s="19" t="s">
        <v>709</v>
      </c>
      <c r="I313" s="19" t="s">
        <v>129</v>
      </c>
      <c r="J313" s="19" t="s">
        <v>45</v>
      </c>
      <c r="K313" s="19" t="s">
        <v>46</v>
      </c>
      <c r="L313" s="19" t="s">
        <v>65</v>
      </c>
      <c r="M313" s="19" t="s">
        <v>229</v>
      </c>
      <c r="N313" s="19" t="s">
        <v>1586</v>
      </c>
      <c r="O313" s="19" t="s">
        <v>229</v>
      </c>
      <c r="P313" s="19" t="s">
        <v>669</v>
      </c>
      <c r="Q313" s="19" t="s">
        <v>1552</v>
      </c>
      <c r="R313" s="19" t="s">
        <v>1587</v>
      </c>
      <c r="S313" s="19"/>
      <c r="T313" s="19" t="s">
        <v>53</v>
      </c>
      <c r="U313" s="19" t="s">
        <v>71</v>
      </c>
      <c r="V313" s="19" t="s">
        <v>105</v>
      </c>
      <c r="W313" s="19" t="s">
        <v>96</v>
      </c>
      <c r="X313" s="19" t="s">
        <v>57</v>
      </c>
      <c r="Y313" s="19"/>
      <c r="Z313" s="19" t="s">
        <v>1588</v>
      </c>
      <c r="AA313" s="19">
        <v>2</v>
      </c>
      <c r="AB313" s="19">
        <v>2</v>
      </c>
      <c r="AC313" s="19" t="s">
        <v>59</v>
      </c>
      <c r="AD313" s="19" t="s">
        <v>669</v>
      </c>
      <c r="AE313" s="19" t="s">
        <v>1589</v>
      </c>
      <c r="AF313" s="19"/>
    </row>
    <row r="314" spans="1:34" customHeight="1" ht="42">
      <c r="A314" s="19">
        <v>306</v>
      </c>
      <c r="B314" s="19" t="s">
        <v>1590</v>
      </c>
      <c r="C314" s="19" t="s">
        <v>1571</v>
      </c>
      <c r="D314" s="19" t="str">
        <f>HYPERLINK("http://henontech.com/fieldsafety/harzard/harzard_show.php?rid=17517&amp;url=harzardrecs.php","一名操作工操作上下爬梯时，没有引起重视，脚底打滑不慎跌倒，造成小腿磕伤破皮渗血，医务室包扎后损工一天")</f>
        <v>一名操作工操作上下爬梯时，没有引起重视，脚底打滑不慎跌倒，造成小腿磕伤破皮渗血，医务室包扎后损工一天</v>
      </c>
      <c r="E314" s="19" t="s">
        <v>1591</v>
      </c>
      <c r="F314" s="20" t="s">
        <v>42</v>
      </c>
      <c r="G314" s="21" t="s">
        <v>43</v>
      </c>
      <c r="H314" s="19" t="s">
        <v>709</v>
      </c>
      <c r="I314" s="19" t="s">
        <v>129</v>
      </c>
      <c r="J314" s="19" t="s">
        <v>600</v>
      </c>
      <c r="K314" s="19" t="s">
        <v>466</v>
      </c>
      <c r="L314" s="19" t="s">
        <v>65</v>
      </c>
      <c r="M314" s="19" t="s">
        <v>229</v>
      </c>
      <c r="N314" s="19" t="s">
        <v>357</v>
      </c>
      <c r="O314" s="19" t="s">
        <v>229</v>
      </c>
      <c r="P314" s="19" t="s">
        <v>669</v>
      </c>
      <c r="Q314" s="19" t="s">
        <v>1592</v>
      </c>
      <c r="R314" s="19" t="s">
        <v>1593</v>
      </c>
      <c r="S314" s="19"/>
      <c r="T314" s="19" t="s">
        <v>53</v>
      </c>
      <c r="U314" s="19" t="s">
        <v>71</v>
      </c>
      <c r="V314" s="19" t="s">
        <v>55</v>
      </c>
      <c r="W314" s="19" t="s">
        <v>72</v>
      </c>
      <c r="X314" s="19" t="s">
        <v>57</v>
      </c>
      <c r="Y314" s="19"/>
      <c r="Z314" s="19" t="s">
        <v>1594</v>
      </c>
      <c r="AA314" s="19">
        <v>2</v>
      </c>
      <c r="AB314" s="19">
        <v>2</v>
      </c>
      <c r="AC314" s="19" t="s">
        <v>59</v>
      </c>
      <c r="AD314" s="19" t="s">
        <v>669</v>
      </c>
      <c r="AE314" s="19" t="s">
        <v>1405</v>
      </c>
      <c r="AF314" s="19"/>
    </row>
    <row r="315" spans="1:34" customHeight="1" ht="42">
      <c r="A315" s="19">
        <v>307</v>
      </c>
      <c r="B315" s="19" t="s">
        <v>1595</v>
      </c>
      <c r="C315" s="19" t="s">
        <v>484</v>
      </c>
      <c r="D315" s="19" t="str">
        <f>HYPERLINK("http://henontech.com/fieldsafety/harzard/harzard_show.php?rid=17661&amp;url=harzardrecs.php","焦侧33号上升管水封破损，装煤时集气管压力高水封漏水严重出现水封内无水导致上升管无法被封堵被荒煤气顶开时恰巧有一人经过此处被点燃的煤气烧到脸部，后送医治疗，住院两个月康复复工，但脸部无法恢复原来样子。")</f>
        <v>焦侧33号上升管水封破损，装煤时集气管压力高水封漏水严重出现水封内无水导致上升管无法被封堵被荒煤气顶开时恰巧有一人经过此处被点燃的煤气烧到脸部，后送医治疗，住院两个月康复复工，但脸部无法恢复原来样子。</v>
      </c>
      <c r="E315" s="19" t="s">
        <v>1596</v>
      </c>
      <c r="F315" s="20" t="s">
        <v>42</v>
      </c>
      <c r="G315" s="22" t="s">
        <v>111</v>
      </c>
      <c r="H315" s="19" t="s">
        <v>44</v>
      </c>
      <c r="I315" s="19" t="s">
        <v>129</v>
      </c>
      <c r="J315" s="19" t="s">
        <v>64</v>
      </c>
      <c r="K315" s="19" t="s">
        <v>79</v>
      </c>
      <c r="L315" s="19" t="s">
        <v>662</v>
      </c>
      <c r="M315" s="19" t="s">
        <v>49</v>
      </c>
      <c r="N315" s="19" t="s">
        <v>1462</v>
      </c>
      <c r="O315" s="19" t="s">
        <v>49</v>
      </c>
      <c r="P315" s="19" t="s">
        <v>460</v>
      </c>
      <c r="Q315" s="19" t="s">
        <v>1554</v>
      </c>
      <c r="R315" s="19" t="s">
        <v>1597</v>
      </c>
      <c r="S315" s="19"/>
      <c r="T315" s="19" t="s">
        <v>53</v>
      </c>
      <c r="U315" s="19" t="s">
        <v>54</v>
      </c>
      <c r="V315" s="19" t="s">
        <v>55</v>
      </c>
      <c r="W315" s="19" t="s">
        <v>56</v>
      </c>
      <c r="X315" s="19" t="s">
        <v>57</v>
      </c>
      <c r="Y315" s="19"/>
      <c r="Z315" s="19" t="s">
        <v>1598</v>
      </c>
      <c r="AA315" s="19">
        <v>2</v>
      </c>
      <c r="AB315" s="19">
        <v>2</v>
      </c>
      <c r="AC315" s="19" t="s">
        <v>59</v>
      </c>
      <c r="AD315" s="19" t="s">
        <v>460</v>
      </c>
      <c r="AE315" s="19" t="s">
        <v>1564</v>
      </c>
      <c r="AF315" s="19"/>
    </row>
    <row r="316" spans="1:34" customHeight="1" ht="42">
      <c r="A316" s="19">
        <v>308</v>
      </c>
      <c r="B316" s="19" t="s">
        <v>1595</v>
      </c>
      <c r="C316" s="19" t="s">
        <v>1599</v>
      </c>
      <c r="D316" s="19" t="str">
        <f>HYPERLINK("http://henontech.com/fieldsafety/harzard/harzard_show.php?rid=17716&amp;url=harzardrecs.php","一名工人在软水箱上操作手动阀门时，被管线绊倒，从软水箱上面掉落到地面，造成胳膊骨折")</f>
        <v>一名工人在软水箱上操作手动阀门时，被管线绊倒，从软水箱上面掉落到地面，造成胳膊骨折</v>
      </c>
      <c r="E316" s="19" t="s">
        <v>1600</v>
      </c>
      <c r="F316" s="20" t="s">
        <v>42</v>
      </c>
      <c r="G316" s="21" t="s">
        <v>43</v>
      </c>
      <c r="H316" s="19" t="s">
        <v>44</v>
      </c>
      <c r="I316" s="19" t="s">
        <v>129</v>
      </c>
      <c r="J316" s="19" t="s">
        <v>64</v>
      </c>
      <c r="K316" s="19" t="s">
        <v>79</v>
      </c>
      <c r="L316" s="19" t="s">
        <v>65</v>
      </c>
      <c r="M316" s="19" t="s">
        <v>49</v>
      </c>
      <c r="N316" s="19" t="s">
        <v>459</v>
      </c>
      <c r="O316" s="19" t="s">
        <v>49</v>
      </c>
      <c r="P316" s="19" t="s">
        <v>1601</v>
      </c>
      <c r="Q316" s="19" t="s">
        <v>1554</v>
      </c>
      <c r="R316" s="19" t="s">
        <v>1602</v>
      </c>
      <c r="S316" s="19"/>
      <c r="T316" s="19" t="s">
        <v>53</v>
      </c>
      <c r="U316" s="19" t="s">
        <v>54</v>
      </c>
      <c r="V316" s="19" t="s">
        <v>55</v>
      </c>
      <c r="W316" s="19" t="s">
        <v>56</v>
      </c>
      <c r="X316" s="19" t="s">
        <v>150</v>
      </c>
      <c r="Y316" s="19"/>
      <c r="Z316" s="19" t="s">
        <v>1603</v>
      </c>
      <c r="AA316" s="19">
        <v>2</v>
      </c>
      <c r="AB316" s="19">
        <v>2</v>
      </c>
      <c r="AC316" s="19" t="s">
        <v>59</v>
      </c>
      <c r="AD316" s="19" t="s">
        <v>1601</v>
      </c>
      <c r="AE316" s="19" t="s">
        <v>1604</v>
      </c>
      <c r="AF316" s="19"/>
    </row>
    <row r="317" spans="1:34" customHeight="1" ht="42">
      <c r="A317" s="19">
        <v>309</v>
      </c>
      <c r="B317" s="19" t="s">
        <v>1605</v>
      </c>
      <c r="C317" s="19" t="s">
        <v>1606</v>
      </c>
      <c r="D317" s="19" t="str">
        <f>HYPERLINK("http://henontech.com/fieldsafety/harzard/harzard_show.php?rid=17787&amp;url=harzardrecs.php","焦三皮带斜桥西侧外部一彩钢瓦腐蚀开裂，假如刮大风时掉落，恰巧砸中一名由此经过的巡检工右手臂。")</f>
        <v>焦三皮带斜桥西侧外部一彩钢瓦腐蚀开裂，假如刮大风时掉落，恰巧砸中一名由此经过的巡检工右手臂。</v>
      </c>
      <c r="E317" s="19" t="s">
        <v>1607</v>
      </c>
      <c r="F317" s="20" t="s">
        <v>42</v>
      </c>
      <c r="G317" s="22" t="s">
        <v>111</v>
      </c>
      <c r="H317" s="19" t="s">
        <v>44</v>
      </c>
      <c r="I317" s="19" t="s">
        <v>129</v>
      </c>
      <c r="J317" s="19"/>
      <c r="K317" s="19" t="s">
        <v>302</v>
      </c>
      <c r="L317" s="19" t="s">
        <v>65</v>
      </c>
      <c r="M317" s="19" t="s">
        <v>49</v>
      </c>
      <c r="N317" s="19" t="s">
        <v>1063</v>
      </c>
      <c r="O317" s="19" t="s">
        <v>49</v>
      </c>
      <c r="P317" s="19" t="s">
        <v>460</v>
      </c>
      <c r="Q317" s="19" t="s">
        <v>1554</v>
      </c>
      <c r="R317" s="19" t="s">
        <v>1608</v>
      </c>
      <c r="S317" s="19"/>
      <c r="T317" s="19" t="s">
        <v>53</v>
      </c>
      <c r="U317" s="19" t="s">
        <v>54</v>
      </c>
      <c r="V317" s="19" t="s">
        <v>55</v>
      </c>
      <c r="W317" s="19" t="s">
        <v>56</v>
      </c>
      <c r="X317" s="19" t="s">
        <v>150</v>
      </c>
      <c r="Y317" s="19"/>
      <c r="Z317" s="19" t="s">
        <v>1609</v>
      </c>
      <c r="AA317" s="19">
        <v>2</v>
      </c>
      <c r="AB317" s="19">
        <v>2</v>
      </c>
      <c r="AC317" s="19" t="s">
        <v>59</v>
      </c>
      <c r="AD317" s="19" t="s">
        <v>460</v>
      </c>
      <c r="AE317" s="19" t="s">
        <v>1557</v>
      </c>
      <c r="AF317" s="19"/>
    </row>
    <row r="318" spans="1:34" customHeight="1" ht="42">
      <c r="A318" s="19">
        <v>310</v>
      </c>
      <c r="B318" s="19" t="s">
        <v>1605</v>
      </c>
      <c r="C318" s="19" t="s">
        <v>985</v>
      </c>
      <c r="D318" s="19" t="str">
        <f>HYPERLINK("http://henontech.com/fieldsafety/harzard/harzard_show.php?rid=17995&amp;url=harzardrecs.php","5.5米煤仓东墙彩钢瓦开裂，如遇大风天气彩钢瓦高处坠落，恰巧砸中由此经过的操作工左肩，送医检查骨折。")</f>
        <v>5.5米煤仓东墙彩钢瓦开裂，如遇大风天气彩钢瓦高处坠落，恰巧砸中由此经过的操作工左肩，送医检查骨折。</v>
      </c>
      <c r="E318" s="19" t="s">
        <v>1610</v>
      </c>
      <c r="F318" s="20" t="s">
        <v>42</v>
      </c>
      <c r="G318" s="21" t="s">
        <v>43</v>
      </c>
      <c r="H318" s="19" t="s">
        <v>44</v>
      </c>
      <c r="I318" s="19" t="s">
        <v>78</v>
      </c>
      <c r="J318" s="19" t="s">
        <v>64</v>
      </c>
      <c r="K318" s="19" t="s">
        <v>302</v>
      </c>
      <c r="L318" s="19" t="s">
        <v>65</v>
      </c>
      <c r="M318" s="19" t="s">
        <v>49</v>
      </c>
      <c r="N318" s="19" t="s">
        <v>1611</v>
      </c>
      <c r="O318" s="19" t="s">
        <v>49</v>
      </c>
      <c r="P318" s="19" t="s">
        <v>460</v>
      </c>
      <c r="Q318" s="19" t="s">
        <v>1554</v>
      </c>
      <c r="R318" s="19" t="s">
        <v>1612</v>
      </c>
      <c r="S318" s="19"/>
      <c r="T318" s="19" t="s">
        <v>53</v>
      </c>
      <c r="U318" s="19" t="s">
        <v>54</v>
      </c>
      <c r="V318" s="19" t="s">
        <v>55</v>
      </c>
      <c r="W318" s="19" t="s">
        <v>56</v>
      </c>
      <c r="X318" s="19" t="s">
        <v>150</v>
      </c>
      <c r="Y318" s="19"/>
      <c r="Z318" s="19" t="s">
        <v>1613</v>
      </c>
      <c r="AA318" s="19">
        <v>2</v>
      </c>
      <c r="AB318" s="19">
        <v>2</v>
      </c>
      <c r="AC318" s="19" t="s">
        <v>59</v>
      </c>
      <c r="AD318" s="19" t="s">
        <v>460</v>
      </c>
      <c r="AE318" s="19" t="s">
        <v>1564</v>
      </c>
      <c r="AF318" s="19"/>
    </row>
    <row r="319" spans="1:34" customHeight="1" ht="42">
      <c r="A319" s="19">
        <v>311</v>
      </c>
      <c r="B319" s="19" t="s">
        <v>1605</v>
      </c>
      <c r="C319" s="19" t="s">
        <v>1614</v>
      </c>
      <c r="D319" s="19" t="str">
        <f>HYPERLINK("http://henontech.com/fieldsafety/harzard/harzard_show.php?rid=18041&amp;url=harzardrecs.php","因汽轮机电动门无操作平台操作工站在不固定的物体上操作，不慎摔倒导致左小腿骨折需住院治疗。")</f>
        <v>因汽轮机电动门无操作平台操作工站在不固定的物体上操作，不慎摔倒导致左小腿骨折需住院治疗。</v>
      </c>
      <c r="E319" s="19" t="s">
        <v>1615</v>
      </c>
      <c r="F319" s="20" t="s">
        <v>42</v>
      </c>
      <c r="G319" s="21" t="s">
        <v>43</v>
      </c>
      <c r="H319" s="19" t="s">
        <v>44</v>
      </c>
      <c r="I319" s="19"/>
      <c r="J319" s="19" t="s">
        <v>64</v>
      </c>
      <c r="K319" s="19" t="s">
        <v>88</v>
      </c>
      <c r="L319" s="19"/>
      <c r="M319" s="19" t="s">
        <v>229</v>
      </c>
      <c r="N319" s="19" t="s">
        <v>1616</v>
      </c>
      <c r="O319" s="19" t="s">
        <v>229</v>
      </c>
      <c r="P319" s="19" t="s">
        <v>669</v>
      </c>
      <c r="Q319" s="19" t="s">
        <v>1592</v>
      </c>
      <c r="R319" s="19" t="s">
        <v>1617</v>
      </c>
      <c r="S319" s="19"/>
      <c r="T319" s="19" t="s">
        <v>53</v>
      </c>
      <c r="U319" s="19" t="s">
        <v>54</v>
      </c>
      <c r="V319" s="19" t="s">
        <v>55</v>
      </c>
      <c r="W319" s="19" t="s">
        <v>56</v>
      </c>
      <c r="X319" s="19" t="s">
        <v>57</v>
      </c>
      <c r="Y319" s="19"/>
      <c r="Z319" s="19" t="s">
        <v>1618</v>
      </c>
      <c r="AA319" s="19">
        <v>2</v>
      </c>
      <c r="AB319" s="19">
        <v>2</v>
      </c>
      <c r="AC319" s="19" t="s">
        <v>59</v>
      </c>
      <c r="AD319" s="19" t="s">
        <v>669</v>
      </c>
      <c r="AE319" s="19" t="s">
        <v>1589</v>
      </c>
      <c r="AF319" s="19"/>
    </row>
    <row r="320" spans="1:34" customHeight="1" ht="42">
      <c r="A320" s="19">
        <v>312</v>
      </c>
      <c r="B320" s="19" t="s">
        <v>1619</v>
      </c>
      <c r="C320" s="19" t="s">
        <v>1620</v>
      </c>
      <c r="D320" s="19" t="str">
        <f>HYPERLINK("http://henontech.com/fieldsafety/harzard/harzard_show.php?rid=18071&amp;url=harzardrecs.php","一名巡检工在开二号减温减压到分汽缸进汽阀门时，因阀门漏气造成烫伤送医院治疗")</f>
        <v>一名巡检工在开二号减温减压到分汽缸进汽阀门时，因阀门漏气造成烫伤送医院治疗</v>
      </c>
      <c r="E320" s="19" t="s">
        <v>1621</v>
      </c>
      <c r="F320" s="20" t="s">
        <v>42</v>
      </c>
      <c r="G320" s="21" t="s">
        <v>43</v>
      </c>
      <c r="H320" s="19" t="s">
        <v>44</v>
      </c>
      <c r="I320" s="19" t="s">
        <v>78</v>
      </c>
      <c r="J320" s="19" t="s">
        <v>64</v>
      </c>
      <c r="K320" s="19"/>
      <c r="L320" s="19"/>
      <c r="M320" s="19" t="s">
        <v>229</v>
      </c>
      <c r="N320" s="19" t="s">
        <v>1622</v>
      </c>
      <c r="O320" s="19" t="s">
        <v>229</v>
      </c>
      <c r="P320" s="19" t="s">
        <v>669</v>
      </c>
      <c r="Q320" s="19" t="s">
        <v>1592</v>
      </c>
      <c r="R320" s="19" t="s">
        <v>1623</v>
      </c>
      <c r="S320" s="19"/>
      <c r="T320" s="19" t="s">
        <v>53</v>
      </c>
      <c r="U320" s="19" t="s">
        <v>54</v>
      </c>
      <c r="V320" s="19" t="s">
        <v>55</v>
      </c>
      <c r="W320" s="19" t="s">
        <v>56</v>
      </c>
      <c r="X320" s="19" t="s">
        <v>57</v>
      </c>
      <c r="Y320" s="19"/>
      <c r="Z320" s="19" t="s">
        <v>1624</v>
      </c>
      <c r="AA320" s="19">
        <v>2</v>
      </c>
      <c r="AB320" s="19">
        <v>2</v>
      </c>
      <c r="AC320" s="19" t="s">
        <v>59</v>
      </c>
      <c r="AD320" s="19" t="s">
        <v>669</v>
      </c>
      <c r="AE320" s="19" t="s">
        <v>1589</v>
      </c>
      <c r="AF320" s="19"/>
    </row>
    <row r="321" spans="1:34" customHeight="1" ht="42">
      <c r="A321" s="19">
        <v>313</v>
      </c>
      <c r="B321" s="19" t="s">
        <v>1619</v>
      </c>
      <c r="C321" s="19" t="s">
        <v>1580</v>
      </c>
      <c r="D321" s="19" t="str">
        <f>HYPERLINK("http://henontech.com/fieldsafety/harzard/harzard_show.php?rid=18091&amp;url=harzardrecs.php","送煤车刮板机篦子钢筋横梁锈蚀损毁，一操作工经过时不慎踩入刮板机，送医院治疗，住院6个月，修养6个月。")</f>
        <v>送煤车刮板机篦子钢筋横梁锈蚀损毁，一操作工经过时不慎踩入刮板机，送医院治疗，住院6个月，修养6个月。</v>
      </c>
      <c r="E321" s="19" t="s">
        <v>1625</v>
      </c>
      <c r="F321" s="20" t="s">
        <v>42</v>
      </c>
      <c r="G321" s="21" t="s">
        <v>43</v>
      </c>
      <c r="H321" s="19" t="s">
        <v>44</v>
      </c>
      <c r="I321" s="19" t="s">
        <v>78</v>
      </c>
      <c r="J321" s="19" t="s">
        <v>64</v>
      </c>
      <c r="K321" s="19" t="s">
        <v>46</v>
      </c>
      <c r="L321" s="19" t="s">
        <v>65</v>
      </c>
      <c r="M321" s="19" t="s">
        <v>49</v>
      </c>
      <c r="N321" s="19" t="s">
        <v>1626</v>
      </c>
      <c r="O321" s="19" t="s">
        <v>49</v>
      </c>
      <c r="P321" s="19" t="s">
        <v>460</v>
      </c>
      <c r="Q321" s="19" t="s">
        <v>1604</v>
      </c>
      <c r="R321" s="19" t="s">
        <v>1627</v>
      </c>
      <c r="S321" s="19"/>
      <c r="T321" s="19" t="s">
        <v>53</v>
      </c>
      <c r="U321" s="19" t="s">
        <v>54</v>
      </c>
      <c r="V321" s="19" t="s">
        <v>55</v>
      </c>
      <c r="W321" s="19" t="s">
        <v>56</v>
      </c>
      <c r="X321" s="19" t="s">
        <v>57</v>
      </c>
      <c r="Y321" s="19"/>
      <c r="Z321" s="19" t="s">
        <v>1628</v>
      </c>
      <c r="AA321" s="19">
        <v>2</v>
      </c>
      <c r="AB321" s="19">
        <v>2</v>
      </c>
      <c r="AC321" s="19" t="s">
        <v>59</v>
      </c>
      <c r="AD321" s="19" t="s">
        <v>460</v>
      </c>
      <c r="AE321" s="19" t="s">
        <v>1564</v>
      </c>
      <c r="AF321" s="19"/>
    </row>
    <row r="322" spans="1:34" customHeight="1" ht="42">
      <c r="A322" s="19">
        <v>314</v>
      </c>
      <c r="B322" s="19" t="s">
        <v>1619</v>
      </c>
      <c r="C322" s="19" t="s">
        <v>1629</v>
      </c>
      <c r="D322" s="19" t="str">
        <f>HYPERLINK("http://henontech.com/fieldsafety/harzard/harzard_show.php?rid=18105&amp;url=harzardrecs.php","炉门修理站卷扬机连触器出现裂缝如果在使用过程中断裂会造成电机烧损")</f>
        <v>炉门修理站卷扬机连触器出现裂缝如果在使用过程中断裂会造成电机烧损</v>
      </c>
      <c r="E322" s="19" t="s">
        <v>1630</v>
      </c>
      <c r="F322" s="20" t="s">
        <v>42</v>
      </c>
      <c r="G322" s="22" t="s">
        <v>111</v>
      </c>
      <c r="H322" s="19" t="s">
        <v>44</v>
      </c>
      <c r="I322" s="19" t="s">
        <v>129</v>
      </c>
      <c r="J322" s="19" t="s">
        <v>64</v>
      </c>
      <c r="K322" s="19"/>
      <c r="L322" s="19"/>
      <c r="M322" s="19" t="s">
        <v>49</v>
      </c>
      <c r="N322" s="19" t="s">
        <v>1631</v>
      </c>
      <c r="O322" s="19" t="s">
        <v>49</v>
      </c>
      <c r="P322" s="19" t="s">
        <v>460</v>
      </c>
      <c r="Q322" s="19" t="s">
        <v>1632</v>
      </c>
      <c r="R322" s="19" t="s">
        <v>1633</v>
      </c>
      <c r="S322" s="19"/>
      <c r="T322" s="19" t="s">
        <v>104</v>
      </c>
      <c r="U322" s="19" t="s">
        <v>71</v>
      </c>
      <c r="V322" s="19" t="s">
        <v>105</v>
      </c>
      <c r="W322" s="19" t="s">
        <v>96</v>
      </c>
      <c r="X322" s="19" t="s">
        <v>57</v>
      </c>
      <c r="Y322" s="19"/>
      <c r="Z322" s="19" t="s">
        <v>1634</v>
      </c>
      <c r="AA322" s="19">
        <v>2</v>
      </c>
      <c r="AB322" s="19">
        <v>2</v>
      </c>
      <c r="AC322" s="19" t="s">
        <v>59</v>
      </c>
      <c r="AD322" s="19" t="s">
        <v>460</v>
      </c>
      <c r="AE322" s="19" t="s">
        <v>1552</v>
      </c>
      <c r="AF322" s="19"/>
    </row>
    <row r="323" spans="1:34" customHeight="1" ht="42">
      <c r="A323" s="19">
        <v>315</v>
      </c>
      <c r="B323" s="19" t="s">
        <v>1619</v>
      </c>
      <c r="C323" s="19" t="s">
        <v>1635</v>
      </c>
      <c r="D323" s="19" t="str">
        <f>HYPERLINK("http://henontech.com/fieldsafety/harzard/harzard_show.php?rid=18152&amp;url=harzardrecs.php","拦焦车平台堵烟梯子处锈蚀严重，一操作工在堵完烟从梯子上下来时踩在上面，因锈蚀严重，不负重力，右脚跌落，造成腿部受伤，随即送医，经诊断为小腿骨折，皮肉划伤，住院治疗1个月，回家休养3个月。")</f>
        <v>拦焦车平台堵烟梯子处锈蚀严重，一操作工在堵完烟从梯子上下来时踩在上面，因锈蚀严重，不负重力，右脚跌落，造成腿部受伤，随即送医，经诊断为小腿骨折，皮肉划伤，住院治疗1个月，回家休养3个月。</v>
      </c>
      <c r="E323" s="19" t="s">
        <v>1636</v>
      </c>
      <c r="F323" s="20" t="s">
        <v>42</v>
      </c>
      <c r="G323" s="21" t="s">
        <v>43</v>
      </c>
      <c r="H323" s="19" t="s">
        <v>44</v>
      </c>
      <c r="I323" s="19" t="s">
        <v>78</v>
      </c>
      <c r="J323" s="19" t="s">
        <v>64</v>
      </c>
      <c r="K323" s="19" t="s">
        <v>46</v>
      </c>
      <c r="L323" s="19" t="s">
        <v>65</v>
      </c>
      <c r="M323" s="19" t="s">
        <v>49</v>
      </c>
      <c r="N323" s="19" t="s">
        <v>591</v>
      </c>
      <c r="O323" s="19" t="s">
        <v>49</v>
      </c>
      <c r="P323" s="19" t="s">
        <v>460</v>
      </c>
      <c r="Q323" s="19" t="s">
        <v>1604</v>
      </c>
      <c r="R323" s="19" t="s">
        <v>684</v>
      </c>
      <c r="S323" s="19"/>
      <c r="T323" s="19" t="s">
        <v>53</v>
      </c>
      <c r="U323" s="19" t="s">
        <v>54</v>
      </c>
      <c r="V323" s="19" t="s">
        <v>55</v>
      </c>
      <c r="W323" s="19" t="s">
        <v>56</v>
      </c>
      <c r="X323" s="19" t="s">
        <v>57</v>
      </c>
      <c r="Y323" s="19"/>
      <c r="Z323" s="19" t="s">
        <v>1637</v>
      </c>
      <c r="AA323" s="19">
        <v>2</v>
      </c>
      <c r="AB323" s="19">
        <v>2</v>
      </c>
      <c r="AC323" s="19" t="s">
        <v>59</v>
      </c>
      <c r="AD323" s="19" t="s">
        <v>460</v>
      </c>
      <c r="AE323" s="19" t="s">
        <v>1564</v>
      </c>
      <c r="AF323" s="19"/>
    </row>
    <row r="324" spans="1:34" customHeight="1" ht="42">
      <c r="A324" s="19">
        <v>316</v>
      </c>
      <c r="B324" s="19" t="s">
        <v>1638</v>
      </c>
      <c r="C324" s="19" t="s">
        <v>1639</v>
      </c>
      <c r="D324" s="19" t="str">
        <f>HYPERLINK("http://henontech.com/fieldsafety/harzard/harzard_show.php?rid=18162&amp;url=harzardrecs.php","疏水阀疏水管断开，易发生烫伤")</f>
        <v>疏水阀疏水管断开，易发生烫伤</v>
      </c>
      <c r="E324" s="19" t="s">
        <v>1640</v>
      </c>
      <c r="F324" s="20" t="s">
        <v>42</v>
      </c>
      <c r="G324" s="21" t="s">
        <v>43</v>
      </c>
      <c r="H324" s="19" t="s">
        <v>44</v>
      </c>
      <c r="I324" s="19" t="s">
        <v>129</v>
      </c>
      <c r="J324" s="19" t="s">
        <v>64</v>
      </c>
      <c r="K324" s="19" t="s">
        <v>46</v>
      </c>
      <c r="L324" s="19" t="s">
        <v>65</v>
      </c>
      <c r="M324" s="19" t="s">
        <v>229</v>
      </c>
      <c r="N324" s="19" t="s">
        <v>1499</v>
      </c>
      <c r="O324" s="19" t="s">
        <v>229</v>
      </c>
      <c r="P324" s="19" t="s">
        <v>669</v>
      </c>
      <c r="Q324" s="19" t="s">
        <v>1552</v>
      </c>
      <c r="R324" s="19" t="s">
        <v>1641</v>
      </c>
      <c r="S324" s="19"/>
      <c r="T324" s="19" t="s">
        <v>53</v>
      </c>
      <c r="U324" s="19" t="s">
        <v>71</v>
      </c>
      <c r="V324" s="19" t="s">
        <v>105</v>
      </c>
      <c r="W324" s="19" t="s">
        <v>96</v>
      </c>
      <c r="X324" s="19" t="s">
        <v>57</v>
      </c>
      <c r="Y324" s="19"/>
      <c r="Z324" s="19" t="s">
        <v>1642</v>
      </c>
      <c r="AA324" s="19">
        <v>2</v>
      </c>
      <c r="AB324" s="19">
        <v>2</v>
      </c>
      <c r="AC324" s="19" t="s">
        <v>59</v>
      </c>
      <c r="AD324" s="19" t="s">
        <v>669</v>
      </c>
      <c r="AE324" s="19" t="s">
        <v>1589</v>
      </c>
      <c r="AF324" s="19"/>
    </row>
    <row r="325" spans="1:34" customHeight="1" ht="42">
      <c r="A325" s="19">
        <v>317</v>
      </c>
      <c r="B325" s="19" t="s">
        <v>1638</v>
      </c>
      <c r="C325" s="19" t="s">
        <v>1635</v>
      </c>
      <c r="D325" s="19" t="str">
        <f>HYPERLINK("http://henontech.com/fieldsafety/harzard/harzard_show.php?rid=18204&amp;url=harzardrecs.php","拦焦除尘水封槽干管上部腐蚀严重，一名操作工在清理水槽经过此处时恰巧左腿落入干管内划伤，送医治疗7天。")</f>
        <v>拦焦除尘水封槽干管上部腐蚀严重，一名操作工在清理水槽经过此处时恰巧左腿落入干管内划伤，送医治疗7天。</v>
      </c>
      <c r="E325" s="19" t="s">
        <v>1643</v>
      </c>
      <c r="F325" s="20" t="s">
        <v>42</v>
      </c>
      <c r="G325" s="21" t="s">
        <v>43</v>
      </c>
      <c r="H325" s="19" t="s">
        <v>44</v>
      </c>
      <c r="I325" s="19" t="s">
        <v>78</v>
      </c>
      <c r="J325" s="19" t="s">
        <v>64</v>
      </c>
      <c r="K325" s="19" t="s">
        <v>46</v>
      </c>
      <c r="L325" s="19" t="s">
        <v>65</v>
      </c>
      <c r="M325" s="19" t="s">
        <v>49</v>
      </c>
      <c r="N325" s="19" t="s">
        <v>1644</v>
      </c>
      <c r="O325" s="19" t="s">
        <v>49</v>
      </c>
      <c r="P325" s="19" t="s">
        <v>460</v>
      </c>
      <c r="Q325" s="19" t="s">
        <v>1604</v>
      </c>
      <c r="R325" s="19" t="s">
        <v>1645</v>
      </c>
      <c r="S325" s="19"/>
      <c r="T325" s="19" t="s">
        <v>53</v>
      </c>
      <c r="U325" s="19" t="s">
        <v>54</v>
      </c>
      <c r="V325" s="19" t="s">
        <v>105</v>
      </c>
      <c r="W325" s="19" t="s">
        <v>72</v>
      </c>
      <c r="X325" s="19" t="s">
        <v>57</v>
      </c>
      <c r="Y325" s="19"/>
      <c r="Z325" s="19" t="s">
        <v>1646</v>
      </c>
      <c r="AA325" s="19">
        <v>2</v>
      </c>
      <c r="AB325" s="19">
        <v>2</v>
      </c>
      <c r="AC325" s="19" t="s">
        <v>59</v>
      </c>
      <c r="AD325" s="19" t="s">
        <v>460</v>
      </c>
      <c r="AE325" s="19" t="s">
        <v>1552</v>
      </c>
      <c r="AF325" s="19"/>
    </row>
    <row r="326" spans="1:34" customHeight="1" ht="42">
      <c r="A326" s="19">
        <v>318</v>
      </c>
      <c r="B326" s="19" t="s">
        <v>1647</v>
      </c>
      <c r="C326" s="19" t="s">
        <v>1648</v>
      </c>
      <c r="D326" s="19" t="str">
        <f>HYPERLINK("http://henontech.com/fieldsafety/harzard/harzard_show.php?rid=18380&amp;url=harzardrecs.php","由于炉顶上升管平台严重腐蚀变形，操作人员站在此处干活，平台断裂，导致操作人员摔下去，造成腿部骨折。")</f>
        <v>由于炉顶上升管平台严重腐蚀变形，操作人员站在此处干活，平台断裂，导致操作人员摔下去，造成腿部骨折。</v>
      </c>
      <c r="E326" s="19" t="s">
        <v>1649</v>
      </c>
      <c r="F326" s="20" t="s">
        <v>42</v>
      </c>
      <c r="G326" s="21" t="s">
        <v>43</v>
      </c>
      <c r="H326" s="19" t="s">
        <v>44</v>
      </c>
      <c r="I326" s="19" t="s">
        <v>205</v>
      </c>
      <c r="J326" s="19" t="s">
        <v>45</v>
      </c>
      <c r="K326" s="19" t="s">
        <v>46</v>
      </c>
      <c r="L326" s="19" t="s">
        <v>662</v>
      </c>
      <c r="M326" s="19" t="s">
        <v>49</v>
      </c>
      <c r="N326" s="19" t="s">
        <v>1650</v>
      </c>
      <c r="O326" s="19" t="s">
        <v>49</v>
      </c>
      <c r="P326" s="19" t="s">
        <v>460</v>
      </c>
      <c r="Q326" s="19" t="s">
        <v>1651</v>
      </c>
      <c r="R326" s="19" t="s">
        <v>1652</v>
      </c>
      <c r="S326" s="19"/>
      <c r="T326" s="19" t="s">
        <v>53</v>
      </c>
      <c r="U326" s="19" t="s">
        <v>54</v>
      </c>
      <c r="V326" s="19" t="s">
        <v>55</v>
      </c>
      <c r="W326" s="19" t="s">
        <v>56</v>
      </c>
      <c r="X326" s="19" t="s">
        <v>57</v>
      </c>
      <c r="Y326" s="19"/>
      <c r="Z326" s="19" t="s">
        <v>1653</v>
      </c>
      <c r="AA326" s="19">
        <v>2</v>
      </c>
      <c r="AB326" s="19">
        <v>2</v>
      </c>
      <c r="AC326" s="19" t="s">
        <v>59</v>
      </c>
      <c r="AD326" s="19" t="s">
        <v>460</v>
      </c>
      <c r="AE326" s="19" t="s">
        <v>1552</v>
      </c>
      <c r="AF326" s="19"/>
    </row>
    <row r="327" spans="1:34" customHeight="1" ht="42">
      <c r="A327" s="19">
        <v>319</v>
      </c>
      <c r="B327" s="19" t="s">
        <v>1647</v>
      </c>
      <c r="C327" s="19" t="s">
        <v>1654</v>
      </c>
      <c r="D327" s="19" t="str">
        <f>HYPERLINK("http://henontech.com/fieldsafety/harzard/harzard_show.php?rid=18422&amp;url=harzardrecs.php","干熄车停车送罐定位点，由于长时间摩擦碰撞把道轨磨平导致定位误差大，在送焦罐时车辆摆动幅度较大容易导致夹紧碰坏，影响正常生产。")</f>
        <v>干熄车停车送罐定位点，由于长时间摩擦碰撞把道轨磨平导致定位误差大，在送焦罐时车辆摆动幅度较大容易导致夹紧碰坏，影响正常生产。</v>
      </c>
      <c r="E327" s="19" t="s">
        <v>1655</v>
      </c>
      <c r="F327" s="20" t="s">
        <v>42</v>
      </c>
      <c r="G327" s="21" t="s">
        <v>43</v>
      </c>
      <c r="H327" s="19" t="s">
        <v>44</v>
      </c>
      <c r="I327" s="19" t="s">
        <v>129</v>
      </c>
      <c r="J327" s="19" t="s">
        <v>45</v>
      </c>
      <c r="K327" s="19" t="s">
        <v>302</v>
      </c>
      <c r="L327" s="19" t="s">
        <v>65</v>
      </c>
      <c r="M327" s="19" t="s">
        <v>49</v>
      </c>
      <c r="N327" s="19" t="s">
        <v>1656</v>
      </c>
      <c r="O327" s="19" t="s">
        <v>49</v>
      </c>
      <c r="P327" s="19" t="s">
        <v>460</v>
      </c>
      <c r="Q327" s="19" t="s">
        <v>1632</v>
      </c>
      <c r="R327" s="19" t="s">
        <v>1657</v>
      </c>
      <c r="S327" s="19"/>
      <c r="T327" s="19" t="s">
        <v>104</v>
      </c>
      <c r="U327" s="19" t="s">
        <v>94</v>
      </c>
      <c r="V327" s="19" t="s">
        <v>55</v>
      </c>
      <c r="W327" s="19" t="s">
        <v>96</v>
      </c>
      <c r="X327" s="19" t="s">
        <v>57</v>
      </c>
      <c r="Y327" s="19"/>
      <c r="Z327" s="19" t="s">
        <v>1658</v>
      </c>
      <c r="AA327" s="19">
        <v>2</v>
      </c>
      <c r="AB327" s="19">
        <v>2</v>
      </c>
      <c r="AC327" s="19" t="s">
        <v>59</v>
      </c>
      <c r="AD327" s="19" t="s">
        <v>460</v>
      </c>
      <c r="AE327" s="19" t="s">
        <v>1564</v>
      </c>
      <c r="AF327" s="19"/>
    </row>
    <row r="328" spans="1:34" customHeight="1" ht="42">
      <c r="A328" s="19">
        <v>320</v>
      </c>
      <c r="B328" s="19" t="s">
        <v>1659</v>
      </c>
      <c r="C328" s="19" t="s">
        <v>1660</v>
      </c>
      <c r="D328" s="19" t="str">
        <f>HYPERLINK("http://henontech.com/fieldsafety/harzard/harzard_show.php?rid=18491&amp;url=harzardrecs.php","在巡检过程中发现絮凝剂加药管道破裂漏液，如果不小心喷到胳膊上将会损害皮肤")</f>
        <v>在巡检过程中发现絮凝剂加药管道破裂漏液，如果不小心喷到胳膊上将会损害皮肤</v>
      </c>
      <c r="E328" s="19" t="s">
        <v>1661</v>
      </c>
      <c r="F328" s="20" t="s">
        <v>42</v>
      </c>
      <c r="G328" s="21" t="s">
        <v>43</v>
      </c>
      <c r="H328" s="19" t="s">
        <v>44</v>
      </c>
      <c r="I328" s="19" t="s">
        <v>129</v>
      </c>
      <c r="J328" s="19" t="s">
        <v>64</v>
      </c>
      <c r="K328" s="19" t="s">
        <v>88</v>
      </c>
      <c r="L328" s="19"/>
      <c r="M328" s="19" t="s">
        <v>229</v>
      </c>
      <c r="N328" s="19" t="s">
        <v>1379</v>
      </c>
      <c r="O328" s="19" t="s">
        <v>229</v>
      </c>
      <c r="P328" s="19" t="s">
        <v>669</v>
      </c>
      <c r="Q328" s="19" t="s">
        <v>1592</v>
      </c>
      <c r="R328" s="19" t="s">
        <v>1662</v>
      </c>
      <c r="S328" s="19"/>
      <c r="T328" s="19" t="s">
        <v>53</v>
      </c>
      <c r="U328" s="19" t="s">
        <v>94</v>
      </c>
      <c r="V328" s="19" t="s">
        <v>105</v>
      </c>
      <c r="W328" s="19" t="s">
        <v>96</v>
      </c>
      <c r="X328" s="19" t="s">
        <v>57</v>
      </c>
      <c r="Y328" s="19"/>
      <c r="Z328" s="19" t="s">
        <v>1663</v>
      </c>
      <c r="AA328" s="19">
        <v>2</v>
      </c>
      <c r="AB328" s="19">
        <v>2</v>
      </c>
      <c r="AC328" s="19" t="s">
        <v>59</v>
      </c>
      <c r="AD328" s="19" t="s">
        <v>669</v>
      </c>
      <c r="AE328" s="19" t="s">
        <v>1589</v>
      </c>
      <c r="AF328" s="19"/>
    </row>
    <row r="329" spans="1:34" customHeight="1" ht="42">
      <c r="A329" s="19">
        <v>321</v>
      </c>
      <c r="B329" s="19" t="s">
        <v>1664</v>
      </c>
      <c r="C329" s="19" t="s">
        <v>1472</v>
      </c>
      <c r="D329" s="19" t="str">
        <f>HYPERLINK("http://henontech.com/fieldsafety/harzard/harzard_show.php?rid=18773&amp;url=harzardrecs.php","75t锅炉三楼平台通向渣库的爬梯未按装安全警示牌，一名锅炉操作工在爬此爬梯准备去渣库顶部看料位时不小心踩空从爬梯上滑落到地下。")</f>
        <v>75t锅炉三楼平台通向渣库的爬梯未按装安全警示牌，一名锅炉操作工在爬此爬梯准备去渣库顶部看料位时不小心踩空从爬梯上滑落到地下。</v>
      </c>
      <c r="E329" s="19" t="s">
        <v>1665</v>
      </c>
      <c r="F329" s="20" t="s">
        <v>42</v>
      </c>
      <c r="G329" s="21" t="s">
        <v>43</v>
      </c>
      <c r="H329" s="19" t="s">
        <v>44</v>
      </c>
      <c r="I329" s="19" t="s">
        <v>129</v>
      </c>
      <c r="J329" s="19" t="s">
        <v>600</v>
      </c>
      <c r="K329" s="19" t="s">
        <v>466</v>
      </c>
      <c r="L329" s="19" t="s">
        <v>65</v>
      </c>
      <c r="M329" s="19" t="s">
        <v>229</v>
      </c>
      <c r="N329" s="19" t="s">
        <v>472</v>
      </c>
      <c r="O329" s="19" t="s">
        <v>229</v>
      </c>
      <c r="P329" s="19" t="s">
        <v>669</v>
      </c>
      <c r="Q329" s="19" t="s">
        <v>1592</v>
      </c>
      <c r="R329" s="19" t="s">
        <v>1666</v>
      </c>
      <c r="S329" s="19"/>
      <c r="T329" s="19" t="s">
        <v>53</v>
      </c>
      <c r="U329" s="19" t="s">
        <v>54</v>
      </c>
      <c r="V329" s="19" t="s">
        <v>105</v>
      </c>
      <c r="W329" s="19" t="s">
        <v>72</v>
      </c>
      <c r="X329" s="19" t="s">
        <v>57</v>
      </c>
      <c r="Y329" s="19"/>
      <c r="Z329" s="19" t="s">
        <v>1594</v>
      </c>
      <c r="AA329" s="19">
        <v>2</v>
      </c>
      <c r="AB329" s="19">
        <v>2</v>
      </c>
      <c r="AC329" s="19" t="s">
        <v>59</v>
      </c>
      <c r="AD329" s="19" t="s">
        <v>669</v>
      </c>
      <c r="AE329" s="19" t="s">
        <v>1405</v>
      </c>
      <c r="AF329" s="19"/>
    </row>
    <row r="330" spans="1:34" customHeight="1" ht="42">
      <c r="A330" s="19">
        <v>322</v>
      </c>
      <c r="B330" s="19" t="s">
        <v>1667</v>
      </c>
      <c r="C330" s="19" t="s">
        <v>1629</v>
      </c>
      <c r="D330" s="19" t="str">
        <f>HYPERLINK("http://henontech.com/fieldsafety/harzard/harzard_show.php?rid=18856&amp;url=harzardrecs.php","推焦岗位更换下的炉门横栓没有下靠到挂耳内，员工在此经过或是工作时不慎炉门脱落，造成伤人事故。")</f>
        <v>推焦岗位更换下的炉门横栓没有下靠到挂耳内，员工在此经过或是工作时不慎炉门脱落，造成伤人事故。</v>
      </c>
      <c r="E330" s="19" t="s">
        <v>1668</v>
      </c>
      <c r="F330" s="20" t="s">
        <v>42</v>
      </c>
      <c r="G330" s="24" t="s">
        <v>534</v>
      </c>
      <c r="H330" s="19" t="s">
        <v>44</v>
      </c>
      <c r="I330" s="19" t="s">
        <v>297</v>
      </c>
      <c r="J330" s="19" t="s">
        <v>87</v>
      </c>
      <c r="K330" s="19" t="s">
        <v>46</v>
      </c>
      <c r="L330" s="19" t="s">
        <v>662</v>
      </c>
      <c r="M330" s="19" t="s">
        <v>49</v>
      </c>
      <c r="N330" s="19" t="s">
        <v>800</v>
      </c>
      <c r="O330" s="19" t="s">
        <v>49</v>
      </c>
      <c r="P330" s="19" t="s">
        <v>1260</v>
      </c>
      <c r="Q330" s="19" t="s">
        <v>1669</v>
      </c>
      <c r="R330" s="19" t="s">
        <v>1670</v>
      </c>
      <c r="S330" s="19"/>
      <c r="T330" s="19" t="s">
        <v>53</v>
      </c>
      <c r="U330" s="19" t="s">
        <v>116</v>
      </c>
      <c r="V330" s="19" t="s">
        <v>95</v>
      </c>
      <c r="W330" s="19" t="s">
        <v>117</v>
      </c>
      <c r="X330" s="19" t="s">
        <v>150</v>
      </c>
      <c r="Y330" s="19"/>
      <c r="Z330" s="19" t="s">
        <v>1671</v>
      </c>
      <c r="AA330" s="19">
        <v>2</v>
      </c>
      <c r="AB330" s="19">
        <v>2</v>
      </c>
      <c r="AC330" s="19" t="s">
        <v>59</v>
      </c>
      <c r="AD330" s="19" t="s">
        <v>1260</v>
      </c>
      <c r="AE330" s="19" t="s">
        <v>1672</v>
      </c>
      <c r="AF330" s="19"/>
    </row>
    <row r="331" spans="1:34" customHeight="1" ht="42">
      <c r="A331" s="19">
        <v>323</v>
      </c>
      <c r="B331" s="19" t="s">
        <v>1667</v>
      </c>
      <c r="C331" s="19" t="s">
        <v>1654</v>
      </c>
      <c r="D331" s="19" t="str">
        <f>HYPERLINK("http://henontech.com/fieldsafety/harzard/harzard_show.php?rid=18858&amp;url=harzardrecs.php","机侧除尘备件摆放杂乱，一操作工巡检翻越时摔倒，造成肋骨骨折，就医治疗。")</f>
        <v>机侧除尘备件摆放杂乱，一操作工巡检翻越时摔倒，造成肋骨骨折，就医治疗。</v>
      </c>
      <c r="E331" s="19" t="s">
        <v>1673</v>
      </c>
      <c r="F331" s="20" t="s">
        <v>42</v>
      </c>
      <c r="G331" s="21" t="s">
        <v>43</v>
      </c>
      <c r="H331" s="19" t="s">
        <v>44</v>
      </c>
      <c r="I331" s="19" t="s">
        <v>205</v>
      </c>
      <c r="J331" s="19" t="s">
        <v>308</v>
      </c>
      <c r="K331" s="19" t="s">
        <v>46</v>
      </c>
      <c r="L331" s="19" t="s">
        <v>662</v>
      </c>
      <c r="M331" s="19" t="s">
        <v>49</v>
      </c>
      <c r="N331" s="19" t="s">
        <v>797</v>
      </c>
      <c r="O331" s="19" t="s">
        <v>49</v>
      </c>
      <c r="P331" s="19" t="s">
        <v>460</v>
      </c>
      <c r="Q331" s="19" t="s">
        <v>1592</v>
      </c>
      <c r="R331" s="19" t="s">
        <v>1674</v>
      </c>
      <c r="S331" s="19"/>
      <c r="T331" s="19" t="s">
        <v>53</v>
      </c>
      <c r="U331" s="19" t="s">
        <v>54</v>
      </c>
      <c r="V331" s="19" t="s">
        <v>105</v>
      </c>
      <c r="W331" s="19" t="s">
        <v>72</v>
      </c>
      <c r="X331" s="19" t="s">
        <v>150</v>
      </c>
      <c r="Y331" s="19"/>
      <c r="Z331" s="19" t="s">
        <v>1675</v>
      </c>
      <c r="AA331" s="19">
        <v>2</v>
      </c>
      <c r="AB331" s="19">
        <v>2</v>
      </c>
      <c r="AC331" s="19" t="s">
        <v>59</v>
      </c>
      <c r="AD331" s="19" t="s">
        <v>460</v>
      </c>
      <c r="AE331" s="19" t="s">
        <v>1433</v>
      </c>
      <c r="AF331" s="19"/>
    </row>
    <row r="332" spans="1:34" customHeight="1" ht="42">
      <c r="A332" s="19">
        <v>324</v>
      </c>
      <c r="B332" s="19" t="s">
        <v>1667</v>
      </c>
      <c r="C332" s="19" t="s">
        <v>805</v>
      </c>
      <c r="D332" s="19" t="str">
        <f>HYPERLINK("http://henontech.com/fieldsafety/harzard/harzard_show.php?rid=18860&amp;url=harzardrecs.php","扒焦平台北头废料杂乱，操作工在操作时，被绊倒造成膝盖半月板破裂，就医治疗。")</f>
        <v>扒焦平台北头废料杂乱，操作工在操作时，被绊倒造成膝盖半月板破裂，就医治疗。</v>
      </c>
      <c r="E332" s="19" t="s">
        <v>1676</v>
      </c>
      <c r="F332" s="20" t="s">
        <v>42</v>
      </c>
      <c r="G332" s="21" t="s">
        <v>43</v>
      </c>
      <c r="H332" s="19" t="s">
        <v>44</v>
      </c>
      <c r="I332" s="19" t="s">
        <v>205</v>
      </c>
      <c r="J332" s="19" t="s">
        <v>308</v>
      </c>
      <c r="K332" s="19" t="s">
        <v>46</v>
      </c>
      <c r="L332" s="19" t="s">
        <v>662</v>
      </c>
      <c r="M332" s="19" t="s">
        <v>49</v>
      </c>
      <c r="N332" s="19" t="s">
        <v>1260</v>
      </c>
      <c r="O332" s="19" t="s">
        <v>49</v>
      </c>
      <c r="P332" s="19" t="s">
        <v>804</v>
      </c>
      <c r="Q332" s="19" t="s">
        <v>1592</v>
      </c>
      <c r="R332" s="19" t="s">
        <v>1677</v>
      </c>
      <c r="S332" s="19"/>
      <c r="T332" s="19" t="s">
        <v>53</v>
      </c>
      <c r="U332" s="19" t="s">
        <v>54</v>
      </c>
      <c r="V332" s="19" t="s">
        <v>105</v>
      </c>
      <c r="W332" s="19" t="s">
        <v>72</v>
      </c>
      <c r="X332" s="19" t="s">
        <v>150</v>
      </c>
      <c r="Y332" s="19"/>
      <c r="Z332" s="19" t="s">
        <v>1678</v>
      </c>
      <c r="AA332" s="19">
        <v>2</v>
      </c>
      <c r="AB332" s="19">
        <v>2</v>
      </c>
      <c r="AC332" s="19" t="s">
        <v>59</v>
      </c>
      <c r="AD332" s="19" t="s">
        <v>804</v>
      </c>
      <c r="AE332" s="19" t="s">
        <v>1433</v>
      </c>
      <c r="AF332" s="19"/>
    </row>
    <row r="333" spans="1:34" customHeight="1" ht="42">
      <c r="A333" s="19">
        <v>325</v>
      </c>
      <c r="B333" s="19" t="s">
        <v>1667</v>
      </c>
      <c r="C333" s="19" t="s">
        <v>985</v>
      </c>
      <c r="D333" s="19" t="str">
        <f>HYPERLINK("http://henontech.com/fieldsafety/harzard/harzard_show.php?rid=18861&amp;url=harzardrecs.php","炉顶北头悬臂吊处废料未及时清理，一操作工在操作时，被废料绊倒，小臂与铁器撞击，造成粉碎性骨折，就医治疗。")</f>
        <v>炉顶北头悬臂吊处废料未及时清理，一操作工在操作时，被废料绊倒，小臂与铁器撞击，造成粉碎性骨折，就医治疗。</v>
      </c>
      <c r="E333" s="19" t="s">
        <v>1679</v>
      </c>
      <c r="F333" s="20" t="s">
        <v>42</v>
      </c>
      <c r="G333" s="21" t="s">
        <v>43</v>
      </c>
      <c r="H333" s="19" t="s">
        <v>44</v>
      </c>
      <c r="I333" s="19" t="s">
        <v>205</v>
      </c>
      <c r="J333" s="19" t="s">
        <v>308</v>
      </c>
      <c r="K333" s="19" t="s">
        <v>46</v>
      </c>
      <c r="L333" s="19" t="s">
        <v>662</v>
      </c>
      <c r="M333" s="19" t="s">
        <v>49</v>
      </c>
      <c r="N333" s="19" t="s">
        <v>1260</v>
      </c>
      <c r="O333" s="19" t="s">
        <v>49</v>
      </c>
      <c r="P333" s="19" t="s">
        <v>804</v>
      </c>
      <c r="Q333" s="19" t="s">
        <v>1592</v>
      </c>
      <c r="R333" s="19" t="s">
        <v>1680</v>
      </c>
      <c r="S333" s="19"/>
      <c r="T333" s="19" t="s">
        <v>53</v>
      </c>
      <c r="U333" s="19" t="s">
        <v>54</v>
      </c>
      <c r="V333" s="19" t="s">
        <v>105</v>
      </c>
      <c r="W333" s="19" t="s">
        <v>72</v>
      </c>
      <c r="X333" s="19" t="s">
        <v>150</v>
      </c>
      <c r="Y333" s="19"/>
      <c r="Z333" s="19" t="s">
        <v>1681</v>
      </c>
      <c r="AA333" s="19">
        <v>2</v>
      </c>
      <c r="AB333" s="19">
        <v>2</v>
      </c>
      <c r="AC333" s="19" t="s">
        <v>59</v>
      </c>
      <c r="AD333" s="19" t="s">
        <v>804</v>
      </c>
      <c r="AE333" s="19" t="s">
        <v>1433</v>
      </c>
      <c r="AF333" s="19"/>
    </row>
    <row r="334" spans="1:34" customHeight="1" ht="42">
      <c r="A334" s="19">
        <v>326</v>
      </c>
      <c r="B334" s="19" t="s">
        <v>1667</v>
      </c>
      <c r="C334" s="19" t="s">
        <v>1682</v>
      </c>
      <c r="D334" s="19" t="str">
        <f>HYPERLINK("http://henontech.com/fieldsafety/harzard/harzard_show.php?rid=18862&amp;url=harzardrecs.php","焦三巡检通道现场杂乱，夜班一操作人员巡检时，不慎被绊倒，脑部与铁器撞击，当场昏迷不醒，送医救治。")</f>
        <v>焦三巡检通道现场杂乱，夜班一操作人员巡检时，不慎被绊倒，脑部与铁器撞击，当场昏迷不醒，送医救治。</v>
      </c>
      <c r="E334" s="19" t="s">
        <v>1683</v>
      </c>
      <c r="F334" s="20" t="s">
        <v>42</v>
      </c>
      <c r="G334" s="21" t="s">
        <v>43</v>
      </c>
      <c r="H334" s="19" t="s">
        <v>44</v>
      </c>
      <c r="I334" s="19" t="s">
        <v>205</v>
      </c>
      <c r="J334" s="19" t="s">
        <v>308</v>
      </c>
      <c r="K334" s="19" t="s">
        <v>46</v>
      </c>
      <c r="L334" s="19" t="s">
        <v>662</v>
      </c>
      <c r="M334" s="19" t="s">
        <v>49</v>
      </c>
      <c r="N334" s="19" t="s">
        <v>1684</v>
      </c>
      <c r="O334" s="19" t="s">
        <v>49</v>
      </c>
      <c r="P334" s="19" t="s">
        <v>310</v>
      </c>
      <c r="Q334" s="19" t="s">
        <v>1592</v>
      </c>
      <c r="R334" s="19" t="s">
        <v>1685</v>
      </c>
      <c r="S334" s="19"/>
      <c r="T334" s="19" t="s">
        <v>53</v>
      </c>
      <c r="U334" s="19" t="s">
        <v>54</v>
      </c>
      <c r="V334" s="19" t="s">
        <v>105</v>
      </c>
      <c r="W334" s="19" t="s">
        <v>72</v>
      </c>
      <c r="X334" s="19" t="s">
        <v>150</v>
      </c>
      <c r="Y334" s="19"/>
      <c r="Z334" s="19" t="s">
        <v>1686</v>
      </c>
      <c r="AA334" s="19">
        <v>2</v>
      </c>
      <c r="AB334" s="19">
        <v>2</v>
      </c>
      <c r="AC334" s="19" t="s">
        <v>59</v>
      </c>
      <c r="AD334" s="19" t="s">
        <v>310</v>
      </c>
      <c r="AE334" s="19" t="s">
        <v>1687</v>
      </c>
      <c r="AF334" s="19" t="s">
        <v>1688</v>
      </c>
    </row>
    <row r="335" spans="1:34" customHeight="1" ht="42">
      <c r="A335" s="19">
        <v>327</v>
      </c>
      <c r="B335" s="19" t="s">
        <v>1667</v>
      </c>
      <c r="C335" s="19" t="s">
        <v>1689</v>
      </c>
      <c r="D335" s="19" t="str">
        <f>HYPERLINK("http://henontech.com/fieldsafety/harzard/harzard_show.php?rid=18881&amp;url=harzardrecs.php","35锅炉操作平台爬梯警示标语缺失致操作人员摔伤")</f>
        <v>35锅炉操作平台爬梯警示标语缺失致操作人员摔伤</v>
      </c>
      <c r="E335" s="19" t="s">
        <v>1690</v>
      </c>
      <c r="F335" s="20" t="s">
        <v>42</v>
      </c>
      <c r="G335" s="21" t="s">
        <v>43</v>
      </c>
      <c r="H335" s="19" t="s">
        <v>44</v>
      </c>
      <c r="I335" s="19" t="s">
        <v>78</v>
      </c>
      <c r="J335" s="19" t="s">
        <v>45</v>
      </c>
      <c r="K335" s="19" t="s">
        <v>79</v>
      </c>
      <c r="L335" s="19" t="s">
        <v>65</v>
      </c>
      <c r="M335" s="19" t="s">
        <v>229</v>
      </c>
      <c r="N335" s="19" t="s">
        <v>1691</v>
      </c>
      <c r="O335" s="19" t="s">
        <v>229</v>
      </c>
      <c r="P335" s="19" t="s">
        <v>669</v>
      </c>
      <c r="Q335" s="19" t="s">
        <v>1592</v>
      </c>
      <c r="R335" s="19" t="s">
        <v>1692</v>
      </c>
      <c r="S335" s="19"/>
      <c r="T335" s="19" t="s">
        <v>53</v>
      </c>
      <c r="U335" s="19" t="s">
        <v>54</v>
      </c>
      <c r="V335" s="19" t="s">
        <v>55</v>
      </c>
      <c r="W335" s="19" t="s">
        <v>56</v>
      </c>
      <c r="X335" s="19" t="s">
        <v>57</v>
      </c>
      <c r="Y335" s="19"/>
      <c r="Z335" s="19" t="s">
        <v>1594</v>
      </c>
      <c r="AA335" s="19">
        <v>2</v>
      </c>
      <c r="AB335" s="19">
        <v>2</v>
      </c>
      <c r="AC335" s="19" t="s">
        <v>59</v>
      </c>
      <c r="AD335" s="19" t="s">
        <v>669</v>
      </c>
      <c r="AE335" s="19" t="s">
        <v>1589</v>
      </c>
      <c r="AF335" s="19"/>
    </row>
    <row r="336" spans="1:34" customHeight="1" ht="42">
      <c r="A336" s="19">
        <v>328</v>
      </c>
      <c r="B336" s="19" t="s">
        <v>1667</v>
      </c>
      <c r="C336" s="19" t="s">
        <v>1693</v>
      </c>
      <c r="D336" s="19" t="str">
        <f>HYPERLINK("http://henontech.com/fieldsafety/harzard/harzard_show.php?rid=18922&amp;url=harzardrecs.php","熄焦道轨东侧，裸露在地面的管线未刷安全漆，操作工在巡检过程中被绊倒")</f>
        <v>熄焦道轨东侧，裸露在地面的管线未刷安全漆，操作工在巡检过程中被绊倒</v>
      </c>
      <c r="E336" s="19" t="s">
        <v>1694</v>
      </c>
      <c r="F336" s="20" t="s">
        <v>42</v>
      </c>
      <c r="G336" s="21" t="s">
        <v>43</v>
      </c>
      <c r="H336" s="19" t="s">
        <v>44</v>
      </c>
      <c r="I336" s="19" t="s">
        <v>129</v>
      </c>
      <c r="J336" s="19" t="s">
        <v>600</v>
      </c>
      <c r="K336" s="19" t="s">
        <v>46</v>
      </c>
      <c r="L336" s="19" t="s">
        <v>65</v>
      </c>
      <c r="M336" s="19" t="s">
        <v>49</v>
      </c>
      <c r="N336" s="19" t="s">
        <v>871</v>
      </c>
      <c r="O336" s="19" t="s">
        <v>49</v>
      </c>
      <c r="P336" s="19" t="s">
        <v>1260</v>
      </c>
      <c r="Q336" s="19" t="s">
        <v>1669</v>
      </c>
      <c r="R336" s="19" t="s">
        <v>1695</v>
      </c>
      <c r="S336" s="19"/>
      <c r="T336" s="19" t="s">
        <v>53</v>
      </c>
      <c r="U336" s="19" t="s">
        <v>54</v>
      </c>
      <c r="V336" s="19" t="s">
        <v>55</v>
      </c>
      <c r="W336" s="19" t="s">
        <v>56</v>
      </c>
      <c r="X336" s="19" t="s">
        <v>150</v>
      </c>
      <c r="Y336" s="19"/>
      <c r="Z336" s="19" t="s">
        <v>1696</v>
      </c>
      <c r="AA336" s="19">
        <v>2</v>
      </c>
      <c r="AB336" s="19">
        <v>2</v>
      </c>
      <c r="AC336" s="19" t="s">
        <v>59</v>
      </c>
      <c r="AD336" s="19" t="s">
        <v>1260</v>
      </c>
      <c r="AE336" s="19" t="s">
        <v>1672</v>
      </c>
      <c r="AF336" s="19"/>
    </row>
    <row r="337" spans="1:34" customHeight="1" ht="42">
      <c r="A337" s="19">
        <v>329</v>
      </c>
      <c r="B337" s="19" t="s">
        <v>1667</v>
      </c>
      <c r="C337" s="19" t="s">
        <v>1635</v>
      </c>
      <c r="D337" s="19" t="str">
        <f>HYPERLINK("http://henontech.com/fieldsafety/harzard/harzard_show.php?rid=18988&amp;url=harzardrecs.php","在离地5米拦焦除尘管道处有一扫帚，假如刮大风时坠落，刚好一名职工路过划伤脸部，造成事故！")</f>
        <v>在离地5米拦焦除尘管道处有一扫帚，假如刮大风时坠落，刚好一名职工路过划伤脸部，造成事故！</v>
      </c>
      <c r="E337" s="19" t="s">
        <v>1697</v>
      </c>
      <c r="F337" s="20" t="s">
        <v>42</v>
      </c>
      <c r="G337" s="21" t="s">
        <v>43</v>
      </c>
      <c r="H337" s="19" t="s">
        <v>44</v>
      </c>
      <c r="I337" s="19" t="s">
        <v>205</v>
      </c>
      <c r="J337" s="19" t="s">
        <v>87</v>
      </c>
      <c r="K337" s="19" t="s">
        <v>79</v>
      </c>
      <c r="L337" s="19" t="s">
        <v>65</v>
      </c>
      <c r="M337" s="19" t="s">
        <v>49</v>
      </c>
      <c r="N337" s="19" t="s">
        <v>1698</v>
      </c>
      <c r="O337" s="19" t="s">
        <v>49</v>
      </c>
      <c r="P337" s="19" t="s">
        <v>310</v>
      </c>
      <c r="Q337" s="19" t="s">
        <v>1592</v>
      </c>
      <c r="R337" s="19" t="s">
        <v>1699</v>
      </c>
      <c r="S337" s="19"/>
      <c r="T337" s="19" t="s">
        <v>53</v>
      </c>
      <c r="U337" s="19" t="s">
        <v>54</v>
      </c>
      <c r="V337" s="19" t="s">
        <v>55</v>
      </c>
      <c r="W337" s="19" t="s">
        <v>56</v>
      </c>
      <c r="X337" s="19" t="s">
        <v>150</v>
      </c>
      <c r="Y337" s="19"/>
      <c r="Z337" s="19" t="s">
        <v>1700</v>
      </c>
      <c r="AA337" s="19">
        <v>2</v>
      </c>
      <c r="AB337" s="19">
        <v>2</v>
      </c>
      <c r="AC337" s="19" t="s">
        <v>59</v>
      </c>
      <c r="AD337" s="19" t="s">
        <v>310</v>
      </c>
      <c r="AE337" s="19" t="s">
        <v>1687</v>
      </c>
      <c r="AF337" s="19" t="s">
        <v>1701</v>
      </c>
    </row>
    <row r="338" spans="1:34" customHeight="1" ht="42">
      <c r="A338" s="19">
        <v>330</v>
      </c>
      <c r="B338" s="19" t="s">
        <v>1702</v>
      </c>
      <c r="C338" s="19" t="s">
        <v>1703</v>
      </c>
      <c r="D338" s="19" t="str">
        <f>HYPERLINK("http://henontech.com/fieldsafety/harzard/harzard_show.php?rid=19069&amp;url=harzardrecs.php","因爬梯无警示牌，一名操作工夜间上煤时，不慎从爬梯滑落到地面，造成左小腿骨折。")</f>
        <v>因爬梯无警示牌，一名操作工夜间上煤时，不慎从爬梯滑落到地面，造成左小腿骨折。</v>
      </c>
      <c r="E338" s="19" t="s">
        <v>1704</v>
      </c>
      <c r="F338" s="20" t="s">
        <v>42</v>
      </c>
      <c r="G338" s="21" t="s">
        <v>43</v>
      </c>
      <c r="H338" s="19" t="s">
        <v>44</v>
      </c>
      <c r="I338" s="19" t="s">
        <v>78</v>
      </c>
      <c r="J338" s="19" t="s">
        <v>64</v>
      </c>
      <c r="K338" s="19" t="s">
        <v>46</v>
      </c>
      <c r="L338" s="19"/>
      <c r="M338" s="19" t="s">
        <v>229</v>
      </c>
      <c r="N338" s="19" t="s">
        <v>1542</v>
      </c>
      <c r="O338" s="19" t="s">
        <v>229</v>
      </c>
      <c r="P338" s="19" t="s">
        <v>669</v>
      </c>
      <c r="Q338" s="19" t="s">
        <v>1592</v>
      </c>
      <c r="R338" s="19" t="s">
        <v>1705</v>
      </c>
      <c r="S338" s="19"/>
      <c r="T338" s="19" t="s">
        <v>53</v>
      </c>
      <c r="U338" s="19" t="s">
        <v>54</v>
      </c>
      <c r="V338" s="19" t="s">
        <v>55</v>
      </c>
      <c r="W338" s="19" t="s">
        <v>56</v>
      </c>
      <c r="X338" s="19" t="s">
        <v>57</v>
      </c>
      <c r="Y338" s="19"/>
      <c r="Z338" s="19" t="s">
        <v>1594</v>
      </c>
      <c r="AA338" s="19">
        <v>2</v>
      </c>
      <c r="AB338" s="19">
        <v>2</v>
      </c>
      <c r="AC338" s="19" t="s">
        <v>59</v>
      </c>
      <c r="AD338" s="19" t="s">
        <v>669</v>
      </c>
      <c r="AE338" s="19" t="s">
        <v>1589</v>
      </c>
      <c r="AF338" s="19"/>
    </row>
    <row r="339" spans="1:34">
      <c r="A339" s="19">
        <v>331</v>
      </c>
      <c r="B339" s="19" t="s">
        <v>1706</v>
      </c>
      <c r="C339" s="19" t="s">
        <v>1707</v>
      </c>
      <c r="D339" s="19" t="str">
        <f>HYPERLINK("http://henontech.com/fieldsafety/harzard/harzard_show.php?rid=19530&amp;url=harzardrecs.php","粗苯计量槽西框架爬梯护笼腐蚀缺失，假如一名操作工上下爬梯时由于爬梯护笼缺失，护笼未能起到防护作用导致一名操作人员从爬梯坠落造成左脚脚腕崴伤，去医院治疗7天在家休息7天后正常上班损工14天")</f>
        <v>粗苯计量槽西框架爬梯护笼腐蚀缺失，假如一名操作工上下爬梯时由于爬梯护笼缺失，护笼未能起到防护作用导致一名操作人员从爬梯坠落造成左脚脚腕崴伤，去医院治疗7天在家休息7天后正常上班损工14天</v>
      </c>
      <c r="E339" s="19" t="s">
        <v>1708</v>
      </c>
      <c r="F339" s="20" t="s">
        <v>42</v>
      </c>
      <c r="G339" s="21" t="s">
        <v>43</v>
      </c>
      <c r="H339" s="19" t="s">
        <v>44</v>
      </c>
      <c r="I339" s="19" t="s">
        <v>129</v>
      </c>
      <c r="J339" s="19" t="s">
        <v>87</v>
      </c>
      <c r="K339" s="19" t="s">
        <v>46</v>
      </c>
      <c r="L339" s="19" t="s">
        <v>65</v>
      </c>
      <c r="M339" s="19" t="s">
        <v>66</v>
      </c>
      <c r="N339" s="19" t="s">
        <v>1709</v>
      </c>
      <c r="O339" s="19" t="s">
        <v>66</v>
      </c>
      <c r="P339" s="19" t="s">
        <v>68</v>
      </c>
      <c r="Q339" s="19" t="s">
        <v>1710</v>
      </c>
      <c r="R339" s="19" t="s">
        <v>1711</v>
      </c>
      <c r="S339" s="19"/>
      <c r="T339" s="19" t="s">
        <v>53</v>
      </c>
      <c r="U339" s="19" t="s">
        <v>54</v>
      </c>
      <c r="V339" s="19" t="s">
        <v>55</v>
      </c>
      <c r="W339" s="19" t="s">
        <v>56</v>
      </c>
      <c r="X339" s="19"/>
      <c r="Y339" s="19"/>
      <c r="Z339" s="19" t="s">
        <v>1712</v>
      </c>
      <c r="AA339" s="19">
        <v>1</v>
      </c>
      <c r="AB339" s="19">
        <v>1</v>
      </c>
      <c r="AC339" s="19" t="s">
        <v>59</v>
      </c>
      <c r="AD339" s="19" t="s">
        <v>68</v>
      </c>
      <c r="AE339" s="19" t="s">
        <v>1713</v>
      </c>
      <c r="AF339" s="19"/>
    </row>
    <row r="340" spans="1:34">
      <c r="A340" s="19">
        <v>332</v>
      </c>
      <c r="B340" s="19" t="s">
        <v>1714</v>
      </c>
      <c r="C340" s="19" t="s">
        <v>120</v>
      </c>
      <c r="D340" s="19" t="str">
        <f>HYPERLINK("http://henontech.com/fieldsafety/harzard/harzard_show.php?rid=19716&amp;url=harzardrecs.php","北脱硫北边路面上有一玻璃钢瓦横放在路中间，如果巡检人员走到此处不注意，被路面上的玻璃钢瓦绊倒，造成巡检人员左腿膝盖轻微擦伤，不影响工作，轻微人身伤害。")</f>
        <v>北脱硫北边路面上有一玻璃钢瓦横放在路中间，如果巡检人员走到此处不注意，被路面上的玻璃钢瓦绊倒，造成巡检人员左腿膝盖轻微擦伤，不影响工作，轻微人身伤害。</v>
      </c>
      <c r="E340" s="19" t="s">
        <v>1715</v>
      </c>
      <c r="F340" s="20" t="s">
        <v>42</v>
      </c>
      <c r="G340" s="21" t="s">
        <v>43</v>
      </c>
      <c r="H340" s="19" t="s">
        <v>44</v>
      </c>
      <c r="I340" s="19" t="s">
        <v>78</v>
      </c>
      <c r="J340" s="19"/>
      <c r="K340" s="19" t="s">
        <v>46</v>
      </c>
      <c r="L340" s="19" t="s">
        <v>65</v>
      </c>
      <c r="M340" s="19" t="s">
        <v>66</v>
      </c>
      <c r="N340" s="19" t="s">
        <v>122</v>
      </c>
      <c r="O340" s="19" t="s">
        <v>66</v>
      </c>
      <c r="P340" s="19" t="s">
        <v>68</v>
      </c>
      <c r="Q340" s="19" t="s">
        <v>1710</v>
      </c>
      <c r="R340" s="19" t="s">
        <v>1716</v>
      </c>
      <c r="S340" s="19"/>
      <c r="T340" s="19" t="s">
        <v>53</v>
      </c>
      <c r="U340" s="19" t="s">
        <v>71</v>
      </c>
      <c r="V340" s="19" t="s">
        <v>55</v>
      </c>
      <c r="W340" s="19" t="s">
        <v>72</v>
      </c>
      <c r="X340" s="19"/>
      <c r="Y340" s="19"/>
      <c r="Z340" s="19" t="s">
        <v>1717</v>
      </c>
      <c r="AA340" s="19">
        <v>1</v>
      </c>
      <c r="AB340" s="19">
        <v>1</v>
      </c>
      <c r="AC340" s="19" t="s">
        <v>59</v>
      </c>
      <c r="AD340" s="19" t="s">
        <v>68</v>
      </c>
      <c r="AE340" s="19" t="s">
        <v>1554</v>
      </c>
      <c r="AF340" s="19"/>
    </row>
    <row r="341" spans="1:34">
      <c r="A341" s="19">
        <v>333</v>
      </c>
      <c r="B341" s="19" t="s">
        <v>1718</v>
      </c>
      <c r="C341" s="19" t="s">
        <v>1546</v>
      </c>
      <c r="D341" s="19" t="str">
        <f>HYPERLINK("http://henontech.com/fieldsafety/harzard/harzard_show.php?rid=20241&amp;url=harzardrecs.php","干熄炉四层油桶倾斜歪倒（三个叠加），遇大风天气，一名员工从地面经过时，油桶从23米平台被刮落，砸到员工头部")</f>
        <v>干熄炉四层油桶倾斜歪倒（三个叠加），遇大风天气，一名员工从地面经过时，油桶从23米平台被刮落，砸到员工头部</v>
      </c>
      <c r="E341" s="19" t="s">
        <v>1719</v>
      </c>
      <c r="F341" s="20" t="s">
        <v>42</v>
      </c>
      <c r="G341" s="21" t="s">
        <v>43</v>
      </c>
      <c r="H341" s="19" t="s">
        <v>44</v>
      </c>
      <c r="I341" s="19"/>
      <c r="J341" s="19" t="s">
        <v>64</v>
      </c>
      <c r="K341" s="19" t="s">
        <v>46</v>
      </c>
      <c r="L341" s="19"/>
      <c r="M341" s="19" t="s">
        <v>49</v>
      </c>
      <c r="N341" s="19" t="s">
        <v>1327</v>
      </c>
      <c r="O341" s="19" t="s">
        <v>49</v>
      </c>
      <c r="P341" s="19" t="s">
        <v>1344</v>
      </c>
      <c r="Q341" s="19" t="s">
        <v>1549</v>
      </c>
      <c r="R341" s="19" t="s">
        <v>1720</v>
      </c>
      <c r="S341" s="19"/>
      <c r="T341" s="19" t="s">
        <v>53</v>
      </c>
      <c r="U341" s="19" t="s">
        <v>116</v>
      </c>
      <c r="V341" s="19" t="s">
        <v>105</v>
      </c>
      <c r="W341" s="19" t="s">
        <v>56</v>
      </c>
      <c r="X341" s="19"/>
      <c r="Y341" s="19"/>
      <c r="Z341" s="19" t="s">
        <v>1721</v>
      </c>
      <c r="AA341" s="19">
        <v>1</v>
      </c>
      <c r="AB341" s="19">
        <v>0</v>
      </c>
      <c r="AC341" s="19" t="s">
        <v>59</v>
      </c>
      <c r="AD341" s="19" t="s">
        <v>1344</v>
      </c>
      <c r="AE341" s="19" t="s">
        <v>1722</v>
      </c>
      <c r="AF341" s="19"/>
    </row>
    <row r="342" spans="1:34">
      <c r="A342" s="19">
        <v>334</v>
      </c>
      <c r="B342" s="19" t="s">
        <v>1718</v>
      </c>
      <c r="C342" s="19" t="s">
        <v>135</v>
      </c>
      <c r="D342" s="19" t="str">
        <f>HYPERLINK("http://henontech.com/fieldsafety/harzard/harzard_show.php?rid=20423&amp;url=harzardrecs.php","干熄焦一次除尘二层与干熄炉链接通道护栏护板开焊伸出，一巡检人员巡检经过时，未及时发现，将其拌倒，身体前俯爬在平台上，导致右手撑轻微擦伤，经简单处理后继续工作。")</f>
        <v>干熄焦一次除尘二层与干熄炉链接通道护栏护板开焊伸出，一巡检人员巡检经过时，未及时发现，将其拌倒，身体前俯爬在平台上，导致右手撑轻微擦伤，经简单处理后继续工作。</v>
      </c>
      <c r="E342" s="19" t="s">
        <v>1723</v>
      </c>
      <c r="F342" s="20" t="s">
        <v>42</v>
      </c>
      <c r="G342" s="21" t="s">
        <v>43</v>
      </c>
      <c r="H342" s="19" t="s">
        <v>44</v>
      </c>
      <c r="I342" s="19"/>
      <c r="J342" s="19" t="s">
        <v>45</v>
      </c>
      <c r="K342" s="19"/>
      <c r="L342" s="19"/>
      <c r="M342" s="19" t="s">
        <v>49</v>
      </c>
      <c r="N342" s="19" t="s">
        <v>1144</v>
      </c>
      <c r="O342" s="19" t="s">
        <v>49</v>
      </c>
      <c r="P342" s="19" t="s">
        <v>1320</v>
      </c>
      <c r="Q342" s="19" t="s">
        <v>1549</v>
      </c>
      <c r="R342" s="19" t="s">
        <v>1724</v>
      </c>
      <c r="S342" s="19"/>
      <c r="T342" s="19" t="s">
        <v>53</v>
      </c>
      <c r="U342" s="19" t="s">
        <v>71</v>
      </c>
      <c r="V342" s="19" t="s">
        <v>105</v>
      </c>
      <c r="W342" s="19" t="s">
        <v>96</v>
      </c>
      <c r="X342" s="19"/>
      <c r="Y342" s="19"/>
      <c r="Z342" s="19" t="s">
        <v>1563</v>
      </c>
      <c r="AA342" s="19">
        <v>1</v>
      </c>
      <c r="AB342" s="19">
        <v>1</v>
      </c>
      <c r="AC342" s="19" t="s">
        <v>59</v>
      </c>
      <c r="AD342" s="19" t="s">
        <v>1320</v>
      </c>
      <c r="AE342" s="19" t="s">
        <v>1725</v>
      </c>
      <c r="AF342" s="19" t="s">
        <v>1726</v>
      </c>
    </row>
    <row r="343" spans="1:34">
      <c r="A343" s="19">
        <v>335</v>
      </c>
      <c r="B343" s="19" t="s">
        <v>1727</v>
      </c>
      <c r="C343" s="19" t="s">
        <v>135</v>
      </c>
      <c r="D343" s="19" t="str">
        <f>HYPERLINK("http://henontech.com/fieldsafety/harzard/harzard_show.php?rid=20660&amp;url=harzardrecs.php","因旋密南侧导轨凸起，缺少警示牌，巡检人员夜间到旋密巡检时，由于视线不良被导轨绊倒，面部着地，造成面部擦伤，送医务室进行包扎，休养7天")</f>
        <v>因旋密南侧导轨凸起，缺少警示牌，巡检人员夜间到旋密巡检时，由于视线不良被导轨绊倒，面部着地，造成面部擦伤，送医务室进行包扎，休养7天</v>
      </c>
      <c r="E343" s="19" t="s">
        <v>1728</v>
      </c>
      <c r="F343" s="20" t="s">
        <v>42</v>
      </c>
      <c r="G343" s="21" t="s">
        <v>43</v>
      </c>
      <c r="H343" s="19" t="s">
        <v>44</v>
      </c>
      <c r="I343" s="19" t="s">
        <v>129</v>
      </c>
      <c r="J343" s="19" t="s">
        <v>45</v>
      </c>
      <c r="K343" s="19" t="s">
        <v>46</v>
      </c>
      <c r="L343" s="19" t="s">
        <v>65</v>
      </c>
      <c r="M343" s="19" t="s">
        <v>49</v>
      </c>
      <c r="N343" s="19" t="s">
        <v>1282</v>
      </c>
      <c r="O343" s="19" t="s">
        <v>49</v>
      </c>
      <c r="P343" s="19" t="s">
        <v>1320</v>
      </c>
      <c r="Q343" s="19" t="s">
        <v>1549</v>
      </c>
      <c r="R343" s="19" t="s">
        <v>1729</v>
      </c>
      <c r="S343" s="19"/>
      <c r="T343" s="19" t="s">
        <v>53</v>
      </c>
      <c r="U343" s="19" t="s">
        <v>71</v>
      </c>
      <c r="V343" s="19" t="s">
        <v>105</v>
      </c>
      <c r="W343" s="19" t="s">
        <v>96</v>
      </c>
      <c r="X343" s="19"/>
      <c r="Y343" s="19"/>
      <c r="Z343" s="19" t="s">
        <v>1730</v>
      </c>
      <c r="AA343" s="19">
        <v>1</v>
      </c>
      <c r="AB343" s="19">
        <v>1</v>
      </c>
      <c r="AC343" s="19" t="s">
        <v>59</v>
      </c>
      <c r="AD343" s="19" t="s">
        <v>1320</v>
      </c>
      <c r="AE343" s="19" t="s">
        <v>1725</v>
      </c>
      <c r="AF343" s="19" t="s">
        <v>1731</v>
      </c>
    </row>
    <row r="344" spans="1:34">
      <c r="A344" s="19">
        <v>336</v>
      </c>
      <c r="B344" s="19" t="s">
        <v>1727</v>
      </c>
      <c r="C344" s="19" t="s">
        <v>1280</v>
      </c>
      <c r="D344" s="19" t="str">
        <f>HYPERLINK("http://henontech.com/fieldsafety/harzard/harzard_show.php?rid=20666&amp;url=harzardrecs.php","因干熄焦六层至七层平台西侧护栏踢脚板开焊翘起，一巡检工从此处经过查看装入装置装焦平台时，被翘起的踢脚板绊倒，左侧膝盖着地，送医治疗确诊为左侧膝盖骨裂，治疗一周，休养三个半月后，恢复工作。")</f>
        <v>因干熄焦六层至七层平台西侧护栏踢脚板开焊翘起，一巡检工从此处经过查看装入装置装焦平台时，被翘起的踢脚板绊倒，左侧膝盖着地，送医治疗确诊为左侧膝盖骨裂，治疗一周，休养三个半月后，恢复工作。</v>
      </c>
      <c r="E344" s="19" t="s">
        <v>1732</v>
      </c>
      <c r="F344" s="20" t="s">
        <v>42</v>
      </c>
      <c r="G344" s="21" t="s">
        <v>43</v>
      </c>
      <c r="H344" s="19" t="s">
        <v>44</v>
      </c>
      <c r="I344" s="19" t="s">
        <v>129</v>
      </c>
      <c r="J344" s="19" t="s">
        <v>64</v>
      </c>
      <c r="K344" s="19" t="s">
        <v>46</v>
      </c>
      <c r="L344" s="19" t="s">
        <v>65</v>
      </c>
      <c r="M344" s="19" t="s">
        <v>49</v>
      </c>
      <c r="N344" s="19" t="s">
        <v>1733</v>
      </c>
      <c r="O344" s="19" t="s">
        <v>49</v>
      </c>
      <c r="P344" s="19" t="s">
        <v>1320</v>
      </c>
      <c r="Q344" s="19" t="s">
        <v>1549</v>
      </c>
      <c r="R344" s="19" t="s">
        <v>1280</v>
      </c>
      <c r="S344" s="19"/>
      <c r="T344" s="19" t="s">
        <v>53</v>
      </c>
      <c r="U344" s="19" t="s">
        <v>54</v>
      </c>
      <c r="V344" s="19" t="s">
        <v>55</v>
      </c>
      <c r="W344" s="19" t="s">
        <v>56</v>
      </c>
      <c r="X344" s="19"/>
      <c r="Y344" s="19"/>
      <c r="Z344" s="19" t="s">
        <v>1734</v>
      </c>
      <c r="AA344" s="19">
        <v>1</v>
      </c>
      <c r="AB344" s="19">
        <v>1</v>
      </c>
      <c r="AC344" s="19" t="s">
        <v>59</v>
      </c>
      <c r="AD344" s="19" t="s">
        <v>1320</v>
      </c>
      <c r="AE344" s="19" t="s">
        <v>1725</v>
      </c>
      <c r="AF344" s="19" t="s">
        <v>1735</v>
      </c>
    </row>
    <row r="345" spans="1:34">
      <c r="A345" s="19">
        <v>337</v>
      </c>
      <c r="B345" s="19" t="s">
        <v>1727</v>
      </c>
      <c r="C345" s="19" t="s">
        <v>1707</v>
      </c>
      <c r="D345" s="19" t="str">
        <f>HYPERLINK("http://henontech.com/fieldsafety/harzard/harzard_show.php?rid=20688&amp;url=harzardrecs.php","维修管道时把管道支架横放在生产现场，假设一名操作工在夜间巡检时，未发现横放的管道支架被其绊倒，造成右腿膝盖擦伤，简单包扎后休息10分钟复工")</f>
        <v>维修管道时把管道支架横放在生产现场，假设一名操作工在夜间巡检时，未发现横放的管道支架被其绊倒，造成右腿膝盖擦伤，简单包扎后休息10分钟复工</v>
      </c>
      <c r="E345" s="19" t="s">
        <v>1736</v>
      </c>
      <c r="F345" s="20" t="s">
        <v>42</v>
      </c>
      <c r="G345" s="21" t="s">
        <v>43</v>
      </c>
      <c r="H345" s="19" t="s">
        <v>44</v>
      </c>
      <c r="I345" s="19" t="s">
        <v>205</v>
      </c>
      <c r="J345" s="19" t="s">
        <v>64</v>
      </c>
      <c r="K345" s="19" t="s">
        <v>46</v>
      </c>
      <c r="L345" s="19" t="s">
        <v>65</v>
      </c>
      <c r="M345" s="19" t="s">
        <v>66</v>
      </c>
      <c r="N345" s="19" t="s">
        <v>546</v>
      </c>
      <c r="O345" s="19" t="s">
        <v>66</v>
      </c>
      <c r="P345" s="19" t="s">
        <v>68</v>
      </c>
      <c r="Q345" s="19" t="s">
        <v>1557</v>
      </c>
      <c r="R345" s="19" t="s">
        <v>120</v>
      </c>
      <c r="S345" s="19"/>
      <c r="T345" s="19" t="s">
        <v>53</v>
      </c>
      <c r="U345" s="19" t="s">
        <v>71</v>
      </c>
      <c r="V345" s="19" t="s">
        <v>105</v>
      </c>
      <c r="W345" s="19" t="s">
        <v>96</v>
      </c>
      <c r="X345" s="19"/>
      <c r="Y345" s="19"/>
      <c r="Z345" s="19" t="s">
        <v>1737</v>
      </c>
      <c r="AA345" s="19">
        <v>1</v>
      </c>
      <c r="AB345" s="19">
        <v>1</v>
      </c>
      <c r="AC345" s="19" t="s">
        <v>59</v>
      </c>
      <c r="AD345" s="19" t="s">
        <v>68</v>
      </c>
      <c r="AE345" s="19" t="s">
        <v>1738</v>
      </c>
      <c r="AF345" s="19"/>
    </row>
    <row r="346" spans="1:34">
      <c r="A346" s="19">
        <v>338</v>
      </c>
      <c r="B346" s="19" t="s">
        <v>1727</v>
      </c>
      <c r="C346" s="19" t="s">
        <v>1377</v>
      </c>
      <c r="D346" s="19" t="str">
        <f>HYPERLINK("http://henontech.com/fieldsafety/harzard/harzard_show.php?rid=20699&amp;url=harzardrecs.php","南冷凝泵房2#高压氨水泵电机风扇断裂，高压氨水泵高压运行起不到散热作用，导致电机过热发生电机损坏，烧毁电机，财产损失价值20万。")</f>
        <v>南冷凝泵房2#高压氨水泵电机风扇断裂，高压氨水泵高压运行起不到散热作用，导致电机过热发生电机损坏，烧毁电机，财产损失价值20万。</v>
      </c>
      <c r="E346" s="19" t="s">
        <v>1739</v>
      </c>
      <c r="F346" s="20" t="s">
        <v>42</v>
      </c>
      <c r="G346" s="21" t="s">
        <v>43</v>
      </c>
      <c r="H346" s="19" t="s">
        <v>44</v>
      </c>
      <c r="I346" s="19"/>
      <c r="J346" s="19" t="s">
        <v>64</v>
      </c>
      <c r="K346" s="19" t="s">
        <v>88</v>
      </c>
      <c r="L346" s="19" t="s">
        <v>65</v>
      </c>
      <c r="M346" s="19" t="s">
        <v>66</v>
      </c>
      <c r="N346" s="19" t="s">
        <v>1740</v>
      </c>
      <c r="O346" s="19" t="s">
        <v>66</v>
      </c>
      <c r="P346" s="19" t="s">
        <v>68</v>
      </c>
      <c r="Q346" s="19" t="s">
        <v>1557</v>
      </c>
      <c r="R346" s="19" t="s">
        <v>1741</v>
      </c>
      <c r="S346" s="19"/>
      <c r="T346" s="19" t="s">
        <v>104</v>
      </c>
      <c r="U346" s="19" t="s">
        <v>54</v>
      </c>
      <c r="V346" s="19" t="s">
        <v>55</v>
      </c>
      <c r="W346" s="19" t="s">
        <v>56</v>
      </c>
      <c r="X346" s="19"/>
      <c r="Y346" s="19"/>
      <c r="Z346" s="19" t="s">
        <v>1742</v>
      </c>
      <c r="AA346" s="19">
        <v>1</v>
      </c>
      <c r="AB346" s="19">
        <v>1</v>
      </c>
      <c r="AC346" s="19" t="s">
        <v>59</v>
      </c>
      <c r="AD346" s="19" t="s">
        <v>68</v>
      </c>
      <c r="AE346" s="19" t="s">
        <v>1554</v>
      </c>
      <c r="AF346" s="19"/>
    </row>
    <row r="347" spans="1:34">
      <c r="A347" s="19">
        <v>339</v>
      </c>
      <c r="B347" s="19" t="s">
        <v>1743</v>
      </c>
      <c r="C347" s="19" t="s">
        <v>1546</v>
      </c>
      <c r="D347" s="19" t="str">
        <f>HYPERLINK("http://henontech.com/fieldsafety/harzard/harzard_show.php?rid=20947&amp;url=harzardrecs.php","干熄焦PLC室地板缺少支撑杠，地板不平衡，一名电气人员巡检至此拨表，不慎踩空造成脚踝扭伤。损工三十天。")</f>
        <v>干熄焦PLC室地板缺少支撑杠，地板不平衡，一名电气人员巡检至此拨表，不慎踩空造成脚踝扭伤。损工三十天。</v>
      </c>
      <c r="E347" s="19" t="s">
        <v>1744</v>
      </c>
      <c r="F347" s="20" t="s">
        <v>42</v>
      </c>
      <c r="G347" s="21" t="s">
        <v>43</v>
      </c>
      <c r="H347" s="19" t="s">
        <v>44</v>
      </c>
      <c r="I347" s="19" t="s">
        <v>78</v>
      </c>
      <c r="J347" s="19" t="s">
        <v>64</v>
      </c>
      <c r="K347" s="19" t="s">
        <v>466</v>
      </c>
      <c r="L347" s="19" t="s">
        <v>65</v>
      </c>
      <c r="M347" s="19" t="s">
        <v>49</v>
      </c>
      <c r="N347" s="19" t="s">
        <v>1745</v>
      </c>
      <c r="O347" s="19" t="s">
        <v>49</v>
      </c>
      <c r="P347" s="19" t="s">
        <v>1344</v>
      </c>
      <c r="Q347" s="19" t="s">
        <v>1564</v>
      </c>
      <c r="R347" s="19" t="s">
        <v>1746</v>
      </c>
      <c r="S347" s="19" t="s">
        <v>1747</v>
      </c>
      <c r="T347" s="19" t="s">
        <v>53</v>
      </c>
      <c r="U347" s="19" t="s">
        <v>54</v>
      </c>
      <c r="V347" s="19" t="s">
        <v>105</v>
      </c>
      <c r="W347" s="19" t="s">
        <v>72</v>
      </c>
      <c r="X347" s="19" t="s">
        <v>57</v>
      </c>
      <c r="Y347" s="19"/>
      <c r="Z347" s="19" t="s">
        <v>1748</v>
      </c>
      <c r="AA347" s="19">
        <v>1</v>
      </c>
      <c r="AB347" s="19">
        <v>1</v>
      </c>
      <c r="AC347" s="19" t="s">
        <v>59</v>
      </c>
      <c r="AD347" s="19" t="s">
        <v>1344</v>
      </c>
      <c r="AE347" s="19" t="s">
        <v>1722</v>
      </c>
      <c r="AF347" s="19"/>
    </row>
    <row r="348" spans="1:34">
      <c r="A348" s="19">
        <v>340</v>
      </c>
      <c r="B348" s="19" t="s">
        <v>1749</v>
      </c>
      <c r="C348" s="19" t="s">
        <v>1546</v>
      </c>
      <c r="D348" s="19" t="str">
        <f>HYPERLINK("http://henontech.com/fieldsafety/harzard/harzard_show.php?rid=20980&amp;url=harzardrecs.php","因干熄焦锅炉喷水减温阀北侧手阀漏汽，一巡检人员在开关手阀时，540℃的蒸汽突然喷出，将该人员左臂烫伤，送医治疗确诊为深Ⅱ度烫伤，治疗一周，休养两周后恢复工作。")</f>
        <v>因干熄焦锅炉喷水减温阀北侧手阀漏汽，一巡检人员在开关手阀时，540℃的蒸汽突然喷出，将该人员左臂烫伤，送医治疗确诊为深Ⅱ度烫伤，治疗一周，休养两周后恢复工作。</v>
      </c>
      <c r="E348" s="19" t="s">
        <v>1750</v>
      </c>
      <c r="F348" s="20" t="s">
        <v>42</v>
      </c>
      <c r="G348" s="22" t="s">
        <v>111</v>
      </c>
      <c r="H348" s="19" t="s">
        <v>44</v>
      </c>
      <c r="I348" s="19" t="s">
        <v>129</v>
      </c>
      <c r="J348" s="19" t="s">
        <v>165</v>
      </c>
      <c r="K348" s="19" t="s">
        <v>46</v>
      </c>
      <c r="L348" s="19" t="s">
        <v>65</v>
      </c>
      <c r="M348" s="19" t="s">
        <v>49</v>
      </c>
      <c r="N348" s="19" t="s">
        <v>832</v>
      </c>
      <c r="O348" s="19" t="s">
        <v>49</v>
      </c>
      <c r="P348" s="19" t="s">
        <v>1320</v>
      </c>
      <c r="Q348" s="19" t="s">
        <v>1549</v>
      </c>
      <c r="R348" s="19" t="s">
        <v>1751</v>
      </c>
      <c r="S348" s="19"/>
      <c r="T348" s="19" t="s">
        <v>53</v>
      </c>
      <c r="U348" s="19" t="s">
        <v>54</v>
      </c>
      <c r="V348" s="19" t="s">
        <v>55</v>
      </c>
      <c r="W348" s="19" t="s">
        <v>56</v>
      </c>
      <c r="X348" s="19"/>
      <c r="Y348" s="19"/>
      <c r="Z348" s="19" t="s">
        <v>1752</v>
      </c>
      <c r="AA348" s="19">
        <v>1</v>
      </c>
      <c r="AB348" s="19">
        <v>1</v>
      </c>
      <c r="AC348" s="19" t="s">
        <v>59</v>
      </c>
      <c r="AD348" s="19" t="s">
        <v>1320</v>
      </c>
      <c r="AE348" s="19" t="s">
        <v>1725</v>
      </c>
      <c r="AF348" s="19" t="s">
        <v>1753</v>
      </c>
    </row>
    <row r="349" spans="1:34">
      <c r="A349" s="19">
        <v>341</v>
      </c>
      <c r="B349" s="19" t="s">
        <v>1749</v>
      </c>
      <c r="C349" s="19" t="s">
        <v>1325</v>
      </c>
      <c r="D349" s="19" t="str">
        <f>HYPERLINK("http://henontech.com/fieldsafety/harzard/harzard_show.php?rid=21035&amp;url=harzardrecs.php","夜晚，一名巡检人员在巡检环境除尘刮板机时，不慎被杂乱的钢筋戳伤右腿，后送医务室进行包扎")</f>
        <v>夜晚，一名巡检人员在巡检环境除尘刮板机时，不慎被杂乱的钢筋戳伤右腿，后送医务室进行包扎</v>
      </c>
      <c r="E349" s="19" t="s">
        <v>1754</v>
      </c>
      <c r="F349" s="20" t="s">
        <v>42</v>
      </c>
      <c r="G349" s="21" t="s">
        <v>43</v>
      </c>
      <c r="H349" s="19" t="s">
        <v>44</v>
      </c>
      <c r="I349" s="19" t="s">
        <v>78</v>
      </c>
      <c r="J349" s="19" t="s">
        <v>64</v>
      </c>
      <c r="K349" s="19" t="s">
        <v>46</v>
      </c>
      <c r="L349" s="19"/>
      <c r="M349" s="19" t="s">
        <v>49</v>
      </c>
      <c r="N349" s="19" t="s">
        <v>884</v>
      </c>
      <c r="O349" s="19" t="s">
        <v>49</v>
      </c>
      <c r="P349" s="19" t="s">
        <v>1344</v>
      </c>
      <c r="Q349" s="19" t="s">
        <v>1549</v>
      </c>
      <c r="R349" s="19" t="s">
        <v>1755</v>
      </c>
      <c r="S349" s="19"/>
      <c r="T349" s="19" t="s">
        <v>53</v>
      </c>
      <c r="U349" s="19" t="s">
        <v>71</v>
      </c>
      <c r="V349" s="19" t="s">
        <v>105</v>
      </c>
      <c r="W349" s="19" t="s">
        <v>96</v>
      </c>
      <c r="X349" s="19"/>
      <c r="Y349" s="19"/>
      <c r="Z349" s="19" t="s">
        <v>1756</v>
      </c>
      <c r="AA349" s="19">
        <v>1</v>
      </c>
      <c r="AB349" s="19">
        <v>1</v>
      </c>
      <c r="AC349" s="19" t="s">
        <v>59</v>
      </c>
      <c r="AD349" s="19" t="s">
        <v>1344</v>
      </c>
      <c r="AE349" s="19" t="s">
        <v>1722</v>
      </c>
      <c r="AF349" s="19"/>
    </row>
    <row r="350" spans="1:34">
      <c r="A350" s="19">
        <v>342</v>
      </c>
      <c r="B350" s="19" t="s">
        <v>1749</v>
      </c>
      <c r="C350" s="19" t="s">
        <v>135</v>
      </c>
      <c r="D350" s="19" t="str">
        <f>HYPERLINK("http://henontech.com/fieldsafety/harzard/harzard_show.php?rid=21036&amp;url=harzardrecs.php","环境除尘四层护栏边一铁皮未清理，若遇大风天气晃动，该铁皮从10米高空坠落，击中下方通行的巡检人员头部。")</f>
        <v>环境除尘四层护栏边一铁皮未清理，若遇大风天气晃动，该铁皮从10米高空坠落，击中下方通行的巡检人员头部。</v>
      </c>
      <c r="E350" s="19" t="s">
        <v>1757</v>
      </c>
      <c r="F350" s="20" t="s">
        <v>42</v>
      </c>
      <c r="G350" s="21" t="s">
        <v>43</v>
      </c>
      <c r="H350" s="19" t="s">
        <v>44</v>
      </c>
      <c r="I350" s="19" t="s">
        <v>129</v>
      </c>
      <c r="J350" s="19" t="s">
        <v>45</v>
      </c>
      <c r="K350" s="19" t="s">
        <v>46</v>
      </c>
      <c r="L350" s="19"/>
      <c r="M350" s="19" t="s">
        <v>49</v>
      </c>
      <c r="N350" s="19" t="s">
        <v>1344</v>
      </c>
      <c r="O350" s="19" t="s">
        <v>49</v>
      </c>
      <c r="P350" s="19" t="s">
        <v>1344</v>
      </c>
      <c r="Q350" s="19" t="s">
        <v>1549</v>
      </c>
      <c r="R350" s="19" t="s">
        <v>1758</v>
      </c>
      <c r="S350" s="19"/>
      <c r="T350" s="19" t="s">
        <v>53</v>
      </c>
      <c r="U350" s="19" t="s">
        <v>54</v>
      </c>
      <c r="V350" s="19" t="s">
        <v>105</v>
      </c>
      <c r="W350" s="19" t="s">
        <v>72</v>
      </c>
      <c r="X350" s="19"/>
      <c r="Y350" s="19"/>
      <c r="Z350" s="19" t="s">
        <v>1759</v>
      </c>
      <c r="AA350" s="19">
        <v>1</v>
      </c>
      <c r="AB350" s="19">
        <v>1</v>
      </c>
      <c r="AC350" s="19" t="s">
        <v>59</v>
      </c>
      <c r="AD350" s="19" t="s">
        <v>1344</v>
      </c>
      <c r="AE350" s="19" t="s">
        <v>1760</v>
      </c>
      <c r="AF350" s="19"/>
    </row>
    <row r="351" spans="1:34">
      <c r="A351" s="19">
        <v>343</v>
      </c>
      <c r="B351" s="19" t="s">
        <v>1749</v>
      </c>
      <c r="C351" s="19" t="s">
        <v>135</v>
      </c>
      <c r="D351" s="19" t="str">
        <f>HYPERLINK("http://henontech.com/fieldsafety/harzard/harzard_show.php?rid=21042&amp;url=harzardrecs.php","2号提升机变压器室轴流风扇开关防护盖板缺失，一员工在给轴流风扇送电时右手碰触到裸导线，造成右手电灼伤事故，送医治疗在家休养15天")</f>
        <v>2号提升机变压器室轴流风扇开关防护盖板缺失，一员工在给轴流风扇送电时右手碰触到裸导线，造成右手电灼伤事故，送医治疗在家休养15天</v>
      </c>
      <c r="E351" s="19" t="s">
        <v>1761</v>
      </c>
      <c r="F351" s="20" t="s">
        <v>42</v>
      </c>
      <c r="G351" s="22" t="s">
        <v>111</v>
      </c>
      <c r="H351" s="19" t="s">
        <v>44</v>
      </c>
      <c r="I351" s="19" t="s">
        <v>78</v>
      </c>
      <c r="J351" s="19" t="s">
        <v>64</v>
      </c>
      <c r="K351" s="19" t="s">
        <v>88</v>
      </c>
      <c r="L351" s="19"/>
      <c r="M351" s="19" t="s">
        <v>49</v>
      </c>
      <c r="N351" s="19" t="s">
        <v>1315</v>
      </c>
      <c r="O351" s="19" t="s">
        <v>49</v>
      </c>
      <c r="P351" s="19" t="s">
        <v>1344</v>
      </c>
      <c r="Q351" s="19" t="s">
        <v>1549</v>
      </c>
      <c r="R351" s="19" t="s">
        <v>1762</v>
      </c>
      <c r="S351" s="19"/>
      <c r="T351" s="19" t="s">
        <v>53</v>
      </c>
      <c r="U351" s="19" t="s">
        <v>54</v>
      </c>
      <c r="V351" s="19" t="s">
        <v>105</v>
      </c>
      <c r="W351" s="19" t="s">
        <v>72</v>
      </c>
      <c r="X351" s="19"/>
      <c r="Y351" s="19"/>
      <c r="Z351" s="19" t="s">
        <v>1763</v>
      </c>
      <c r="AA351" s="19">
        <v>1</v>
      </c>
      <c r="AB351" s="19">
        <v>1</v>
      </c>
      <c r="AC351" s="19" t="s">
        <v>59</v>
      </c>
      <c r="AD351" s="19" t="s">
        <v>1344</v>
      </c>
      <c r="AE351" s="19" t="s">
        <v>1722</v>
      </c>
      <c r="AF351" s="19"/>
    </row>
    <row r="352" spans="1:34">
      <c r="A352" s="19">
        <v>344</v>
      </c>
      <c r="B352" s="19" t="s">
        <v>1749</v>
      </c>
      <c r="C352" s="19" t="s">
        <v>135</v>
      </c>
      <c r="D352" s="19" t="str">
        <f>HYPERLINK("http://henontech.com/fieldsafety/harzard/harzard_show.php?rid=21056&amp;url=harzardrecs.php","3号减温减压平台铁件摆放不规范，一巡检人员经过此处时不慎被铁件拌到，造成左脚脚踝扭伤。送医治疗，在家休养10天")</f>
        <v>3号减温减压平台铁件摆放不规范，一巡检人员经过此处时不慎被铁件拌到，造成左脚脚踝扭伤。送医治疗，在家休养10天</v>
      </c>
      <c r="E352" s="19" t="s">
        <v>1764</v>
      </c>
      <c r="F352" s="20" t="s">
        <v>42</v>
      </c>
      <c r="G352" s="21" t="s">
        <v>43</v>
      </c>
      <c r="H352" s="19" t="s">
        <v>44</v>
      </c>
      <c r="I352" s="19" t="s">
        <v>78</v>
      </c>
      <c r="J352" s="19" t="s">
        <v>64</v>
      </c>
      <c r="K352" s="19" t="s">
        <v>46</v>
      </c>
      <c r="L352" s="19"/>
      <c r="M352" s="19" t="s">
        <v>49</v>
      </c>
      <c r="N352" s="19" t="s">
        <v>1765</v>
      </c>
      <c r="O352" s="19" t="s">
        <v>49</v>
      </c>
      <c r="P352" s="19" t="s">
        <v>1344</v>
      </c>
      <c r="Q352" s="19" t="s">
        <v>1549</v>
      </c>
      <c r="R352" s="19" t="s">
        <v>1766</v>
      </c>
      <c r="S352" s="19"/>
      <c r="T352" s="19" t="s">
        <v>53</v>
      </c>
      <c r="U352" s="19" t="s">
        <v>71</v>
      </c>
      <c r="V352" s="19" t="s">
        <v>105</v>
      </c>
      <c r="W352" s="19" t="s">
        <v>96</v>
      </c>
      <c r="X352" s="19"/>
      <c r="Y352" s="19"/>
      <c r="Z352" s="19" t="s">
        <v>1767</v>
      </c>
      <c r="AA352" s="19">
        <v>1</v>
      </c>
      <c r="AB352" s="19">
        <v>1</v>
      </c>
      <c r="AC352" s="19" t="s">
        <v>59</v>
      </c>
      <c r="AD352" s="19" t="s">
        <v>1344</v>
      </c>
      <c r="AE352" s="19" t="s">
        <v>1760</v>
      </c>
      <c r="AF352" s="19"/>
    </row>
    <row r="353" spans="1:34">
      <c r="A353" s="19">
        <v>345</v>
      </c>
      <c r="B353" s="19" t="s">
        <v>1749</v>
      </c>
      <c r="C353" s="19" t="s">
        <v>163</v>
      </c>
      <c r="D353" s="19" t="str">
        <f>HYPERLINK("http://henontech.com/fieldsafety/harzard/harzard_show.php?rid=21059&amp;url=harzardrecs.php","除盐水站室外污水地沟铁管盖板缝隙过大，一名员工巡检至此时，脚部不慎踩进缝隙里，扭伤，送医务室治疗后，回到岗位，未发生损工事件，但不能从事重体力劳动。")</f>
        <v>除盐水站室外污水地沟铁管盖板缝隙过大，一名员工巡检至此时，脚部不慎踩进缝隙里，扭伤，送医务室治疗后，回到岗位，未发生损工事件，但不能从事重体力劳动。</v>
      </c>
      <c r="E353" s="19" t="s">
        <v>1768</v>
      </c>
      <c r="F353" s="20" t="s">
        <v>42</v>
      </c>
      <c r="G353" s="21" t="s">
        <v>43</v>
      </c>
      <c r="H353" s="19" t="s">
        <v>44</v>
      </c>
      <c r="I353" s="19" t="s">
        <v>78</v>
      </c>
      <c r="J353" s="19" t="s">
        <v>45</v>
      </c>
      <c r="K353" s="19" t="s">
        <v>46</v>
      </c>
      <c r="L353" s="19" t="s">
        <v>1452</v>
      </c>
      <c r="M353" s="19" t="s">
        <v>49</v>
      </c>
      <c r="N353" s="19" t="s">
        <v>1293</v>
      </c>
      <c r="O353" s="19" t="s">
        <v>49</v>
      </c>
      <c r="P353" s="19" t="s">
        <v>1344</v>
      </c>
      <c r="Q353" s="19" t="s">
        <v>1769</v>
      </c>
      <c r="R353" s="19" t="s">
        <v>1770</v>
      </c>
      <c r="S353" s="19" t="s">
        <v>1771</v>
      </c>
      <c r="T353" s="19" t="s">
        <v>53</v>
      </c>
      <c r="U353" s="19" t="s">
        <v>71</v>
      </c>
      <c r="V353" s="19" t="s">
        <v>105</v>
      </c>
      <c r="W353" s="19" t="s">
        <v>96</v>
      </c>
      <c r="X353" s="19" t="s">
        <v>57</v>
      </c>
      <c r="Y353" s="19"/>
      <c r="Z353" s="19" t="s">
        <v>1772</v>
      </c>
      <c r="AA353" s="19">
        <v>1</v>
      </c>
      <c r="AB353" s="19">
        <v>1</v>
      </c>
      <c r="AC353" s="19" t="s">
        <v>59</v>
      </c>
      <c r="AD353" s="19" t="s">
        <v>1344</v>
      </c>
      <c r="AE353" s="19" t="s">
        <v>1722</v>
      </c>
      <c r="AF353" s="19"/>
    </row>
    <row r="354" spans="1:34">
      <c r="A354" s="19">
        <v>346</v>
      </c>
      <c r="B354" s="19" t="s">
        <v>1773</v>
      </c>
      <c r="C354" s="19" t="s">
        <v>1431</v>
      </c>
      <c r="D354" s="19" t="str">
        <f>HYPERLINK("http://henontech.com/fieldsafety/harzard/harzard_show.php?rid=21167&amp;url=harzardrecs.php","絮凝剂管线漏液，巡检时打滑不慎摔倒")</f>
        <v>絮凝剂管线漏液，巡检时打滑不慎摔倒</v>
      </c>
      <c r="E354" s="19" t="s">
        <v>1774</v>
      </c>
      <c r="F354" s="23" t="s">
        <v>227</v>
      </c>
      <c r="G354" s="21" t="s">
        <v>43</v>
      </c>
      <c r="H354" s="19" t="s">
        <v>44</v>
      </c>
      <c r="I354" s="19" t="s">
        <v>78</v>
      </c>
      <c r="J354" s="19" t="s">
        <v>64</v>
      </c>
      <c r="K354" s="19" t="s">
        <v>88</v>
      </c>
      <c r="L354" s="19"/>
      <c r="M354" s="19" t="s">
        <v>229</v>
      </c>
      <c r="N354" s="19" t="s">
        <v>1248</v>
      </c>
      <c r="O354" s="19"/>
      <c r="P354" s="19"/>
      <c r="Q354" s="19"/>
      <c r="R354" s="19" t="s">
        <v>191</v>
      </c>
      <c r="S354" s="19" t="s">
        <v>1775</v>
      </c>
      <c r="T354" s="19" t="s">
        <v>53</v>
      </c>
      <c r="U354" s="19" t="s">
        <v>54</v>
      </c>
      <c r="V354" s="19" t="s">
        <v>105</v>
      </c>
      <c r="W354" s="19" t="s">
        <v>72</v>
      </c>
      <c r="X354" s="19"/>
      <c r="Y354" s="19"/>
      <c r="Z354" s="19"/>
      <c r="AA354" s="19">
        <v>0</v>
      </c>
      <c r="AB354" s="19"/>
      <c r="AC354" s="19" t="s">
        <v>233</v>
      </c>
      <c r="AD354" s="19"/>
      <c r="AE354" s="19"/>
      <c r="AF354" s="19"/>
    </row>
    <row r="355" spans="1:34">
      <c r="A355" s="19">
        <v>347</v>
      </c>
      <c r="B355" s="19" t="s">
        <v>1773</v>
      </c>
      <c r="C355" s="19" t="s">
        <v>1776</v>
      </c>
      <c r="D355" s="19" t="str">
        <f>HYPERLINK("http://henontech.com/fieldsafety/harzard/harzard_show.php?rid=21168&amp;url=harzardrecs.php","一操作工巡检时，被35吨锅炉一楼筛网一角翘起拌倒，造成手部擦伤")</f>
        <v>一操作工巡检时，被35吨锅炉一楼筛网一角翘起拌倒，造成手部擦伤</v>
      </c>
      <c r="E355" s="19" t="s">
        <v>1777</v>
      </c>
      <c r="F355" s="23" t="s">
        <v>227</v>
      </c>
      <c r="G355" s="21" t="s">
        <v>43</v>
      </c>
      <c r="H355" s="19" t="s">
        <v>44</v>
      </c>
      <c r="I355" s="19"/>
      <c r="J355" s="19"/>
      <c r="K355" s="19" t="s">
        <v>79</v>
      </c>
      <c r="L355" s="19" t="s">
        <v>65</v>
      </c>
      <c r="M355" s="19" t="s">
        <v>229</v>
      </c>
      <c r="N355" s="19" t="s">
        <v>1778</v>
      </c>
      <c r="O355" s="19"/>
      <c r="P355" s="19"/>
      <c r="Q355" s="19"/>
      <c r="R355" s="19" t="s">
        <v>1776</v>
      </c>
      <c r="S355" s="19" t="s">
        <v>1775</v>
      </c>
      <c r="T355" s="19" t="s">
        <v>53</v>
      </c>
      <c r="U355" s="19" t="s">
        <v>54</v>
      </c>
      <c r="V355" s="19" t="s">
        <v>95</v>
      </c>
      <c r="W355" s="19" t="s">
        <v>117</v>
      </c>
      <c r="X355" s="19"/>
      <c r="Y355" s="19"/>
      <c r="Z355" s="19"/>
      <c r="AA355" s="19">
        <v>0</v>
      </c>
      <c r="AB355" s="19"/>
      <c r="AC355" s="19" t="s">
        <v>233</v>
      </c>
      <c r="AD355" s="19"/>
      <c r="AE355" s="19"/>
      <c r="AF355" s="19"/>
    </row>
    <row r="356" spans="1:34">
      <c r="A356" s="19">
        <v>348</v>
      </c>
      <c r="B356" s="19" t="s">
        <v>1773</v>
      </c>
      <c r="C356" s="19" t="s">
        <v>1431</v>
      </c>
      <c r="D356" s="19" t="str">
        <f>HYPERLINK("http://henontech.com/fieldsafety/harzard/harzard_show.php?rid=21169&amp;url=harzardrecs.php","一维修工在厂房二楼焊接管道时火花溅入衣领，烫伤脖子")</f>
        <v>一维修工在厂房二楼焊接管道时火花溅入衣领，烫伤脖子</v>
      </c>
      <c r="E356" s="19" t="s">
        <v>1779</v>
      </c>
      <c r="F356" s="23" t="s">
        <v>227</v>
      </c>
      <c r="G356" s="21" t="s">
        <v>43</v>
      </c>
      <c r="H356" s="19" t="s">
        <v>44</v>
      </c>
      <c r="I356" s="19" t="s">
        <v>205</v>
      </c>
      <c r="J356" s="19" t="s">
        <v>165</v>
      </c>
      <c r="K356" s="19"/>
      <c r="L356" s="19"/>
      <c r="M356" s="19" t="s">
        <v>229</v>
      </c>
      <c r="N356" s="19" t="s">
        <v>1780</v>
      </c>
      <c r="O356" s="19"/>
      <c r="P356" s="19"/>
      <c r="Q356" s="19"/>
      <c r="R356" s="19" t="s">
        <v>1781</v>
      </c>
      <c r="S356" s="19" t="s">
        <v>1782</v>
      </c>
      <c r="T356" s="19" t="s">
        <v>53</v>
      </c>
      <c r="U356" s="19" t="s">
        <v>71</v>
      </c>
      <c r="V356" s="19" t="s">
        <v>105</v>
      </c>
      <c r="W356" s="19" t="s">
        <v>96</v>
      </c>
      <c r="X356" s="19"/>
      <c r="Y356" s="19"/>
      <c r="Z356" s="19"/>
      <c r="AA356" s="19">
        <v>0</v>
      </c>
      <c r="AB356" s="19"/>
      <c r="AC356" s="19" t="s">
        <v>233</v>
      </c>
      <c r="AD356" s="19"/>
      <c r="AE356" s="19"/>
      <c r="AF356" s="19"/>
    </row>
    <row r="357" spans="1:34" customHeight="1" ht="42">
      <c r="A357" s="19">
        <v>349</v>
      </c>
      <c r="B357" s="19" t="s">
        <v>1482</v>
      </c>
      <c r="C357" s="19" t="s">
        <v>1450</v>
      </c>
      <c r="D357" s="19" t="str">
        <f>HYPERLINK("http://henontech.com/fieldsafety/harzard/harzard_show.php?rid=21186&amp;url=harzardrecs.php","分汽缸蒸汽阀门处漏气未处理好，保温未恢复，操作人员在开关阀门时不小心，可能被蒸汽烫伤右手，去医务室处理后，回家休养一周复工")</f>
        <v>分汽缸蒸汽阀门处漏气未处理好，保温未恢复，操作人员在开关阀门时不小心，可能被蒸汽烫伤右手，去医务室处理后，回家休养一周复工</v>
      </c>
      <c r="E357" s="19" t="s">
        <v>1783</v>
      </c>
      <c r="F357" s="25" t="s">
        <v>1784</v>
      </c>
      <c r="G357" s="21" t="s">
        <v>43</v>
      </c>
      <c r="H357" s="19" t="s">
        <v>44</v>
      </c>
      <c r="I357" s="19" t="s">
        <v>78</v>
      </c>
      <c r="J357" s="19" t="s">
        <v>64</v>
      </c>
      <c r="K357" s="19" t="s">
        <v>79</v>
      </c>
      <c r="L357" s="19" t="s">
        <v>65</v>
      </c>
      <c r="M357" s="19" t="s">
        <v>229</v>
      </c>
      <c r="N357" s="19" t="s">
        <v>80</v>
      </c>
      <c r="O357" s="19" t="s">
        <v>229</v>
      </c>
      <c r="P357" s="19" t="s">
        <v>669</v>
      </c>
      <c r="Q357" s="19" t="s">
        <v>1785</v>
      </c>
      <c r="R357" s="19" t="s">
        <v>1786</v>
      </c>
      <c r="S357" s="19"/>
      <c r="T357" s="19" t="s">
        <v>53</v>
      </c>
      <c r="U357" s="19" t="s">
        <v>54</v>
      </c>
      <c r="V357" s="19" t="s">
        <v>105</v>
      </c>
      <c r="W357" s="19" t="s">
        <v>72</v>
      </c>
      <c r="X357" s="19" t="s">
        <v>57</v>
      </c>
      <c r="Y357" s="19"/>
      <c r="Z357" s="19" t="s">
        <v>1787</v>
      </c>
      <c r="AA357" s="19">
        <v>2</v>
      </c>
      <c r="AB357" s="19"/>
      <c r="AC357" s="19" t="s">
        <v>233</v>
      </c>
      <c r="AD357" s="19"/>
      <c r="AE357" s="19"/>
      <c r="AF357" s="19"/>
    </row>
    <row r="358" spans="1:34">
      <c r="A358" s="19">
        <v>350</v>
      </c>
      <c r="B358" s="19" t="s">
        <v>1788</v>
      </c>
      <c r="C358" s="19" t="s">
        <v>1660</v>
      </c>
      <c r="D358" s="19" t="str">
        <f>HYPERLINK("http://henontech.com/fieldsafety/harzard/harzard_show.php?rid=21509&amp;url=harzardrecs.php","一级反渗透清洗管线漏水，水喷到反渗透配电盘，设备断电停运")</f>
        <v>一级反渗透清洗管线漏水，水喷到反渗透配电盘，设备断电停运</v>
      </c>
      <c r="E358" s="19" t="s">
        <v>1789</v>
      </c>
      <c r="F358" s="23" t="s">
        <v>227</v>
      </c>
      <c r="G358" s="21" t="s">
        <v>43</v>
      </c>
      <c r="H358" s="19" t="s">
        <v>44</v>
      </c>
      <c r="I358" s="19" t="s">
        <v>78</v>
      </c>
      <c r="J358" s="19" t="s">
        <v>308</v>
      </c>
      <c r="K358" s="19" t="s">
        <v>88</v>
      </c>
      <c r="L358" s="19"/>
      <c r="M358" s="19" t="s">
        <v>229</v>
      </c>
      <c r="N358" s="19" t="s">
        <v>1790</v>
      </c>
      <c r="O358" s="19"/>
      <c r="P358" s="19"/>
      <c r="Q358" s="19"/>
      <c r="R358" s="19" t="s">
        <v>1791</v>
      </c>
      <c r="S358" s="19" t="s">
        <v>1792</v>
      </c>
      <c r="T358" s="19" t="s">
        <v>53</v>
      </c>
      <c r="U358" s="19" t="s">
        <v>54</v>
      </c>
      <c r="V358" s="19" t="s">
        <v>105</v>
      </c>
      <c r="W358" s="19" t="s">
        <v>72</v>
      </c>
      <c r="X358" s="19"/>
      <c r="Y358" s="19"/>
      <c r="Z358" s="19"/>
      <c r="AA358" s="19">
        <v>0</v>
      </c>
      <c r="AB358" s="19"/>
      <c r="AC358" s="19" t="s">
        <v>233</v>
      </c>
      <c r="AD358" s="19"/>
      <c r="AE358" s="19"/>
      <c r="AF358" s="19"/>
    </row>
    <row r="359" spans="1:34">
      <c r="A359" s="19">
        <v>351</v>
      </c>
      <c r="B359" s="19" t="s">
        <v>1788</v>
      </c>
      <c r="C359" s="19" t="s">
        <v>1793</v>
      </c>
      <c r="D359" s="19" t="str">
        <f>HYPERLINK("http://henontech.com/fieldsafety/harzard/harzard_show.php?rid=21582&amp;url=harzardrecs.php","空压机旁一铁管未定置存放，操作工巡检时不慎被绊倒，造成左手手腕轻微扭伤，休息一会后继续工作。")</f>
        <v>空压机旁一铁管未定置存放，操作工巡检时不慎被绊倒，造成左手手腕轻微扭伤，休息一会后继续工作。</v>
      </c>
      <c r="E359" s="19" t="s">
        <v>1794</v>
      </c>
      <c r="F359" s="20" t="s">
        <v>42</v>
      </c>
      <c r="G359" s="21" t="s">
        <v>43</v>
      </c>
      <c r="H359" s="19" t="s">
        <v>44</v>
      </c>
      <c r="I359" s="19" t="s">
        <v>78</v>
      </c>
      <c r="J359" s="19" t="s">
        <v>64</v>
      </c>
      <c r="K359" s="19" t="s">
        <v>88</v>
      </c>
      <c r="L359" s="19" t="s">
        <v>65</v>
      </c>
      <c r="M359" s="19" t="s">
        <v>66</v>
      </c>
      <c r="N359" s="19" t="s">
        <v>283</v>
      </c>
      <c r="O359" s="19" t="s">
        <v>66</v>
      </c>
      <c r="P359" s="19" t="s">
        <v>68</v>
      </c>
      <c r="Q359" s="19" t="s">
        <v>1795</v>
      </c>
      <c r="R359" s="19" t="s">
        <v>1793</v>
      </c>
      <c r="S359" s="19"/>
      <c r="T359" s="19" t="s">
        <v>53</v>
      </c>
      <c r="U359" s="19" t="s">
        <v>71</v>
      </c>
      <c r="V359" s="19" t="s">
        <v>105</v>
      </c>
      <c r="W359" s="19" t="s">
        <v>96</v>
      </c>
      <c r="X359" s="19"/>
      <c r="Y359" s="19"/>
      <c r="Z359" s="19" t="s">
        <v>909</v>
      </c>
      <c r="AA359" s="19">
        <v>1</v>
      </c>
      <c r="AB359" s="19">
        <v>1</v>
      </c>
      <c r="AC359" s="19" t="s">
        <v>59</v>
      </c>
      <c r="AD359" s="19" t="s">
        <v>68</v>
      </c>
      <c r="AE359" s="19" t="s">
        <v>1796</v>
      </c>
      <c r="AF359" s="19"/>
    </row>
    <row r="360" spans="1:34" customHeight="1" ht="42">
      <c r="A360" s="19">
        <v>352</v>
      </c>
      <c r="B360" s="19" t="s">
        <v>1788</v>
      </c>
      <c r="C360" s="19" t="s">
        <v>484</v>
      </c>
      <c r="D360" s="19" t="str">
        <f>HYPERLINK("http://henontech.com/fieldsafety/harzard/harzard_show.php?rid=21636&amp;url=harzardrecs.php","西侧滑触线绝缘棒脱离，起不到固定作用")</f>
        <v>西侧滑触线绝缘棒脱离，起不到固定作用</v>
      </c>
      <c r="E360" s="19" t="s">
        <v>1797</v>
      </c>
      <c r="F360" s="20" t="s">
        <v>42</v>
      </c>
      <c r="G360" s="21" t="s">
        <v>43</v>
      </c>
      <c r="H360" s="19" t="s">
        <v>44</v>
      </c>
      <c r="I360" s="19" t="s">
        <v>129</v>
      </c>
      <c r="J360" s="19" t="s">
        <v>64</v>
      </c>
      <c r="K360" s="19" t="s">
        <v>79</v>
      </c>
      <c r="L360" s="19" t="s">
        <v>65</v>
      </c>
      <c r="M360" s="19" t="s">
        <v>49</v>
      </c>
      <c r="N360" s="19" t="s">
        <v>1798</v>
      </c>
      <c r="O360" s="19" t="s">
        <v>49</v>
      </c>
      <c r="P360" s="19" t="s">
        <v>460</v>
      </c>
      <c r="Q360" s="19" t="s">
        <v>1799</v>
      </c>
      <c r="R360" s="19" t="s">
        <v>1800</v>
      </c>
      <c r="S360" s="19"/>
      <c r="T360" s="19" t="s">
        <v>392</v>
      </c>
      <c r="U360" s="19" t="s">
        <v>94</v>
      </c>
      <c r="V360" s="19" t="s">
        <v>95</v>
      </c>
      <c r="W360" s="19" t="s">
        <v>96</v>
      </c>
      <c r="X360" s="19" t="s">
        <v>150</v>
      </c>
      <c r="Y360" s="19"/>
      <c r="Z360" s="19" t="s">
        <v>1801</v>
      </c>
      <c r="AA360" s="19">
        <v>2</v>
      </c>
      <c r="AB360" s="19">
        <v>2</v>
      </c>
      <c r="AC360" s="19" t="s">
        <v>59</v>
      </c>
      <c r="AD360" s="19" t="s">
        <v>460</v>
      </c>
      <c r="AE360" s="19" t="s">
        <v>1557</v>
      </c>
      <c r="AF360" s="19"/>
    </row>
    <row r="361" spans="1:34">
      <c r="A361" s="19">
        <v>353</v>
      </c>
      <c r="B361" s="19" t="s">
        <v>1802</v>
      </c>
      <c r="C361" s="19" t="s">
        <v>1803</v>
      </c>
      <c r="D361" s="19" t="str">
        <f>HYPERLINK("http://henontech.com/fieldsafety/harzard/harzard_show.php?rid=21733&amp;url=harzardrecs.php","风机初冷器下液管法兰缺失螺栓。容易导致泄漏煤气，维修工在周边进行检修作业后，可能造成轻微中毒。")</f>
        <v>风机初冷器下液管法兰缺失螺栓。容易导致泄漏煤气，维修工在周边进行检修作业后，可能造成轻微中毒。</v>
      </c>
      <c r="E361" s="19" t="s">
        <v>1804</v>
      </c>
      <c r="F361" s="20" t="s">
        <v>42</v>
      </c>
      <c r="G361" s="21" t="s">
        <v>43</v>
      </c>
      <c r="H361" s="19" t="s">
        <v>44</v>
      </c>
      <c r="I361" s="19" t="s">
        <v>78</v>
      </c>
      <c r="J361" s="19" t="s">
        <v>64</v>
      </c>
      <c r="K361" s="19" t="s">
        <v>46</v>
      </c>
      <c r="L361" s="19" t="s">
        <v>65</v>
      </c>
      <c r="M361" s="19" t="s">
        <v>66</v>
      </c>
      <c r="N361" s="19" t="s">
        <v>424</v>
      </c>
      <c r="O361" s="19" t="s">
        <v>66</v>
      </c>
      <c r="P361" s="19" t="s">
        <v>68</v>
      </c>
      <c r="Q361" s="19" t="s">
        <v>1795</v>
      </c>
      <c r="R361" s="19" t="s">
        <v>1805</v>
      </c>
      <c r="S361" s="19"/>
      <c r="T361" s="19" t="s">
        <v>53</v>
      </c>
      <c r="U361" s="19" t="s">
        <v>71</v>
      </c>
      <c r="V361" s="19" t="s">
        <v>105</v>
      </c>
      <c r="W361" s="19" t="s">
        <v>96</v>
      </c>
      <c r="X361" s="19"/>
      <c r="Y361" s="19"/>
      <c r="Z361" s="19" t="s">
        <v>1806</v>
      </c>
      <c r="AA361" s="19">
        <v>1</v>
      </c>
      <c r="AB361" s="19">
        <v>1</v>
      </c>
      <c r="AC361" s="19" t="s">
        <v>59</v>
      </c>
      <c r="AD361" s="19" t="s">
        <v>68</v>
      </c>
      <c r="AE361" s="19" t="s">
        <v>1713</v>
      </c>
      <c r="AF361" s="19"/>
    </row>
    <row r="362" spans="1:34">
      <c r="A362" s="19">
        <v>354</v>
      </c>
      <c r="B362" s="19" t="s">
        <v>1788</v>
      </c>
      <c r="C362" s="19" t="s">
        <v>1807</v>
      </c>
      <c r="D362" s="19" t="str">
        <f>HYPERLINK("http://henontech.com/fieldsafety/harzard/harzard_show.php?rid=21766&amp;url=harzardrecs.php","一操作工巡检时，被35吨锅炉鼓风机旁铁板翘起处拌倒，手腕受伤，送医治疗。")</f>
        <v>一操作工巡检时，被35吨锅炉鼓风机旁铁板翘起处拌倒，手腕受伤，送医治疗。</v>
      </c>
      <c r="E362" s="19" t="s">
        <v>1808</v>
      </c>
      <c r="F362" s="23" t="s">
        <v>227</v>
      </c>
      <c r="G362" s="21" t="s">
        <v>43</v>
      </c>
      <c r="H362" s="19" t="s">
        <v>44</v>
      </c>
      <c r="I362" s="19" t="s">
        <v>129</v>
      </c>
      <c r="J362" s="19" t="s">
        <v>87</v>
      </c>
      <c r="K362" s="19" t="s">
        <v>79</v>
      </c>
      <c r="L362" s="19" t="s">
        <v>65</v>
      </c>
      <c r="M362" s="19" t="s">
        <v>229</v>
      </c>
      <c r="N362" s="19" t="s">
        <v>1809</v>
      </c>
      <c r="O362" s="19"/>
      <c r="P362" s="19"/>
      <c r="Q362" s="19"/>
      <c r="R362" s="19" t="s">
        <v>1810</v>
      </c>
      <c r="S362" s="19" t="s">
        <v>1775</v>
      </c>
      <c r="T362" s="19" t="s">
        <v>53</v>
      </c>
      <c r="U362" s="19" t="s">
        <v>54</v>
      </c>
      <c r="V362" s="19" t="s">
        <v>95</v>
      </c>
      <c r="W362" s="19" t="s">
        <v>117</v>
      </c>
      <c r="X362" s="19"/>
      <c r="Y362" s="19"/>
      <c r="Z362" s="19"/>
      <c r="AA362" s="19">
        <v>0</v>
      </c>
      <c r="AB362" s="19"/>
      <c r="AC362" s="19" t="s">
        <v>233</v>
      </c>
      <c r="AD362" s="19"/>
      <c r="AE362" s="19"/>
      <c r="AF362" s="19"/>
    </row>
    <row r="363" spans="1:34">
      <c r="A363" s="19">
        <v>355</v>
      </c>
      <c r="B363" s="19" t="s">
        <v>1802</v>
      </c>
      <c r="C363" s="19" t="s">
        <v>1776</v>
      </c>
      <c r="D363" s="19" t="str">
        <f>HYPERLINK("http://henontech.com/fieldsafety/harzard/harzard_show.php?rid=21789&amp;url=harzardrecs.php","35吨锅炉一层楼梯东侧地沟盖板破损，一名巡检工巡检时，不慎将盖板踩破掉入地沟，脚腕扭伤")</f>
        <v>35吨锅炉一层楼梯东侧地沟盖板破损，一名巡检工巡检时，不慎将盖板踩破掉入地沟，脚腕扭伤</v>
      </c>
      <c r="E363" s="19" t="s">
        <v>1811</v>
      </c>
      <c r="F363" s="23" t="s">
        <v>227</v>
      </c>
      <c r="G363" s="21" t="s">
        <v>43</v>
      </c>
      <c r="H363" s="19" t="s">
        <v>44</v>
      </c>
      <c r="I363" s="19" t="s">
        <v>78</v>
      </c>
      <c r="J363" s="19" t="s">
        <v>45</v>
      </c>
      <c r="K363" s="19" t="s">
        <v>88</v>
      </c>
      <c r="L363" s="19"/>
      <c r="M363" s="19" t="s">
        <v>229</v>
      </c>
      <c r="N363" s="19" t="s">
        <v>1426</v>
      </c>
      <c r="O363" s="19"/>
      <c r="P363" s="19"/>
      <c r="Q363" s="19"/>
      <c r="R363" s="19" t="s">
        <v>1812</v>
      </c>
      <c r="S363" s="19" t="s">
        <v>1775</v>
      </c>
      <c r="T363" s="19" t="s">
        <v>53</v>
      </c>
      <c r="U363" s="19" t="s">
        <v>71</v>
      </c>
      <c r="V363" s="19" t="s">
        <v>105</v>
      </c>
      <c r="W363" s="19" t="s">
        <v>96</v>
      </c>
      <c r="X363" s="19"/>
      <c r="Y363" s="19"/>
      <c r="Z363" s="19"/>
      <c r="AA363" s="19">
        <v>0</v>
      </c>
      <c r="AB363" s="19"/>
      <c r="AC363" s="19" t="s">
        <v>233</v>
      </c>
      <c r="AD363" s="19"/>
      <c r="AE363" s="19"/>
      <c r="AF363" s="19"/>
    </row>
    <row r="364" spans="1:34">
      <c r="A364" s="19">
        <v>356</v>
      </c>
      <c r="B364" s="19" t="s">
        <v>1802</v>
      </c>
      <c r="C364" s="19" t="s">
        <v>1546</v>
      </c>
      <c r="D364" s="19" t="str">
        <f>HYPERLINK("http://henontech.com/fieldsafety/harzard/harzard_show.php?rid=21966&amp;url=harzardrecs.php","5.5米焦炉干熄车南侧夹紧油缸销子锁帽松动，销子部分脱出，一旦油缸固定销轴全部脱落，会造成夹紧装置无法回位，被干熄车撞击扭曲变形，造成焦炉停运2.5小时，财产损失7万元。")</f>
        <v>5.5米焦炉干熄车南侧夹紧油缸销子锁帽松动，销子部分脱出，一旦油缸固定销轴全部脱落，会造成夹紧装置无法回位，被干熄车撞击扭曲变形，造成焦炉停运2.5小时，财产损失7万元。</v>
      </c>
      <c r="E364" s="19" t="s">
        <v>1813</v>
      </c>
      <c r="F364" s="20" t="s">
        <v>42</v>
      </c>
      <c r="G364" s="21" t="s">
        <v>43</v>
      </c>
      <c r="H364" s="19" t="s">
        <v>44</v>
      </c>
      <c r="I364" s="19"/>
      <c r="J364" s="19" t="s">
        <v>64</v>
      </c>
      <c r="K364" s="19"/>
      <c r="L364" s="19"/>
      <c r="M364" s="19" t="s">
        <v>49</v>
      </c>
      <c r="N364" s="19" t="s">
        <v>1548</v>
      </c>
      <c r="O364" s="19" t="s">
        <v>49</v>
      </c>
      <c r="P364" s="19" t="s">
        <v>460</v>
      </c>
      <c r="Q364" s="19" t="s">
        <v>1814</v>
      </c>
      <c r="R364" s="19" t="s">
        <v>1815</v>
      </c>
      <c r="S364" s="19" t="s">
        <v>1816</v>
      </c>
      <c r="T364" s="19" t="s">
        <v>104</v>
      </c>
      <c r="U364" s="19" t="s">
        <v>54</v>
      </c>
      <c r="V364" s="19" t="s">
        <v>55</v>
      </c>
      <c r="W364" s="19" t="s">
        <v>56</v>
      </c>
      <c r="X364" s="19" t="s">
        <v>150</v>
      </c>
      <c r="Y364" s="19" t="s">
        <v>150</v>
      </c>
      <c r="Z364" s="19" t="s">
        <v>1817</v>
      </c>
      <c r="AA364" s="19">
        <v>1</v>
      </c>
      <c r="AB364" s="19">
        <v>1</v>
      </c>
      <c r="AC364" s="19" t="s">
        <v>59</v>
      </c>
      <c r="AD364" s="19" t="s">
        <v>460</v>
      </c>
      <c r="AE364" s="19" t="s">
        <v>1557</v>
      </c>
      <c r="AF364" s="19"/>
    </row>
    <row r="365" spans="1:34" customHeight="1" ht="42">
      <c r="A365" s="19">
        <v>357</v>
      </c>
      <c r="B365" s="19" t="s">
        <v>1802</v>
      </c>
      <c r="C365" s="19" t="s">
        <v>89</v>
      </c>
      <c r="D365" s="19" t="str">
        <f>HYPERLINK("http://henontech.com/fieldsafety/harzard/harzard_show.php?rid=22007&amp;url=harzardrecs.php","浓水阀门内漏造成浓水渗入地沟，被环保部门查获，造成公司财产损失三万元。")</f>
        <v>浓水阀门内漏造成浓水渗入地沟，被环保部门查获，造成公司财产损失三万元。</v>
      </c>
      <c r="E365" s="19" t="s">
        <v>1818</v>
      </c>
      <c r="F365" s="20" t="s">
        <v>42</v>
      </c>
      <c r="G365" s="21" t="s">
        <v>43</v>
      </c>
      <c r="H365" s="19" t="s">
        <v>44</v>
      </c>
      <c r="I365" s="19" t="s">
        <v>129</v>
      </c>
      <c r="J365" s="19" t="s">
        <v>64</v>
      </c>
      <c r="K365" s="19" t="s">
        <v>302</v>
      </c>
      <c r="L365" s="19" t="s">
        <v>65</v>
      </c>
      <c r="M365" s="19" t="s">
        <v>89</v>
      </c>
      <c r="N365" s="19" t="s">
        <v>1819</v>
      </c>
      <c r="O365" s="19" t="s">
        <v>89</v>
      </c>
      <c r="P365" s="19" t="s">
        <v>1536</v>
      </c>
      <c r="Q365" s="19" t="s">
        <v>1537</v>
      </c>
      <c r="R365" s="19" t="s">
        <v>1820</v>
      </c>
      <c r="S365" s="19"/>
      <c r="T365" s="19" t="s">
        <v>392</v>
      </c>
      <c r="U365" s="19" t="s">
        <v>94</v>
      </c>
      <c r="V365" s="19" t="s">
        <v>105</v>
      </c>
      <c r="W365" s="19" t="s">
        <v>96</v>
      </c>
      <c r="X365" s="19" t="s">
        <v>57</v>
      </c>
      <c r="Y365" s="19"/>
      <c r="Z365" s="19" t="s">
        <v>1821</v>
      </c>
      <c r="AA365" s="19">
        <v>2</v>
      </c>
      <c r="AB365" s="19">
        <v>2</v>
      </c>
      <c r="AC365" s="19" t="s">
        <v>59</v>
      </c>
      <c r="AD365" s="19" t="s">
        <v>1536</v>
      </c>
      <c r="AE365" s="19" t="s">
        <v>1399</v>
      </c>
      <c r="AF365" s="19"/>
    </row>
    <row r="366" spans="1:34" customHeight="1" ht="42">
      <c r="A366" s="19">
        <v>358</v>
      </c>
      <c r="B366" s="19" t="s">
        <v>1822</v>
      </c>
      <c r="C366" s="19" t="s">
        <v>1823</v>
      </c>
      <c r="D366" s="19" t="str">
        <f>HYPERLINK("http://henontech.com/fieldsafety/harzard/harzard_show.php?rid=22018&amp;url=harzardrecs.php","一名操作工在进行接电操作时，由于不小心触碰到其他电源，造成漏电伤害，从两米高处掉了下来，造成左手骨折，休息75天")</f>
        <v>一名操作工在进行接电操作时，由于不小心触碰到其他电源，造成漏电伤害，从两米高处掉了下来，造成左手骨折，休息75天</v>
      </c>
      <c r="E366" s="19" t="s">
        <v>1824</v>
      </c>
      <c r="F366" s="25" t="s">
        <v>1784</v>
      </c>
      <c r="G366" s="21" t="s">
        <v>43</v>
      </c>
      <c r="H366" s="19" t="s">
        <v>44</v>
      </c>
      <c r="I366" s="19" t="s">
        <v>297</v>
      </c>
      <c r="J366" s="19" t="s">
        <v>112</v>
      </c>
      <c r="K366" s="19" t="s">
        <v>88</v>
      </c>
      <c r="L366" s="19" t="s">
        <v>65</v>
      </c>
      <c r="M366" s="19" t="s">
        <v>89</v>
      </c>
      <c r="N366" s="19" t="s">
        <v>1825</v>
      </c>
      <c r="O366" s="19" t="s">
        <v>89</v>
      </c>
      <c r="P366" s="19" t="s">
        <v>1536</v>
      </c>
      <c r="Q366" s="19" t="s">
        <v>1537</v>
      </c>
      <c r="R366" s="19" t="s">
        <v>1826</v>
      </c>
      <c r="S366" s="19"/>
      <c r="T366" s="19" t="s">
        <v>53</v>
      </c>
      <c r="U366" s="19" t="s">
        <v>71</v>
      </c>
      <c r="V366" s="19" t="s">
        <v>55</v>
      </c>
      <c r="W366" s="19" t="s">
        <v>72</v>
      </c>
      <c r="X366" s="19" t="s">
        <v>57</v>
      </c>
      <c r="Y366" s="19"/>
      <c r="Z366" s="19" t="s">
        <v>1827</v>
      </c>
      <c r="AA366" s="19">
        <v>2</v>
      </c>
      <c r="AB366" s="19"/>
      <c r="AC366" s="19" t="s">
        <v>233</v>
      </c>
      <c r="AD366" s="19"/>
      <c r="AE366" s="19"/>
      <c r="AF366" s="19"/>
    </row>
    <row r="367" spans="1:34">
      <c r="A367" s="19">
        <v>359</v>
      </c>
      <c r="B367" s="19" t="s">
        <v>1822</v>
      </c>
      <c r="C367" s="19" t="s">
        <v>89</v>
      </c>
      <c r="D367" s="19" t="str">
        <f>HYPERLINK("http://henontech.com/fieldsafety/harzard/harzard_show.php?rid=22019&amp;url=harzardrecs.php","污水池观察孔盖板缺失，异味散出，造成周边区域异味大，对环境产生污染。")</f>
        <v>污水池观察孔盖板缺失，异味散出，造成周边区域异味大，对环境产生污染。</v>
      </c>
      <c r="E367" s="19" t="s">
        <v>1828</v>
      </c>
      <c r="F367" s="25" t="s">
        <v>1784</v>
      </c>
      <c r="G367" s="21" t="s">
        <v>43</v>
      </c>
      <c r="H367" s="19" t="s">
        <v>44</v>
      </c>
      <c r="I367" s="19"/>
      <c r="J367" s="19" t="s">
        <v>64</v>
      </c>
      <c r="K367" s="19" t="s">
        <v>46</v>
      </c>
      <c r="L367" s="19"/>
      <c r="M367" s="19" t="s">
        <v>89</v>
      </c>
      <c r="N367" s="19" t="s">
        <v>1829</v>
      </c>
      <c r="O367" s="19" t="s">
        <v>89</v>
      </c>
      <c r="P367" s="19" t="s">
        <v>1536</v>
      </c>
      <c r="Q367" s="19" t="s">
        <v>1537</v>
      </c>
      <c r="R367" s="19" t="s">
        <v>1830</v>
      </c>
      <c r="S367" s="19"/>
      <c r="T367" s="19" t="s">
        <v>392</v>
      </c>
      <c r="U367" s="19" t="s">
        <v>71</v>
      </c>
      <c r="V367" s="19" t="s">
        <v>55</v>
      </c>
      <c r="W367" s="19" t="s">
        <v>72</v>
      </c>
      <c r="X367" s="19" t="s">
        <v>57</v>
      </c>
      <c r="Y367" s="19"/>
      <c r="Z367" s="19" t="s">
        <v>1831</v>
      </c>
      <c r="AA367" s="19">
        <v>1</v>
      </c>
      <c r="AB367" s="19"/>
      <c r="AC367" s="19" t="s">
        <v>233</v>
      </c>
      <c r="AD367" s="19"/>
      <c r="AE367" s="19"/>
      <c r="AF367" s="19"/>
    </row>
    <row r="368" spans="1:34" customHeight="1" ht="42">
      <c r="A368" s="19">
        <v>360</v>
      </c>
      <c r="B368" s="19" t="s">
        <v>1822</v>
      </c>
      <c r="C368" s="19" t="s">
        <v>1832</v>
      </c>
      <c r="D368" s="19" t="str">
        <f>HYPERLINK("http://henontech.com/fieldsafety/harzard/harzard_show.php?rid=22165&amp;url=harzardrecs.php","一名脱硫操作工在夜间巡检时，由于光线暗，不慎掉入地沟内造成左腿小腿骨折。")</f>
        <v>一名脱硫操作工在夜间巡检时，由于光线暗，不慎掉入地沟内造成左腿小腿骨折。</v>
      </c>
      <c r="E368" s="19" t="s">
        <v>1833</v>
      </c>
      <c r="F368" s="20" t="s">
        <v>42</v>
      </c>
      <c r="G368" s="21" t="s">
        <v>43</v>
      </c>
      <c r="H368" s="19" t="s">
        <v>44</v>
      </c>
      <c r="I368" s="19" t="s">
        <v>78</v>
      </c>
      <c r="J368" s="19" t="s">
        <v>64</v>
      </c>
      <c r="K368" s="19"/>
      <c r="L368" s="19"/>
      <c r="M368" s="19" t="s">
        <v>229</v>
      </c>
      <c r="N368" s="19" t="s">
        <v>1834</v>
      </c>
      <c r="O368" s="19" t="s">
        <v>229</v>
      </c>
      <c r="P368" s="19" t="s">
        <v>669</v>
      </c>
      <c r="Q368" s="19" t="s">
        <v>1785</v>
      </c>
      <c r="R368" s="19" t="s">
        <v>1835</v>
      </c>
      <c r="S368" s="19"/>
      <c r="T368" s="19" t="s">
        <v>53</v>
      </c>
      <c r="U368" s="19" t="s">
        <v>54</v>
      </c>
      <c r="V368" s="19" t="s">
        <v>55</v>
      </c>
      <c r="W368" s="19" t="s">
        <v>56</v>
      </c>
      <c r="X368" s="19" t="s">
        <v>57</v>
      </c>
      <c r="Y368" s="19"/>
      <c r="Z368" s="19" t="s">
        <v>1836</v>
      </c>
      <c r="AA368" s="19">
        <v>2</v>
      </c>
      <c r="AB368" s="19">
        <v>2</v>
      </c>
      <c r="AC368" s="19" t="s">
        <v>59</v>
      </c>
      <c r="AD368" s="19" t="s">
        <v>669</v>
      </c>
      <c r="AE368" s="19" t="s">
        <v>1405</v>
      </c>
      <c r="AF368" s="19"/>
    </row>
    <row r="369" spans="1:34">
      <c r="A369" s="19">
        <v>361</v>
      </c>
      <c r="B369" s="19" t="s">
        <v>1822</v>
      </c>
      <c r="C369" s="19" t="s">
        <v>1837</v>
      </c>
      <c r="D369" s="19" t="str">
        <f>HYPERLINK("http://henontech.com/fieldsafety/harzard/harzard_show.php?rid=22230&amp;url=harzardrecs.php","点名室门口玻璃滑落，如果一名操作人员从里面拉开门，有可能玻璃坠落划伤右手，迸医务室包扎后复工。")</f>
        <v>点名室门口玻璃滑落，如果一名操作人员从里面拉开门，有可能玻璃坠落划伤右手，迸医务室包扎后复工。</v>
      </c>
      <c r="E369" s="19" t="s">
        <v>1838</v>
      </c>
      <c r="F369" s="25" t="s">
        <v>1784</v>
      </c>
      <c r="G369" s="21" t="s">
        <v>43</v>
      </c>
      <c r="H369" s="19" t="s">
        <v>44</v>
      </c>
      <c r="I369" s="19" t="s">
        <v>78</v>
      </c>
      <c r="J369" s="19" t="s">
        <v>64</v>
      </c>
      <c r="K369" s="19" t="s">
        <v>88</v>
      </c>
      <c r="L369" s="19" t="s">
        <v>65</v>
      </c>
      <c r="M369" s="19" t="s">
        <v>66</v>
      </c>
      <c r="N369" s="19" t="s">
        <v>1839</v>
      </c>
      <c r="O369" s="19" t="s">
        <v>66</v>
      </c>
      <c r="P369" s="19" t="s">
        <v>68</v>
      </c>
      <c r="Q369" s="19" t="s">
        <v>1814</v>
      </c>
      <c r="R369" s="19" t="s">
        <v>1840</v>
      </c>
      <c r="S369" s="19"/>
      <c r="T369" s="19" t="s">
        <v>53</v>
      </c>
      <c r="U369" s="19" t="s">
        <v>71</v>
      </c>
      <c r="V369" s="19" t="s">
        <v>105</v>
      </c>
      <c r="W369" s="19" t="s">
        <v>96</v>
      </c>
      <c r="X369" s="19"/>
      <c r="Y369" s="19"/>
      <c r="Z369" s="19" t="s">
        <v>1841</v>
      </c>
      <c r="AA369" s="19">
        <v>1</v>
      </c>
      <c r="AB369" s="19"/>
      <c r="AC369" s="19" t="s">
        <v>233</v>
      </c>
      <c r="AD369" s="19"/>
      <c r="AE369" s="19"/>
      <c r="AF369" s="19"/>
    </row>
    <row r="370" spans="1:34">
      <c r="A370" s="19">
        <v>362</v>
      </c>
      <c r="B370" s="19" t="s">
        <v>1822</v>
      </c>
      <c r="C370" s="19" t="s">
        <v>99</v>
      </c>
      <c r="D370" s="19" t="str">
        <f>HYPERLINK("http://henontech.com/fieldsafety/harzard/harzard_show.php?rid=22381&amp;url=harzardrecs.php","南化产电捕后煤气下液管道阀门法兰处出现漏点，煤气泄露，当操作工到此处巡检作业时，处在下风口，造成1名操作工轻微煤气中毒，送医务室吸氧，去医院检查治疗，后在家休养2天后复工。")</f>
        <v>南化产电捕后煤气下液管道阀门法兰处出现漏点，煤气泄露，当操作工到此处巡检作业时，处在下风口，造成1名操作工轻微煤气中毒，送医务室吸氧，去医院检查治疗，后在家休养2天后复工。</v>
      </c>
      <c r="E370" s="19" t="s">
        <v>1842</v>
      </c>
      <c r="F370" s="25" t="s">
        <v>1784</v>
      </c>
      <c r="G370" s="21" t="s">
        <v>43</v>
      </c>
      <c r="H370" s="19" t="s">
        <v>44</v>
      </c>
      <c r="I370" s="19" t="s">
        <v>78</v>
      </c>
      <c r="J370" s="19" t="s">
        <v>64</v>
      </c>
      <c r="K370" s="19" t="s">
        <v>46</v>
      </c>
      <c r="L370" s="19" t="s">
        <v>65</v>
      </c>
      <c r="M370" s="19" t="s">
        <v>66</v>
      </c>
      <c r="N370" s="19" t="s">
        <v>1843</v>
      </c>
      <c r="O370" s="19" t="s">
        <v>66</v>
      </c>
      <c r="P370" s="19" t="s">
        <v>68</v>
      </c>
      <c r="Q370" s="19" t="s">
        <v>1844</v>
      </c>
      <c r="R370" s="19" t="s">
        <v>1845</v>
      </c>
      <c r="S370" s="19"/>
      <c r="T370" s="19" t="s">
        <v>53</v>
      </c>
      <c r="U370" s="19" t="s">
        <v>54</v>
      </c>
      <c r="V370" s="19" t="s">
        <v>55</v>
      </c>
      <c r="W370" s="19" t="s">
        <v>56</v>
      </c>
      <c r="X370" s="19"/>
      <c r="Y370" s="19"/>
      <c r="Z370" s="19" t="s">
        <v>1846</v>
      </c>
      <c r="AA370" s="19">
        <v>1</v>
      </c>
      <c r="AB370" s="19"/>
      <c r="AC370" s="19" t="s">
        <v>233</v>
      </c>
      <c r="AD370" s="19"/>
      <c r="AE370" s="19"/>
      <c r="AF370" s="19"/>
    </row>
    <row r="371" spans="1:34">
      <c r="A371" s="19">
        <v>363</v>
      </c>
      <c r="B371" s="19" t="s">
        <v>1463</v>
      </c>
      <c r="C371" s="19" t="s">
        <v>365</v>
      </c>
      <c r="D371" s="19" t="str">
        <f>HYPERLINK("http://henontech.com/fieldsafety/harzard/harzard_show.php?rid=22538&amp;url=harzardrecs.php","南脱硫1#脱硫塔煤气出口压力变送器接线口未封堵，接线松动产生火花，邻近排污阀煤气泄露达到一定浓度发生着火事故！")</f>
        <v>南脱硫1#脱硫塔煤气出口压力变送器接线口未封堵，接线松动产生火花，邻近排污阀煤气泄露达到一定浓度发生着火事故！</v>
      </c>
      <c r="E371" s="19" t="s">
        <v>1847</v>
      </c>
      <c r="F371" s="20" t="s">
        <v>42</v>
      </c>
      <c r="G371" s="21" t="s">
        <v>43</v>
      </c>
      <c r="H371" s="19" t="s">
        <v>44</v>
      </c>
      <c r="I371" s="19" t="s">
        <v>78</v>
      </c>
      <c r="J371" s="19" t="s">
        <v>64</v>
      </c>
      <c r="K371" s="19" t="s">
        <v>46</v>
      </c>
      <c r="L371" s="19" t="s">
        <v>65</v>
      </c>
      <c r="M371" s="19" t="s">
        <v>66</v>
      </c>
      <c r="N371" s="19" t="s">
        <v>1848</v>
      </c>
      <c r="O371" s="19" t="s">
        <v>66</v>
      </c>
      <c r="P371" s="19" t="s">
        <v>68</v>
      </c>
      <c r="Q371" s="19" t="s">
        <v>1844</v>
      </c>
      <c r="R371" s="19" t="s">
        <v>1849</v>
      </c>
      <c r="S371" s="19"/>
      <c r="T371" s="19" t="s">
        <v>53</v>
      </c>
      <c r="U371" s="19" t="s">
        <v>94</v>
      </c>
      <c r="V371" s="19" t="s">
        <v>105</v>
      </c>
      <c r="W371" s="19" t="s">
        <v>96</v>
      </c>
      <c r="X371" s="19"/>
      <c r="Y371" s="19"/>
      <c r="Z371" s="19" t="s">
        <v>1850</v>
      </c>
      <c r="AA371" s="19">
        <v>1</v>
      </c>
      <c r="AB371" s="19">
        <v>1</v>
      </c>
      <c r="AC371" s="19" t="s">
        <v>59</v>
      </c>
      <c r="AD371" s="19" t="s">
        <v>68</v>
      </c>
      <c r="AE371" s="19" t="s">
        <v>1713</v>
      </c>
      <c r="AF371" s="19"/>
    </row>
    <row r="372" spans="1:34" customHeight="1" ht="42">
      <c r="A372" s="19">
        <v>364</v>
      </c>
      <c r="B372" s="19" t="s">
        <v>1463</v>
      </c>
      <c r="C372" s="19" t="s">
        <v>1776</v>
      </c>
      <c r="D372" s="19" t="str">
        <f>HYPERLINK("http://henontech.com/fieldsafety/harzard/harzard_show.php?rid=22540&amp;url=harzardrecs.php","电伴热线裸露，造成触电事故")</f>
        <v>电伴热线裸露，造成触电事故</v>
      </c>
      <c r="E372" s="19" t="s">
        <v>1851</v>
      </c>
      <c r="F372" s="20" t="s">
        <v>42</v>
      </c>
      <c r="G372" s="21" t="s">
        <v>43</v>
      </c>
      <c r="H372" s="19" t="s">
        <v>44</v>
      </c>
      <c r="I372" s="19" t="s">
        <v>129</v>
      </c>
      <c r="J372" s="19" t="s">
        <v>112</v>
      </c>
      <c r="K372" s="19" t="s">
        <v>46</v>
      </c>
      <c r="L372" s="19"/>
      <c r="M372" s="19" t="s">
        <v>229</v>
      </c>
      <c r="N372" s="19" t="s">
        <v>1410</v>
      </c>
      <c r="O372" s="19" t="s">
        <v>229</v>
      </c>
      <c r="P372" s="19" t="s">
        <v>1410</v>
      </c>
      <c r="Q372" s="19" t="s">
        <v>1785</v>
      </c>
      <c r="R372" s="19" t="s">
        <v>1852</v>
      </c>
      <c r="S372" s="19"/>
      <c r="T372" s="19" t="s">
        <v>53</v>
      </c>
      <c r="U372" s="19" t="s">
        <v>54</v>
      </c>
      <c r="V372" s="19" t="s">
        <v>105</v>
      </c>
      <c r="W372" s="19" t="s">
        <v>72</v>
      </c>
      <c r="X372" s="19" t="s">
        <v>57</v>
      </c>
      <c r="Y372" s="19"/>
      <c r="Z372" s="19" t="s">
        <v>1853</v>
      </c>
      <c r="AA372" s="19">
        <v>2</v>
      </c>
      <c r="AB372" s="19">
        <v>2</v>
      </c>
      <c r="AC372" s="19" t="s">
        <v>59</v>
      </c>
      <c r="AD372" s="19" t="s">
        <v>1410</v>
      </c>
      <c r="AE372" s="19" t="s">
        <v>1854</v>
      </c>
      <c r="AF372" s="19" t="s">
        <v>42</v>
      </c>
    </row>
    <row r="373" spans="1:34">
      <c r="A373" s="19">
        <v>365</v>
      </c>
      <c r="B373" s="19" t="s">
        <v>1463</v>
      </c>
      <c r="C373" s="19" t="s">
        <v>531</v>
      </c>
      <c r="D373" s="19" t="str">
        <f>HYPERLINK("http://henontech.com/fieldsafety/harzard/harzard_show.php?rid=22567&amp;url=harzardrecs.php","发苯电动阀气源管道为塑料材质，风吹日晒老化泄露，导致发苯阀关闭，造成粗苯计量槽溢流，发生粗苯泄露事故，操作人员巡检至此吸入高浓度苯气造成苯中毒。")</f>
        <v>发苯电动阀气源管道为塑料材质，风吹日晒老化泄露，导致发苯阀关闭，造成粗苯计量槽溢流，发生粗苯泄露事故，操作人员巡检至此吸入高浓度苯气造成苯中毒。</v>
      </c>
      <c r="E373" s="19" t="s">
        <v>1855</v>
      </c>
      <c r="F373" s="25" t="s">
        <v>1784</v>
      </c>
      <c r="G373" s="21" t="s">
        <v>43</v>
      </c>
      <c r="H373" s="19" t="s">
        <v>44</v>
      </c>
      <c r="I373" s="19" t="s">
        <v>129</v>
      </c>
      <c r="J373" s="19" t="s">
        <v>64</v>
      </c>
      <c r="K373" s="19" t="s">
        <v>46</v>
      </c>
      <c r="L373" s="19" t="s">
        <v>65</v>
      </c>
      <c r="M373" s="19" t="s">
        <v>66</v>
      </c>
      <c r="N373" s="19" t="s">
        <v>1856</v>
      </c>
      <c r="O373" s="19" t="s">
        <v>66</v>
      </c>
      <c r="P373" s="19" t="s">
        <v>68</v>
      </c>
      <c r="Q373" s="19" t="s">
        <v>1844</v>
      </c>
      <c r="R373" s="19" t="s">
        <v>1857</v>
      </c>
      <c r="S373" s="19"/>
      <c r="T373" s="19" t="s">
        <v>53</v>
      </c>
      <c r="U373" s="19" t="s">
        <v>54</v>
      </c>
      <c r="V373" s="19" t="s">
        <v>105</v>
      </c>
      <c r="W373" s="19" t="s">
        <v>72</v>
      </c>
      <c r="X373" s="19"/>
      <c r="Y373" s="19"/>
      <c r="Z373" s="19" t="s">
        <v>1858</v>
      </c>
      <c r="AA373" s="19">
        <v>1</v>
      </c>
      <c r="AB373" s="19"/>
      <c r="AC373" s="19" t="s">
        <v>233</v>
      </c>
      <c r="AD373" s="19"/>
      <c r="AE373" s="19"/>
      <c r="AF373" s="19"/>
    </row>
    <row r="374" spans="1:34" customHeight="1" ht="42">
      <c r="A374" s="19">
        <v>366</v>
      </c>
      <c r="B374" s="19" t="s">
        <v>1463</v>
      </c>
      <c r="C374" s="19" t="s">
        <v>1682</v>
      </c>
      <c r="D374" s="19" t="str">
        <f>HYPERLINK("http://henontech.com/fieldsafety/harzard/harzard_show.php?rid=22585&amp;url=harzardrecs.php","机侧道轨接头开焊，推焦车在行走过程中卡住，导致不能正常出焦，停工检修历时1小时，少出3孔焦，造成经济损失约5万元。")</f>
        <v>机侧道轨接头开焊，推焦车在行走过程中卡住，导致不能正常出焦，停工检修历时1小时，少出3孔焦，造成经济损失约5万元。</v>
      </c>
      <c r="E374" s="19" t="s">
        <v>1859</v>
      </c>
      <c r="F374" s="20" t="s">
        <v>42</v>
      </c>
      <c r="G374" s="21" t="s">
        <v>43</v>
      </c>
      <c r="H374" s="19" t="s">
        <v>44</v>
      </c>
      <c r="I374" s="19" t="s">
        <v>1566</v>
      </c>
      <c r="J374" s="19" t="s">
        <v>64</v>
      </c>
      <c r="K374" s="19" t="s">
        <v>79</v>
      </c>
      <c r="L374" s="19"/>
      <c r="M374" s="19" t="s">
        <v>49</v>
      </c>
      <c r="N374" s="19" t="s">
        <v>1860</v>
      </c>
      <c r="O374" s="19" t="s">
        <v>49</v>
      </c>
      <c r="P374" s="19" t="s">
        <v>460</v>
      </c>
      <c r="Q374" s="19" t="s">
        <v>1669</v>
      </c>
      <c r="R374" s="19" t="s">
        <v>805</v>
      </c>
      <c r="S374" s="19"/>
      <c r="T374" s="19" t="s">
        <v>104</v>
      </c>
      <c r="U374" s="19" t="s">
        <v>71</v>
      </c>
      <c r="V374" s="19" t="s">
        <v>55</v>
      </c>
      <c r="W374" s="19" t="s">
        <v>72</v>
      </c>
      <c r="X374" s="19" t="s">
        <v>57</v>
      </c>
      <c r="Y374" s="19"/>
      <c r="Z374" s="19" t="s">
        <v>1861</v>
      </c>
      <c r="AA374" s="19">
        <v>2</v>
      </c>
      <c r="AB374" s="19">
        <v>2</v>
      </c>
      <c r="AC374" s="19" t="s">
        <v>59</v>
      </c>
      <c r="AD374" s="19" t="s">
        <v>460</v>
      </c>
      <c r="AE374" s="19" t="s">
        <v>1564</v>
      </c>
      <c r="AF374" s="19"/>
    </row>
    <row r="375" spans="1:34" customHeight="1" ht="42">
      <c r="A375" s="19">
        <v>367</v>
      </c>
      <c r="B375" s="19" t="s">
        <v>1463</v>
      </c>
      <c r="C375" s="19" t="s">
        <v>805</v>
      </c>
      <c r="D375" s="19" t="str">
        <f>HYPERLINK("http://henontech.com/fieldsafety/harzard/harzard_show.php?rid=22606&amp;url=harzardrecs.php","罗瓷鼓风机吹灰管道若不加装法兰一旦管道堵塞鼓风机吹灰吹不动，导致鼓风机压力过大，导致电机烧坏")</f>
        <v>罗瓷鼓风机吹灰管道若不加装法兰一旦管道堵塞鼓风机吹灰吹不动，导致鼓风机压力过大，导致电机烧坏</v>
      </c>
      <c r="E375" s="19" t="s">
        <v>1862</v>
      </c>
      <c r="F375" s="20" t="s">
        <v>42</v>
      </c>
      <c r="G375" s="21" t="s">
        <v>43</v>
      </c>
      <c r="H375" s="19" t="s">
        <v>44</v>
      </c>
      <c r="I375" s="19" t="s">
        <v>129</v>
      </c>
      <c r="J375" s="19" t="s">
        <v>64</v>
      </c>
      <c r="K375" s="19" t="s">
        <v>302</v>
      </c>
      <c r="L375" s="19" t="s">
        <v>65</v>
      </c>
      <c r="M375" s="19" t="s">
        <v>49</v>
      </c>
      <c r="N375" s="19" t="s">
        <v>1558</v>
      </c>
      <c r="O375" s="19" t="s">
        <v>49</v>
      </c>
      <c r="P375" s="19" t="s">
        <v>460</v>
      </c>
      <c r="Q375" s="19" t="s">
        <v>1669</v>
      </c>
      <c r="R375" s="19" t="s">
        <v>1863</v>
      </c>
      <c r="S375" s="19"/>
      <c r="T375" s="19" t="s">
        <v>104</v>
      </c>
      <c r="U375" s="19" t="s">
        <v>71</v>
      </c>
      <c r="V375" s="19" t="s">
        <v>55</v>
      </c>
      <c r="W375" s="19" t="s">
        <v>72</v>
      </c>
      <c r="X375" s="19" t="s">
        <v>825</v>
      </c>
      <c r="Y375" s="19"/>
      <c r="Z375" s="19" t="s">
        <v>1864</v>
      </c>
      <c r="AA375" s="19">
        <v>2</v>
      </c>
      <c r="AB375" s="19">
        <v>2</v>
      </c>
      <c r="AC375" s="19" t="s">
        <v>59</v>
      </c>
      <c r="AD375" s="19" t="s">
        <v>460</v>
      </c>
      <c r="AE375" s="19" t="s">
        <v>1557</v>
      </c>
      <c r="AF375" s="19"/>
    </row>
    <row r="376" spans="1:34">
      <c r="A376" s="19">
        <v>368</v>
      </c>
      <c r="B376" s="19" t="s">
        <v>1463</v>
      </c>
      <c r="C376" s="19" t="s">
        <v>1837</v>
      </c>
      <c r="D376" s="19" t="str">
        <f>HYPERLINK("http://henontech.com/fieldsafety/harzard/harzard_show.php?rid=22640&amp;url=harzardrecs.php","南化产风机施工现场气割线路施工完毕后未按规定收起，造成夜班一名职工巡检到此时，被线路拌倒，造成脸部擦伤，去医务室处理后正常上班")</f>
        <v>南化产风机施工现场气割线路施工完毕后未按规定收起，造成夜班一名职工巡检到此时，被线路拌倒，造成脸部擦伤，去医务室处理后正常上班</v>
      </c>
      <c r="E376" s="19" t="s">
        <v>1865</v>
      </c>
      <c r="F376" s="25" t="s">
        <v>1784</v>
      </c>
      <c r="G376" s="21" t="s">
        <v>43</v>
      </c>
      <c r="H376" s="19" t="s">
        <v>44</v>
      </c>
      <c r="I376" s="19" t="s">
        <v>78</v>
      </c>
      <c r="J376" s="19"/>
      <c r="K376" s="19"/>
      <c r="L376" s="19"/>
      <c r="M376" s="19" t="s">
        <v>66</v>
      </c>
      <c r="N376" s="19" t="s">
        <v>1866</v>
      </c>
      <c r="O376" s="19" t="s">
        <v>66</v>
      </c>
      <c r="P376" s="19" t="s">
        <v>68</v>
      </c>
      <c r="Q376" s="19" t="s">
        <v>1814</v>
      </c>
      <c r="R376" s="19" t="s">
        <v>1867</v>
      </c>
      <c r="S376" s="19"/>
      <c r="T376" s="19" t="s">
        <v>53</v>
      </c>
      <c r="U376" s="19" t="s">
        <v>71</v>
      </c>
      <c r="V376" s="19" t="s">
        <v>55</v>
      </c>
      <c r="W376" s="19" t="s">
        <v>72</v>
      </c>
      <c r="X376" s="19"/>
      <c r="Y376" s="19"/>
      <c r="Z376" s="19" t="s">
        <v>1868</v>
      </c>
      <c r="AA376" s="19">
        <v>1</v>
      </c>
      <c r="AB376" s="19"/>
      <c r="AC376" s="19" t="s">
        <v>233</v>
      </c>
      <c r="AD376" s="19"/>
      <c r="AE376" s="19"/>
      <c r="AF376" s="19"/>
    </row>
    <row r="377" spans="1:34">
      <c r="A377" s="19">
        <v>369</v>
      </c>
      <c r="B377" s="19" t="s">
        <v>1463</v>
      </c>
      <c r="C377" s="19" t="s">
        <v>494</v>
      </c>
      <c r="D377" s="19" t="str">
        <f>HYPERLINK("http://henontech.com/fieldsafety/harzard/harzard_show.php?rid=22684&amp;url=harzardrecs.php","粗苯东废水罐顶部管道腐蚀泄漏，如果操作工向罐内抽水时发现不及时，有可能会造成废水顺着罐体泄漏至地面造成环境污染。")</f>
        <v>粗苯东废水罐顶部管道腐蚀泄漏，如果操作工向罐内抽水时发现不及时，有可能会造成废水顺着罐体泄漏至地面造成环境污染。</v>
      </c>
      <c r="E377" s="19" t="s">
        <v>1869</v>
      </c>
      <c r="F377" s="20" t="s">
        <v>42</v>
      </c>
      <c r="G377" s="21" t="s">
        <v>43</v>
      </c>
      <c r="H377" s="19" t="s">
        <v>44</v>
      </c>
      <c r="I377" s="19" t="s">
        <v>297</v>
      </c>
      <c r="J377" s="19" t="s">
        <v>64</v>
      </c>
      <c r="K377" s="19" t="s">
        <v>79</v>
      </c>
      <c r="L377" s="19" t="s">
        <v>65</v>
      </c>
      <c r="M377" s="19" t="s">
        <v>66</v>
      </c>
      <c r="N377" s="19" t="s">
        <v>906</v>
      </c>
      <c r="O377" s="19" t="s">
        <v>66</v>
      </c>
      <c r="P377" s="19" t="s">
        <v>68</v>
      </c>
      <c r="Q377" s="19" t="s">
        <v>1814</v>
      </c>
      <c r="R377" s="19" t="s">
        <v>1870</v>
      </c>
      <c r="S377" s="19"/>
      <c r="T377" s="19" t="s">
        <v>392</v>
      </c>
      <c r="U377" s="19" t="s">
        <v>94</v>
      </c>
      <c r="V377" s="19" t="s">
        <v>95</v>
      </c>
      <c r="W377" s="19" t="s">
        <v>96</v>
      </c>
      <c r="X377" s="19"/>
      <c r="Y377" s="19"/>
      <c r="Z377" s="19" t="s">
        <v>1871</v>
      </c>
      <c r="AA377" s="19">
        <v>1</v>
      </c>
      <c r="AB377" s="19">
        <v>1</v>
      </c>
      <c r="AC377" s="19" t="s">
        <v>59</v>
      </c>
      <c r="AD377" s="19" t="s">
        <v>68</v>
      </c>
      <c r="AE377" s="19" t="s">
        <v>1713</v>
      </c>
      <c r="AF377" s="19"/>
    </row>
    <row r="378" spans="1:34">
      <c r="A378" s="19">
        <v>370</v>
      </c>
      <c r="B378" s="19" t="s">
        <v>1463</v>
      </c>
      <c r="C378" s="19" t="s">
        <v>444</v>
      </c>
      <c r="D378" s="19" t="str">
        <f>HYPERLINK("http://henontech.com/fieldsafety/harzard/harzard_show.php?rid=22685&amp;url=harzardrecs.php","深度脱硫加碱槽盖板放置不规范没有及时归位，如果夜间视线不良一名操作工从楼梯上下来巡检，没有发现此盖板，有可能会被绊倒，造成膝盖轻微擦伤，简单处理后复工，不影响生产。")</f>
        <v>深度脱硫加碱槽盖板放置不规范没有及时归位，如果夜间视线不良一名操作工从楼梯上下来巡检，没有发现此盖板，有可能会被绊倒，造成膝盖轻微擦伤，简单处理后复工，不影响生产。</v>
      </c>
      <c r="E378" s="19" t="s">
        <v>1872</v>
      </c>
      <c r="F378" s="20" t="s">
        <v>42</v>
      </c>
      <c r="G378" s="21" t="s">
        <v>43</v>
      </c>
      <c r="H378" s="19" t="s">
        <v>44</v>
      </c>
      <c r="I378" s="19" t="s">
        <v>78</v>
      </c>
      <c r="J378" s="19" t="s">
        <v>45</v>
      </c>
      <c r="K378" s="19" t="s">
        <v>79</v>
      </c>
      <c r="L378" s="19" t="s">
        <v>65</v>
      </c>
      <c r="M378" s="19" t="s">
        <v>66</v>
      </c>
      <c r="N378" s="19" t="s">
        <v>975</v>
      </c>
      <c r="O378" s="19" t="s">
        <v>66</v>
      </c>
      <c r="P378" s="19" t="s">
        <v>68</v>
      </c>
      <c r="Q378" s="19" t="s">
        <v>1814</v>
      </c>
      <c r="R378" s="19" t="s">
        <v>1873</v>
      </c>
      <c r="S378" s="19"/>
      <c r="T378" s="19" t="s">
        <v>53</v>
      </c>
      <c r="U378" s="19" t="s">
        <v>71</v>
      </c>
      <c r="V378" s="19" t="s">
        <v>105</v>
      </c>
      <c r="W378" s="19" t="s">
        <v>96</v>
      </c>
      <c r="X378" s="19"/>
      <c r="Y378" s="19"/>
      <c r="Z378" s="19" t="s">
        <v>1874</v>
      </c>
      <c r="AA378" s="19">
        <v>1</v>
      </c>
      <c r="AB378" s="19">
        <v>1</v>
      </c>
      <c r="AC378" s="19" t="s">
        <v>59</v>
      </c>
      <c r="AD378" s="19" t="s">
        <v>68</v>
      </c>
      <c r="AE378" s="19" t="s">
        <v>1713</v>
      </c>
      <c r="AF378" s="19"/>
    </row>
    <row r="379" spans="1:34">
      <c r="A379" s="19">
        <v>371</v>
      </c>
      <c r="B379" s="19" t="s">
        <v>1463</v>
      </c>
      <c r="C379" s="19" t="s">
        <v>1875</v>
      </c>
      <c r="D379" s="19" t="str">
        <f>HYPERLINK("http://henontech.com/fieldsafety/harzard/harzard_show.php?rid=22686&amp;url=harzardrecs.php","汽轮机排气阀漏蒸气，一巡检工在打扫卫生时，可能导致右手烫伤，立即用清水冲洗后恢复正常，无损工。")</f>
        <v>汽轮机排气阀漏蒸气，一巡检工在打扫卫生时，可能导致右手烫伤，立即用清水冲洗后恢复正常，无损工。</v>
      </c>
      <c r="E379" s="19" t="s">
        <v>1876</v>
      </c>
      <c r="F379" s="23" t="s">
        <v>227</v>
      </c>
      <c r="G379" s="21" t="s">
        <v>43</v>
      </c>
      <c r="H379" s="19" t="s">
        <v>44</v>
      </c>
      <c r="I379" s="19" t="s">
        <v>205</v>
      </c>
      <c r="J379" s="19" t="s">
        <v>165</v>
      </c>
      <c r="K379" s="19" t="s">
        <v>88</v>
      </c>
      <c r="L379" s="19" t="s">
        <v>65</v>
      </c>
      <c r="M379" s="19" t="s">
        <v>229</v>
      </c>
      <c r="N379" s="19" t="s">
        <v>1486</v>
      </c>
      <c r="O379" s="19"/>
      <c r="P379" s="19"/>
      <c r="Q379" s="19"/>
      <c r="R379" s="19" t="s">
        <v>1877</v>
      </c>
      <c r="S379" s="19" t="s">
        <v>1775</v>
      </c>
      <c r="T379" s="19" t="s">
        <v>53</v>
      </c>
      <c r="U379" s="19" t="s">
        <v>71</v>
      </c>
      <c r="V379" s="19" t="s">
        <v>105</v>
      </c>
      <c r="W379" s="19" t="s">
        <v>96</v>
      </c>
      <c r="X379" s="19"/>
      <c r="Y379" s="19"/>
      <c r="Z379" s="19"/>
      <c r="AA379" s="19">
        <v>0</v>
      </c>
      <c r="AB379" s="19"/>
      <c r="AC379" s="19" t="s">
        <v>233</v>
      </c>
      <c r="AD379" s="19"/>
      <c r="AE379" s="19"/>
      <c r="AF379" s="19"/>
    </row>
    <row r="380" spans="1:34">
      <c r="A380" s="19">
        <v>372</v>
      </c>
      <c r="B380" s="19" t="s">
        <v>1463</v>
      </c>
      <c r="C380" s="19" t="s">
        <v>1878</v>
      </c>
      <c r="D380" s="19" t="str">
        <f>HYPERLINK("http://henontech.com/fieldsafety/harzard/harzard_show.php?rid=22693&amp;url=harzardrecs.php","外协保温人员登高未系安全带，假如在管道上人员工作时重心不稳，从管道上掉跳落，距离地面三米，落地时造成右脚扭伤，去医院简单治疗后继续上班，无损工。")</f>
        <v>外协保温人员登高未系安全带，假如在管道上人员工作时重心不稳，从管道上掉跳落，距离地面三米，落地时造成右脚扭伤，去医院简单治疗后继续上班，无损工。</v>
      </c>
      <c r="E380" s="19" t="s">
        <v>1879</v>
      </c>
      <c r="F380" s="20" t="s">
        <v>42</v>
      </c>
      <c r="G380" s="21" t="s">
        <v>43</v>
      </c>
      <c r="H380" s="19" t="s">
        <v>44</v>
      </c>
      <c r="I380" s="19" t="s">
        <v>205</v>
      </c>
      <c r="J380" s="19" t="s">
        <v>64</v>
      </c>
      <c r="K380" s="19" t="s">
        <v>46</v>
      </c>
      <c r="L380" s="19"/>
      <c r="M380" s="19" t="s">
        <v>66</v>
      </c>
      <c r="N380" s="19" t="s">
        <v>395</v>
      </c>
      <c r="O380" s="19" t="s">
        <v>66</v>
      </c>
      <c r="P380" s="19" t="s">
        <v>68</v>
      </c>
      <c r="Q380" s="19" t="s">
        <v>1814</v>
      </c>
      <c r="R380" s="19" t="s">
        <v>1880</v>
      </c>
      <c r="S380" s="19"/>
      <c r="T380" s="19" t="s">
        <v>53</v>
      </c>
      <c r="U380" s="19" t="s">
        <v>71</v>
      </c>
      <c r="V380" s="19" t="s">
        <v>105</v>
      </c>
      <c r="W380" s="19" t="s">
        <v>96</v>
      </c>
      <c r="X380" s="19"/>
      <c r="Y380" s="19"/>
      <c r="Z380" s="19" t="s">
        <v>1881</v>
      </c>
      <c r="AA380" s="19">
        <v>1</v>
      </c>
      <c r="AB380" s="19">
        <v>1</v>
      </c>
      <c r="AC380" s="19" t="s">
        <v>59</v>
      </c>
      <c r="AD380" s="19" t="s">
        <v>68</v>
      </c>
      <c r="AE380" s="19" t="s">
        <v>1713</v>
      </c>
      <c r="AF380" s="19"/>
    </row>
    <row r="381" spans="1:34">
      <c r="A381" s="19">
        <v>373</v>
      </c>
      <c r="B381" s="19" t="s">
        <v>1463</v>
      </c>
      <c r="C381" s="19" t="s">
        <v>1882</v>
      </c>
      <c r="D381" s="19" t="str">
        <f>HYPERLINK("http://henontech.com/fieldsafety/harzard/harzard_show.php?rid=22701&amp;url=harzardrecs.php","一名冷凝操作工在巡检时发现2#高压氨水泵电机风扇破裂，假如巡检人员发现不及时，电机温度会逐渐升高，造成2＃高压氨水泵电机烧坏，影响生产，造成財产损失约5-10万元")</f>
        <v>一名冷凝操作工在巡检时发现2#高压氨水泵电机风扇破裂，假如巡检人员发现不及时，电机温度会逐渐升高，造成2＃高压氨水泵电机烧坏，影响生产，造成財产损失约5-10万元</v>
      </c>
      <c r="E381" s="19" t="s">
        <v>1883</v>
      </c>
      <c r="F381" s="20" t="s">
        <v>42</v>
      </c>
      <c r="G381" s="21" t="s">
        <v>43</v>
      </c>
      <c r="H381" s="19" t="s">
        <v>44</v>
      </c>
      <c r="I381" s="19" t="s">
        <v>78</v>
      </c>
      <c r="J381" s="19" t="s">
        <v>64</v>
      </c>
      <c r="K381" s="19" t="s">
        <v>88</v>
      </c>
      <c r="L381" s="19" t="s">
        <v>65</v>
      </c>
      <c r="M381" s="19" t="s">
        <v>66</v>
      </c>
      <c r="N381" s="19" t="s">
        <v>1884</v>
      </c>
      <c r="O381" s="19" t="s">
        <v>66</v>
      </c>
      <c r="P381" s="19" t="s">
        <v>68</v>
      </c>
      <c r="Q381" s="19" t="s">
        <v>1814</v>
      </c>
      <c r="R381" s="19" t="s">
        <v>622</v>
      </c>
      <c r="S381" s="19"/>
      <c r="T381" s="19" t="s">
        <v>104</v>
      </c>
      <c r="U381" s="19" t="s">
        <v>54</v>
      </c>
      <c r="V381" s="19" t="s">
        <v>55</v>
      </c>
      <c r="W381" s="19" t="s">
        <v>56</v>
      </c>
      <c r="X381" s="19"/>
      <c r="Y381" s="19"/>
      <c r="Z381" s="19" t="s">
        <v>1885</v>
      </c>
      <c r="AA381" s="19">
        <v>1</v>
      </c>
      <c r="AB381" s="19">
        <v>1</v>
      </c>
      <c r="AC381" s="19" t="s">
        <v>59</v>
      </c>
      <c r="AD381" s="19" t="s">
        <v>68</v>
      </c>
      <c r="AE381" s="19" t="s">
        <v>1713</v>
      </c>
      <c r="AF381" s="19"/>
    </row>
    <row r="382" spans="1:34">
      <c r="A382" s="19">
        <v>374</v>
      </c>
      <c r="B382" s="19" t="s">
        <v>1886</v>
      </c>
      <c r="C382" s="19" t="s">
        <v>583</v>
      </c>
      <c r="D382" s="19" t="str">
        <f>HYPERLINK("http://henontech.com/fieldsafety/harzard/harzard_show.php?rid=22721&amp;url=harzardrecs.php","冷凝泵房拆除时掉落护栏未及时清理，施工人员行走时划伤颈部，及时处理包扎")</f>
        <v>冷凝泵房拆除时掉落护栏未及时清理，施工人员行走时划伤颈部，及时处理包扎</v>
      </c>
      <c r="E382" s="19" t="s">
        <v>1887</v>
      </c>
      <c r="F382" s="25" t="s">
        <v>1784</v>
      </c>
      <c r="G382" s="21" t="s">
        <v>43</v>
      </c>
      <c r="H382" s="19" t="s">
        <v>44</v>
      </c>
      <c r="I382" s="19" t="s">
        <v>205</v>
      </c>
      <c r="J382" s="19" t="s">
        <v>45</v>
      </c>
      <c r="K382" s="19" t="s">
        <v>46</v>
      </c>
      <c r="L382" s="19" t="s">
        <v>65</v>
      </c>
      <c r="M382" s="19" t="s">
        <v>66</v>
      </c>
      <c r="N382" s="19" t="s">
        <v>413</v>
      </c>
      <c r="O382" s="19" t="s">
        <v>66</v>
      </c>
      <c r="P382" s="19" t="s">
        <v>68</v>
      </c>
      <c r="Q382" s="19" t="s">
        <v>1814</v>
      </c>
      <c r="R382" s="19" t="s">
        <v>1888</v>
      </c>
      <c r="S382" s="19"/>
      <c r="T382" s="19" t="s">
        <v>53</v>
      </c>
      <c r="U382" s="19" t="s">
        <v>71</v>
      </c>
      <c r="V382" s="19" t="s">
        <v>105</v>
      </c>
      <c r="W382" s="19" t="s">
        <v>96</v>
      </c>
      <c r="X382" s="19"/>
      <c r="Y382" s="19"/>
      <c r="Z382" s="19" t="s">
        <v>1889</v>
      </c>
      <c r="AA382" s="19">
        <v>1</v>
      </c>
      <c r="AB382" s="19"/>
      <c r="AC382" s="19" t="s">
        <v>233</v>
      </c>
      <c r="AD382" s="19"/>
      <c r="AE382" s="19"/>
      <c r="AF382" s="19"/>
    </row>
    <row r="383" spans="1:34" customHeight="1" ht="42">
      <c r="A383" s="19">
        <v>375</v>
      </c>
      <c r="B383" s="19" t="s">
        <v>1886</v>
      </c>
      <c r="C383" s="19" t="s">
        <v>1890</v>
      </c>
      <c r="D383" s="19" t="str">
        <f>HYPERLINK("http://henontech.com/fieldsafety/harzard/harzard_show.php?rid=22747&amp;url=harzardrecs.php","35吨锅炉脱硫池上方雨水槽腐烂严重，导致裂开下垂，一名操作工在巡检经过时，雨水槽突然掉落划伤操作工右臂约十厘米，立即送往医院。")</f>
        <v>35吨锅炉脱硫池上方雨水槽腐烂严重，导致裂开下垂，一名操作工在巡检经过时，雨水槽突然掉落划伤操作工右臂约十厘米，立即送往医院。</v>
      </c>
      <c r="E383" s="19" t="s">
        <v>1891</v>
      </c>
      <c r="F383" s="25" t="s">
        <v>1784</v>
      </c>
      <c r="G383" s="21" t="s">
        <v>43</v>
      </c>
      <c r="H383" s="19" t="s">
        <v>44</v>
      </c>
      <c r="I383" s="19" t="s">
        <v>78</v>
      </c>
      <c r="J383" s="19" t="s">
        <v>64</v>
      </c>
      <c r="K383" s="19"/>
      <c r="L383" s="19"/>
      <c r="M383" s="19" t="s">
        <v>229</v>
      </c>
      <c r="N383" s="19" t="s">
        <v>1892</v>
      </c>
      <c r="O383" s="19" t="s">
        <v>229</v>
      </c>
      <c r="P383" s="19" t="s">
        <v>669</v>
      </c>
      <c r="Q383" s="19" t="s">
        <v>1785</v>
      </c>
      <c r="R383" s="19" t="s">
        <v>1893</v>
      </c>
      <c r="S383" s="19"/>
      <c r="T383" s="19" t="s">
        <v>53</v>
      </c>
      <c r="U383" s="19" t="s">
        <v>54</v>
      </c>
      <c r="V383" s="19" t="s">
        <v>55</v>
      </c>
      <c r="W383" s="19" t="s">
        <v>56</v>
      </c>
      <c r="X383" s="19" t="s">
        <v>57</v>
      </c>
      <c r="Y383" s="19"/>
      <c r="Z383" s="19" t="s">
        <v>1894</v>
      </c>
      <c r="AA383" s="19">
        <v>2</v>
      </c>
      <c r="AB383" s="19"/>
      <c r="AC383" s="19" t="s">
        <v>233</v>
      </c>
      <c r="AD383" s="19"/>
      <c r="AE383" s="19"/>
      <c r="AF383" s="19"/>
    </row>
    <row r="384" spans="1:34" customHeight="1" ht="42">
      <c r="A384" s="19">
        <v>376</v>
      </c>
      <c r="B384" s="19" t="s">
        <v>1886</v>
      </c>
      <c r="C384" s="19" t="s">
        <v>1895</v>
      </c>
      <c r="D384" s="19" t="str">
        <f>HYPERLINK("http://henontech.com/fieldsafety/harzard/harzard_show.php?rid=22750&amp;url=harzardrecs.php","汽机一操作工从办公楼扛大桶水经过时，办公楼前一块大理石翘起，将其绊倒。")</f>
        <v>汽机一操作工从办公楼扛大桶水经过时，办公楼前一块大理石翘起，将其绊倒。</v>
      </c>
      <c r="E384" s="19" t="s">
        <v>1896</v>
      </c>
      <c r="F384" s="25" t="s">
        <v>1784</v>
      </c>
      <c r="G384" s="21" t="s">
        <v>43</v>
      </c>
      <c r="H384" s="19" t="s">
        <v>44</v>
      </c>
      <c r="I384" s="19" t="s">
        <v>78</v>
      </c>
      <c r="J384" s="19" t="s">
        <v>45</v>
      </c>
      <c r="K384" s="19" t="s">
        <v>46</v>
      </c>
      <c r="L384" s="19" t="s">
        <v>65</v>
      </c>
      <c r="M384" s="19" t="s">
        <v>229</v>
      </c>
      <c r="N384" s="19" t="s">
        <v>668</v>
      </c>
      <c r="O384" s="19" t="s">
        <v>229</v>
      </c>
      <c r="P384" s="19" t="s">
        <v>668</v>
      </c>
      <c r="Q384" s="19" t="s">
        <v>1785</v>
      </c>
      <c r="R384" s="19" t="s">
        <v>1897</v>
      </c>
      <c r="S384" s="19"/>
      <c r="T384" s="19" t="s">
        <v>53</v>
      </c>
      <c r="U384" s="19" t="s">
        <v>54</v>
      </c>
      <c r="V384" s="19" t="s">
        <v>55</v>
      </c>
      <c r="W384" s="19" t="s">
        <v>56</v>
      </c>
      <c r="X384" s="19" t="s">
        <v>57</v>
      </c>
      <c r="Y384" s="19"/>
      <c r="Z384" s="19" t="s">
        <v>1898</v>
      </c>
      <c r="AA384" s="19">
        <v>2</v>
      </c>
      <c r="AB384" s="19"/>
      <c r="AC384" s="19" t="s">
        <v>233</v>
      </c>
      <c r="AD384" s="19"/>
      <c r="AE384" s="19"/>
      <c r="AF384" s="19"/>
    </row>
    <row r="385" spans="1:34">
      <c r="A385" s="19">
        <v>377</v>
      </c>
      <c r="B385" s="19" t="s">
        <v>1886</v>
      </c>
      <c r="C385" s="19" t="s">
        <v>99</v>
      </c>
      <c r="D385" s="19" t="str">
        <f>HYPERLINK("http://henontech.com/fieldsafety/harzard/harzard_show.php?rid=22776&amp;url=harzardrecs.php","电捕后下液管阀门破损泄漏，一名操作人员在清理下液管附近卫生时，阀门破损，喷出的冷凝液进入操作人员的眼睛里，去医务室简单治疗后返工。")</f>
        <v>电捕后下液管阀门破损泄漏，一名操作人员在清理下液管附近卫生时，阀门破损，喷出的冷凝液进入操作人员的眼睛里，去医务室简单治疗后返工。</v>
      </c>
      <c r="E385" s="19" t="s">
        <v>1899</v>
      </c>
      <c r="F385" s="20" t="s">
        <v>42</v>
      </c>
      <c r="G385" s="21" t="s">
        <v>43</v>
      </c>
      <c r="H385" s="19" t="s">
        <v>44</v>
      </c>
      <c r="I385" s="19" t="s">
        <v>129</v>
      </c>
      <c r="J385" s="19" t="s">
        <v>64</v>
      </c>
      <c r="K385" s="19" t="s">
        <v>46</v>
      </c>
      <c r="L385" s="19" t="s">
        <v>65</v>
      </c>
      <c r="M385" s="19" t="s">
        <v>66</v>
      </c>
      <c r="N385" s="19" t="s">
        <v>1088</v>
      </c>
      <c r="O385" s="19" t="s">
        <v>66</v>
      </c>
      <c r="P385" s="19" t="s">
        <v>68</v>
      </c>
      <c r="Q385" s="19" t="s">
        <v>1844</v>
      </c>
      <c r="R385" s="19" t="s">
        <v>1900</v>
      </c>
      <c r="S385" s="19"/>
      <c r="T385" s="19" t="s">
        <v>53</v>
      </c>
      <c r="U385" s="19" t="s">
        <v>71</v>
      </c>
      <c r="V385" s="19" t="s">
        <v>105</v>
      </c>
      <c r="W385" s="19" t="s">
        <v>96</v>
      </c>
      <c r="X385" s="19"/>
      <c r="Y385" s="19"/>
      <c r="Z385" s="19" t="s">
        <v>1901</v>
      </c>
      <c r="AA385" s="19">
        <v>1</v>
      </c>
      <c r="AB385" s="19">
        <v>1</v>
      </c>
      <c r="AC385" s="19" t="s">
        <v>59</v>
      </c>
      <c r="AD385" s="19" t="s">
        <v>68</v>
      </c>
      <c r="AE385" s="19" t="s">
        <v>1713</v>
      </c>
      <c r="AF385" s="19"/>
    </row>
    <row r="386" spans="1:34">
      <c r="A386" s="19">
        <v>378</v>
      </c>
      <c r="B386" s="19" t="s">
        <v>1886</v>
      </c>
      <c r="C386" s="19" t="s">
        <v>1902</v>
      </c>
      <c r="D386" s="19" t="str">
        <f>HYPERLINK("http://henontech.com/fieldsafety/harzard/harzard_show.php?rid=22781&amp;url=harzardrecs.php","除尘器二层平台空隙过大，一名巡检工巡检时脚不慎掉入空隙，脚腕划伤出血")</f>
        <v>除尘器二层平台空隙过大，一名巡检工巡检时脚不慎掉入空隙，脚腕划伤出血</v>
      </c>
      <c r="E386" s="19" t="s">
        <v>1903</v>
      </c>
      <c r="F386" s="23" t="s">
        <v>227</v>
      </c>
      <c r="G386" s="21" t="s">
        <v>43</v>
      </c>
      <c r="H386" s="19" t="s">
        <v>44</v>
      </c>
      <c r="I386" s="19" t="s">
        <v>78</v>
      </c>
      <c r="J386" s="19" t="s">
        <v>45</v>
      </c>
      <c r="K386" s="19" t="s">
        <v>46</v>
      </c>
      <c r="L386" s="19"/>
      <c r="M386" s="19" t="s">
        <v>229</v>
      </c>
      <c r="N386" s="19" t="s">
        <v>1493</v>
      </c>
      <c r="O386" s="19"/>
      <c r="P386" s="19"/>
      <c r="Q386" s="19"/>
      <c r="R386" s="19" t="s">
        <v>1904</v>
      </c>
      <c r="S386" s="19" t="s">
        <v>1775</v>
      </c>
      <c r="T386" s="19" t="s">
        <v>53</v>
      </c>
      <c r="U386" s="19" t="s">
        <v>71</v>
      </c>
      <c r="V386" s="19" t="s">
        <v>105</v>
      </c>
      <c r="W386" s="19" t="s">
        <v>96</v>
      </c>
      <c r="X386" s="19"/>
      <c r="Y386" s="19"/>
      <c r="Z386" s="19"/>
      <c r="AA386" s="19">
        <v>0</v>
      </c>
      <c r="AB386" s="19"/>
      <c r="AC386" s="19" t="s">
        <v>233</v>
      </c>
      <c r="AD386" s="19"/>
      <c r="AE386" s="19"/>
      <c r="AF386" s="19"/>
    </row>
    <row r="387" spans="1:34">
      <c r="A387" s="19">
        <v>379</v>
      </c>
      <c r="B387" s="19" t="s">
        <v>1713</v>
      </c>
      <c r="C387" s="19" t="s">
        <v>1472</v>
      </c>
      <c r="D387" s="19" t="str">
        <f>HYPERLINK("http://henontech.com/fieldsafety/harzard/harzard_show.php?rid=22806&amp;url=harzardrecs.php","因为因吹灰器电缆套管腐蚀严重，会造成连电烧坏电机。")</f>
        <v>因为因吹灰器电缆套管腐蚀严重，会造成连电烧坏电机。</v>
      </c>
      <c r="E387" s="19" t="s">
        <v>1905</v>
      </c>
      <c r="F387" s="23" t="s">
        <v>227</v>
      </c>
      <c r="G387" s="21" t="s">
        <v>43</v>
      </c>
      <c r="H387" s="19" t="s">
        <v>44</v>
      </c>
      <c r="I387" s="19" t="s">
        <v>129</v>
      </c>
      <c r="J387" s="19" t="s">
        <v>45</v>
      </c>
      <c r="K387" s="19" t="s">
        <v>79</v>
      </c>
      <c r="L387" s="19"/>
      <c r="M387" s="19" t="s">
        <v>229</v>
      </c>
      <c r="N387" s="19" t="s">
        <v>1505</v>
      </c>
      <c r="O387" s="19"/>
      <c r="P387" s="19"/>
      <c r="Q387" s="19"/>
      <c r="R387" s="19" t="s">
        <v>1906</v>
      </c>
      <c r="S387" s="19" t="s">
        <v>1775</v>
      </c>
      <c r="T387" s="19" t="s">
        <v>104</v>
      </c>
      <c r="U387" s="19" t="s">
        <v>94</v>
      </c>
      <c r="V387" s="19" t="s">
        <v>193</v>
      </c>
      <c r="W387" s="19" t="s">
        <v>96</v>
      </c>
      <c r="X387" s="19"/>
      <c r="Y387" s="19"/>
      <c r="Z387" s="19"/>
      <c r="AA387" s="19">
        <v>0</v>
      </c>
      <c r="AB387" s="19"/>
      <c r="AC387" s="19" t="s">
        <v>233</v>
      </c>
      <c r="AD387" s="19"/>
      <c r="AE387" s="19"/>
      <c r="AF387" s="19"/>
    </row>
    <row r="388" spans="1:34">
      <c r="A388" s="19">
        <v>380</v>
      </c>
      <c r="B388" s="19" t="s">
        <v>1713</v>
      </c>
      <c r="C388" s="19" t="s">
        <v>1793</v>
      </c>
      <c r="D388" s="19" t="str">
        <f>HYPERLINK("http://henontech.com/fieldsafety/harzard/harzard_show.php?rid=22912&amp;url=harzardrecs.php","制氮机组处阿特拉斯空压机二级过滤滤芯堵塞，进气量不足，导致空压机喘振停机。杰富意，干熄焦，日升等单位无法正常使用氮气4小时，造成经济损失3万元。")</f>
        <v>制氮机组处阿特拉斯空压机二级过滤滤芯堵塞，进气量不足，导致空压机喘振停机。杰富意，干熄焦，日升等单位无法正常使用氮气4小时，造成经济损失3万元。</v>
      </c>
      <c r="E388" s="19" t="s">
        <v>1907</v>
      </c>
      <c r="F388" s="20" t="s">
        <v>42</v>
      </c>
      <c r="G388" s="21" t="s">
        <v>43</v>
      </c>
      <c r="H388" s="19" t="s">
        <v>44</v>
      </c>
      <c r="I388" s="19"/>
      <c r="J388" s="19" t="s">
        <v>64</v>
      </c>
      <c r="K388" s="19"/>
      <c r="L388" s="19"/>
      <c r="M388" s="19" t="s">
        <v>66</v>
      </c>
      <c r="N388" s="19" t="s">
        <v>1908</v>
      </c>
      <c r="O388" s="19" t="s">
        <v>66</v>
      </c>
      <c r="P388" s="19" t="s">
        <v>68</v>
      </c>
      <c r="Q388" s="19" t="s">
        <v>1844</v>
      </c>
      <c r="R388" s="19" t="s">
        <v>1909</v>
      </c>
      <c r="S388" s="19"/>
      <c r="T388" s="19" t="s">
        <v>104</v>
      </c>
      <c r="U388" s="19" t="s">
        <v>71</v>
      </c>
      <c r="V388" s="19" t="s">
        <v>95</v>
      </c>
      <c r="W388" s="19" t="s">
        <v>56</v>
      </c>
      <c r="X388" s="19"/>
      <c r="Y388" s="19"/>
      <c r="Z388" s="19" t="s">
        <v>1910</v>
      </c>
      <c r="AA388" s="19">
        <v>1</v>
      </c>
      <c r="AB388" s="19">
        <v>1</v>
      </c>
      <c r="AC388" s="19" t="s">
        <v>59</v>
      </c>
      <c r="AD388" s="19" t="s">
        <v>68</v>
      </c>
      <c r="AE388" s="19" t="s">
        <v>1554</v>
      </c>
      <c r="AF388" s="19"/>
    </row>
    <row r="389" spans="1:34" customHeight="1" ht="42">
      <c r="A389" s="19">
        <v>381</v>
      </c>
      <c r="B389" s="19" t="s">
        <v>1433</v>
      </c>
      <c r="C389" s="19" t="s">
        <v>1525</v>
      </c>
      <c r="D389" s="19" t="str">
        <f>HYPERLINK("http://henontech.com/fieldsafety/harzard/harzard_show.php?rid=23013&amp;url=harzardrecs.php","一名锅炉操作工去锅炉顶部巡检时过热器压力变送器连接蒸汽管突然泄漏，烫伤操作工左腿造成左腿大面积烫伤，需住院治疗。")</f>
        <v>一名锅炉操作工去锅炉顶部巡检时过热器压力变送器连接蒸汽管突然泄漏，烫伤操作工左腿造成左腿大面积烫伤，需住院治疗。</v>
      </c>
      <c r="E389" s="19" t="s">
        <v>1911</v>
      </c>
      <c r="F389" s="25" t="s">
        <v>1784</v>
      </c>
      <c r="G389" s="21" t="s">
        <v>43</v>
      </c>
      <c r="H389" s="19" t="s">
        <v>44</v>
      </c>
      <c r="I389" s="19" t="s">
        <v>205</v>
      </c>
      <c r="J389" s="19"/>
      <c r="K389" s="19" t="s">
        <v>46</v>
      </c>
      <c r="L389" s="19"/>
      <c r="M389" s="19" t="s">
        <v>229</v>
      </c>
      <c r="N389" s="19" t="s">
        <v>1912</v>
      </c>
      <c r="O389" s="19" t="s">
        <v>229</v>
      </c>
      <c r="P389" s="19" t="s">
        <v>669</v>
      </c>
      <c r="Q389" s="19" t="s">
        <v>1785</v>
      </c>
      <c r="R389" s="19" t="s">
        <v>1913</v>
      </c>
      <c r="S389" s="19"/>
      <c r="T389" s="19" t="s">
        <v>53</v>
      </c>
      <c r="U389" s="19" t="s">
        <v>54</v>
      </c>
      <c r="V389" s="19" t="s">
        <v>55</v>
      </c>
      <c r="W389" s="19" t="s">
        <v>56</v>
      </c>
      <c r="X389" s="19" t="s">
        <v>57</v>
      </c>
      <c r="Y389" s="19"/>
      <c r="Z389" s="19" t="s">
        <v>1914</v>
      </c>
      <c r="AA389" s="19">
        <v>2</v>
      </c>
      <c r="AB389" s="19"/>
      <c r="AC389" s="19" t="s">
        <v>233</v>
      </c>
      <c r="AD389" s="19"/>
      <c r="AE389" s="19"/>
      <c r="AF389" s="19"/>
    </row>
    <row r="390" spans="1:34" customHeight="1" ht="42">
      <c r="A390" s="19">
        <v>382</v>
      </c>
      <c r="B390" s="19" t="s">
        <v>1433</v>
      </c>
      <c r="C390" s="19" t="s">
        <v>1915</v>
      </c>
      <c r="D390" s="19" t="str">
        <f>HYPERLINK("http://henontech.com/fieldsafety/harzard/harzard_show.php?rid=23016&amp;url=harzardrecs.php","东三废料未及时清理，操作人员清理卫生时，不慎被绊倒，造成手臂受伤，送医治疗。")</f>
        <v>东三废料未及时清理，操作人员清理卫生时，不慎被绊倒，造成手臂受伤，送医治疗。</v>
      </c>
      <c r="E390" s="19" t="s">
        <v>1916</v>
      </c>
      <c r="F390" s="20" t="s">
        <v>42</v>
      </c>
      <c r="G390" s="21" t="s">
        <v>43</v>
      </c>
      <c r="H390" s="19" t="s">
        <v>44</v>
      </c>
      <c r="I390" s="19" t="s">
        <v>129</v>
      </c>
      <c r="J390" s="19"/>
      <c r="K390" s="19" t="s">
        <v>79</v>
      </c>
      <c r="L390" s="19" t="s">
        <v>65</v>
      </c>
      <c r="M390" s="19" t="s">
        <v>633</v>
      </c>
      <c r="N390" s="19" t="s">
        <v>1917</v>
      </c>
      <c r="O390" s="19" t="s">
        <v>633</v>
      </c>
      <c r="P390" s="19" t="s">
        <v>924</v>
      </c>
      <c r="Q390" s="19" t="s">
        <v>1554</v>
      </c>
      <c r="R390" s="19" t="s">
        <v>1918</v>
      </c>
      <c r="S390" s="19"/>
      <c r="T390" s="19" t="s">
        <v>53</v>
      </c>
      <c r="U390" s="19" t="s">
        <v>54</v>
      </c>
      <c r="V390" s="19" t="s">
        <v>105</v>
      </c>
      <c r="W390" s="19" t="s">
        <v>72</v>
      </c>
      <c r="X390" s="19" t="s">
        <v>141</v>
      </c>
      <c r="Y390" s="19" t="s">
        <v>141</v>
      </c>
      <c r="Z390" s="19" t="s">
        <v>1919</v>
      </c>
      <c r="AA390" s="19">
        <v>2</v>
      </c>
      <c r="AB390" s="19">
        <v>2</v>
      </c>
      <c r="AC390" s="19" t="s">
        <v>59</v>
      </c>
      <c r="AD390" s="19" t="s">
        <v>924</v>
      </c>
      <c r="AE390" s="19" t="s">
        <v>1589</v>
      </c>
      <c r="AF390" s="19"/>
    </row>
    <row r="391" spans="1:34" customHeight="1" ht="42">
      <c r="A391" s="19">
        <v>383</v>
      </c>
      <c r="B391" s="19" t="s">
        <v>1433</v>
      </c>
      <c r="C391" s="19" t="s">
        <v>1920</v>
      </c>
      <c r="D391" s="19" t="str">
        <f>HYPERLINK("http://henontech.com/fieldsafety/harzard/harzard_show.php?rid=23049&amp;url=harzardrecs.php","料筛使用后不按规定定点放置且不加以固定，夜班一员工在巡检时，不慎被筛子拌倒，前臂碰到水泥立柱造成左前臂骨折住院")</f>
        <v>料筛使用后不按规定定点放置且不加以固定，夜班一员工在巡检时，不慎被筛子拌倒，前臂碰到水泥立柱造成左前臂骨折住院</v>
      </c>
      <c r="E391" s="19" t="s">
        <v>1921</v>
      </c>
      <c r="F391" s="25" t="s">
        <v>1784</v>
      </c>
      <c r="G391" s="21" t="s">
        <v>43</v>
      </c>
      <c r="H391" s="19" t="s">
        <v>44</v>
      </c>
      <c r="I391" s="19" t="s">
        <v>205</v>
      </c>
      <c r="J391" s="19" t="s">
        <v>64</v>
      </c>
      <c r="K391" s="19" t="s">
        <v>79</v>
      </c>
      <c r="L391" s="19" t="s">
        <v>65</v>
      </c>
      <c r="M391" s="19" t="s">
        <v>229</v>
      </c>
      <c r="N391" s="19" t="s">
        <v>1922</v>
      </c>
      <c r="O391" s="19" t="s">
        <v>229</v>
      </c>
      <c r="P391" s="19" t="s">
        <v>668</v>
      </c>
      <c r="Q391" s="19" t="s">
        <v>1785</v>
      </c>
      <c r="R391" s="19" t="s">
        <v>1923</v>
      </c>
      <c r="S391" s="19"/>
      <c r="T391" s="19" t="s">
        <v>53</v>
      </c>
      <c r="U391" s="19" t="s">
        <v>54</v>
      </c>
      <c r="V391" s="19" t="s">
        <v>55</v>
      </c>
      <c r="W391" s="19" t="s">
        <v>56</v>
      </c>
      <c r="X391" s="19" t="s">
        <v>57</v>
      </c>
      <c r="Y391" s="19"/>
      <c r="Z391" s="19" t="s">
        <v>1924</v>
      </c>
      <c r="AA391" s="19">
        <v>2</v>
      </c>
      <c r="AB391" s="19"/>
      <c r="AC391" s="19" t="s">
        <v>233</v>
      </c>
      <c r="AD391" s="19"/>
      <c r="AE391" s="19"/>
      <c r="AF391" s="19"/>
    </row>
    <row r="392" spans="1:34" customHeight="1" ht="42">
      <c r="A392" s="19">
        <v>384</v>
      </c>
      <c r="B392" s="19" t="s">
        <v>1589</v>
      </c>
      <c r="C392" s="19" t="s">
        <v>1925</v>
      </c>
      <c r="D392" s="19" t="str">
        <f>HYPERLINK("http://henontech.com/fieldsafety/harzard/harzard_show.php?rid=23215&amp;url=harzardrecs.php","煤九平台处料仓除尘管道防雨帽腐烂，遇大风天气容易掉落，造成人员伤害")</f>
        <v>煤九平台处料仓除尘管道防雨帽腐烂，遇大风天气容易掉落，造成人员伤害</v>
      </c>
      <c r="E392" s="19" t="s">
        <v>1926</v>
      </c>
      <c r="F392" s="20" t="s">
        <v>42</v>
      </c>
      <c r="G392" s="21" t="s">
        <v>43</v>
      </c>
      <c r="H392" s="19" t="s">
        <v>44</v>
      </c>
      <c r="I392" s="19" t="s">
        <v>129</v>
      </c>
      <c r="J392" s="19" t="s">
        <v>64</v>
      </c>
      <c r="K392" s="19" t="s">
        <v>79</v>
      </c>
      <c r="L392" s="19"/>
      <c r="M392" s="19" t="s">
        <v>633</v>
      </c>
      <c r="N392" s="19" t="s">
        <v>1927</v>
      </c>
      <c r="O392" s="19" t="s">
        <v>633</v>
      </c>
      <c r="P392" s="19" t="s">
        <v>924</v>
      </c>
      <c r="Q392" s="19" t="s">
        <v>1554</v>
      </c>
      <c r="R392" s="19" t="s">
        <v>1928</v>
      </c>
      <c r="S392" s="19"/>
      <c r="T392" s="19" t="s">
        <v>53</v>
      </c>
      <c r="U392" s="19" t="s">
        <v>71</v>
      </c>
      <c r="V392" s="19" t="s">
        <v>105</v>
      </c>
      <c r="W392" s="19" t="s">
        <v>96</v>
      </c>
      <c r="X392" s="19" t="s">
        <v>141</v>
      </c>
      <c r="Y392" s="19" t="s">
        <v>141</v>
      </c>
      <c r="Z392" s="19" t="s">
        <v>1929</v>
      </c>
      <c r="AA392" s="19">
        <v>2</v>
      </c>
      <c r="AB392" s="19">
        <v>2</v>
      </c>
      <c r="AC392" s="19" t="s">
        <v>59</v>
      </c>
      <c r="AD392" s="19" t="s">
        <v>924</v>
      </c>
      <c r="AE392" s="19" t="s">
        <v>1589</v>
      </c>
      <c r="AF392" s="19"/>
    </row>
    <row r="393" spans="1:34" customHeight="1" ht="42">
      <c r="A393" s="19">
        <v>385</v>
      </c>
      <c r="B393" s="19" t="s">
        <v>1589</v>
      </c>
      <c r="C393" s="19" t="s">
        <v>631</v>
      </c>
      <c r="D393" s="19" t="str">
        <f>HYPERLINK("http://henontech.com/fieldsafety/harzard/harzard_show.php?rid=23221&amp;url=harzardrecs.php","煤九机头刮板磨损严重，一旦开启设备，会造成划伤皮带")</f>
        <v>煤九机头刮板磨损严重，一旦开启设备，会造成划伤皮带</v>
      </c>
      <c r="E393" s="19" t="s">
        <v>1930</v>
      </c>
      <c r="F393" s="20" t="s">
        <v>42</v>
      </c>
      <c r="G393" s="22" t="s">
        <v>111</v>
      </c>
      <c r="H393" s="19" t="s">
        <v>44</v>
      </c>
      <c r="I393" s="19" t="s">
        <v>1566</v>
      </c>
      <c r="J393" s="19" t="s">
        <v>64</v>
      </c>
      <c r="K393" s="19"/>
      <c r="L393" s="19"/>
      <c r="M393" s="19" t="s">
        <v>633</v>
      </c>
      <c r="N393" s="19" t="s">
        <v>1931</v>
      </c>
      <c r="O393" s="19" t="s">
        <v>633</v>
      </c>
      <c r="P393" s="19" t="s">
        <v>924</v>
      </c>
      <c r="Q393" s="19" t="s">
        <v>1554</v>
      </c>
      <c r="R393" s="19" t="s">
        <v>1928</v>
      </c>
      <c r="S393" s="19"/>
      <c r="T393" s="19" t="s">
        <v>104</v>
      </c>
      <c r="U393" s="19" t="s">
        <v>71</v>
      </c>
      <c r="V393" s="19" t="s">
        <v>55</v>
      </c>
      <c r="W393" s="19" t="s">
        <v>72</v>
      </c>
      <c r="X393" s="19" t="s">
        <v>141</v>
      </c>
      <c r="Y393" s="19" t="s">
        <v>141</v>
      </c>
      <c r="Z393" s="19" t="s">
        <v>1932</v>
      </c>
      <c r="AA393" s="19">
        <v>2</v>
      </c>
      <c r="AB393" s="19">
        <v>2</v>
      </c>
      <c r="AC393" s="19" t="s">
        <v>59</v>
      </c>
      <c r="AD393" s="19" t="s">
        <v>924</v>
      </c>
      <c r="AE393" s="19" t="s">
        <v>1589</v>
      </c>
      <c r="AF393" s="19"/>
    </row>
    <row r="394" spans="1:34" customHeight="1" ht="42">
      <c r="A394" s="19">
        <v>386</v>
      </c>
      <c r="B394" s="19" t="s">
        <v>1589</v>
      </c>
      <c r="C394" s="19" t="s">
        <v>934</v>
      </c>
      <c r="D394" s="19" t="str">
        <f>HYPERLINK("http://henontech.com/fieldsafety/harzard/harzard_show.php?rid=23236&amp;url=harzardrecs.php","东五后尾挡煤板支架腐烂错位，一旦皮带机运转，会造成划伤皮带")</f>
        <v>东五后尾挡煤板支架腐烂错位，一旦皮带机运转，会造成划伤皮带</v>
      </c>
      <c r="E394" s="19" t="s">
        <v>1933</v>
      </c>
      <c r="F394" s="20" t="s">
        <v>42</v>
      </c>
      <c r="G394" s="24" t="s">
        <v>534</v>
      </c>
      <c r="H394" s="19" t="s">
        <v>44</v>
      </c>
      <c r="I394" s="19" t="s">
        <v>1566</v>
      </c>
      <c r="J394" s="19" t="s">
        <v>64</v>
      </c>
      <c r="K394" s="19" t="s">
        <v>88</v>
      </c>
      <c r="L394" s="19"/>
      <c r="M394" s="19" t="s">
        <v>633</v>
      </c>
      <c r="N394" s="19" t="s">
        <v>1934</v>
      </c>
      <c r="O394" s="19" t="s">
        <v>633</v>
      </c>
      <c r="P394" s="19" t="s">
        <v>924</v>
      </c>
      <c r="Q394" s="19" t="s">
        <v>1687</v>
      </c>
      <c r="R394" s="19" t="s">
        <v>1935</v>
      </c>
      <c r="S394" s="19"/>
      <c r="T394" s="19" t="s">
        <v>104</v>
      </c>
      <c r="U394" s="19" t="s">
        <v>71</v>
      </c>
      <c r="V394" s="19" t="s">
        <v>55</v>
      </c>
      <c r="W394" s="19" t="s">
        <v>72</v>
      </c>
      <c r="X394" s="19" t="s">
        <v>141</v>
      </c>
      <c r="Y394" s="19" t="s">
        <v>141</v>
      </c>
      <c r="Z394" s="19" t="s">
        <v>1936</v>
      </c>
      <c r="AA394" s="19">
        <v>2</v>
      </c>
      <c r="AB394" s="19">
        <v>2</v>
      </c>
      <c r="AC394" s="19" t="s">
        <v>59</v>
      </c>
      <c r="AD394" s="19" t="s">
        <v>924</v>
      </c>
      <c r="AE394" s="19" t="s">
        <v>1589</v>
      </c>
      <c r="AF394" s="19"/>
    </row>
    <row r="395" spans="1:34">
      <c r="A395" s="19">
        <v>387</v>
      </c>
      <c r="B395" s="19" t="s">
        <v>1589</v>
      </c>
      <c r="C395" s="19" t="s">
        <v>631</v>
      </c>
      <c r="D395" s="19" t="str">
        <f>HYPERLINK("http://henontech.com/fieldsafety/harzard/harzard_show.php?rid=23288&amp;url=harzardrecs.php","煤五机头门板脱落散架，人员经过时门板脱落选成人员脚部砸伤")</f>
        <v>煤五机头门板脱落散架，人员经过时门板脱落选成人员脚部砸伤</v>
      </c>
      <c r="E395" s="19" t="s">
        <v>1937</v>
      </c>
      <c r="F395" s="23" t="s">
        <v>227</v>
      </c>
      <c r="G395" s="21" t="s">
        <v>43</v>
      </c>
      <c r="H395" s="19" t="s">
        <v>44</v>
      </c>
      <c r="I395" s="19" t="s">
        <v>129</v>
      </c>
      <c r="J395" s="19" t="s">
        <v>87</v>
      </c>
      <c r="K395" s="19" t="s">
        <v>302</v>
      </c>
      <c r="L395" s="19"/>
      <c r="M395" s="19" t="s">
        <v>633</v>
      </c>
      <c r="N395" s="19" t="s">
        <v>1938</v>
      </c>
      <c r="O395" s="19"/>
      <c r="P395" s="19"/>
      <c r="Q395" s="19"/>
      <c r="R395" s="19" t="s">
        <v>1939</v>
      </c>
      <c r="S395" s="19" t="s">
        <v>1940</v>
      </c>
      <c r="T395" s="19" t="s">
        <v>53</v>
      </c>
      <c r="U395" s="19" t="s">
        <v>71</v>
      </c>
      <c r="V395" s="19" t="s">
        <v>105</v>
      </c>
      <c r="W395" s="19" t="s">
        <v>96</v>
      </c>
      <c r="X395" s="19"/>
      <c r="Y395" s="19"/>
      <c r="Z395" s="19"/>
      <c r="AA395" s="19">
        <v>0</v>
      </c>
      <c r="AB395" s="19"/>
      <c r="AC395" s="19" t="s">
        <v>233</v>
      </c>
      <c r="AD395" s="19"/>
      <c r="AE395" s="19"/>
      <c r="AF395" s="19"/>
    </row>
    <row r="396" spans="1:34" customHeight="1" ht="42">
      <c r="A396" s="19">
        <v>388</v>
      </c>
      <c r="B396" s="19" t="s">
        <v>1589</v>
      </c>
      <c r="C396" s="19" t="s">
        <v>631</v>
      </c>
      <c r="D396" s="19" t="str">
        <f>HYPERLINK("http://henontech.com/fieldsafety/harzard/harzard_show.php?rid=23289&amp;url=harzardrecs.php","煤五机头门板脱落散架，人员经过时门板脱落选成人员脚部砸伤")</f>
        <v>煤五机头门板脱落散架，人员经过时门板脱落选成人员脚部砸伤</v>
      </c>
      <c r="E396" s="19" t="s">
        <v>1937</v>
      </c>
      <c r="F396" s="20" t="s">
        <v>42</v>
      </c>
      <c r="G396" s="21" t="s">
        <v>43</v>
      </c>
      <c r="H396" s="19" t="s">
        <v>44</v>
      </c>
      <c r="I396" s="19" t="s">
        <v>129</v>
      </c>
      <c r="J396" s="19" t="s">
        <v>87</v>
      </c>
      <c r="K396" s="19" t="s">
        <v>302</v>
      </c>
      <c r="L396" s="19"/>
      <c r="M396" s="19" t="s">
        <v>633</v>
      </c>
      <c r="N396" s="19" t="s">
        <v>1938</v>
      </c>
      <c r="O396" s="19" t="s">
        <v>633</v>
      </c>
      <c r="P396" s="19" t="s">
        <v>924</v>
      </c>
      <c r="Q396" s="19" t="s">
        <v>1554</v>
      </c>
      <c r="R396" s="19" t="s">
        <v>1939</v>
      </c>
      <c r="S396" s="19"/>
      <c r="T396" s="19" t="s">
        <v>53</v>
      </c>
      <c r="U396" s="19" t="s">
        <v>71</v>
      </c>
      <c r="V396" s="19" t="s">
        <v>105</v>
      </c>
      <c r="W396" s="19" t="s">
        <v>96</v>
      </c>
      <c r="X396" s="19" t="s">
        <v>141</v>
      </c>
      <c r="Y396" s="19" t="s">
        <v>141</v>
      </c>
      <c r="Z396" s="19" t="s">
        <v>1941</v>
      </c>
      <c r="AA396" s="19">
        <v>2</v>
      </c>
      <c r="AB396" s="19">
        <v>2</v>
      </c>
      <c r="AC396" s="19" t="s">
        <v>59</v>
      </c>
      <c r="AD396" s="19" t="s">
        <v>924</v>
      </c>
      <c r="AE396" s="19" t="s">
        <v>1687</v>
      </c>
      <c r="AF396" s="19"/>
    </row>
    <row r="397" spans="1:34" customHeight="1" ht="42">
      <c r="A397" s="19">
        <v>389</v>
      </c>
      <c r="B397" s="19" t="s">
        <v>1589</v>
      </c>
      <c r="C397" s="19" t="s">
        <v>656</v>
      </c>
      <c r="D397" s="19" t="str">
        <f>HYPERLINK("http://henontech.com/fieldsafety/harzard/harzard_show.php?rid=23368&amp;url=harzardrecs.php","下调心托辊磨损严重")</f>
        <v>下调心托辊磨损严重</v>
      </c>
      <c r="E397" s="19" t="s">
        <v>1942</v>
      </c>
      <c r="F397" s="20" t="s">
        <v>42</v>
      </c>
      <c r="G397" s="21" t="s">
        <v>43</v>
      </c>
      <c r="H397" s="19" t="s">
        <v>44</v>
      </c>
      <c r="I397" s="19" t="s">
        <v>129</v>
      </c>
      <c r="J397" s="19" t="s">
        <v>64</v>
      </c>
      <c r="K397" s="19" t="s">
        <v>79</v>
      </c>
      <c r="L397" s="19"/>
      <c r="M397" s="19" t="s">
        <v>633</v>
      </c>
      <c r="N397" s="19" t="s">
        <v>1943</v>
      </c>
      <c r="O397" s="19" t="s">
        <v>633</v>
      </c>
      <c r="P397" s="19" t="s">
        <v>924</v>
      </c>
      <c r="Q397" s="19" t="s">
        <v>1554</v>
      </c>
      <c r="R397" s="19" t="s">
        <v>1944</v>
      </c>
      <c r="S397" s="19"/>
      <c r="T397" s="19" t="s">
        <v>104</v>
      </c>
      <c r="U397" s="19" t="s">
        <v>94</v>
      </c>
      <c r="V397" s="19" t="s">
        <v>95</v>
      </c>
      <c r="W397" s="19" t="s">
        <v>96</v>
      </c>
      <c r="X397" s="19" t="s">
        <v>57</v>
      </c>
      <c r="Y397" s="19" t="s">
        <v>57</v>
      </c>
      <c r="Z397" s="19" t="s">
        <v>1945</v>
      </c>
      <c r="AA397" s="19">
        <v>2</v>
      </c>
      <c r="AB397" s="19">
        <v>2</v>
      </c>
      <c r="AC397" s="19" t="s">
        <v>59</v>
      </c>
      <c r="AD397" s="19" t="s">
        <v>924</v>
      </c>
      <c r="AE397" s="19" t="s">
        <v>1687</v>
      </c>
      <c r="AF397" s="19"/>
    </row>
    <row r="398" spans="1:34" customHeight="1" ht="42">
      <c r="A398" s="19">
        <v>390</v>
      </c>
      <c r="B398" s="19" t="s">
        <v>1589</v>
      </c>
      <c r="C398" s="19" t="s">
        <v>1946</v>
      </c>
      <c r="D398" s="19" t="str">
        <f>HYPERLINK("http://henontech.com/fieldsafety/harzard/harzard_show.php?rid=23391&amp;url=harzardrecs.php","发焦除尘废气排放口旋转爬梯顶部护栏开焊，护铁脱落，假如一操作工爬上顶部进行巡检作业时，立足不稳，不慎从10多米高的护栏处坠落，头部着地，简单包扎后立即送医治疗。")</f>
        <v>发焦除尘废气排放口旋转爬梯顶部护栏开焊，护铁脱落，假如一操作工爬上顶部进行巡检作业时，立足不稳，不慎从10多米高的护栏处坠落，头部着地，简单包扎后立即送医治疗。</v>
      </c>
      <c r="E398" s="19" t="s">
        <v>1947</v>
      </c>
      <c r="F398" s="20" t="s">
        <v>42</v>
      </c>
      <c r="G398" s="22" t="s">
        <v>111</v>
      </c>
      <c r="H398" s="19" t="s">
        <v>44</v>
      </c>
      <c r="I398" s="19" t="s">
        <v>129</v>
      </c>
      <c r="J398" s="19" t="s">
        <v>45</v>
      </c>
      <c r="K398" s="19" t="s">
        <v>79</v>
      </c>
      <c r="L398" s="19" t="s">
        <v>65</v>
      </c>
      <c r="M398" s="19" t="s">
        <v>49</v>
      </c>
      <c r="N398" s="19" t="s">
        <v>1948</v>
      </c>
      <c r="O398" s="19" t="s">
        <v>49</v>
      </c>
      <c r="P398" s="19" t="s">
        <v>460</v>
      </c>
      <c r="Q398" s="19" t="s">
        <v>1949</v>
      </c>
      <c r="R398" s="19" t="s">
        <v>1950</v>
      </c>
      <c r="S398" s="19"/>
      <c r="T398" s="19" t="s">
        <v>53</v>
      </c>
      <c r="U398" s="19" t="s">
        <v>116</v>
      </c>
      <c r="V398" s="19" t="s">
        <v>55</v>
      </c>
      <c r="W398" s="19" t="s">
        <v>117</v>
      </c>
      <c r="X398" s="19" t="s">
        <v>57</v>
      </c>
      <c r="Y398" s="19"/>
      <c r="Z398" s="19" t="s">
        <v>1951</v>
      </c>
      <c r="AA398" s="19">
        <v>2</v>
      </c>
      <c r="AB398" s="19">
        <v>2</v>
      </c>
      <c r="AC398" s="19" t="s">
        <v>59</v>
      </c>
      <c r="AD398" s="19" t="s">
        <v>460</v>
      </c>
      <c r="AE398" s="19" t="s">
        <v>1557</v>
      </c>
      <c r="AF398" s="19"/>
    </row>
    <row r="399" spans="1:34" customHeight="1" ht="42">
      <c r="A399" s="19">
        <v>391</v>
      </c>
      <c r="B399" s="19" t="s">
        <v>1589</v>
      </c>
      <c r="C399" s="19" t="s">
        <v>49</v>
      </c>
      <c r="D399" s="19" t="str">
        <f>HYPERLINK("http://henontech.com/fieldsafety/harzard/harzard_show.php?rid=23393&amp;url=harzardrecs.php","装煤车刮板机盖板松动，假如一员工在清理刮板机上的余煤时，因盖板松动没有起到防护作用，导致该员工右脚不慎掉入转动的刮板机内。经确认右脚骨折，送医治疗。")</f>
        <v>装煤车刮板机盖板松动，假如一员工在清理刮板机上的余煤时，因盖板松动没有起到防护作用，导致该员工右脚不慎掉入转动的刮板机内。经确认右脚骨折，送医治疗。</v>
      </c>
      <c r="E399" s="19" t="s">
        <v>1952</v>
      </c>
      <c r="F399" s="20" t="s">
        <v>42</v>
      </c>
      <c r="G399" s="22" t="s">
        <v>111</v>
      </c>
      <c r="H399" s="19" t="s">
        <v>44</v>
      </c>
      <c r="I399" s="19" t="s">
        <v>129</v>
      </c>
      <c r="J399" s="19" t="s">
        <v>64</v>
      </c>
      <c r="K399" s="19" t="s">
        <v>79</v>
      </c>
      <c r="L399" s="19" t="s">
        <v>65</v>
      </c>
      <c r="M399" s="19" t="s">
        <v>49</v>
      </c>
      <c r="N399" s="19" t="s">
        <v>439</v>
      </c>
      <c r="O399" s="19" t="s">
        <v>49</v>
      </c>
      <c r="P399" s="19" t="s">
        <v>1601</v>
      </c>
      <c r="Q399" s="19" t="s">
        <v>1949</v>
      </c>
      <c r="R399" s="19" t="s">
        <v>1953</v>
      </c>
      <c r="S399" s="19"/>
      <c r="T399" s="19" t="s">
        <v>53</v>
      </c>
      <c r="U399" s="19" t="s">
        <v>54</v>
      </c>
      <c r="V399" s="19" t="s">
        <v>55</v>
      </c>
      <c r="W399" s="19" t="s">
        <v>56</v>
      </c>
      <c r="X399" s="19"/>
      <c r="Y399" s="19" t="s">
        <v>57</v>
      </c>
      <c r="Z399" s="19" t="s">
        <v>1954</v>
      </c>
      <c r="AA399" s="19">
        <v>2</v>
      </c>
      <c r="AB399" s="19">
        <v>2</v>
      </c>
      <c r="AC399" s="19" t="s">
        <v>59</v>
      </c>
      <c r="AD399" s="19" t="s">
        <v>1601</v>
      </c>
      <c r="AE399" s="19" t="s">
        <v>1796</v>
      </c>
      <c r="AF399" s="19"/>
    </row>
    <row r="400" spans="1:34" customHeight="1" ht="42">
      <c r="A400" s="19">
        <v>392</v>
      </c>
      <c r="B400" s="19" t="s">
        <v>1589</v>
      </c>
      <c r="C400" s="19" t="s">
        <v>49</v>
      </c>
      <c r="D400" s="19" t="str">
        <f>HYPERLINK("http://henontech.com/fieldsafety/harzard/harzard_show.php?rid=23396&amp;url=harzardrecs.php","装煤车车载除尘阻火网处未安装照明灯，因无照明灯视线不良，一员工在更换车载除尘阻火网时被地面的杂物绊倒摔断左手臂，送医治疗。")</f>
        <v>装煤车车载除尘阻火网处未安装照明灯，因无照明灯视线不良，一员工在更换车载除尘阻火网时被地面的杂物绊倒摔断左手臂，送医治疗。</v>
      </c>
      <c r="E400" s="19" t="s">
        <v>1955</v>
      </c>
      <c r="F400" s="20" t="s">
        <v>42</v>
      </c>
      <c r="G400" s="21" t="s">
        <v>43</v>
      </c>
      <c r="H400" s="19" t="s">
        <v>44</v>
      </c>
      <c r="I400" s="19" t="s">
        <v>129</v>
      </c>
      <c r="J400" s="19" t="s">
        <v>64</v>
      </c>
      <c r="K400" s="19" t="s">
        <v>79</v>
      </c>
      <c r="L400" s="19" t="s">
        <v>65</v>
      </c>
      <c r="M400" s="19" t="s">
        <v>49</v>
      </c>
      <c r="N400" s="19" t="s">
        <v>439</v>
      </c>
      <c r="O400" s="19" t="s">
        <v>49</v>
      </c>
      <c r="P400" s="19" t="s">
        <v>460</v>
      </c>
      <c r="Q400" s="19" t="s">
        <v>1949</v>
      </c>
      <c r="R400" s="19" t="s">
        <v>1953</v>
      </c>
      <c r="S400" s="19"/>
      <c r="T400" s="19" t="s">
        <v>53</v>
      </c>
      <c r="U400" s="19" t="s">
        <v>54</v>
      </c>
      <c r="V400" s="19" t="s">
        <v>95</v>
      </c>
      <c r="W400" s="19" t="s">
        <v>117</v>
      </c>
      <c r="X400" s="19" t="s">
        <v>150</v>
      </c>
      <c r="Y400" s="19"/>
      <c r="Z400" s="19" t="s">
        <v>1956</v>
      </c>
      <c r="AA400" s="19">
        <v>2</v>
      </c>
      <c r="AB400" s="19">
        <v>2</v>
      </c>
      <c r="AC400" s="19" t="s">
        <v>59</v>
      </c>
      <c r="AD400" s="19" t="s">
        <v>460</v>
      </c>
      <c r="AE400" s="19" t="s">
        <v>1557</v>
      </c>
      <c r="AF400" s="19"/>
    </row>
    <row r="401" spans="1:34" customHeight="1" ht="42">
      <c r="A401" s="19">
        <v>393</v>
      </c>
      <c r="B401" s="19" t="s">
        <v>1589</v>
      </c>
      <c r="C401" s="19" t="s">
        <v>985</v>
      </c>
      <c r="D401" s="19" t="str">
        <f>HYPERLINK("http://henontech.com/fieldsafety/harzard/harzard_show.php?rid=23398&amp;url=harzardrecs.php","炉顶机侧有维修梯架，操作工扣上升管盖被梯架妨碍，被水封沸水浅出烫伤，送医务室处理，发现操作工背部大面积烫伤，需住院修养。")</f>
        <v>炉顶机侧有维修梯架，操作工扣上升管盖被梯架妨碍，被水封沸水浅出烫伤，送医务室处理，发现操作工背部大面积烫伤，需住院修养。</v>
      </c>
      <c r="E401" s="19" t="s">
        <v>1957</v>
      </c>
      <c r="F401" s="20" t="s">
        <v>42</v>
      </c>
      <c r="G401" s="21" t="s">
        <v>43</v>
      </c>
      <c r="H401" s="19" t="s">
        <v>44</v>
      </c>
      <c r="I401" s="19"/>
      <c r="J401" s="19" t="s">
        <v>64</v>
      </c>
      <c r="K401" s="19" t="s">
        <v>46</v>
      </c>
      <c r="L401" s="19"/>
      <c r="M401" s="19" t="s">
        <v>49</v>
      </c>
      <c r="N401" s="19" t="s">
        <v>1958</v>
      </c>
      <c r="O401" s="19" t="s">
        <v>49</v>
      </c>
      <c r="P401" s="19" t="s">
        <v>310</v>
      </c>
      <c r="Q401" s="19" t="s">
        <v>1769</v>
      </c>
      <c r="R401" s="19" t="s">
        <v>473</v>
      </c>
      <c r="S401" s="19"/>
      <c r="T401" s="19" t="s">
        <v>53</v>
      </c>
      <c r="U401" s="19" t="s">
        <v>54</v>
      </c>
      <c r="V401" s="19" t="s">
        <v>55</v>
      </c>
      <c r="W401" s="19" t="s">
        <v>56</v>
      </c>
      <c r="X401" s="19" t="s">
        <v>150</v>
      </c>
      <c r="Y401" s="19"/>
      <c r="Z401" s="19" t="s">
        <v>1959</v>
      </c>
      <c r="AA401" s="19">
        <v>2</v>
      </c>
      <c r="AB401" s="19">
        <v>2</v>
      </c>
      <c r="AC401" s="19" t="s">
        <v>59</v>
      </c>
      <c r="AD401" s="19" t="s">
        <v>310</v>
      </c>
      <c r="AE401" s="19" t="s">
        <v>1738</v>
      </c>
      <c r="AF401" s="19" t="s">
        <v>1960</v>
      </c>
    </row>
    <row r="402" spans="1:34" customHeight="1" ht="42">
      <c r="A402" s="19">
        <v>394</v>
      </c>
      <c r="B402" s="19" t="s">
        <v>1589</v>
      </c>
      <c r="C402" s="19" t="s">
        <v>484</v>
      </c>
      <c r="D402" s="19" t="str">
        <f>HYPERLINK("http://henontech.com/fieldsafety/harzard/harzard_show.php?rid=23404&amp;url=harzardrecs.php","导烟水槽补水管北头凸起无警示措施，夜间光线弱，假如一人从此处经过没有看到凸起的管道被绊倒，用手支撑身体不慎，造成右手臂骨折。")</f>
        <v>导烟水槽补水管北头凸起无警示措施，夜间光线弱，假如一人从此处经过没有看到凸起的管道被绊倒，用手支撑身体不慎，造成右手臂骨折。</v>
      </c>
      <c r="E402" s="19" t="s">
        <v>1961</v>
      </c>
      <c r="F402" s="20" t="s">
        <v>42</v>
      </c>
      <c r="G402" s="21" t="s">
        <v>43</v>
      </c>
      <c r="H402" s="19" t="s">
        <v>44</v>
      </c>
      <c r="I402" s="19" t="s">
        <v>78</v>
      </c>
      <c r="J402" s="19" t="s">
        <v>600</v>
      </c>
      <c r="K402" s="19" t="s">
        <v>46</v>
      </c>
      <c r="L402" s="19" t="s">
        <v>662</v>
      </c>
      <c r="M402" s="19" t="s">
        <v>49</v>
      </c>
      <c r="N402" s="19" t="s">
        <v>1462</v>
      </c>
      <c r="O402" s="19" t="s">
        <v>49</v>
      </c>
      <c r="P402" s="19" t="s">
        <v>310</v>
      </c>
      <c r="Q402" s="19" t="s">
        <v>1769</v>
      </c>
      <c r="R402" s="19" t="s">
        <v>1962</v>
      </c>
      <c r="S402" s="19"/>
      <c r="T402" s="19" t="s">
        <v>53</v>
      </c>
      <c r="U402" s="19" t="s">
        <v>54</v>
      </c>
      <c r="V402" s="19" t="s">
        <v>55</v>
      </c>
      <c r="W402" s="19" t="s">
        <v>56</v>
      </c>
      <c r="X402" s="19" t="s">
        <v>150</v>
      </c>
      <c r="Y402" s="19"/>
      <c r="Z402" s="19" t="s">
        <v>1963</v>
      </c>
      <c r="AA402" s="19">
        <v>2</v>
      </c>
      <c r="AB402" s="19">
        <v>1</v>
      </c>
      <c r="AC402" s="19" t="s">
        <v>59</v>
      </c>
      <c r="AD402" s="19" t="s">
        <v>310</v>
      </c>
      <c r="AE402" s="19" t="s">
        <v>1552</v>
      </c>
      <c r="AF402" s="19" t="s">
        <v>1964</v>
      </c>
    </row>
    <row r="403" spans="1:34">
      <c r="A403" s="19">
        <v>395</v>
      </c>
      <c r="B403" s="19" t="s">
        <v>1589</v>
      </c>
      <c r="C403" s="19" t="s">
        <v>1965</v>
      </c>
      <c r="D403" s="19" t="str">
        <f>HYPERLINK("http://henontech.com/fieldsafety/harzard/harzard_show.php?rid=23405&amp;url=harzardrecs.php","在风机上下段罐平台上有一处氨水泄漏点，一名操作工开阀门时碰倒了接氨水的桶，导致氨水洒在操作工左腿处，造成轻微烫伤送医务室简单处理后，重返岗位。")</f>
        <v>在风机上下段罐平台上有一处氨水泄漏点，一名操作工开阀门时碰倒了接氨水的桶，导致氨水洒在操作工左腿处，造成轻微烫伤送医务室简单处理后，重返岗位。</v>
      </c>
      <c r="E403" s="19" t="s">
        <v>1966</v>
      </c>
      <c r="F403" s="25" t="s">
        <v>1784</v>
      </c>
      <c r="G403" s="21" t="s">
        <v>43</v>
      </c>
      <c r="H403" s="19" t="s">
        <v>44</v>
      </c>
      <c r="I403" s="19" t="s">
        <v>78</v>
      </c>
      <c r="J403" s="19" t="s">
        <v>64</v>
      </c>
      <c r="K403" s="19" t="s">
        <v>46</v>
      </c>
      <c r="L403" s="19" t="s">
        <v>65</v>
      </c>
      <c r="M403" s="19" t="s">
        <v>66</v>
      </c>
      <c r="N403" s="19" t="s">
        <v>1058</v>
      </c>
      <c r="O403" s="19" t="s">
        <v>66</v>
      </c>
      <c r="P403" s="19" t="s">
        <v>68</v>
      </c>
      <c r="Q403" s="19" t="s">
        <v>1785</v>
      </c>
      <c r="R403" s="19" t="s">
        <v>1967</v>
      </c>
      <c r="S403" s="19"/>
      <c r="T403" s="19" t="s">
        <v>53</v>
      </c>
      <c r="U403" s="19" t="s">
        <v>71</v>
      </c>
      <c r="V403" s="19" t="s">
        <v>105</v>
      </c>
      <c r="W403" s="19" t="s">
        <v>96</v>
      </c>
      <c r="X403" s="19"/>
      <c r="Y403" s="19"/>
      <c r="Z403" s="19" t="s">
        <v>1968</v>
      </c>
      <c r="AA403" s="19">
        <v>1</v>
      </c>
      <c r="AB403" s="19"/>
      <c r="AC403" s="19" t="s">
        <v>233</v>
      </c>
      <c r="AD403" s="19"/>
      <c r="AE403" s="19"/>
      <c r="AF403" s="19"/>
    </row>
    <row r="404" spans="1:34" customHeight="1" ht="42">
      <c r="A404" s="19">
        <v>396</v>
      </c>
      <c r="B404" s="19" t="s">
        <v>1687</v>
      </c>
      <c r="C404" s="19" t="s">
        <v>1969</v>
      </c>
      <c r="D404" s="19" t="str">
        <f>HYPERLINK("http://henontech.com/fieldsafety/harzard/harzard_show.php?rid=23407&amp;url=harzardrecs.php","行走轮检查孔盖板底部支撑腐蚀严重，操作工在对除尘干管水位及水泵检查时，踩到盖板上，造成侧翻，身体右倾，右手磕到旁边的支架上，右手顿感疼痛，经送医检查发现右手腕骨折，在医治疗半个月后回家休养三个半月复工")</f>
        <v>行走轮检查孔盖板底部支撑腐蚀严重，操作工在对除尘干管水位及水泵检查时，踩到盖板上，造成侧翻，身体右倾，右手磕到旁边的支架上，右手顿感疼痛，经送医检查发现右手腕骨折，在医治疗半个月后回家休养三个半月复工</v>
      </c>
      <c r="E404" s="19" t="s">
        <v>1970</v>
      </c>
      <c r="F404" s="20" t="s">
        <v>42</v>
      </c>
      <c r="G404" s="22" t="s">
        <v>111</v>
      </c>
      <c r="H404" s="19" t="s">
        <v>44</v>
      </c>
      <c r="I404" s="19" t="s">
        <v>78</v>
      </c>
      <c r="J404" s="19" t="s">
        <v>64</v>
      </c>
      <c r="K404" s="19" t="s">
        <v>79</v>
      </c>
      <c r="L404" s="19" t="s">
        <v>65</v>
      </c>
      <c r="M404" s="19" t="s">
        <v>49</v>
      </c>
      <c r="N404" s="19" t="s">
        <v>1971</v>
      </c>
      <c r="O404" s="19" t="s">
        <v>49</v>
      </c>
      <c r="P404" s="19" t="s">
        <v>460</v>
      </c>
      <c r="Q404" s="19" t="s">
        <v>1769</v>
      </c>
      <c r="R404" s="19" t="s">
        <v>1972</v>
      </c>
      <c r="S404" s="19"/>
      <c r="T404" s="19" t="s">
        <v>53</v>
      </c>
      <c r="U404" s="19" t="s">
        <v>54</v>
      </c>
      <c r="V404" s="19" t="s">
        <v>105</v>
      </c>
      <c r="W404" s="19" t="s">
        <v>72</v>
      </c>
      <c r="X404" s="19" t="s">
        <v>150</v>
      </c>
      <c r="Y404" s="19"/>
      <c r="Z404" s="19" t="s">
        <v>1973</v>
      </c>
      <c r="AA404" s="19">
        <v>2</v>
      </c>
      <c r="AB404" s="19">
        <v>2</v>
      </c>
      <c r="AC404" s="19" t="s">
        <v>59</v>
      </c>
      <c r="AD404" s="19" t="s">
        <v>460</v>
      </c>
      <c r="AE404" s="19" t="s">
        <v>1564</v>
      </c>
      <c r="AF404" s="19"/>
    </row>
    <row r="405" spans="1:34" customHeight="1" ht="42">
      <c r="A405" s="19">
        <v>397</v>
      </c>
      <c r="B405" s="19" t="s">
        <v>1687</v>
      </c>
      <c r="C405" s="19" t="s">
        <v>470</v>
      </c>
      <c r="D405" s="19" t="str">
        <f>HYPERLINK("http://henontech.com/fieldsafety/harzard/harzard_show.php?rid=23426&amp;url=harzardrecs.php","机侧通廊顶部水泥块脱落，假如有人从此处经过，恰巧被水泥块砸重右臂，造成小臂骨折，住院治疗15天，休养2个月。")</f>
        <v>机侧通廊顶部水泥块脱落，假如有人从此处经过，恰巧被水泥块砸重右臂，造成小臂骨折，住院治疗15天，休养2个月。</v>
      </c>
      <c r="E405" s="19" t="s">
        <v>1401</v>
      </c>
      <c r="F405" s="20" t="s">
        <v>42</v>
      </c>
      <c r="G405" s="22" t="s">
        <v>111</v>
      </c>
      <c r="H405" s="19" t="s">
        <v>44</v>
      </c>
      <c r="I405" s="19" t="s">
        <v>205</v>
      </c>
      <c r="J405" s="19" t="s">
        <v>64</v>
      </c>
      <c r="K405" s="19" t="s">
        <v>79</v>
      </c>
      <c r="L405" s="19" t="s">
        <v>65</v>
      </c>
      <c r="M405" s="19" t="s">
        <v>49</v>
      </c>
      <c r="N405" s="19" t="s">
        <v>1974</v>
      </c>
      <c r="O405" s="19" t="s">
        <v>49</v>
      </c>
      <c r="P405" s="19" t="s">
        <v>460</v>
      </c>
      <c r="Q405" s="19" t="s">
        <v>1769</v>
      </c>
      <c r="R405" s="19" t="s">
        <v>1403</v>
      </c>
      <c r="S405" s="19"/>
      <c r="T405" s="19" t="s">
        <v>53</v>
      </c>
      <c r="U405" s="19" t="s">
        <v>54</v>
      </c>
      <c r="V405" s="19" t="s">
        <v>55</v>
      </c>
      <c r="W405" s="19" t="s">
        <v>56</v>
      </c>
      <c r="X405" s="19" t="s">
        <v>57</v>
      </c>
      <c r="Y405" s="19"/>
      <c r="Z405" s="19" t="s">
        <v>1975</v>
      </c>
      <c r="AA405" s="19">
        <v>2</v>
      </c>
      <c r="AB405" s="19">
        <v>2</v>
      </c>
      <c r="AC405" s="19" t="s">
        <v>59</v>
      </c>
      <c r="AD405" s="19" t="s">
        <v>460</v>
      </c>
      <c r="AE405" s="19" t="s">
        <v>1557</v>
      </c>
      <c r="AF405" s="19"/>
    </row>
    <row r="406" spans="1:34" customHeight="1" ht="42">
      <c r="A406" s="19">
        <v>398</v>
      </c>
      <c r="B406" s="19" t="s">
        <v>1687</v>
      </c>
      <c r="C406" s="19" t="s">
        <v>1976</v>
      </c>
      <c r="D406" s="19" t="str">
        <f>HYPERLINK("http://henontech.com/fieldsafety/harzard/harzard_show.php?rid=23428&amp;url=harzardrecs.php","煤气输送管线泄露")</f>
        <v>煤气输送管线泄露</v>
      </c>
      <c r="E406" s="19" t="s">
        <v>1977</v>
      </c>
      <c r="F406" s="20" t="s">
        <v>42</v>
      </c>
      <c r="G406" s="21" t="s">
        <v>43</v>
      </c>
      <c r="H406" s="19" t="s">
        <v>44</v>
      </c>
      <c r="I406" s="19" t="s">
        <v>78</v>
      </c>
      <c r="J406" s="19" t="s">
        <v>64</v>
      </c>
      <c r="K406" s="19" t="s">
        <v>46</v>
      </c>
      <c r="L406" s="19" t="s">
        <v>65</v>
      </c>
      <c r="M406" s="19" t="s">
        <v>229</v>
      </c>
      <c r="N406" s="19" t="s">
        <v>1978</v>
      </c>
      <c r="O406" s="19" t="s">
        <v>229</v>
      </c>
      <c r="P406" s="19" t="s">
        <v>669</v>
      </c>
      <c r="Q406" s="19" t="s">
        <v>1785</v>
      </c>
      <c r="R406" s="19" t="s">
        <v>1979</v>
      </c>
      <c r="S406" s="19"/>
      <c r="T406" s="19" t="s">
        <v>53</v>
      </c>
      <c r="U406" s="19" t="s">
        <v>54</v>
      </c>
      <c r="V406" s="19" t="s">
        <v>55</v>
      </c>
      <c r="W406" s="19" t="s">
        <v>56</v>
      </c>
      <c r="X406" s="19" t="s">
        <v>57</v>
      </c>
      <c r="Y406" s="19"/>
      <c r="Z406" s="19" t="s">
        <v>1980</v>
      </c>
      <c r="AA406" s="19">
        <v>2</v>
      </c>
      <c r="AB406" s="19">
        <v>2</v>
      </c>
      <c r="AC406" s="19" t="s">
        <v>59</v>
      </c>
      <c r="AD406" s="19" t="s">
        <v>669</v>
      </c>
      <c r="AE406" s="19" t="s">
        <v>1405</v>
      </c>
      <c r="AF406" s="19"/>
    </row>
    <row r="407" spans="1:34" customHeight="1" ht="42">
      <c r="A407" s="19">
        <v>399</v>
      </c>
      <c r="B407" s="19" t="s">
        <v>1687</v>
      </c>
      <c r="C407" s="19" t="s">
        <v>1915</v>
      </c>
      <c r="D407" s="19" t="str">
        <f>HYPERLINK("http://henontech.com/fieldsafety/harzard/harzard_show.php?rid=23445&amp;url=harzardrecs.php","值班室东侧仓库电线线头裸露，一人员搬运物品时，不小心碰触，造成轻微电击伤害。")</f>
        <v>值班室东侧仓库电线线头裸露，一人员搬运物品时，不小心碰触，造成轻微电击伤害。</v>
      </c>
      <c r="E407" s="19" t="s">
        <v>1981</v>
      </c>
      <c r="F407" s="20" t="s">
        <v>42</v>
      </c>
      <c r="G407" s="21" t="s">
        <v>43</v>
      </c>
      <c r="H407" s="19" t="s">
        <v>44</v>
      </c>
      <c r="I407" s="19" t="s">
        <v>129</v>
      </c>
      <c r="J407" s="19" t="s">
        <v>87</v>
      </c>
      <c r="K407" s="19" t="s">
        <v>79</v>
      </c>
      <c r="L407" s="19" t="s">
        <v>65</v>
      </c>
      <c r="M407" s="19" t="s">
        <v>633</v>
      </c>
      <c r="N407" s="19" t="s">
        <v>1982</v>
      </c>
      <c r="O407" s="19" t="s">
        <v>633</v>
      </c>
      <c r="P407" s="19" t="s">
        <v>924</v>
      </c>
      <c r="Q407" s="19" t="s">
        <v>1554</v>
      </c>
      <c r="R407" s="19" t="s">
        <v>1983</v>
      </c>
      <c r="S407" s="19"/>
      <c r="T407" s="19" t="s">
        <v>53</v>
      </c>
      <c r="U407" s="19" t="s">
        <v>71</v>
      </c>
      <c r="V407" s="19" t="s">
        <v>105</v>
      </c>
      <c r="W407" s="19" t="s">
        <v>96</v>
      </c>
      <c r="X407" s="19" t="s">
        <v>141</v>
      </c>
      <c r="Y407" s="19" t="s">
        <v>141</v>
      </c>
      <c r="Z407" s="19" t="s">
        <v>1984</v>
      </c>
      <c r="AA407" s="19">
        <v>2</v>
      </c>
      <c r="AB407" s="19">
        <v>2</v>
      </c>
      <c r="AC407" s="19" t="s">
        <v>59</v>
      </c>
      <c r="AD407" s="19" t="s">
        <v>924</v>
      </c>
      <c r="AE407" s="19" t="s">
        <v>1687</v>
      </c>
      <c r="AF407" s="19"/>
    </row>
    <row r="408" spans="1:34" customHeight="1" ht="42">
      <c r="A408" s="19">
        <v>400</v>
      </c>
      <c r="B408" s="19" t="s">
        <v>1687</v>
      </c>
      <c r="C408" s="19" t="s">
        <v>934</v>
      </c>
      <c r="D408" s="19" t="str">
        <f>HYPERLINK("http://henontech.com/fieldsafety/harzard/harzard_show.php?rid=23490&amp;url=harzardrecs.php","东一南侧挡风墙网脱落，一人员经过时被掉落的网板砸伤肩部，造成肩部外伤，经包扎后继续工作")</f>
        <v>东一南侧挡风墙网脱落，一人员经过时被掉落的网板砸伤肩部，造成肩部外伤，经包扎后继续工作</v>
      </c>
      <c r="E408" s="19" t="s">
        <v>1985</v>
      </c>
      <c r="F408" s="20" t="s">
        <v>42</v>
      </c>
      <c r="G408" s="21" t="s">
        <v>43</v>
      </c>
      <c r="H408" s="19" t="s">
        <v>44</v>
      </c>
      <c r="I408" s="19" t="s">
        <v>129</v>
      </c>
      <c r="J408" s="19" t="s">
        <v>87</v>
      </c>
      <c r="K408" s="19" t="s">
        <v>46</v>
      </c>
      <c r="L408" s="19" t="s">
        <v>65</v>
      </c>
      <c r="M408" s="19" t="s">
        <v>633</v>
      </c>
      <c r="N408" s="19" t="s">
        <v>1986</v>
      </c>
      <c r="O408" s="19" t="s">
        <v>633</v>
      </c>
      <c r="P408" s="19" t="s">
        <v>924</v>
      </c>
      <c r="Q408" s="19" t="s">
        <v>1554</v>
      </c>
      <c r="R408" s="19" t="s">
        <v>1987</v>
      </c>
      <c r="S408" s="19"/>
      <c r="T408" s="19" t="s">
        <v>53</v>
      </c>
      <c r="U408" s="19" t="s">
        <v>71</v>
      </c>
      <c r="V408" s="19" t="s">
        <v>105</v>
      </c>
      <c r="W408" s="19" t="s">
        <v>96</v>
      </c>
      <c r="X408" s="19" t="s">
        <v>141</v>
      </c>
      <c r="Y408" s="19" t="s">
        <v>141</v>
      </c>
      <c r="Z408" s="19" t="s">
        <v>1988</v>
      </c>
      <c r="AA408" s="19">
        <v>2</v>
      </c>
      <c r="AB408" s="19">
        <v>2</v>
      </c>
      <c r="AC408" s="19" t="s">
        <v>59</v>
      </c>
      <c r="AD408" s="19" t="s">
        <v>924</v>
      </c>
      <c r="AE408" s="19" t="s">
        <v>1687</v>
      </c>
      <c r="AF408" s="19"/>
    </row>
    <row r="409" spans="1:34">
      <c r="A409" s="19">
        <v>401</v>
      </c>
      <c r="B409" s="19" t="s">
        <v>1687</v>
      </c>
      <c r="C409" s="19" t="s">
        <v>1989</v>
      </c>
      <c r="D409" s="19" t="str">
        <f>HYPERLINK("http://henontech.com/fieldsafety/harzard/harzard_show.php?rid=23526&amp;url=harzardrecs.php","2号皮带机尾部未挂警示牌")</f>
        <v>2号皮带机尾部未挂警示牌</v>
      </c>
      <c r="E409" s="19" t="s">
        <v>1990</v>
      </c>
      <c r="F409" s="23" t="s">
        <v>227</v>
      </c>
      <c r="G409" s="21" t="s">
        <v>43</v>
      </c>
      <c r="H409" s="19" t="s">
        <v>44</v>
      </c>
      <c r="I409" s="19" t="s">
        <v>78</v>
      </c>
      <c r="J409" s="19" t="s">
        <v>45</v>
      </c>
      <c r="K409" s="19" t="s">
        <v>88</v>
      </c>
      <c r="L409" s="19" t="s">
        <v>65</v>
      </c>
      <c r="M409" s="19" t="s">
        <v>229</v>
      </c>
      <c r="N409" s="19" t="s">
        <v>1991</v>
      </c>
      <c r="O409" s="19"/>
      <c r="P409" s="19"/>
      <c r="Q409" s="19"/>
      <c r="R409" s="19" t="s">
        <v>1992</v>
      </c>
      <c r="S409" s="19" t="s">
        <v>1993</v>
      </c>
      <c r="T409" s="19" t="s">
        <v>53</v>
      </c>
      <c r="U409" s="19" t="s">
        <v>54</v>
      </c>
      <c r="V409" s="19" t="s">
        <v>105</v>
      </c>
      <c r="W409" s="19" t="s">
        <v>72</v>
      </c>
      <c r="X409" s="19"/>
      <c r="Y409" s="19"/>
      <c r="Z409" s="19"/>
      <c r="AA409" s="19">
        <v>0</v>
      </c>
      <c r="AB409" s="19"/>
      <c r="AC409" s="19" t="s">
        <v>233</v>
      </c>
      <c r="AD409" s="19"/>
      <c r="AE409" s="19"/>
      <c r="AF409" s="19"/>
    </row>
    <row r="410" spans="1:34" customHeight="1" ht="42">
      <c r="A410" s="19">
        <v>402</v>
      </c>
      <c r="B410" s="19" t="s">
        <v>1687</v>
      </c>
      <c r="C410" s="19" t="s">
        <v>1994</v>
      </c>
      <c r="D410" s="19" t="str">
        <f>HYPERLINK("http://henontech.com/fieldsafety/harzard/harzard_show.php?rid=23542&amp;url=harzardrecs.php","煤气水封未作保温")</f>
        <v>煤气水封未作保温</v>
      </c>
      <c r="E410" s="19" t="s">
        <v>1995</v>
      </c>
      <c r="F410" s="25" t="s">
        <v>1784</v>
      </c>
      <c r="G410" s="21" t="s">
        <v>43</v>
      </c>
      <c r="H410" s="19" t="s">
        <v>44</v>
      </c>
      <c r="I410" s="19" t="s">
        <v>78</v>
      </c>
      <c r="J410" s="19" t="s">
        <v>64</v>
      </c>
      <c r="K410" s="19" t="s">
        <v>46</v>
      </c>
      <c r="L410" s="19"/>
      <c r="M410" s="19" t="s">
        <v>229</v>
      </c>
      <c r="N410" s="19" t="s">
        <v>1996</v>
      </c>
      <c r="O410" s="19" t="s">
        <v>229</v>
      </c>
      <c r="P410" s="19" t="s">
        <v>669</v>
      </c>
      <c r="Q410" s="19" t="s">
        <v>1785</v>
      </c>
      <c r="R410" s="19" t="s">
        <v>1994</v>
      </c>
      <c r="S410" s="19"/>
      <c r="T410" s="19" t="s">
        <v>104</v>
      </c>
      <c r="U410" s="19" t="s">
        <v>71</v>
      </c>
      <c r="V410" s="19" t="s">
        <v>105</v>
      </c>
      <c r="W410" s="19" t="s">
        <v>96</v>
      </c>
      <c r="X410" s="19" t="s">
        <v>57</v>
      </c>
      <c r="Y410" s="19"/>
      <c r="Z410" s="19" t="s">
        <v>1997</v>
      </c>
      <c r="AA410" s="19">
        <v>2</v>
      </c>
      <c r="AB410" s="19"/>
      <c r="AC410" s="19" t="s">
        <v>233</v>
      </c>
      <c r="AD410" s="19"/>
      <c r="AE410" s="19"/>
      <c r="AF410" s="19"/>
    </row>
    <row r="411" spans="1:34" customHeight="1" ht="42">
      <c r="A411" s="19">
        <v>403</v>
      </c>
      <c r="B411" s="19" t="s">
        <v>1687</v>
      </c>
      <c r="C411" s="19" t="s">
        <v>985</v>
      </c>
      <c r="D411" s="19" t="str">
        <f>HYPERLINK("http://henontech.com/fieldsafety/harzard/harzard_show.php?rid=23693&amp;url=harzardrecs.php","导烟水槽补水管北头凸起无警示措施，夜间光线弱，假如一人从此处经过没有看到凸起的管道被绊倒，用手支撑身体不慎，造成右手臂骨折。")</f>
        <v>导烟水槽补水管北头凸起无警示措施，夜间光线弱，假如一人从此处经过没有看到凸起的管道被绊倒，用手支撑身体不慎，造成右手臂骨折。</v>
      </c>
      <c r="E411" s="19" t="s">
        <v>1961</v>
      </c>
      <c r="F411" s="20" t="s">
        <v>42</v>
      </c>
      <c r="G411" s="21" t="s">
        <v>43</v>
      </c>
      <c r="H411" s="19" t="s">
        <v>44</v>
      </c>
      <c r="I411" s="19" t="s">
        <v>78</v>
      </c>
      <c r="J411" s="19" t="s">
        <v>600</v>
      </c>
      <c r="K411" s="19" t="s">
        <v>46</v>
      </c>
      <c r="L411" s="19" t="s">
        <v>662</v>
      </c>
      <c r="M411" s="19" t="s">
        <v>49</v>
      </c>
      <c r="N411" s="19" t="s">
        <v>1462</v>
      </c>
      <c r="O411" s="19" t="s">
        <v>49</v>
      </c>
      <c r="P411" s="19" t="s">
        <v>310</v>
      </c>
      <c r="Q411" s="19" t="s">
        <v>1769</v>
      </c>
      <c r="R411" s="19" t="s">
        <v>1962</v>
      </c>
      <c r="S411" s="19"/>
      <c r="T411" s="19" t="s">
        <v>53</v>
      </c>
      <c r="U411" s="19" t="s">
        <v>54</v>
      </c>
      <c r="V411" s="19" t="s">
        <v>55</v>
      </c>
      <c r="W411" s="19" t="s">
        <v>56</v>
      </c>
      <c r="X411" s="19" t="s">
        <v>150</v>
      </c>
      <c r="Y411" s="19"/>
      <c r="Z411" s="19" t="s">
        <v>1963</v>
      </c>
      <c r="AA411" s="19">
        <v>2</v>
      </c>
      <c r="AB411" s="19">
        <v>1</v>
      </c>
      <c r="AC411" s="19" t="s">
        <v>59</v>
      </c>
      <c r="AD411" s="19" t="s">
        <v>310</v>
      </c>
      <c r="AE411" s="19" t="s">
        <v>1552</v>
      </c>
      <c r="AF411" s="19" t="s">
        <v>1964</v>
      </c>
    </row>
    <row r="412" spans="1:34" customHeight="1" ht="42">
      <c r="A412" s="19">
        <v>404</v>
      </c>
      <c r="B412" s="19" t="s">
        <v>1672</v>
      </c>
      <c r="C412" s="19" t="s">
        <v>457</v>
      </c>
      <c r="D412" s="19" t="str">
        <f>HYPERLINK("http://henontech.com/fieldsafety/harzard/harzard_show.php?rid=23890&amp;url=harzardrecs.php","机侧地面除尘防爆板开裂，假如送煤时由于防爆板处泄压除尘管道吸力不足，造成加煤冒黑烟，被集团公司通报。")</f>
        <v>机侧地面除尘防爆板开裂，假如送煤时由于防爆板处泄压除尘管道吸力不足，造成加煤冒黑烟，被集团公司通报。</v>
      </c>
      <c r="E412" s="19" t="s">
        <v>1998</v>
      </c>
      <c r="F412" s="20" t="s">
        <v>42</v>
      </c>
      <c r="G412" s="21" t="s">
        <v>43</v>
      </c>
      <c r="H412" s="19" t="s">
        <v>44</v>
      </c>
      <c r="I412" s="19" t="s">
        <v>129</v>
      </c>
      <c r="J412" s="19" t="s">
        <v>64</v>
      </c>
      <c r="K412" s="19" t="s">
        <v>302</v>
      </c>
      <c r="L412" s="19" t="s">
        <v>65</v>
      </c>
      <c r="M412" s="19" t="s">
        <v>49</v>
      </c>
      <c r="N412" s="19" t="s">
        <v>1054</v>
      </c>
      <c r="O412" s="19" t="s">
        <v>49</v>
      </c>
      <c r="P412" s="19" t="s">
        <v>460</v>
      </c>
      <c r="Q412" s="19" t="s">
        <v>1769</v>
      </c>
      <c r="R412" s="19" t="s">
        <v>1863</v>
      </c>
      <c r="S412" s="19"/>
      <c r="T412" s="19" t="s">
        <v>392</v>
      </c>
      <c r="U412" s="19" t="s">
        <v>54</v>
      </c>
      <c r="V412" s="19" t="s">
        <v>105</v>
      </c>
      <c r="W412" s="19" t="s">
        <v>72</v>
      </c>
      <c r="X412" s="19" t="s">
        <v>57</v>
      </c>
      <c r="Y412" s="19"/>
      <c r="Z412" s="19" t="s">
        <v>1999</v>
      </c>
      <c r="AA412" s="19">
        <v>2</v>
      </c>
      <c r="AB412" s="19">
        <v>2</v>
      </c>
      <c r="AC412" s="19" t="s">
        <v>59</v>
      </c>
      <c r="AD412" s="19" t="s">
        <v>460</v>
      </c>
      <c r="AE412" s="19" t="s">
        <v>1632</v>
      </c>
      <c r="AF412" s="19"/>
    </row>
    <row r="413" spans="1:34" customHeight="1" ht="42">
      <c r="A413" s="19">
        <v>405</v>
      </c>
      <c r="B413" s="19" t="s">
        <v>1672</v>
      </c>
      <c r="C413" s="19" t="s">
        <v>985</v>
      </c>
      <c r="D413" s="19" t="str">
        <f>HYPERLINK("http://henontech.com/fieldsafety/harzard/harzard_show.php?rid=23896&amp;url=harzardrecs.php","5.5米焦炉炉顶南头焦侧，高压氨水阀门安装低无安全警示标识，假若操作工在观察焦侧车辆时，正好被阀门碰到面部，经医务室简单处理后继续上班")</f>
        <v>5.5米焦炉炉顶南头焦侧，高压氨水阀门安装低无安全警示标识，假若操作工在观察焦侧车辆时，正好被阀门碰到面部，经医务室简单处理后继续上班</v>
      </c>
      <c r="E413" s="19" t="s">
        <v>2000</v>
      </c>
      <c r="F413" s="20" t="s">
        <v>42</v>
      </c>
      <c r="G413" s="21" t="s">
        <v>43</v>
      </c>
      <c r="H413" s="19" t="s">
        <v>44</v>
      </c>
      <c r="I413" s="19" t="s">
        <v>78</v>
      </c>
      <c r="J413" s="19" t="s">
        <v>64</v>
      </c>
      <c r="K413" s="19" t="s">
        <v>46</v>
      </c>
      <c r="L413" s="19" t="s">
        <v>65</v>
      </c>
      <c r="M413" s="19" t="s">
        <v>49</v>
      </c>
      <c r="N413" s="19" t="s">
        <v>1073</v>
      </c>
      <c r="O413" s="19" t="s">
        <v>49</v>
      </c>
      <c r="P413" s="19" t="s">
        <v>499</v>
      </c>
      <c r="Q413" s="19" t="s">
        <v>1949</v>
      </c>
      <c r="R413" s="19" t="s">
        <v>2001</v>
      </c>
      <c r="S413" s="19"/>
      <c r="T413" s="19" t="s">
        <v>53</v>
      </c>
      <c r="U413" s="19" t="s">
        <v>71</v>
      </c>
      <c r="V413" s="19" t="s">
        <v>55</v>
      </c>
      <c r="W413" s="19" t="s">
        <v>72</v>
      </c>
      <c r="X413" s="19" t="s">
        <v>150</v>
      </c>
      <c r="Y413" s="19"/>
      <c r="Z413" s="19" t="s">
        <v>2002</v>
      </c>
      <c r="AA413" s="19">
        <v>2</v>
      </c>
      <c r="AB413" s="19">
        <v>2</v>
      </c>
      <c r="AC413" s="19" t="s">
        <v>59</v>
      </c>
      <c r="AD413" s="19" t="s">
        <v>499</v>
      </c>
      <c r="AE413" s="19" t="s">
        <v>1632</v>
      </c>
      <c r="AF413" s="19" t="s">
        <v>2003</v>
      </c>
    </row>
    <row r="414" spans="1:34" customHeight="1" ht="42">
      <c r="A414" s="19">
        <v>406</v>
      </c>
      <c r="B414" s="19" t="s">
        <v>1672</v>
      </c>
      <c r="C414" s="19" t="s">
        <v>2004</v>
      </c>
      <c r="D414" s="19" t="str">
        <f>HYPERLINK("http://henontech.com/fieldsafety/harzard/harzard_show.php?rid=23963&amp;url=harzardrecs.php","西一地沟托辊腐烂严重，在开车过程中，容易造成皮带划伤")</f>
        <v>西一地沟托辊腐烂严重，在开车过程中，容易造成皮带划伤</v>
      </c>
      <c r="E414" s="19" t="s">
        <v>2005</v>
      </c>
      <c r="F414" s="20" t="s">
        <v>42</v>
      </c>
      <c r="G414" s="21" t="s">
        <v>43</v>
      </c>
      <c r="H414" s="19" t="s">
        <v>44</v>
      </c>
      <c r="I414" s="19" t="s">
        <v>129</v>
      </c>
      <c r="J414" s="19" t="s">
        <v>64</v>
      </c>
      <c r="K414" s="19" t="s">
        <v>46</v>
      </c>
      <c r="L414" s="19" t="s">
        <v>65</v>
      </c>
      <c r="M414" s="19" t="s">
        <v>633</v>
      </c>
      <c r="N414" s="19" t="s">
        <v>2006</v>
      </c>
      <c r="O414" s="19" t="s">
        <v>633</v>
      </c>
      <c r="P414" s="19" t="s">
        <v>924</v>
      </c>
      <c r="Q414" s="19" t="s">
        <v>1725</v>
      </c>
      <c r="R414" s="19" t="s">
        <v>2007</v>
      </c>
      <c r="S414" s="19"/>
      <c r="T414" s="19" t="s">
        <v>104</v>
      </c>
      <c r="U414" s="19" t="s">
        <v>94</v>
      </c>
      <c r="V414" s="19" t="s">
        <v>105</v>
      </c>
      <c r="W414" s="19" t="s">
        <v>96</v>
      </c>
      <c r="X414" s="19" t="s">
        <v>141</v>
      </c>
      <c r="Y414" s="19" t="s">
        <v>141</v>
      </c>
      <c r="Z414" s="19" t="s">
        <v>2008</v>
      </c>
      <c r="AA414" s="19">
        <v>2</v>
      </c>
      <c r="AB414" s="19">
        <v>2</v>
      </c>
      <c r="AC414" s="19" t="s">
        <v>59</v>
      </c>
      <c r="AD414" s="19" t="s">
        <v>924</v>
      </c>
      <c r="AE414" s="19" t="s">
        <v>1554</v>
      </c>
      <c r="AF414" s="19"/>
    </row>
    <row r="415" spans="1:34">
      <c r="A415" s="19">
        <v>407</v>
      </c>
      <c r="B415" s="19" t="s">
        <v>1554</v>
      </c>
      <c r="C415" s="19" t="s">
        <v>1707</v>
      </c>
      <c r="D415" s="19" t="str">
        <f>HYPERLINK("http://henontech.com/fieldsafety/harzard/harzard_show.php?rid=24011&amp;url=harzardrecs.php","外协工在更换冷凝液槽时现场线路乱，一旦巡检时一名职工不小心被绊倒碰到地面的管子上，造成右小臂骨折，送医院冶疗一个月，休养2个月，损工3个月。")</f>
        <v>外协工在更换冷凝液槽时现场线路乱，一旦巡检时一名职工不小心被绊倒碰到地面的管子上，造成右小臂骨折，送医院冶疗一个月，休养2个月，损工3个月。</v>
      </c>
      <c r="E415" s="19" t="s">
        <v>2009</v>
      </c>
      <c r="F415" s="25" t="s">
        <v>1784</v>
      </c>
      <c r="G415" s="21" t="s">
        <v>43</v>
      </c>
      <c r="H415" s="19" t="s">
        <v>44</v>
      </c>
      <c r="I415" s="19"/>
      <c r="J415" s="19"/>
      <c r="K415" s="19" t="s">
        <v>46</v>
      </c>
      <c r="L415" s="19"/>
      <c r="M415" s="19" t="s">
        <v>66</v>
      </c>
      <c r="N415" s="19" t="s">
        <v>579</v>
      </c>
      <c r="O415" s="19" t="s">
        <v>66</v>
      </c>
      <c r="P415" s="19" t="s">
        <v>68</v>
      </c>
      <c r="Q415" s="19" t="s">
        <v>1785</v>
      </c>
      <c r="R415" s="19" t="s">
        <v>2010</v>
      </c>
      <c r="S415" s="19"/>
      <c r="T415" s="19" t="s">
        <v>53</v>
      </c>
      <c r="U415" s="19" t="s">
        <v>54</v>
      </c>
      <c r="V415" s="19" t="s">
        <v>55</v>
      </c>
      <c r="W415" s="19" t="s">
        <v>56</v>
      </c>
      <c r="X415" s="19"/>
      <c r="Y415" s="19"/>
      <c r="Z415" s="19" t="s">
        <v>2011</v>
      </c>
      <c r="AA415" s="19">
        <v>1</v>
      </c>
      <c r="AB415" s="19"/>
      <c r="AC415" s="19" t="s">
        <v>233</v>
      </c>
      <c r="AD415" s="19"/>
      <c r="AE415" s="19"/>
      <c r="AF415" s="19"/>
    </row>
    <row r="416" spans="1:34">
      <c r="A416" s="19">
        <v>408</v>
      </c>
      <c r="B416" s="19" t="s">
        <v>1554</v>
      </c>
      <c r="C416" s="19" t="s">
        <v>1707</v>
      </c>
      <c r="D416" s="19" t="str">
        <f>HYPERLINK("http://henontech.com/fieldsafety/harzard/harzard_show.php?rid=24056&amp;url=harzardrecs.php","北供水配电室电缆沟盖板未盖好，当电仪人员巡查此处时，一不小心掉入电缆沟内，造成一名电仪人员腿部轻微擦伤，简单处理后继续工作。")</f>
        <v>北供水配电室电缆沟盖板未盖好，当电仪人员巡查此处时，一不小心掉入电缆沟内，造成一名电仪人员腿部轻微擦伤，简单处理后继续工作。</v>
      </c>
      <c r="E416" s="19" t="s">
        <v>2012</v>
      </c>
      <c r="F416" s="25" t="s">
        <v>1784</v>
      </c>
      <c r="G416" s="21" t="s">
        <v>43</v>
      </c>
      <c r="H416" s="19" t="s">
        <v>44</v>
      </c>
      <c r="I416" s="19" t="s">
        <v>78</v>
      </c>
      <c r="J416" s="19" t="s">
        <v>64</v>
      </c>
      <c r="K416" s="19" t="s">
        <v>88</v>
      </c>
      <c r="L416" s="19"/>
      <c r="M416" s="19" t="s">
        <v>66</v>
      </c>
      <c r="N416" s="19" t="s">
        <v>740</v>
      </c>
      <c r="O416" s="19" t="s">
        <v>66</v>
      </c>
      <c r="P416" s="19" t="s">
        <v>68</v>
      </c>
      <c r="Q416" s="19" t="s">
        <v>1785</v>
      </c>
      <c r="R416" s="19" t="s">
        <v>2013</v>
      </c>
      <c r="S416" s="19"/>
      <c r="T416" s="19" t="s">
        <v>53</v>
      </c>
      <c r="U416" s="19" t="s">
        <v>71</v>
      </c>
      <c r="V416" s="19" t="s">
        <v>105</v>
      </c>
      <c r="W416" s="19" t="s">
        <v>96</v>
      </c>
      <c r="X416" s="19"/>
      <c r="Y416" s="19"/>
      <c r="Z416" s="19" t="s">
        <v>2014</v>
      </c>
      <c r="AA416" s="19">
        <v>1</v>
      </c>
      <c r="AB416" s="19"/>
      <c r="AC416" s="19" t="s">
        <v>233</v>
      </c>
      <c r="AD416" s="19"/>
      <c r="AE416" s="19"/>
      <c r="AF416" s="19"/>
    </row>
    <row r="417" spans="1:34" customHeight="1" ht="42">
      <c r="A417" s="19">
        <v>409</v>
      </c>
      <c r="B417" s="19" t="s">
        <v>1554</v>
      </c>
      <c r="C417" s="19" t="s">
        <v>656</v>
      </c>
      <c r="D417" s="19" t="str">
        <f>HYPERLINK("http://henontech.com/fieldsafety/harzard/harzard_show.php?rid=24133&amp;url=harzardrecs.php","西一岗位一托辊磨损严重，长时间开车会划伤皮带，造成财产损失3万元。")</f>
        <v>西一岗位一托辊磨损严重，长时间开车会划伤皮带，造成财产损失3万元。</v>
      </c>
      <c r="E417" s="19" t="s">
        <v>2015</v>
      </c>
      <c r="F417" s="20" t="s">
        <v>42</v>
      </c>
      <c r="G417" s="21" t="s">
        <v>43</v>
      </c>
      <c r="H417" s="19" t="s">
        <v>44</v>
      </c>
      <c r="I417" s="19" t="s">
        <v>129</v>
      </c>
      <c r="J417" s="19" t="s">
        <v>64</v>
      </c>
      <c r="K417" s="19"/>
      <c r="L417" s="19" t="s">
        <v>65</v>
      </c>
      <c r="M417" s="19" t="s">
        <v>633</v>
      </c>
      <c r="N417" s="19" t="s">
        <v>2016</v>
      </c>
      <c r="O417" s="19" t="s">
        <v>633</v>
      </c>
      <c r="P417" s="19" t="s">
        <v>924</v>
      </c>
      <c r="Q417" s="19" t="s">
        <v>2017</v>
      </c>
      <c r="R417" s="19" t="s">
        <v>2018</v>
      </c>
      <c r="S417" s="19"/>
      <c r="T417" s="19" t="s">
        <v>104</v>
      </c>
      <c r="U417" s="19" t="s">
        <v>94</v>
      </c>
      <c r="V417" s="19" t="s">
        <v>193</v>
      </c>
      <c r="W417" s="19" t="s">
        <v>96</v>
      </c>
      <c r="X417" s="19" t="s">
        <v>141</v>
      </c>
      <c r="Y417" s="19" t="s">
        <v>141</v>
      </c>
      <c r="Z417" s="19" t="s">
        <v>2019</v>
      </c>
      <c r="AA417" s="19">
        <v>2</v>
      </c>
      <c r="AB417" s="19">
        <v>2</v>
      </c>
      <c r="AC417" s="19" t="s">
        <v>59</v>
      </c>
      <c r="AD417" s="19" t="s">
        <v>924</v>
      </c>
      <c r="AE417" s="19" t="s">
        <v>1554</v>
      </c>
      <c r="AF417" s="19"/>
    </row>
    <row r="418" spans="1:34">
      <c r="A418" s="19">
        <v>410</v>
      </c>
      <c r="B418" s="19" t="s">
        <v>1554</v>
      </c>
      <c r="C418" s="19" t="s">
        <v>2004</v>
      </c>
      <c r="D418" s="19" t="str">
        <f>HYPERLINK("http://henontech.com/fieldsafety/harzard/harzard_show.php?rid=24145&amp;url=harzardrecs.php","西一机头平面铁板腐烂，一旦职工经过会必成人员伤害")</f>
        <v>西一机头平面铁板腐烂，一旦职工经过会必成人员伤害</v>
      </c>
      <c r="E418" s="19" t="s">
        <v>53</v>
      </c>
      <c r="F418" s="23" t="s">
        <v>227</v>
      </c>
      <c r="G418" s="21" t="s">
        <v>43</v>
      </c>
      <c r="H418" s="19" t="s">
        <v>44</v>
      </c>
      <c r="I418" s="19" t="s">
        <v>129</v>
      </c>
      <c r="J418" s="19" t="s">
        <v>64</v>
      </c>
      <c r="K418" s="19" t="s">
        <v>79</v>
      </c>
      <c r="L418" s="19" t="s">
        <v>65</v>
      </c>
      <c r="M418" s="19" t="s">
        <v>633</v>
      </c>
      <c r="N418" s="19" t="s">
        <v>2020</v>
      </c>
      <c r="O418" s="19"/>
      <c r="P418" s="19"/>
      <c r="Q418" s="19"/>
      <c r="R418" s="19" t="s">
        <v>2018</v>
      </c>
      <c r="S418" s="19" t="s">
        <v>2021</v>
      </c>
      <c r="T418" s="19" t="s">
        <v>53</v>
      </c>
      <c r="U418" s="19" t="s">
        <v>94</v>
      </c>
      <c r="V418" s="19" t="s">
        <v>105</v>
      </c>
      <c r="W418" s="19" t="s">
        <v>96</v>
      </c>
      <c r="X418" s="19"/>
      <c r="Y418" s="19"/>
      <c r="Z418" s="19"/>
      <c r="AA418" s="19">
        <v>0</v>
      </c>
      <c r="AB418" s="19"/>
      <c r="AC418" s="19" t="s">
        <v>233</v>
      </c>
      <c r="AD418" s="19"/>
      <c r="AE418" s="19"/>
      <c r="AF418" s="19"/>
    </row>
    <row r="419" spans="1:34">
      <c r="A419" s="19">
        <v>411</v>
      </c>
      <c r="B419" s="19" t="s">
        <v>1554</v>
      </c>
      <c r="C419" s="19" t="s">
        <v>1803</v>
      </c>
      <c r="D419" s="19" t="str">
        <f>HYPERLINK("http://henontech.com/fieldsafety/harzard/harzard_show.php?rid=24151&amp;url=harzardrecs.php","饱和器加酸管道漏，岗位操作人员巡检或在满流槽操作时，发现不及时，硫酸滴在左裤腿，裤腿破，无人员受伤！")</f>
        <v>饱和器加酸管道漏，岗位操作人员巡检或在满流槽操作时，发现不及时，硫酸滴在左裤腿，裤腿破，无人员受伤！</v>
      </c>
      <c r="E419" s="19" t="s">
        <v>2022</v>
      </c>
      <c r="F419" s="20" t="s">
        <v>42</v>
      </c>
      <c r="G419" s="21" t="s">
        <v>43</v>
      </c>
      <c r="H419" s="19" t="s">
        <v>44</v>
      </c>
      <c r="I419" s="19" t="s">
        <v>129</v>
      </c>
      <c r="J419" s="19" t="s">
        <v>87</v>
      </c>
      <c r="K419" s="19" t="s">
        <v>79</v>
      </c>
      <c r="L419" s="19" t="s">
        <v>65</v>
      </c>
      <c r="M419" s="19" t="s">
        <v>66</v>
      </c>
      <c r="N419" s="19" t="s">
        <v>2023</v>
      </c>
      <c r="O419" s="19" t="s">
        <v>66</v>
      </c>
      <c r="P419" s="19" t="s">
        <v>68</v>
      </c>
      <c r="Q419" s="19" t="s">
        <v>2024</v>
      </c>
      <c r="R419" s="19" t="s">
        <v>2025</v>
      </c>
      <c r="S419" s="19"/>
      <c r="T419" s="19" t="s">
        <v>104</v>
      </c>
      <c r="U419" s="19" t="s">
        <v>94</v>
      </c>
      <c r="V419" s="19" t="s">
        <v>193</v>
      </c>
      <c r="W419" s="19" t="s">
        <v>96</v>
      </c>
      <c r="X419" s="19"/>
      <c r="Y419" s="19"/>
      <c r="Z419" s="19" t="s">
        <v>2026</v>
      </c>
      <c r="AA419" s="19">
        <v>1</v>
      </c>
      <c r="AB419" s="19">
        <v>1</v>
      </c>
      <c r="AC419" s="19" t="s">
        <v>59</v>
      </c>
      <c r="AD419" s="19" t="s">
        <v>68</v>
      </c>
      <c r="AE419" s="19" t="s">
        <v>2017</v>
      </c>
      <c r="AF419" s="19"/>
    </row>
    <row r="420" spans="1:34" customHeight="1" ht="42">
      <c r="A420" s="19">
        <v>412</v>
      </c>
      <c r="B420" s="19" t="s">
        <v>1554</v>
      </c>
      <c r="C420" s="19" t="s">
        <v>1497</v>
      </c>
      <c r="D420" s="19" t="str">
        <f>HYPERLINK("http://henontech.com/fieldsafety/harzard/harzard_show.php?rid=24163&amp;url=harzardrecs.php","接线排裸露易发生触电伤害")</f>
        <v>接线排裸露易发生触电伤害</v>
      </c>
      <c r="E420" s="19" t="s">
        <v>2027</v>
      </c>
      <c r="F420" s="25" t="s">
        <v>1784</v>
      </c>
      <c r="G420" s="21" t="s">
        <v>43</v>
      </c>
      <c r="H420" s="19" t="s">
        <v>44</v>
      </c>
      <c r="I420" s="19" t="s">
        <v>129</v>
      </c>
      <c r="J420" s="19" t="s">
        <v>64</v>
      </c>
      <c r="K420" s="19" t="s">
        <v>46</v>
      </c>
      <c r="L420" s="19" t="s">
        <v>65</v>
      </c>
      <c r="M420" s="19" t="s">
        <v>229</v>
      </c>
      <c r="N420" s="19" t="s">
        <v>1499</v>
      </c>
      <c r="O420" s="19" t="s">
        <v>229</v>
      </c>
      <c r="P420" s="19" t="s">
        <v>1410</v>
      </c>
      <c r="Q420" s="19" t="s">
        <v>2028</v>
      </c>
      <c r="R420" s="19" t="s">
        <v>2029</v>
      </c>
      <c r="S420" s="19"/>
      <c r="T420" s="19" t="s">
        <v>53</v>
      </c>
      <c r="U420" s="19" t="s">
        <v>71</v>
      </c>
      <c r="V420" s="19" t="s">
        <v>105</v>
      </c>
      <c r="W420" s="19" t="s">
        <v>96</v>
      </c>
      <c r="X420" s="19" t="s">
        <v>57</v>
      </c>
      <c r="Y420" s="19"/>
      <c r="Z420" s="19" t="s">
        <v>2030</v>
      </c>
      <c r="AA420" s="19">
        <v>2</v>
      </c>
      <c r="AB420" s="19"/>
      <c r="AC420" s="19" t="s">
        <v>233</v>
      </c>
      <c r="AD420" s="19"/>
      <c r="AE420" s="19"/>
      <c r="AF420" s="19"/>
    </row>
    <row r="421" spans="1:34" customHeight="1" ht="42">
      <c r="A421" s="19">
        <v>413</v>
      </c>
      <c r="B421" s="19" t="s">
        <v>2017</v>
      </c>
      <c r="C421" s="19" t="s">
        <v>656</v>
      </c>
      <c r="D421" s="19" t="str">
        <f>HYPERLINK("http://henontech.com/fieldsafety/harzard/harzard_show.php?rid=24175&amp;url=harzardrecs.php","地面盖板腐烂严重，人员经过时容易造成人员伤害。")</f>
        <v>地面盖板腐烂严重，人员经过时容易造成人员伤害。</v>
      </c>
      <c r="E421" s="19" t="s">
        <v>53</v>
      </c>
      <c r="F421" s="20" t="s">
        <v>42</v>
      </c>
      <c r="G421" s="21" t="s">
        <v>43</v>
      </c>
      <c r="H421" s="19" t="s">
        <v>44</v>
      </c>
      <c r="I421" s="19" t="s">
        <v>129</v>
      </c>
      <c r="J421" s="19" t="s">
        <v>64</v>
      </c>
      <c r="K421" s="19" t="s">
        <v>88</v>
      </c>
      <c r="L421" s="19"/>
      <c r="M421" s="19" t="s">
        <v>633</v>
      </c>
      <c r="N421" s="19" t="s">
        <v>2031</v>
      </c>
      <c r="O421" s="19" t="s">
        <v>633</v>
      </c>
      <c r="P421" s="19" t="s">
        <v>924</v>
      </c>
      <c r="Q421" s="19" t="s">
        <v>1725</v>
      </c>
      <c r="R421" s="19" t="s">
        <v>2018</v>
      </c>
      <c r="S421" s="19"/>
      <c r="T421" s="19" t="s">
        <v>53</v>
      </c>
      <c r="U421" s="19" t="s">
        <v>94</v>
      </c>
      <c r="V421" s="19" t="s">
        <v>105</v>
      </c>
      <c r="W421" s="19" t="s">
        <v>96</v>
      </c>
      <c r="X421" s="19" t="s">
        <v>141</v>
      </c>
      <c r="Y421" s="19" t="s">
        <v>141</v>
      </c>
      <c r="Z421" s="19" t="s">
        <v>2032</v>
      </c>
      <c r="AA421" s="19">
        <v>2</v>
      </c>
      <c r="AB421" s="19">
        <v>2</v>
      </c>
      <c r="AC421" s="19" t="s">
        <v>59</v>
      </c>
      <c r="AD421" s="19" t="s">
        <v>924</v>
      </c>
      <c r="AE421" s="19" t="s">
        <v>1604</v>
      </c>
      <c r="AF421" s="19"/>
    </row>
    <row r="422" spans="1:34">
      <c r="A422" s="19">
        <v>414</v>
      </c>
      <c r="B422" s="19" t="s">
        <v>2017</v>
      </c>
      <c r="C422" s="19" t="s">
        <v>2033</v>
      </c>
      <c r="D422" s="19" t="str">
        <f>HYPERLINK("http://henontech.com/fieldsafety/harzard/harzard_show.php?rid=24182&amp;url=harzardrecs.php","管架输送苯阀门裸露，冬季来临，一旦气温太低，会冻堵管道造成苯输送不出，影响安全生产")</f>
        <v>管架输送苯阀门裸露，冬季来临，一旦气温太低，会冻堵管道造成苯输送不出，影响安全生产</v>
      </c>
      <c r="E422" s="19" t="s">
        <v>2034</v>
      </c>
      <c r="F422" s="20" t="s">
        <v>42</v>
      </c>
      <c r="G422" s="21" t="s">
        <v>43</v>
      </c>
      <c r="H422" s="19" t="s">
        <v>44</v>
      </c>
      <c r="I422" s="19" t="s">
        <v>129</v>
      </c>
      <c r="J422" s="19" t="s">
        <v>64</v>
      </c>
      <c r="K422" s="19" t="s">
        <v>46</v>
      </c>
      <c r="L422" s="19" t="s">
        <v>65</v>
      </c>
      <c r="M422" s="19" t="s">
        <v>66</v>
      </c>
      <c r="N422" s="19" t="s">
        <v>2035</v>
      </c>
      <c r="O422" s="19" t="s">
        <v>66</v>
      </c>
      <c r="P422" s="19" t="s">
        <v>68</v>
      </c>
      <c r="Q422" s="19" t="s">
        <v>2024</v>
      </c>
      <c r="R422" s="19" t="s">
        <v>2036</v>
      </c>
      <c r="S422" s="19"/>
      <c r="T422" s="19" t="s">
        <v>392</v>
      </c>
      <c r="U422" s="19" t="s">
        <v>94</v>
      </c>
      <c r="V422" s="19" t="s">
        <v>105</v>
      </c>
      <c r="W422" s="19" t="s">
        <v>96</v>
      </c>
      <c r="X422" s="19"/>
      <c r="Y422" s="19"/>
      <c r="Z422" s="19" t="s">
        <v>2037</v>
      </c>
      <c r="AA422" s="19">
        <v>1</v>
      </c>
      <c r="AB422" s="19">
        <v>1</v>
      </c>
      <c r="AC422" s="19" t="s">
        <v>59</v>
      </c>
      <c r="AD422" s="19" t="s">
        <v>68</v>
      </c>
      <c r="AE422" s="19" t="s">
        <v>2017</v>
      </c>
      <c r="AF422" s="19"/>
    </row>
    <row r="423" spans="1:34">
      <c r="A423" s="19">
        <v>415</v>
      </c>
      <c r="B423" s="19" t="s">
        <v>2017</v>
      </c>
      <c r="C423" s="19" t="s">
        <v>219</v>
      </c>
      <c r="D423" s="19" t="str">
        <f>HYPERLINK("http://henontech.com/fieldsafety/harzard/harzard_show.php?rid=24188&amp;url=harzardrecs.php","蒸氨废水阀门泄露，阀杆长期接触腐蚀性阀杆断裂闸板脱落造成电动阀全关，蒸氨废水外溢。")</f>
        <v>蒸氨废水阀门泄露，阀杆长期接触腐蚀性阀杆断裂闸板脱落造成电动阀全关，蒸氨废水外溢。</v>
      </c>
      <c r="E423" s="19" t="s">
        <v>2038</v>
      </c>
      <c r="F423" s="20" t="s">
        <v>42</v>
      </c>
      <c r="G423" s="21" t="s">
        <v>43</v>
      </c>
      <c r="H423" s="19" t="s">
        <v>44</v>
      </c>
      <c r="I423" s="19" t="s">
        <v>129</v>
      </c>
      <c r="J423" s="19" t="s">
        <v>64</v>
      </c>
      <c r="K423" s="19" t="s">
        <v>46</v>
      </c>
      <c r="L423" s="19" t="s">
        <v>65</v>
      </c>
      <c r="M423" s="19" t="s">
        <v>66</v>
      </c>
      <c r="N423" s="19" t="s">
        <v>1856</v>
      </c>
      <c r="O423" s="19" t="s">
        <v>66</v>
      </c>
      <c r="P423" s="19" t="s">
        <v>68</v>
      </c>
      <c r="Q423" s="19" t="s">
        <v>2024</v>
      </c>
      <c r="R423" s="19" t="s">
        <v>2039</v>
      </c>
      <c r="S423" s="19"/>
      <c r="T423" s="19" t="s">
        <v>392</v>
      </c>
      <c r="U423" s="19" t="s">
        <v>94</v>
      </c>
      <c r="V423" s="19" t="s">
        <v>193</v>
      </c>
      <c r="W423" s="19" t="s">
        <v>96</v>
      </c>
      <c r="X423" s="19"/>
      <c r="Y423" s="19"/>
      <c r="Z423" s="19" t="s">
        <v>541</v>
      </c>
      <c r="AA423" s="19">
        <v>1</v>
      </c>
      <c r="AB423" s="19">
        <v>1</v>
      </c>
      <c r="AC423" s="19" t="s">
        <v>59</v>
      </c>
      <c r="AD423" s="19" t="s">
        <v>68</v>
      </c>
      <c r="AE423" s="19" t="s">
        <v>2017</v>
      </c>
      <c r="AF423" s="19"/>
    </row>
    <row r="424" spans="1:34">
      <c r="A424" s="19">
        <v>416</v>
      </c>
      <c r="B424" s="19" t="s">
        <v>2017</v>
      </c>
      <c r="C424" s="19" t="s">
        <v>2040</v>
      </c>
      <c r="D424" s="19" t="str">
        <f>HYPERLINK("http://henontech.com/fieldsafety/harzard/harzard_show.php?rid=24226&amp;url=harzardrecs.php","在巡检过程中发现8组EDI软管断裂")</f>
        <v>在巡检过程中发现8组EDI软管断裂</v>
      </c>
      <c r="E424" s="19" t="s">
        <v>2041</v>
      </c>
      <c r="F424" s="23" t="s">
        <v>227</v>
      </c>
      <c r="G424" s="21" t="s">
        <v>43</v>
      </c>
      <c r="H424" s="19" t="s">
        <v>44</v>
      </c>
      <c r="I424" s="19" t="s">
        <v>129</v>
      </c>
      <c r="J424" s="19" t="s">
        <v>64</v>
      </c>
      <c r="K424" s="19" t="s">
        <v>88</v>
      </c>
      <c r="L424" s="19"/>
      <c r="M424" s="19" t="s">
        <v>229</v>
      </c>
      <c r="N424" s="19" t="s">
        <v>1379</v>
      </c>
      <c r="O424" s="19"/>
      <c r="P424" s="19"/>
      <c r="Q424" s="19"/>
      <c r="R424" s="19" t="s">
        <v>2042</v>
      </c>
      <c r="S424" s="19" t="s">
        <v>1775</v>
      </c>
      <c r="T424" s="19" t="s">
        <v>392</v>
      </c>
      <c r="U424" s="19" t="s">
        <v>94</v>
      </c>
      <c r="V424" s="19" t="s">
        <v>193</v>
      </c>
      <c r="W424" s="19" t="s">
        <v>96</v>
      </c>
      <c r="X424" s="19"/>
      <c r="Y424" s="19"/>
      <c r="Z424" s="19"/>
      <c r="AA424" s="19">
        <v>0</v>
      </c>
      <c r="AB424" s="19"/>
      <c r="AC424" s="19" t="s">
        <v>233</v>
      </c>
      <c r="AD424" s="19"/>
      <c r="AE424" s="19"/>
      <c r="AF424" s="19"/>
    </row>
    <row r="425" spans="1:34" customHeight="1" ht="42">
      <c r="A425" s="19">
        <v>417</v>
      </c>
      <c r="B425" s="19" t="s">
        <v>2017</v>
      </c>
      <c r="C425" s="19" t="s">
        <v>2004</v>
      </c>
      <c r="D425" s="19" t="str">
        <f>HYPERLINK("http://henontech.com/fieldsafety/harzard/harzard_show.php?rid=24254&amp;url=harzardrecs.php","西二岗位机头一托辊磨损严重，长时间不换托辊可能划伤皮带，造成财产损坏2万元。")</f>
        <v>西二岗位机头一托辊磨损严重，长时间不换托辊可能划伤皮带，造成财产损坏2万元。</v>
      </c>
      <c r="E425" s="19" t="s">
        <v>2043</v>
      </c>
      <c r="F425" s="20" t="s">
        <v>42</v>
      </c>
      <c r="G425" s="21" t="s">
        <v>43</v>
      </c>
      <c r="H425" s="19" t="s">
        <v>44</v>
      </c>
      <c r="I425" s="19" t="s">
        <v>129</v>
      </c>
      <c r="J425" s="19" t="s">
        <v>64</v>
      </c>
      <c r="K425" s="19"/>
      <c r="L425" s="19" t="s">
        <v>65</v>
      </c>
      <c r="M425" s="19" t="s">
        <v>633</v>
      </c>
      <c r="N425" s="19" t="s">
        <v>2044</v>
      </c>
      <c r="O425" s="19" t="s">
        <v>633</v>
      </c>
      <c r="P425" s="19" t="s">
        <v>924</v>
      </c>
      <c r="Q425" s="19" t="s">
        <v>1725</v>
      </c>
      <c r="R425" s="19" t="s">
        <v>2045</v>
      </c>
      <c r="S425" s="19"/>
      <c r="T425" s="19" t="s">
        <v>104</v>
      </c>
      <c r="U425" s="19" t="s">
        <v>94</v>
      </c>
      <c r="V425" s="19" t="s">
        <v>193</v>
      </c>
      <c r="W425" s="19" t="s">
        <v>96</v>
      </c>
      <c r="X425" s="19" t="s">
        <v>141</v>
      </c>
      <c r="Y425" s="19" t="s">
        <v>141</v>
      </c>
      <c r="Z425" s="19" t="s">
        <v>2046</v>
      </c>
      <c r="AA425" s="19">
        <v>2</v>
      </c>
      <c r="AB425" s="19">
        <v>2</v>
      </c>
      <c r="AC425" s="19" t="s">
        <v>59</v>
      </c>
      <c r="AD425" s="19" t="s">
        <v>924</v>
      </c>
      <c r="AE425" s="19" t="s">
        <v>1604</v>
      </c>
      <c r="AF425" s="19"/>
    </row>
    <row r="426" spans="1:34">
      <c r="A426" s="19">
        <v>418</v>
      </c>
      <c r="B426" s="19" t="s">
        <v>2017</v>
      </c>
      <c r="C426" s="19" t="s">
        <v>2047</v>
      </c>
      <c r="D426" s="19" t="str">
        <f>HYPERLINK("http://henontech.com/fieldsafety/harzard/harzard_show.php?rid=24258&amp;url=harzardrecs.php","正常使用中的2号减温减压法兰处突然发生漏气将巡检职工烫伤")</f>
        <v>正常使用中的2号减温减压法兰处突然发生漏气将巡检职工烫伤</v>
      </c>
      <c r="E426" s="19" t="s">
        <v>2048</v>
      </c>
      <c r="F426" s="23" t="s">
        <v>227</v>
      </c>
      <c r="G426" s="21" t="s">
        <v>43</v>
      </c>
      <c r="H426" s="19" t="s">
        <v>709</v>
      </c>
      <c r="I426" s="19" t="s">
        <v>129</v>
      </c>
      <c r="J426" s="19" t="s">
        <v>64</v>
      </c>
      <c r="K426" s="19" t="s">
        <v>88</v>
      </c>
      <c r="L426" s="19" t="s">
        <v>65</v>
      </c>
      <c r="M426" s="19" t="s">
        <v>229</v>
      </c>
      <c r="N426" s="19" t="s">
        <v>2049</v>
      </c>
      <c r="O426" s="19"/>
      <c r="P426" s="19"/>
      <c r="Q426" s="19"/>
      <c r="R426" s="19" t="s">
        <v>2050</v>
      </c>
      <c r="S426" s="19" t="s">
        <v>1775</v>
      </c>
      <c r="T426" s="19" t="s">
        <v>53</v>
      </c>
      <c r="U426" s="19" t="s">
        <v>54</v>
      </c>
      <c r="V426" s="19" t="s">
        <v>55</v>
      </c>
      <c r="W426" s="19" t="s">
        <v>56</v>
      </c>
      <c r="X426" s="19"/>
      <c r="Y426" s="19"/>
      <c r="Z426" s="19"/>
      <c r="AA426" s="19">
        <v>0</v>
      </c>
      <c r="AB426" s="19"/>
      <c r="AC426" s="19" t="s">
        <v>233</v>
      </c>
      <c r="AD426" s="19"/>
      <c r="AE426" s="19"/>
      <c r="AF426" s="19"/>
    </row>
    <row r="427" spans="1:34">
      <c r="A427" s="19">
        <v>419</v>
      </c>
      <c r="B427" s="19" t="s">
        <v>2017</v>
      </c>
      <c r="C427" s="19" t="s">
        <v>934</v>
      </c>
      <c r="D427" s="19" t="str">
        <f>HYPERLINK("http://henontech.com/fieldsafety/harzard/harzard_show.php?rid=24266&amp;url=harzardrecs.php","一职工攀登爬梯作业无人监护，一旦爬梯打滑倾倒，会导致职工掉落地面受伤，经医务室检查右小腿轻微擦伤，敷药后继续上岗作业。")</f>
        <v>一职工攀登爬梯作业无人监护，一旦爬梯打滑倾倒，会导致职工掉落地面受伤，经医务室检查右小腿轻微擦伤，敷药后继续上岗作业。</v>
      </c>
      <c r="E427" s="19" t="s">
        <v>2051</v>
      </c>
      <c r="F427" s="20" t="s">
        <v>42</v>
      </c>
      <c r="G427" s="21" t="s">
        <v>43</v>
      </c>
      <c r="H427" s="19" t="s">
        <v>44</v>
      </c>
      <c r="I427" s="19" t="s">
        <v>205</v>
      </c>
      <c r="J427" s="19" t="s">
        <v>45</v>
      </c>
      <c r="K427" s="19" t="s">
        <v>88</v>
      </c>
      <c r="L427" s="19" t="s">
        <v>662</v>
      </c>
      <c r="M427" s="19" t="s">
        <v>633</v>
      </c>
      <c r="N427" s="19" t="s">
        <v>1360</v>
      </c>
      <c r="O427" s="19" t="s">
        <v>633</v>
      </c>
      <c r="P427" s="19" t="s">
        <v>634</v>
      </c>
      <c r="Q427" s="19" t="s">
        <v>1651</v>
      </c>
      <c r="R427" s="19" t="s">
        <v>2052</v>
      </c>
      <c r="S427" s="19"/>
      <c r="T427" s="19" t="s">
        <v>53</v>
      </c>
      <c r="U427" s="19" t="s">
        <v>71</v>
      </c>
      <c r="V427" s="19" t="s">
        <v>55</v>
      </c>
      <c r="W427" s="19" t="s">
        <v>72</v>
      </c>
      <c r="X427" s="19"/>
      <c r="Y427" s="19"/>
      <c r="Z427" s="19" t="s">
        <v>2053</v>
      </c>
      <c r="AA427" s="19">
        <v>1</v>
      </c>
      <c r="AB427" s="19">
        <v>1</v>
      </c>
      <c r="AC427" s="19" t="s">
        <v>59</v>
      </c>
      <c r="AD427" s="19" t="s">
        <v>634</v>
      </c>
      <c r="AE427" s="19" t="s">
        <v>1651</v>
      </c>
      <c r="AF427" s="19"/>
    </row>
    <row r="428" spans="1:34">
      <c r="A428" s="19">
        <v>420</v>
      </c>
      <c r="B428" s="19" t="s">
        <v>2017</v>
      </c>
      <c r="C428" s="19" t="s">
        <v>2054</v>
      </c>
      <c r="D428" s="19" t="str">
        <f>HYPERLINK("http://henontech.com/fieldsafety/harzard/harzard_show.php?rid=24270&amp;url=harzardrecs.php","1#分分汽缸出口阀门漏汽维修，分汽缸正常运行高温高压，维修人员工作中未戴防高温手套")</f>
        <v>1#分分汽缸出口阀门漏汽维修，分汽缸正常运行高温高压，维修人员工作中未戴防高温手套</v>
      </c>
      <c r="E428" s="19" t="s">
        <v>2055</v>
      </c>
      <c r="F428" s="23" t="s">
        <v>227</v>
      </c>
      <c r="G428" s="21" t="s">
        <v>43</v>
      </c>
      <c r="H428" s="19" t="s">
        <v>44</v>
      </c>
      <c r="I428" s="19" t="s">
        <v>205</v>
      </c>
      <c r="J428" s="19" t="s">
        <v>45</v>
      </c>
      <c r="K428" s="19" t="s">
        <v>79</v>
      </c>
      <c r="L428" s="19" t="s">
        <v>65</v>
      </c>
      <c r="M428" s="19" t="s">
        <v>229</v>
      </c>
      <c r="N428" s="19" t="s">
        <v>230</v>
      </c>
      <c r="O428" s="19"/>
      <c r="P428" s="19"/>
      <c r="Q428" s="19"/>
      <c r="R428" s="19" t="s">
        <v>2056</v>
      </c>
      <c r="S428" s="19" t="s">
        <v>1993</v>
      </c>
      <c r="T428" s="19" t="s">
        <v>53</v>
      </c>
      <c r="U428" s="19" t="s">
        <v>71</v>
      </c>
      <c r="V428" s="19" t="s">
        <v>105</v>
      </c>
      <c r="W428" s="19" t="s">
        <v>96</v>
      </c>
      <c r="X428" s="19"/>
      <c r="Y428" s="19"/>
      <c r="Z428" s="19"/>
      <c r="AA428" s="19">
        <v>0</v>
      </c>
      <c r="AB428" s="19"/>
      <c r="AC428" s="19" t="s">
        <v>233</v>
      </c>
      <c r="AD428" s="19"/>
      <c r="AE428" s="19"/>
      <c r="AF428" s="19"/>
    </row>
    <row r="429" spans="1:34">
      <c r="A429" s="19">
        <v>421</v>
      </c>
      <c r="B429" s="19" t="s">
        <v>2017</v>
      </c>
      <c r="C429" s="19" t="s">
        <v>1920</v>
      </c>
      <c r="D429" s="19" t="str">
        <f>HYPERLINK("http://henontech.com/fieldsafety/harzard/harzard_show.php?rid=24274&amp;url=harzardrecs.php","员工开停减温水时，不慎被过道障碍物碰伤")</f>
        <v>员工开停减温水时，不慎被过道障碍物碰伤</v>
      </c>
      <c r="E429" s="19" t="s">
        <v>2057</v>
      </c>
      <c r="F429" s="23" t="s">
        <v>227</v>
      </c>
      <c r="G429" s="21" t="s">
        <v>43</v>
      </c>
      <c r="H429" s="19" t="s">
        <v>709</v>
      </c>
      <c r="I429" s="19" t="s">
        <v>78</v>
      </c>
      <c r="J429" s="19" t="s">
        <v>64</v>
      </c>
      <c r="K429" s="19" t="s">
        <v>46</v>
      </c>
      <c r="L429" s="19" t="s">
        <v>65</v>
      </c>
      <c r="M429" s="19" t="s">
        <v>229</v>
      </c>
      <c r="N429" s="19" t="s">
        <v>1474</v>
      </c>
      <c r="O429" s="19"/>
      <c r="P429" s="19"/>
      <c r="Q429" s="19"/>
      <c r="R429" s="19" t="s">
        <v>2058</v>
      </c>
      <c r="S429" s="19" t="s">
        <v>2059</v>
      </c>
      <c r="T429" s="19" t="s">
        <v>53</v>
      </c>
      <c r="U429" s="19" t="s">
        <v>71</v>
      </c>
      <c r="V429" s="19" t="s">
        <v>55</v>
      </c>
      <c r="W429" s="19" t="s">
        <v>72</v>
      </c>
      <c r="X429" s="19"/>
      <c r="Y429" s="19"/>
      <c r="Z429" s="19"/>
      <c r="AA429" s="19">
        <v>0</v>
      </c>
      <c r="AB429" s="19"/>
      <c r="AC429" s="19" t="s">
        <v>233</v>
      </c>
      <c r="AD429" s="19"/>
      <c r="AE429" s="19"/>
      <c r="AF429" s="19"/>
    </row>
    <row r="430" spans="1:34">
      <c r="A430" s="19">
        <v>422</v>
      </c>
      <c r="B430" s="19" t="s">
        <v>2017</v>
      </c>
      <c r="C430" s="19" t="s">
        <v>1707</v>
      </c>
      <c r="D430" s="19" t="str">
        <f>HYPERLINK("http://henontech.com/fieldsafety/harzard/harzard_show.php?rid=24276&amp;url=harzardrecs.php","南风机冷却器东侧管架爬梯处无警示牌，如果一名操作工攀登时，不慎摔落，可能造成腿部骨折，送往医院治疗，回家静养三个月，损工三个月")</f>
        <v>南风机冷却器东侧管架爬梯处无警示牌，如果一名操作工攀登时，不慎摔落，可能造成腿部骨折，送往医院治疗，回家静养三个月，损工三个月</v>
      </c>
      <c r="E430" s="19" t="s">
        <v>2060</v>
      </c>
      <c r="F430" s="25" t="s">
        <v>1784</v>
      </c>
      <c r="G430" s="21" t="s">
        <v>43</v>
      </c>
      <c r="H430" s="19" t="s">
        <v>44</v>
      </c>
      <c r="I430" s="19" t="s">
        <v>78</v>
      </c>
      <c r="J430" s="19"/>
      <c r="K430" s="19"/>
      <c r="L430" s="19"/>
      <c r="M430" s="19" t="s">
        <v>66</v>
      </c>
      <c r="N430" s="19" t="s">
        <v>751</v>
      </c>
      <c r="O430" s="19" t="s">
        <v>66</v>
      </c>
      <c r="P430" s="19" t="s">
        <v>68</v>
      </c>
      <c r="Q430" s="19" t="s">
        <v>2061</v>
      </c>
      <c r="R430" s="19" t="s">
        <v>2062</v>
      </c>
      <c r="S430" s="19"/>
      <c r="T430" s="19" t="s">
        <v>53</v>
      </c>
      <c r="U430" s="19" t="s">
        <v>54</v>
      </c>
      <c r="V430" s="19" t="s">
        <v>105</v>
      </c>
      <c r="W430" s="19" t="s">
        <v>72</v>
      </c>
      <c r="X430" s="19"/>
      <c r="Y430" s="19"/>
      <c r="Z430" s="19" t="s">
        <v>2063</v>
      </c>
      <c r="AA430" s="19">
        <v>1</v>
      </c>
      <c r="AB430" s="19"/>
      <c r="AC430" s="19" t="s">
        <v>233</v>
      </c>
      <c r="AD430" s="19"/>
      <c r="AE430" s="19"/>
      <c r="AF430" s="19"/>
    </row>
    <row r="431" spans="1:34" customHeight="1" ht="42">
      <c r="A431" s="19">
        <v>423</v>
      </c>
      <c r="B431" s="19" t="s">
        <v>2017</v>
      </c>
      <c r="C431" s="19" t="s">
        <v>1807</v>
      </c>
      <c r="D431" s="19" t="str">
        <f>HYPERLINK("http://henontech.com/fieldsafety/harzard/harzard_show.php?rid=24281&amp;url=harzardrecs.php","二号带机头照明灯不亮，中夜班在此操作、巡查时易发生事故。一职工在巡查时因照明灯不亮，被台阶绊倒，造成小腿膝盖擦伤，脚踝扭伤。")</f>
        <v>二号带机头照明灯不亮，中夜班在此操作、巡查时易发生事故。一职工在巡查时因照明灯不亮，被台阶绊倒，造成小腿膝盖擦伤，脚踝扭伤。</v>
      </c>
      <c r="E431" s="19" t="s">
        <v>2064</v>
      </c>
      <c r="F431" s="25" t="s">
        <v>1784</v>
      </c>
      <c r="G431" s="21" t="s">
        <v>43</v>
      </c>
      <c r="H431" s="19" t="s">
        <v>44</v>
      </c>
      <c r="I431" s="19" t="s">
        <v>129</v>
      </c>
      <c r="J431" s="19" t="s">
        <v>64</v>
      </c>
      <c r="K431" s="19" t="s">
        <v>88</v>
      </c>
      <c r="L431" s="19" t="s">
        <v>65</v>
      </c>
      <c r="M431" s="19" t="s">
        <v>229</v>
      </c>
      <c r="N431" s="19" t="s">
        <v>2065</v>
      </c>
      <c r="O431" s="19" t="s">
        <v>229</v>
      </c>
      <c r="P431" s="19" t="s">
        <v>1410</v>
      </c>
      <c r="Q431" s="19" t="s">
        <v>2066</v>
      </c>
      <c r="R431" s="19" t="s">
        <v>2067</v>
      </c>
      <c r="S431" s="19"/>
      <c r="T431" s="19" t="s">
        <v>53</v>
      </c>
      <c r="U431" s="19" t="s">
        <v>54</v>
      </c>
      <c r="V431" s="19" t="s">
        <v>55</v>
      </c>
      <c r="W431" s="19" t="s">
        <v>56</v>
      </c>
      <c r="X431" s="19" t="s">
        <v>57</v>
      </c>
      <c r="Y431" s="19"/>
      <c r="Z431" s="19" t="s">
        <v>2068</v>
      </c>
      <c r="AA431" s="19">
        <v>2</v>
      </c>
      <c r="AB431" s="19"/>
      <c r="AC431" s="19" t="s">
        <v>233</v>
      </c>
      <c r="AD431" s="19"/>
      <c r="AE431" s="19"/>
      <c r="AF431" s="19"/>
    </row>
    <row r="432" spans="1:34">
      <c r="A432" s="19">
        <v>424</v>
      </c>
      <c r="B432" s="19" t="s">
        <v>2017</v>
      </c>
      <c r="C432" s="19" t="s">
        <v>219</v>
      </c>
      <c r="D432" s="19" t="str">
        <f>HYPERLINK("http://henontech.com/fieldsafety/harzard/harzard_show.php?rid=24311&amp;url=harzardrecs.php","蒸氨废水冷却器漏水，假如一名操作工巡检经过此处，漏水突然加大，可能会造成右手轻微烫伤，去医务室包扎后复工。")</f>
        <v>蒸氨废水冷却器漏水，假如一名操作工巡检经过此处，漏水突然加大，可能会造成右手轻微烫伤，去医务室包扎后复工。</v>
      </c>
      <c r="E432" s="19" t="s">
        <v>2069</v>
      </c>
      <c r="F432" s="25" t="s">
        <v>1784</v>
      </c>
      <c r="G432" s="21" t="s">
        <v>43</v>
      </c>
      <c r="H432" s="19" t="s">
        <v>44</v>
      </c>
      <c r="I432" s="19" t="s">
        <v>78</v>
      </c>
      <c r="J432" s="19" t="s">
        <v>64</v>
      </c>
      <c r="K432" s="19" t="s">
        <v>46</v>
      </c>
      <c r="L432" s="19"/>
      <c r="M432" s="19" t="s">
        <v>66</v>
      </c>
      <c r="N432" s="19" t="s">
        <v>1025</v>
      </c>
      <c r="O432" s="19" t="s">
        <v>66</v>
      </c>
      <c r="P432" s="19" t="s">
        <v>68</v>
      </c>
      <c r="Q432" s="19" t="s">
        <v>2061</v>
      </c>
      <c r="R432" s="19" t="s">
        <v>2070</v>
      </c>
      <c r="S432" s="19"/>
      <c r="T432" s="19" t="s">
        <v>53</v>
      </c>
      <c r="U432" s="19" t="s">
        <v>71</v>
      </c>
      <c r="V432" s="19" t="s">
        <v>105</v>
      </c>
      <c r="W432" s="19" t="s">
        <v>96</v>
      </c>
      <c r="X432" s="19"/>
      <c r="Y432" s="19"/>
      <c r="Z432" s="19" t="s">
        <v>2071</v>
      </c>
      <c r="AA432" s="19">
        <v>1</v>
      </c>
      <c r="AB432" s="19"/>
      <c r="AC432" s="19" t="s">
        <v>233</v>
      </c>
      <c r="AD432" s="19"/>
      <c r="AE432" s="19"/>
      <c r="AF432" s="19"/>
    </row>
    <row r="433" spans="1:34" customHeight="1" ht="42">
      <c r="A433" s="19">
        <v>425</v>
      </c>
      <c r="B433" s="19" t="s">
        <v>2017</v>
      </c>
      <c r="C433" s="19" t="s">
        <v>985</v>
      </c>
      <c r="D433" s="19" t="str">
        <f>HYPERLINK("http://henontech.com/fieldsafety/harzard/harzard_show.php?rid=24323&amp;url=harzardrecs.php","集气道平台废旧电缆杂乱，一名操作工在清理上升管时被杂乱的电缆绊倒摔伤，造成左臂骨折。")</f>
        <v>集气道平台废旧电缆杂乱，一名操作工在清理上升管时被杂乱的电缆绊倒摔伤，造成左臂骨折。</v>
      </c>
      <c r="E433" s="19" t="s">
        <v>2072</v>
      </c>
      <c r="F433" s="20" t="s">
        <v>42</v>
      </c>
      <c r="G433" s="21" t="s">
        <v>43</v>
      </c>
      <c r="H433" s="19" t="s">
        <v>44</v>
      </c>
      <c r="I433" s="19" t="s">
        <v>129</v>
      </c>
      <c r="J433" s="19" t="s">
        <v>64</v>
      </c>
      <c r="K433" s="19" t="s">
        <v>46</v>
      </c>
      <c r="L433" s="19" t="s">
        <v>65</v>
      </c>
      <c r="M433" s="19" t="s">
        <v>49</v>
      </c>
      <c r="N433" s="19" t="s">
        <v>1650</v>
      </c>
      <c r="O433" s="19" t="s">
        <v>49</v>
      </c>
      <c r="P433" s="19" t="s">
        <v>460</v>
      </c>
      <c r="Q433" s="19" t="s">
        <v>1949</v>
      </c>
      <c r="R433" s="19" t="s">
        <v>2073</v>
      </c>
      <c r="S433" s="19"/>
      <c r="T433" s="19" t="s">
        <v>53</v>
      </c>
      <c r="U433" s="19" t="s">
        <v>54</v>
      </c>
      <c r="V433" s="19" t="s">
        <v>105</v>
      </c>
      <c r="W433" s="19" t="s">
        <v>72</v>
      </c>
      <c r="X433" s="19" t="s">
        <v>150</v>
      </c>
      <c r="Y433" s="19"/>
      <c r="Z433" s="19" t="s">
        <v>2074</v>
      </c>
      <c r="AA433" s="19">
        <v>2</v>
      </c>
      <c r="AB433" s="19">
        <v>2</v>
      </c>
      <c r="AC433" s="19" t="s">
        <v>59</v>
      </c>
      <c r="AD433" s="19" t="s">
        <v>460</v>
      </c>
      <c r="AE433" s="19" t="s">
        <v>2075</v>
      </c>
      <c r="AF433" s="19"/>
    </row>
    <row r="434" spans="1:34" customHeight="1" ht="42">
      <c r="A434" s="19">
        <v>426</v>
      </c>
      <c r="B434" s="19" t="s">
        <v>1604</v>
      </c>
      <c r="C434" s="19" t="s">
        <v>1807</v>
      </c>
      <c r="D434" s="19" t="str">
        <f>HYPERLINK("http://henontech.com/fieldsafety/harzard/harzard_show.php?rid=24339&amp;url=harzardrecs.php","输煤2号皮带机机头联轴器防护罩未按装在有效位置，一名操作工在清理此处卫生时左臂不小心碰到了正在转动的联轴器。")</f>
        <v>输煤2号皮带机机头联轴器防护罩未按装在有效位置，一名操作工在清理此处卫生时左臂不小心碰到了正在转动的联轴器。</v>
      </c>
      <c r="E434" s="19" t="s">
        <v>2076</v>
      </c>
      <c r="F434" s="25" t="s">
        <v>1784</v>
      </c>
      <c r="G434" s="21" t="s">
        <v>43</v>
      </c>
      <c r="H434" s="19" t="s">
        <v>44</v>
      </c>
      <c r="I434" s="19" t="s">
        <v>129</v>
      </c>
      <c r="J434" s="19" t="s">
        <v>45</v>
      </c>
      <c r="K434" s="19" t="s">
        <v>79</v>
      </c>
      <c r="L434" s="19" t="s">
        <v>65</v>
      </c>
      <c r="M434" s="19" t="s">
        <v>229</v>
      </c>
      <c r="N434" s="19" t="s">
        <v>2077</v>
      </c>
      <c r="O434" s="19" t="s">
        <v>229</v>
      </c>
      <c r="P434" s="19" t="s">
        <v>669</v>
      </c>
      <c r="Q434" s="19" t="s">
        <v>2066</v>
      </c>
      <c r="R434" s="19" t="s">
        <v>2078</v>
      </c>
      <c r="S434" s="19"/>
      <c r="T434" s="19" t="s">
        <v>53</v>
      </c>
      <c r="U434" s="19" t="s">
        <v>54</v>
      </c>
      <c r="V434" s="19" t="s">
        <v>105</v>
      </c>
      <c r="W434" s="19" t="s">
        <v>72</v>
      </c>
      <c r="X434" s="19" t="s">
        <v>57</v>
      </c>
      <c r="Y434" s="19"/>
      <c r="Z434" s="19" t="s">
        <v>2079</v>
      </c>
      <c r="AA434" s="19">
        <v>2</v>
      </c>
      <c r="AB434" s="19"/>
      <c r="AC434" s="19" t="s">
        <v>233</v>
      </c>
      <c r="AD434" s="19"/>
      <c r="AE434" s="19"/>
      <c r="AF434" s="19"/>
    </row>
    <row r="435" spans="1:34" customHeight="1" ht="42">
      <c r="A435" s="19">
        <v>427</v>
      </c>
      <c r="B435" s="19" t="s">
        <v>1604</v>
      </c>
      <c r="C435" s="19" t="s">
        <v>2080</v>
      </c>
      <c r="D435" s="19" t="str">
        <f>HYPERLINK("http://henontech.com/fieldsafety/harzard/harzard_show.php?rid=24353&amp;url=harzardrecs.php","换向室缺少“有人工作禁止换向”警示牌，若一名常调工润滑交换考克手柄时，未放置警示牌，进行换向将右手挤伤。")</f>
        <v>换向室缺少“有人工作禁止换向”警示牌，若一名常调工润滑交换考克手柄时，未放置警示牌，进行换向将右手挤伤。</v>
      </c>
      <c r="E435" s="19" t="s">
        <v>2081</v>
      </c>
      <c r="F435" s="20" t="s">
        <v>42</v>
      </c>
      <c r="G435" s="21" t="s">
        <v>43</v>
      </c>
      <c r="H435" s="19" t="s">
        <v>44</v>
      </c>
      <c r="I435" s="19" t="s">
        <v>129</v>
      </c>
      <c r="J435" s="19" t="s">
        <v>600</v>
      </c>
      <c r="K435" s="19" t="s">
        <v>79</v>
      </c>
      <c r="L435" s="19" t="s">
        <v>65</v>
      </c>
      <c r="M435" s="19" t="s">
        <v>49</v>
      </c>
      <c r="N435" s="19" t="s">
        <v>1063</v>
      </c>
      <c r="O435" s="19" t="s">
        <v>49</v>
      </c>
      <c r="P435" s="19" t="s">
        <v>460</v>
      </c>
      <c r="Q435" s="19" t="s">
        <v>1949</v>
      </c>
      <c r="R435" s="19" t="s">
        <v>2082</v>
      </c>
      <c r="S435" s="19"/>
      <c r="T435" s="19" t="s">
        <v>53</v>
      </c>
      <c r="U435" s="19" t="s">
        <v>54</v>
      </c>
      <c r="V435" s="19" t="s">
        <v>105</v>
      </c>
      <c r="W435" s="19" t="s">
        <v>72</v>
      </c>
      <c r="X435" s="19" t="s">
        <v>150</v>
      </c>
      <c r="Y435" s="19"/>
      <c r="Z435" s="19" t="s">
        <v>2083</v>
      </c>
      <c r="AA435" s="19">
        <v>2</v>
      </c>
      <c r="AB435" s="19">
        <v>2</v>
      </c>
      <c r="AC435" s="19" t="s">
        <v>59</v>
      </c>
      <c r="AD435" s="19" t="s">
        <v>460</v>
      </c>
      <c r="AE435" s="19" t="s">
        <v>1632</v>
      </c>
      <c r="AF435" s="19"/>
    </row>
    <row r="436" spans="1:34">
      <c r="A436" s="19">
        <v>428</v>
      </c>
      <c r="B436" s="19" t="s">
        <v>1604</v>
      </c>
      <c r="C436" s="19" t="s">
        <v>1707</v>
      </c>
      <c r="D436" s="19" t="str">
        <f>HYPERLINK("http://henontech.com/fieldsafety/harzard/harzard_show.php?rid=24386&amp;url=harzardrecs.php","1#脱硫塔煤气出口压力损害不准，变送器零点漂移，多次校准仍不准，一旦不能提供准确数值可能导致误操作")</f>
        <v>1#脱硫塔煤气出口压力损害不准，变送器零点漂移，多次校准仍不准，一旦不能提供准确数值可能导致误操作</v>
      </c>
      <c r="E436" s="19" t="s">
        <v>2084</v>
      </c>
      <c r="F436" s="20" t="s">
        <v>42</v>
      </c>
      <c r="G436" s="21" t="s">
        <v>43</v>
      </c>
      <c r="H436" s="19" t="s">
        <v>44</v>
      </c>
      <c r="I436" s="19" t="s">
        <v>129</v>
      </c>
      <c r="J436" s="19" t="s">
        <v>64</v>
      </c>
      <c r="K436" s="19" t="s">
        <v>79</v>
      </c>
      <c r="L436" s="19" t="s">
        <v>65</v>
      </c>
      <c r="M436" s="19" t="s">
        <v>66</v>
      </c>
      <c r="N436" s="19" t="s">
        <v>718</v>
      </c>
      <c r="O436" s="19" t="s">
        <v>66</v>
      </c>
      <c r="P436" s="19" t="s">
        <v>68</v>
      </c>
      <c r="Q436" s="19" t="s">
        <v>2085</v>
      </c>
      <c r="R436" s="19" t="s">
        <v>2086</v>
      </c>
      <c r="S436" s="19"/>
      <c r="T436" s="19" t="s">
        <v>104</v>
      </c>
      <c r="U436" s="19" t="s">
        <v>94</v>
      </c>
      <c r="V436" s="19" t="s">
        <v>105</v>
      </c>
      <c r="W436" s="19" t="s">
        <v>96</v>
      </c>
      <c r="X436" s="19"/>
      <c r="Y436" s="19"/>
      <c r="Z436" s="19" t="s">
        <v>2087</v>
      </c>
      <c r="AA436" s="19">
        <v>1</v>
      </c>
      <c r="AB436" s="19">
        <v>1</v>
      </c>
      <c r="AC436" s="19" t="s">
        <v>59</v>
      </c>
      <c r="AD436" s="19" t="s">
        <v>68</v>
      </c>
      <c r="AE436" s="19" t="s">
        <v>1796</v>
      </c>
      <c r="AF436" s="19"/>
    </row>
    <row r="437" spans="1:34">
      <c r="A437" s="19">
        <v>429</v>
      </c>
      <c r="B437" s="19" t="s">
        <v>1604</v>
      </c>
      <c r="C437" s="19" t="s">
        <v>1925</v>
      </c>
      <c r="D437" s="19" t="str">
        <f>HYPERLINK("http://henontech.com/fieldsafety/harzard/harzard_show.php?rid=24397&amp;url=harzardrecs.php","煤四顶部彩钢瓦包边老化断裂，一旦脱落，造成过往行人面部擦伤，消毒处理后继续宏运。")</f>
        <v>煤四顶部彩钢瓦包边老化断裂，一旦脱落，造成过往行人面部擦伤，消毒处理后继续宏运。</v>
      </c>
      <c r="E437" s="19" t="s">
        <v>2088</v>
      </c>
      <c r="F437" s="20" t="s">
        <v>42</v>
      </c>
      <c r="G437" s="24" t="s">
        <v>534</v>
      </c>
      <c r="H437" s="19" t="s">
        <v>44</v>
      </c>
      <c r="I437" s="19" t="s">
        <v>78</v>
      </c>
      <c r="J437" s="19"/>
      <c r="K437" s="19"/>
      <c r="L437" s="19"/>
      <c r="M437" s="19" t="s">
        <v>633</v>
      </c>
      <c r="N437" s="19" t="s">
        <v>2089</v>
      </c>
      <c r="O437" s="19" t="s">
        <v>633</v>
      </c>
      <c r="P437" s="19" t="s">
        <v>1268</v>
      </c>
      <c r="Q437" s="19" t="s">
        <v>1949</v>
      </c>
      <c r="R437" s="19" t="s">
        <v>2090</v>
      </c>
      <c r="S437" s="19"/>
      <c r="T437" s="19" t="s">
        <v>53</v>
      </c>
      <c r="U437" s="19" t="s">
        <v>71</v>
      </c>
      <c r="V437" s="19" t="s">
        <v>55</v>
      </c>
      <c r="W437" s="19" t="s">
        <v>72</v>
      </c>
      <c r="X437" s="19"/>
      <c r="Y437" s="19"/>
      <c r="Z437" s="19" t="s">
        <v>2091</v>
      </c>
      <c r="AA437" s="19">
        <v>1</v>
      </c>
      <c r="AB437" s="19">
        <v>1</v>
      </c>
      <c r="AC437" s="19" t="s">
        <v>59</v>
      </c>
      <c r="AD437" s="19" t="s">
        <v>1268</v>
      </c>
      <c r="AE437" s="19" t="s">
        <v>1604</v>
      </c>
      <c r="AF437" s="19"/>
    </row>
    <row r="438" spans="1:34">
      <c r="A438" s="19">
        <v>430</v>
      </c>
      <c r="B438" s="19" t="s">
        <v>1604</v>
      </c>
      <c r="C438" s="19" t="s">
        <v>1915</v>
      </c>
      <c r="D438" s="19" t="str">
        <f>HYPERLINK("http://henontech.com/fieldsafety/harzard/harzard_show.php?rid=24402&amp;url=harzardrecs.php","东四一护栏套管缺失，一旦职工误操作手扶护栏时，护栏起不到应有的支撑作用，将会造成右手卷入托辊的伤害，送医院检查右手手骨骨折，住院7天，在家修养3个月。月")</f>
        <v>东四一护栏套管缺失，一旦职工误操作手扶护栏时，护栏起不到应有的支撑作用，将会造成右手卷入托辊的伤害，送医院检查右手手骨骨折，住院7天，在家修养3个月。月</v>
      </c>
      <c r="E438" s="19" t="s">
        <v>2092</v>
      </c>
      <c r="F438" s="20" t="s">
        <v>42</v>
      </c>
      <c r="G438" s="24" t="s">
        <v>534</v>
      </c>
      <c r="H438" s="19" t="s">
        <v>44</v>
      </c>
      <c r="I438" s="19" t="s">
        <v>78</v>
      </c>
      <c r="J438" s="19"/>
      <c r="K438" s="19"/>
      <c r="L438" s="19"/>
      <c r="M438" s="19" t="s">
        <v>633</v>
      </c>
      <c r="N438" s="19" t="s">
        <v>1267</v>
      </c>
      <c r="O438" s="19" t="s">
        <v>633</v>
      </c>
      <c r="P438" s="19" t="s">
        <v>1268</v>
      </c>
      <c r="Q438" s="19" t="s">
        <v>1949</v>
      </c>
      <c r="R438" s="19" t="s">
        <v>2093</v>
      </c>
      <c r="S438" s="19"/>
      <c r="T438" s="19" t="s">
        <v>53</v>
      </c>
      <c r="U438" s="19" t="s">
        <v>54</v>
      </c>
      <c r="V438" s="19" t="s">
        <v>55</v>
      </c>
      <c r="W438" s="19" t="s">
        <v>56</v>
      </c>
      <c r="X438" s="19"/>
      <c r="Y438" s="19"/>
      <c r="Z438" s="19" t="s">
        <v>2094</v>
      </c>
      <c r="AA438" s="19">
        <v>1</v>
      </c>
      <c r="AB438" s="19">
        <v>1</v>
      </c>
      <c r="AC438" s="19" t="s">
        <v>59</v>
      </c>
      <c r="AD438" s="19" t="s">
        <v>1268</v>
      </c>
      <c r="AE438" s="19" t="s">
        <v>1604</v>
      </c>
      <c r="AF438" s="19"/>
    </row>
    <row r="439" spans="1:34">
      <c r="A439" s="19">
        <v>431</v>
      </c>
      <c r="B439" s="19" t="s">
        <v>1604</v>
      </c>
      <c r="C439" s="19" t="s">
        <v>2004</v>
      </c>
      <c r="D439" s="19" t="str">
        <f>HYPERLINK("http://henontech.com/fieldsafety/harzard/harzard_show.php?rid=24406&amp;url=harzardrecs.php","中班时间，一卸煤司机未穿戴反光马甲，一旦天黑以后，煤场光线不好、来往车辆多，将会造成人员碰伤，送医院检查，小腿骨折，住院10天，在家修养3个月。")</f>
        <v>中班时间，一卸煤司机未穿戴反光马甲，一旦天黑以后，煤场光线不好、来往车辆多，将会造成人员碰伤，送医院检查，小腿骨折，住院10天，在家修养3个月。</v>
      </c>
      <c r="E439" s="19" t="s">
        <v>2095</v>
      </c>
      <c r="F439" s="20" t="s">
        <v>42</v>
      </c>
      <c r="G439" s="24" t="s">
        <v>534</v>
      </c>
      <c r="H439" s="19" t="s">
        <v>44</v>
      </c>
      <c r="I439" s="19" t="s">
        <v>205</v>
      </c>
      <c r="J439" s="19"/>
      <c r="K439" s="19"/>
      <c r="L439" s="19" t="s">
        <v>65</v>
      </c>
      <c r="M439" s="19" t="s">
        <v>633</v>
      </c>
      <c r="N439" s="19" t="s">
        <v>2096</v>
      </c>
      <c r="O439" s="19" t="s">
        <v>633</v>
      </c>
      <c r="P439" s="19" t="s">
        <v>1268</v>
      </c>
      <c r="Q439" s="19" t="s">
        <v>1949</v>
      </c>
      <c r="R439" s="19" t="s">
        <v>2097</v>
      </c>
      <c r="S439" s="19"/>
      <c r="T439" s="19" t="s">
        <v>53</v>
      </c>
      <c r="U439" s="19" t="s">
        <v>54</v>
      </c>
      <c r="V439" s="19" t="s">
        <v>55</v>
      </c>
      <c r="W439" s="19" t="s">
        <v>56</v>
      </c>
      <c r="X439" s="19"/>
      <c r="Y439" s="19"/>
      <c r="Z439" s="19" t="s">
        <v>2098</v>
      </c>
      <c r="AA439" s="19">
        <v>1</v>
      </c>
      <c r="AB439" s="19">
        <v>1</v>
      </c>
      <c r="AC439" s="19" t="s">
        <v>59</v>
      </c>
      <c r="AD439" s="19" t="s">
        <v>1268</v>
      </c>
      <c r="AE439" s="19" t="s">
        <v>1604</v>
      </c>
      <c r="AF439" s="19"/>
    </row>
    <row r="440" spans="1:34" customHeight="1" ht="42">
      <c r="A440" s="19">
        <v>432</v>
      </c>
      <c r="B440" s="19" t="s">
        <v>1651</v>
      </c>
      <c r="C440" s="19" t="s">
        <v>985</v>
      </c>
      <c r="D440" s="19" t="str">
        <f>HYPERLINK("http://henontech.com/fieldsafety/harzard/harzard_show.php?rid=24515&amp;url=harzardrecs.php","炉顶歪倒的脚手架未及时清走，一名操作工夜间控托盘时万一被绊倒，右手掌碰到除尘孔盖上烫伤，经医院治疗在家休养二个月。")</f>
        <v>炉顶歪倒的脚手架未及时清走，一名操作工夜间控托盘时万一被绊倒，右手掌碰到除尘孔盖上烫伤，经医院治疗在家休养二个月。</v>
      </c>
      <c r="E440" s="19" t="s">
        <v>2099</v>
      </c>
      <c r="F440" s="20" t="s">
        <v>42</v>
      </c>
      <c r="G440" s="21" t="s">
        <v>43</v>
      </c>
      <c r="H440" s="19" t="s">
        <v>44</v>
      </c>
      <c r="I440" s="19" t="s">
        <v>78</v>
      </c>
      <c r="J440" s="19" t="s">
        <v>64</v>
      </c>
      <c r="K440" s="19" t="s">
        <v>46</v>
      </c>
      <c r="L440" s="19" t="s">
        <v>65</v>
      </c>
      <c r="M440" s="19" t="s">
        <v>49</v>
      </c>
      <c r="N440" s="19" t="s">
        <v>1611</v>
      </c>
      <c r="O440" s="19" t="s">
        <v>49</v>
      </c>
      <c r="P440" s="19" t="s">
        <v>499</v>
      </c>
      <c r="Q440" s="19" t="s">
        <v>2100</v>
      </c>
      <c r="R440" s="19" t="s">
        <v>2101</v>
      </c>
      <c r="S440" s="19"/>
      <c r="T440" s="19" t="s">
        <v>53</v>
      </c>
      <c r="U440" s="19" t="s">
        <v>54</v>
      </c>
      <c r="V440" s="19" t="s">
        <v>55</v>
      </c>
      <c r="W440" s="19" t="s">
        <v>56</v>
      </c>
      <c r="X440" s="19" t="s">
        <v>150</v>
      </c>
      <c r="Y440" s="19"/>
      <c r="Z440" s="19" t="s">
        <v>2102</v>
      </c>
      <c r="AA440" s="19">
        <v>2</v>
      </c>
      <c r="AB440" s="19">
        <v>2</v>
      </c>
      <c r="AC440" s="19" t="s">
        <v>59</v>
      </c>
      <c r="AD440" s="19" t="s">
        <v>499</v>
      </c>
      <c r="AE440" s="19" t="s">
        <v>1632</v>
      </c>
      <c r="AF440" s="19" t="s">
        <v>2103</v>
      </c>
    </row>
    <row r="441" spans="1:34">
      <c r="A441" s="19">
        <v>433</v>
      </c>
      <c r="B441" s="19" t="s">
        <v>1651</v>
      </c>
      <c r="C441" s="19" t="s">
        <v>2104</v>
      </c>
      <c r="D441" s="19" t="str">
        <f>HYPERLINK("http://henontech.com/fieldsafety/harzard/harzard_show.php?rid=24537&amp;url=harzardrecs.php","巡检人员巡检时躲避不及时容易造成人员伤害，存在安全隐患。")</f>
        <v>巡检人员巡检时躲避不及时容易造成人员伤害，存在安全隐患。</v>
      </c>
      <c r="E441" s="19" t="s">
        <v>2105</v>
      </c>
      <c r="F441" s="23" t="s">
        <v>227</v>
      </c>
      <c r="G441" s="21" t="s">
        <v>43</v>
      </c>
      <c r="H441" s="19" t="s">
        <v>44</v>
      </c>
      <c r="I441" s="19"/>
      <c r="J441" s="19" t="s">
        <v>64</v>
      </c>
      <c r="K441" s="19" t="s">
        <v>88</v>
      </c>
      <c r="L441" s="19" t="s">
        <v>65</v>
      </c>
      <c r="M441" s="19" t="s">
        <v>229</v>
      </c>
      <c r="N441" s="19" t="s">
        <v>1468</v>
      </c>
      <c r="O441" s="19"/>
      <c r="P441" s="19"/>
      <c r="Q441" s="19"/>
      <c r="R441" s="19" t="s">
        <v>2106</v>
      </c>
      <c r="S441" s="19" t="s">
        <v>1993</v>
      </c>
      <c r="T441" s="19" t="s">
        <v>53</v>
      </c>
      <c r="U441" s="19" t="s">
        <v>94</v>
      </c>
      <c r="V441" s="19" t="s">
        <v>55</v>
      </c>
      <c r="W441" s="19" t="s">
        <v>96</v>
      </c>
      <c r="X441" s="19"/>
      <c r="Y441" s="19"/>
      <c r="Z441" s="19"/>
      <c r="AA441" s="19">
        <v>0</v>
      </c>
      <c r="AB441" s="19"/>
      <c r="AC441" s="19" t="s">
        <v>233</v>
      </c>
      <c r="AD441" s="19"/>
      <c r="AE441" s="19"/>
      <c r="AF441" s="19"/>
    </row>
    <row r="442" spans="1:34">
      <c r="A442" s="19">
        <v>434</v>
      </c>
      <c r="B442" s="19" t="s">
        <v>1651</v>
      </c>
      <c r="C442" s="19" t="s">
        <v>1920</v>
      </c>
      <c r="D442" s="19" t="str">
        <f>HYPERLINK("http://henontech.com/fieldsafety/harzard/harzard_show.php?rid=24544&amp;url=harzardrecs.php","楼梯与风道间隙过小，可能导致巡检人员头部碰伤")</f>
        <v>楼梯与风道间隙过小，可能导致巡检人员头部碰伤</v>
      </c>
      <c r="E442" s="19" t="s">
        <v>2107</v>
      </c>
      <c r="F442" s="23" t="s">
        <v>227</v>
      </c>
      <c r="G442" s="21" t="s">
        <v>43</v>
      </c>
      <c r="H442" s="19" t="s">
        <v>44</v>
      </c>
      <c r="I442" s="19" t="s">
        <v>129</v>
      </c>
      <c r="J442" s="19" t="s">
        <v>45</v>
      </c>
      <c r="K442" s="19" t="s">
        <v>466</v>
      </c>
      <c r="L442" s="19" t="s">
        <v>65</v>
      </c>
      <c r="M442" s="19" t="s">
        <v>229</v>
      </c>
      <c r="N442" s="19" t="s">
        <v>2108</v>
      </c>
      <c r="O442" s="19"/>
      <c r="P442" s="19"/>
      <c r="Q442" s="19"/>
      <c r="R442" s="19" t="s">
        <v>2109</v>
      </c>
      <c r="S442" s="19" t="s">
        <v>2059</v>
      </c>
      <c r="T442" s="19" t="s">
        <v>53</v>
      </c>
      <c r="U442" s="19" t="s">
        <v>94</v>
      </c>
      <c r="V442" s="19" t="s">
        <v>193</v>
      </c>
      <c r="W442" s="19" t="s">
        <v>96</v>
      </c>
      <c r="X442" s="19"/>
      <c r="Y442" s="19"/>
      <c r="Z442" s="19"/>
      <c r="AA442" s="19">
        <v>0</v>
      </c>
      <c r="AB442" s="19"/>
      <c r="AC442" s="19" t="s">
        <v>233</v>
      </c>
      <c r="AD442" s="19"/>
      <c r="AE442" s="19"/>
      <c r="AF442" s="19"/>
    </row>
    <row r="443" spans="1:34" customHeight="1" ht="42">
      <c r="A443" s="19">
        <v>435</v>
      </c>
      <c r="B443" s="19" t="s">
        <v>1651</v>
      </c>
      <c r="C443" s="19" t="s">
        <v>2110</v>
      </c>
      <c r="D443" s="19" t="str">
        <f>HYPERLINK("http://henontech.com/fieldsafety/harzard/harzard_show.php?rid=24545&amp;url=harzardrecs.php","砂轮机砂轮片破裂，如果一名操作工开启砂轮机恰巧破裂的砂轮片打到操作工右手臂造成骨折住院治疗一个月在家休养三个月。")</f>
        <v>砂轮机砂轮片破裂，如果一名操作工开启砂轮机恰巧破裂的砂轮片打到操作工右手臂造成骨折住院治疗一个月在家休养三个月。</v>
      </c>
      <c r="E443" s="19" t="s">
        <v>2111</v>
      </c>
      <c r="F443" s="20" t="s">
        <v>42</v>
      </c>
      <c r="G443" s="24" t="s">
        <v>534</v>
      </c>
      <c r="H443" s="19" t="s">
        <v>44</v>
      </c>
      <c r="I443" s="19" t="s">
        <v>129</v>
      </c>
      <c r="J443" s="19" t="s">
        <v>64</v>
      </c>
      <c r="K443" s="19" t="s">
        <v>79</v>
      </c>
      <c r="L443" s="19" t="s">
        <v>65</v>
      </c>
      <c r="M443" s="19" t="s">
        <v>49</v>
      </c>
      <c r="N443" s="19" t="s">
        <v>1644</v>
      </c>
      <c r="O443" s="19" t="s">
        <v>49</v>
      </c>
      <c r="P443" s="19" t="s">
        <v>499</v>
      </c>
      <c r="Q443" s="19" t="s">
        <v>2100</v>
      </c>
      <c r="R443" s="19" t="s">
        <v>2112</v>
      </c>
      <c r="S443" s="19"/>
      <c r="T443" s="19" t="s">
        <v>53</v>
      </c>
      <c r="U443" s="19" t="s">
        <v>54</v>
      </c>
      <c r="V443" s="19" t="s">
        <v>55</v>
      </c>
      <c r="W443" s="19" t="s">
        <v>56</v>
      </c>
      <c r="X443" s="19" t="s">
        <v>150</v>
      </c>
      <c r="Y443" s="19"/>
      <c r="Z443" s="19" t="s">
        <v>2113</v>
      </c>
      <c r="AA443" s="19">
        <v>2</v>
      </c>
      <c r="AB443" s="19">
        <v>2</v>
      </c>
      <c r="AC443" s="19" t="s">
        <v>59</v>
      </c>
      <c r="AD443" s="19" t="s">
        <v>499</v>
      </c>
      <c r="AE443" s="19" t="s">
        <v>1632</v>
      </c>
      <c r="AF443" s="19" t="s">
        <v>2114</v>
      </c>
    </row>
    <row r="444" spans="1:34" customHeight="1" ht="42">
      <c r="A444" s="19">
        <v>436</v>
      </c>
      <c r="B444" s="19" t="s">
        <v>1651</v>
      </c>
      <c r="C444" s="19" t="s">
        <v>2110</v>
      </c>
      <c r="D444" s="19" t="str">
        <f>HYPERLINK("http://henontech.com/fieldsafety/harzard/harzard_show.php?rid=24546&amp;url=harzardrecs.php","外协施工队切割机把手不规范，若一名人员在切砖时，恰巧被突出的钢筋剐伤右侧面部送医院治疗一个月，在家休养15天")</f>
        <v>外协施工队切割机把手不规范，若一名人员在切砖时，恰巧被突出的钢筋剐伤右侧面部送医院治疗一个月，在家休养15天</v>
      </c>
      <c r="E444" s="19" t="s">
        <v>2115</v>
      </c>
      <c r="F444" s="20" t="s">
        <v>42</v>
      </c>
      <c r="G444" s="21" t="s">
        <v>43</v>
      </c>
      <c r="H444" s="19" t="s">
        <v>44</v>
      </c>
      <c r="I444" s="19" t="s">
        <v>129</v>
      </c>
      <c r="J444" s="19" t="s">
        <v>45</v>
      </c>
      <c r="K444" s="19"/>
      <c r="L444" s="19"/>
      <c r="M444" s="19" t="s">
        <v>49</v>
      </c>
      <c r="N444" s="19" t="s">
        <v>1631</v>
      </c>
      <c r="O444" s="19" t="s">
        <v>49</v>
      </c>
      <c r="P444" s="19" t="s">
        <v>499</v>
      </c>
      <c r="Q444" s="19" t="s">
        <v>2100</v>
      </c>
      <c r="R444" s="19" t="s">
        <v>2116</v>
      </c>
      <c r="S444" s="19"/>
      <c r="T444" s="19" t="s">
        <v>53</v>
      </c>
      <c r="U444" s="19" t="s">
        <v>54</v>
      </c>
      <c r="V444" s="19" t="s">
        <v>55</v>
      </c>
      <c r="W444" s="19" t="s">
        <v>56</v>
      </c>
      <c r="X444" s="19" t="s">
        <v>57</v>
      </c>
      <c r="Y444" s="19"/>
      <c r="Z444" s="19" t="s">
        <v>2117</v>
      </c>
      <c r="AA444" s="19">
        <v>2</v>
      </c>
      <c r="AB444" s="19">
        <v>2</v>
      </c>
      <c r="AC444" s="19" t="s">
        <v>59</v>
      </c>
      <c r="AD444" s="19" t="s">
        <v>499</v>
      </c>
      <c r="AE444" s="19" t="s">
        <v>1632</v>
      </c>
      <c r="AF444" s="19" t="s">
        <v>2118</v>
      </c>
    </row>
    <row r="445" spans="1:34" customHeight="1" ht="42">
      <c r="A445" s="19">
        <v>437</v>
      </c>
      <c r="B445" s="19" t="s">
        <v>1651</v>
      </c>
      <c r="C445" s="19" t="s">
        <v>457</v>
      </c>
      <c r="D445" s="19" t="str">
        <f>HYPERLINK("http://henontech.com/fieldsafety/harzard/harzard_show.php?rid=24547&amp;url=harzardrecs.php","焦侧平台水管未按规定放置，若一名操作工经过时不慎被绊倒，右手臂着地造成骨折，住院治疗一个月，在家休养2个月。")</f>
        <v>焦侧平台水管未按规定放置，若一名操作工经过时不慎被绊倒，右手臂着地造成骨折，住院治疗一个月，在家休养2个月。</v>
      </c>
      <c r="E445" s="19" t="s">
        <v>2119</v>
      </c>
      <c r="F445" s="20" t="s">
        <v>42</v>
      </c>
      <c r="G445" s="21" t="s">
        <v>43</v>
      </c>
      <c r="H445" s="19" t="s">
        <v>44</v>
      </c>
      <c r="I445" s="19" t="s">
        <v>78</v>
      </c>
      <c r="J445" s="19" t="s">
        <v>64</v>
      </c>
      <c r="K445" s="19" t="s">
        <v>46</v>
      </c>
      <c r="L445" s="19" t="s">
        <v>65</v>
      </c>
      <c r="M445" s="19" t="s">
        <v>49</v>
      </c>
      <c r="N445" s="19" t="s">
        <v>2120</v>
      </c>
      <c r="O445" s="19" t="s">
        <v>49</v>
      </c>
      <c r="P445" s="19" t="s">
        <v>1601</v>
      </c>
      <c r="Q445" s="19" t="s">
        <v>2100</v>
      </c>
      <c r="R445" s="19" t="s">
        <v>2121</v>
      </c>
      <c r="S445" s="19"/>
      <c r="T445" s="19" t="s">
        <v>53</v>
      </c>
      <c r="U445" s="19" t="s">
        <v>54</v>
      </c>
      <c r="V445" s="19" t="s">
        <v>55</v>
      </c>
      <c r="W445" s="19" t="s">
        <v>56</v>
      </c>
      <c r="X445" s="19" t="s">
        <v>150</v>
      </c>
      <c r="Y445" s="19"/>
      <c r="Z445" s="19" t="s">
        <v>2122</v>
      </c>
      <c r="AA445" s="19">
        <v>2</v>
      </c>
      <c r="AB445" s="19">
        <v>2</v>
      </c>
      <c r="AC445" s="19" t="s">
        <v>59</v>
      </c>
      <c r="AD445" s="19" t="s">
        <v>1601</v>
      </c>
      <c r="AE445" s="19" t="s">
        <v>2075</v>
      </c>
      <c r="AF445" s="19"/>
    </row>
    <row r="446" spans="1:34" customHeight="1" ht="42">
      <c r="A446" s="19">
        <v>438</v>
      </c>
      <c r="B446" s="19" t="s">
        <v>1651</v>
      </c>
      <c r="C446" s="19" t="s">
        <v>457</v>
      </c>
      <c r="D446" s="19" t="str">
        <f>HYPERLINK("http://henontech.com/fieldsafety/harzard/harzard_show.php?rid=24549&amp;url=harzardrecs.php","焦炉地下室跨越梯处有黄油，假如一名职工在巡检时恰巧踩到黄油滑倒，造成左手臂骨折，住院治疗7天，在家休养2个月。")</f>
        <v>焦炉地下室跨越梯处有黄油，假如一名职工在巡检时恰巧踩到黄油滑倒，造成左手臂骨折，住院治疗7天，在家休养2个月。</v>
      </c>
      <c r="E446" s="19" t="s">
        <v>2123</v>
      </c>
      <c r="F446" s="20" t="s">
        <v>42</v>
      </c>
      <c r="G446" s="21" t="s">
        <v>43</v>
      </c>
      <c r="H446" s="19" t="s">
        <v>44</v>
      </c>
      <c r="I446" s="19" t="s">
        <v>129</v>
      </c>
      <c r="J446" s="19" t="s">
        <v>87</v>
      </c>
      <c r="K446" s="19" t="s">
        <v>466</v>
      </c>
      <c r="L446" s="19" t="s">
        <v>65</v>
      </c>
      <c r="M446" s="19" t="s">
        <v>49</v>
      </c>
      <c r="N446" s="19" t="s">
        <v>2124</v>
      </c>
      <c r="O446" s="19" t="s">
        <v>49</v>
      </c>
      <c r="P446" s="19" t="s">
        <v>310</v>
      </c>
      <c r="Q446" s="19" t="s">
        <v>2100</v>
      </c>
      <c r="R446" s="19" t="s">
        <v>2125</v>
      </c>
      <c r="S446" s="19"/>
      <c r="T446" s="19" t="s">
        <v>53</v>
      </c>
      <c r="U446" s="19" t="s">
        <v>54</v>
      </c>
      <c r="V446" s="19" t="s">
        <v>55</v>
      </c>
      <c r="W446" s="19" t="s">
        <v>56</v>
      </c>
      <c r="X446" s="19"/>
      <c r="Y446" s="19"/>
      <c r="Z446" s="19" t="s">
        <v>2126</v>
      </c>
      <c r="AA446" s="19">
        <v>2</v>
      </c>
      <c r="AB446" s="19">
        <v>1</v>
      </c>
      <c r="AC446" s="19" t="s">
        <v>59</v>
      </c>
      <c r="AD446" s="19" t="s">
        <v>310</v>
      </c>
      <c r="AE446" s="19" t="s">
        <v>1557</v>
      </c>
      <c r="AF446" s="19" t="s">
        <v>2127</v>
      </c>
    </row>
    <row r="447" spans="1:34" customHeight="1" ht="42">
      <c r="A447" s="19">
        <v>439</v>
      </c>
      <c r="B447" s="19" t="s">
        <v>1651</v>
      </c>
      <c r="C447" s="19" t="s">
        <v>457</v>
      </c>
      <c r="D447" s="19" t="str">
        <f>HYPERLINK("http://henontech.com/fieldsafety/harzard/harzard_show.php?rid=24551&amp;url=harzardrecs.php","5.5米焦炉熄焦道轨南端西侧铁管头翘起，一名员工巡检路过此处，不慎被绊倒，左手臂碰到道轨上，造成左手腕错位，送医治疗。")</f>
        <v>5.5米焦炉熄焦道轨南端西侧铁管头翘起，一名员工巡检路过此处，不慎被绊倒，左手臂碰到道轨上，造成左手腕错位，送医治疗。</v>
      </c>
      <c r="E447" s="19" t="s">
        <v>2128</v>
      </c>
      <c r="F447" s="20" t="s">
        <v>42</v>
      </c>
      <c r="G447" s="21" t="s">
        <v>43</v>
      </c>
      <c r="H447" s="19" t="s">
        <v>44</v>
      </c>
      <c r="I447" s="19" t="s">
        <v>129</v>
      </c>
      <c r="J447" s="19" t="s">
        <v>64</v>
      </c>
      <c r="K447" s="19" t="s">
        <v>46</v>
      </c>
      <c r="L447" s="19" t="s">
        <v>65</v>
      </c>
      <c r="M447" s="19" t="s">
        <v>49</v>
      </c>
      <c r="N447" s="19" t="s">
        <v>1418</v>
      </c>
      <c r="O447" s="19" t="s">
        <v>49</v>
      </c>
      <c r="P447" s="19" t="s">
        <v>460</v>
      </c>
      <c r="Q447" s="19" t="s">
        <v>2100</v>
      </c>
      <c r="R447" s="19" t="s">
        <v>2129</v>
      </c>
      <c r="S447" s="19"/>
      <c r="T447" s="19" t="s">
        <v>53</v>
      </c>
      <c r="U447" s="19" t="s">
        <v>54</v>
      </c>
      <c r="V447" s="19" t="s">
        <v>55</v>
      </c>
      <c r="W447" s="19" t="s">
        <v>56</v>
      </c>
      <c r="X447" s="19" t="s">
        <v>150</v>
      </c>
      <c r="Y447" s="19"/>
      <c r="Z447" s="19" t="s">
        <v>2130</v>
      </c>
      <c r="AA447" s="19">
        <v>2</v>
      </c>
      <c r="AB447" s="19">
        <v>2</v>
      </c>
      <c r="AC447" s="19" t="s">
        <v>59</v>
      </c>
      <c r="AD447" s="19" t="s">
        <v>460</v>
      </c>
      <c r="AE447" s="19" t="s">
        <v>1564</v>
      </c>
      <c r="AF447" s="19"/>
    </row>
    <row r="448" spans="1:34" customHeight="1" ht="42">
      <c r="A448" s="19">
        <v>440</v>
      </c>
      <c r="B448" s="19" t="s">
        <v>1651</v>
      </c>
      <c r="C448" s="19" t="s">
        <v>2054</v>
      </c>
      <c r="D448" s="19" t="str">
        <f>HYPERLINK("http://henontech.com/fieldsafety/harzard/harzard_show.php?rid=24555&amp;url=harzardrecs.php","75t锅炉分汽缸压力表根部泄露蒸汽，一维修工在维修设备时，可能导致左脚烫伤，送医院就医后，在家休养三天，损工三天。")</f>
        <v>75t锅炉分汽缸压力表根部泄露蒸汽，一维修工在维修设备时，可能导致左脚烫伤，送医院就医后，在家休养三天，损工三天。</v>
      </c>
      <c r="E448" s="19" t="s">
        <v>2131</v>
      </c>
      <c r="F448" s="25" t="s">
        <v>1784</v>
      </c>
      <c r="G448" s="21" t="s">
        <v>43</v>
      </c>
      <c r="H448" s="19" t="s">
        <v>44</v>
      </c>
      <c r="I448" s="19" t="s">
        <v>205</v>
      </c>
      <c r="J448" s="19" t="s">
        <v>64</v>
      </c>
      <c r="K448" s="19" t="s">
        <v>46</v>
      </c>
      <c r="L448" s="19" t="s">
        <v>65</v>
      </c>
      <c r="M448" s="19" t="s">
        <v>229</v>
      </c>
      <c r="N448" s="19" t="s">
        <v>2132</v>
      </c>
      <c r="O448" s="19" t="s">
        <v>229</v>
      </c>
      <c r="P448" s="19" t="s">
        <v>669</v>
      </c>
      <c r="Q448" s="19" t="s">
        <v>2066</v>
      </c>
      <c r="R448" s="19" t="s">
        <v>2133</v>
      </c>
      <c r="S448" s="19"/>
      <c r="T448" s="19" t="s">
        <v>53</v>
      </c>
      <c r="U448" s="19" t="s">
        <v>54</v>
      </c>
      <c r="V448" s="19" t="s">
        <v>105</v>
      </c>
      <c r="W448" s="19" t="s">
        <v>72</v>
      </c>
      <c r="X448" s="19" t="s">
        <v>57</v>
      </c>
      <c r="Y448" s="19"/>
      <c r="Z448" s="19" t="s">
        <v>2134</v>
      </c>
      <c r="AA448" s="19">
        <v>2</v>
      </c>
      <c r="AB448" s="19"/>
      <c r="AC448" s="19" t="s">
        <v>233</v>
      </c>
      <c r="AD448" s="19"/>
      <c r="AE448" s="19"/>
      <c r="AF448" s="19"/>
    </row>
    <row r="449" spans="1:34">
      <c r="A449" s="19">
        <v>441</v>
      </c>
      <c r="B449" s="19" t="s">
        <v>1651</v>
      </c>
      <c r="C449" s="19" t="s">
        <v>656</v>
      </c>
      <c r="D449" s="19" t="str">
        <f>HYPERLINK("http://henontech.com/fieldsafety/harzard/harzard_show.php?rid=24563&amp;url=harzardrecs.php","西三卸料车行走轮安全护罩脱落，操作工操作时，一旦不注意造成左手挤伤，住院治疗一个月，回家休养两个月后康复！")</f>
        <v>西三卸料车行走轮安全护罩脱落，操作工操作时，一旦不注意造成左手挤伤，住院治疗一个月，回家休养两个月后康复！</v>
      </c>
      <c r="E449" s="19" t="s">
        <v>2135</v>
      </c>
      <c r="F449" s="20" t="s">
        <v>42</v>
      </c>
      <c r="G449" s="22" t="s">
        <v>111</v>
      </c>
      <c r="H449" s="19" t="s">
        <v>44</v>
      </c>
      <c r="I449" s="19" t="s">
        <v>129</v>
      </c>
      <c r="J449" s="19" t="s">
        <v>45</v>
      </c>
      <c r="K449" s="19" t="s">
        <v>79</v>
      </c>
      <c r="L449" s="19" t="s">
        <v>65</v>
      </c>
      <c r="M449" s="19" t="s">
        <v>633</v>
      </c>
      <c r="N449" s="19" t="s">
        <v>2136</v>
      </c>
      <c r="O449" s="19" t="s">
        <v>633</v>
      </c>
      <c r="P449" s="19" t="s">
        <v>1268</v>
      </c>
      <c r="Q449" s="19" t="s">
        <v>2085</v>
      </c>
      <c r="R449" s="19" t="s">
        <v>2137</v>
      </c>
      <c r="S449" s="19"/>
      <c r="T449" s="19" t="s">
        <v>53</v>
      </c>
      <c r="U449" s="19" t="s">
        <v>54</v>
      </c>
      <c r="V449" s="19" t="s">
        <v>55</v>
      </c>
      <c r="W449" s="19" t="s">
        <v>56</v>
      </c>
      <c r="X449" s="19"/>
      <c r="Y449" s="19"/>
      <c r="Z449" s="19" t="s">
        <v>2138</v>
      </c>
      <c r="AA449" s="19">
        <v>1</v>
      </c>
      <c r="AB449" s="19">
        <v>1</v>
      </c>
      <c r="AC449" s="19" t="s">
        <v>59</v>
      </c>
      <c r="AD449" s="19" t="s">
        <v>1268</v>
      </c>
      <c r="AE449" s="19" t="s">
        <v>1796</v>
      </c>
      <c r="AF449" s="19"/>
    </row>
    <row r="450" spans="1:34" customHeight="1" ht="42">
      <c r="A450" s="19">
        <v>442</v>
      </c>
      <c r="B450" s="19" t="s">
        <v>1651</v>
      </c>
      <c r="C450" s="19" t="s">
        <v>2139</v>
      </c>
      <c r="D450" s="19" t="str">
        <f>HYPERLINK("http://henontech.com/fieldsafety/harzard/harzard_show.php?rid=24620&amp;url=harzardrecs.php","电机线护套管脱开，会造成电源线老化")</f>
        <v>电机线护套管脱开，会造成电源线老化</v>
      </c>
      <c r="E450" s="19" t="s">
        <v>2140</v>
      </c>
      <c r="F450" s="25" t="s">
        <v>1784</v>
      </c>
      <c r="G450" s="21" t="s">
        <v>43</v>
      </c>
      <c r="H450" s="19" t="s">
        <v>44</v>
      </c>
      <c r="I450" s="19" t="s">
        <v>129</v>
      </c>
      <c r="J450" s="19" t="s">
        <v>64</v>
      </c>
      <c r="K450" s="19" t="s">
        <v>46</v>
      </c>
      <c r="L450" s="19" t="s">
        <v>65</v>
      </c>
      <c r="M450" s="19" t="s">
        <v>229</v>
      </c>
      <c r="N450" s="19" t="s">
        <v>2141</v>
      </c>
      <c r="O450" s="19" t="s">
        <v>229</v>
      </c>
      <c r="P450" s="19" t="s">
        <v>1410</v>
      </c>
      <c r="Q450" s="19" t="s">
        <v>2066</v>
      </c>
      <c r="R450" s="19" t="s">
        <v>2142</v>
      </c>
      <c r="S450" s="19"/>
      <c r="T450" s="19" t="s">
        <v>104</v>
      </c>
      <c r="U450" s="19" t="s">
        <v>94</v>
      </c>
      <c r="V450" s="19" t="s">
        <v>105</v>
      </c>
      <c r="W450" s="19" t="s">
        <v>96</v>
      </c>
      <c r="X450" s="19" t="s">
        <v>57</v>
      </c>
      <c r="Y450" s="19"/>
      <c r="Z450" s="19" t="s">
        <v>2143</v>
      </c>
      <c r="AA450" s="19">
        <v>2</v>
      </c>
      <c r="AB450" s="19"/>
      <c r="AC450" s="19" t="s">
        <v>233</v>
      </c>
      <c r="AD450" s="19"/>
      <c r="AE450" s="19"/>
      <c r="AF450" s="19"/>
    </row>
    <row r="451" spans="1:34" customHeight="1" ht="42">
      <c r="A451" s="19">
        <v>443</v>
      </c>
      <c r="B451" s="19" t="s">
        <v>1632</v>
      </c>
      <c r="C451" s="19" t="s">
        <v>2080</v>
      </c>
      <c r="D451" s="19" t="str">
        <f>HYPERLINK("http://henontech.com/fieldsafety/harzard/harzard_show.php?rid=24658&amp;url=harzardrecs.php","一名工人在换向室打扫卫生时，踩到无防护的电缆时，电缆外皮破损，造成该工人触电受伤")</f>
        <v>一名工人在换向室打扫卫生时，踩到无防护的电缆时，电缆外皮破损，造成该工人触电受伤</v>
      </c>
      <c r="E451" s="19" t="s">
        <v>2144</v>
      </c>
      <c r="F451" s="20" t="s">
        <v>42</v>
      </c>
      <c r="G451" s="21" t="s">
        <v>43</v>
      </c>
      <c r="H451" s="19" t="s">
        <v>44</v>
      </c>
      <c r="I451" s="19" t="s">
        <v>129</v>
      </c>
      <c r="J451" s="19" t="s">
        <v>64</v>
      </c>
      <c r="K451" s="19" t="s">
        <v>79</v>
      </c>
      <c r="L451" s="19" t="s">
        <v>65</v>
      </c>
      <c r="M451" s="19" t="s">
        <v>49</v>
      </c>
      <c r="N451" s="19" t="s">
        <v>459</v>
      </c>
      <c r="O451" s="19" t="s">
        <v>49</v>
      </c>
      <c r="P451" s="19" t="s">
        <v>460</v>
      </c>
      <c r="Q451" s="19" t="s">
        <v>2061</v>
      </c>
      <c r="R451" s="19" t="s">
        <v>2145</v>
      </c>
      <c r="S451" s="19"/>
      <c r="T451" s="19" t="s">
        <v>53</v>
      </c>
      <c r="U451" s="19" t="s">
        <v>54</v>
      </c>
      <c r="V451" s="19" t="s">
        <v>55</v>
      </c>
      <c r="W451" s="19" t="s">
        <v>56</v>
      </c>
      <c r="X451" s="19" t="s">
        <v>150</v>
      </c>
      <c r="Y451" s="19"/>
      <c r="Z451" s="19" t="s">
        <v>2146</v>
      </c>
      <c r="AA451" s="19">
        <v>2</v>
      </c>
      <c r="AB451" s="19">
        <v>2</v>
      </c>
      <c r="AC451" s="19" t="s">
        <v>59</v>
      </c>
      <c r="AD451" s="19" t="s">
        <v>460</v>
      </c>
      <c r="AE451" s="19" t="s">
        <v>2075</v>
      </c>
      <c r="AF451" s="19"/>
    </row>
    <row r="452" spans="1:34" customHeight="1" ht="42">
      <c r="A452" s="19">
        <v>444</v>
      </c>
      <c r="B452" s="19" t="s">
        <v>1632</v>
      </c>
      <c r="C452" s="19" t="s">
        <v>457</v>
      </c>
      <c r="D452" s="19" t="str">
        <f>HYPERLINK("http://henontech.com/fieldsafety/harzard/harzard_show.php?rid=24670&amp;url=harzardrecs.php","拦焦车二层平台行走系统检修孔盖板未盖好、错位，一边翘起，如果一操作工巡检经过时不慎被绊倒，磕伤头部，随即送医包扎、治疗，然后回家休养10天，复工")</f>
        <v>拦焦车二层平台行走系统检修孔盖板未盖好、错位，一边翘起，如果一操作工巡检经过时不慎被绊倒，磕伤头部，随即送医包扎、治疗，然后回家休养10天，复工</v>
      </c>
      <c r="E452" s="19" t="s">
        <v>2147</v>
      </c>
      <c r="F452" s="20" t="s">
        <v>42</v>
      </c>
      <c r="G452" s="21" t="s">
        <v>43</v>
      </c>
      <c r="H452" s="19" t="s">
        <v>44</v>
      </c>
      <c r="I452" s="19" t="s">
        <v>205</v>
      </c>
      <c r="J452" s="19" t="s">
        <v>64</v>
      </c>
      <c r="K452" s="19" t="s">
        <v>46</v>
      </c>
      <c r="L452" s="19" t="s">
        <v>65</v>
      </c>
      <c r="M452" s="19" t="s">
        <v>49</v>
      </c>
      <c r="N452" s="19" t="s">
        <v>591</v>
      </c>
      <c r="O452" s="19" t="s">
        <v>49</v>
      </c>
      <c r="P452" s="19" t="s">
        <v>1601</v>
      </c>
      <c r="Q452" s="19" t="s">
        <v>2061</v>
      </c>
      <c r="R452" s="19" t="s">
        <v>684</v>
      </c>
      <c r="S452" s="19"/>
      <c r="T452" s="19" t="s">
        <v>53</v>
      </c>
      <c r="U452" s="19" t="s">
        <v>54</v>
      </c>
      <c r="V452" s="19" t="s">
        <v>55</v>
      </c>
      <c r="W452" s="19" t="s">
        <v>56</v>
      </c>
      <c r="X452" s="19" t="s">
        <v>57</v>
      </c>
      <c r="Y452" s="19"/>
      <c r="Z452" s="19" t="s">
        <v>2148</v>
      </c>
      <c r="AA452" s="19">
        <v>2</v>
      </c>
      <c r="AB452" s="19">
        <v>2</v>
      </c>
      <c r="AC452" s="19" t="s">
        <v>59</v>
      </c>
      <c r="AD452" s="19" t="s">
        <v>1601</v>
      </c>
      <c r="AE452" s="19" t="s">
        <v>2075</v>
      </c>
      <c r="AF452" s="19"/>
    </row>
    <row r="453" spans="1:34" customHeight="1" ht="42">
      <c r="A453" s="19">
        <v>445</v>
      </c>
      <c r="B453" s="19" t="s">
        <v>1632</v>
      </c>
      <c r="C453" s="19" t="s">
        <v>1236</v>
      </c>
      <c r="D453" s="19" t="str">
        <f>HYPERLINK("http://henontech.com/fieldsafety/harzard/harzard_show.php?rid=24674&amp;url=harzardrecs.php","焦炉南头端台处的应急水管随意乱丢乱放，如果一操作工夜间巡检经过时不慎被绊，倒摔伤头部，随即送医包扎、治疗，然后回家休养12天，复工")</f>
        <v>焦炉南头端台处的应急水管随意乱丢乱放，如果一操作工夜间巡检经过时不慎被绊，倒摔伤头部，随即送医包扎、治疗，然后回家休养12天，复工</v>
      </c>
      <c r="E453" s="19" t="s">
        <v>2149</v>
      </c>
      <c r="F453" s="20" t="s">
        <v>42</v>
      </c>
      <c r="G453" s="21" t="s">
        <v>43</v>
      </c>
      <c r="H453" s="19" t="s">
        <v>44</v>
      </c>
      <c r="I453" s="19" t="s">
        <v>205</v>
      </c>
      <c r="J453" s="19" t="s">
        <v>64</v>
      </c>
      <c r="K453" s="19" t="s">
        <v>46</v>
      </c>
      <c r="L453" s="19" t="s">
        <v>65</v>
      </c>
      <c r="M453" s="19" t="s">
        <v>49</v>
      </c>
      <c r="N453" s="19" t="s">
        <v>1601</v>
      </c>
      <c r="O453" s="19" t="s">
        <v>49</v>
      </c>
      <c r="P453" s="19" t="s">
        <v>310</v>
      </c>
      <c r="Q453" s="19" t="s">
        <v>2061</v>
      </c>
      <c r="R453" s="19" t="s">
        <v>2150</v>
      </c>
      <c r="S453" s="19"/>
      <c r="T453" s="19" t="s">
        <v>53</v>
      </c>
      <c r="U453" s="19" t="s">
        <v>54</v>
      </c>
      <c r="V453" s="19" t="s">
        <v>55</v>
      </c>
      <c r="W453" s="19" t="s">
        <v>56</v>
      </c>
      <c r="X453" s="19" t="s">
        <v>150</v>
      </c>
      <c r="Y453" s="19"/>
      <c r="Z453" s="19" t="s">
        <v>1959</v>
      </c>
      <c r="AA453" s="19">
        <v>2</v>
      </c>
      <c r="AB453" s="19">
        <v>2</v>
      </c>
      <c r="AC453" s="19" t="s">
        <v>59</v>
      </c>
      <c r="AD453" s="19" t="s">
        <v>310</v>
      </c>
      <c r="AE453" s="19" t="s">
        <v>1552</v>
      </c>
      <c r="AF453" s="19" t="s">
        <v>2151</v>
      </c>
    </row>
    <row r="454" spans="1:34" customHeight="1" ht="42">
      <c r="A454" s="19">
        <v>446</v>
      </c>
      <c r="B454" s="19" t="s">
        <v>1632</v>
      </c>
      <c r="C454" s="19" t="s">
        <v>1689</v>
      </c>
      <c r="D454" s="19" t="str">
        <f>HYPERLINK("http://henontech.com/fieldsafety/harzard/harzard_show.php?rid=24867&amp;url=harzardrecs.php","引风机周围下水道盖板缺失选成巡检人员不小心掉入")</f>
        <v>引风机周围下水道盖板缺失选成巡检人员不小心掉入</v>
      </c>
      <c r="E454" s="19" t="s">
        <v>2152</v>
      </c>
      <c r="F454" s="25" t="s">
        <v>1784</v>
      </c>
      <c r="G454" s="21" t="s">
        <v>43</v>
      </c>
      <c r="H454" s="19" t="s">
        <v>709</v>
      </c>
      <c r="I454" s="19" t="s">
        <v>78</v>
      </c>
      <c r="J454" s="19" t="s">
        <v>64</v>
      </c>
      <c r="K454" s="19" t="s">
        <v>302</v>
      </c>
      <c r="L454" s="19" t="s">
        <v>65</v>
      </c>
      <c r="M454" s="19" t="s">
        <v>229</v>
      </c>
      <c r="N454" s="19" t="s">
        <v>1586</v>
      </c>
      <c r="O454" s="19" t="s">
        <v>229</v>
      </c>
      <c r="P454" s="19" t="s">
        <v>669</v>
      </c>
      <c r="Q454" s="19" t="s">
        <v>2066</v>
      </c>
      <c r="R454" s="19" t="s">
        <v>2153</v>
      </c>
      <c r="S454" s="19"/>
      <c r="T454" s="19" t="s">
        <v>53</v>
      </c>
      <c r="U454" s="19" t="s">
        <v>71</v>
      </c>
      <c r="V454" s="19" t="s">
        <v>105</v>
      </c>
      <c r="W454" s="19" t="s">
        <v>96</v>
      </c>
      <c r="X454" s="19" t="s">
        <v>57</v>
      </c>
      <c r="Y454" s="19"/>
      <c r="Z454" s="19" t="s">
        <v>2154</v>
      </c>
      <c r="AA454" s="19">
        <v>2</v>
      </c>
      <c r="AB454" s="19"/>
      <c r="AC454" s="19" t="s">
        <v>233</v>
      </c>
      <c r="AD454" s="19"/>
      <c r="AE454" s="19"/>
      <c r="AF454" s="19"/>
    </row>
    <row r="455" spans="1:34" customHeight="1" ht="42">
      <c r="A455" s="19">
        <v>447</v>
      </c>
      <c r="B455" s="19" t="s">
        <v>1632</v>
      </c>
      <c r="C455" s="19" t="s">
        <v>2155</v>
      </c>
      <c r="D455" s="19" t="str">
        <f>HYPERLINK("http://henontech.com/fieldsafety/harzard/harzard_show.php?rid=24907&amp;url=harzardrecs.php","推焦三层平台护栏开焊，如果一员工去堵烟，不慎摔落平台，造成右小腿骨折，住院15天，回家休养3个月，复工。")</f>
        <v>推焦三层平台护栏开焊，如果一员工去堵烟，不慎摔落平台，造成右小腿骨折，住院15天，回家休养3个月，复工。</v>
      </c>
      <c r="E455" s="19" t="s">
        <v>2156</v>
      </c>
      <c r="F455" s="20" t="s">
        <v>42</v>
      </c>
      <c r="G455" s="21" t="s">
        <v>43</v>
      </c>
      <c r="H455" s="19" t="s">
        <v>44</v>
      </c>
      <c r="I455" s="19" t="s">
        <v>205</v>
      </c>
      <c r="J455" s="19" t="s">
        <v>45</v>
      </c>
      <c r="K455" s="19" t="s">
        <v>46</v>
      </c>
      <c r="L455" s="19" t="s">
        <v>65</v>
      </c>
      <c r="M455" s="19" t="s">
        <v>49</v>
      </c>
      <c r="N455" s="19" t="s">
        <v>2157</v>
      </c>
      <c r="O455" s="19" t="s">
        <v>49</v>
      </c>
      <c r="P455" s="19" t="s">
        <v>460</v>
      </c>
      <c r="Q455" s="19" t="s">
        <v>2085</v>
      </c>
      <c r="R455" s="19" t="s">
        <v>801</v>
      </c>
      <c r="S455" s="19"/>
      <c r="T455" s="19" t="s">
        <v>53</v>
      </c>
      <c r="U455" s="19" t="s">
        <v>54</v>
      </c>
      <c r="V455" s="19" t="s">
        <v>55</v>
      </c>
      <c r="W455" s="19" t="s">
        <v>56</v>
      </c>
      <c r="X455" s="19" t="s">
        <v>57</v>
      </c>
      <c r="Y455" s="19"/>
      <c r="Z455" s="19" t="s">
        <v>2158</v>
      </c>
      <c r="AA455" s="19">
        <v>2</v>
      </c>
      <c r="AB455" s="19">
        <v>2</v>
      </c>
      <c r="AC455" s="19" t="s">
        <v>59</v>
      </c>
      <c r="AD455" s="19" t="s">
        <v>460</v>
      </c>
      <c r="AE455" s="19" t="s">
        <v>1564</v>
      </c>
      <c r="AF455" s="19"/>
    </row>
    <row r="456" spans="1:34">
      <c r="A456" s="19">
        <v>448</v>
      </c>
      <c r="B456" s="19" t="s">
        <v>1632</v>
      </c>
      <c r="C456" s="19" t="s">
        <v>2155</v>
      </c>
      <c r="D456" s="19" t="str">
        <f>HYPERLINK("http://henontech.com/fieldsafety/harzard/harzard_show.php?rid=24908&amp;url=harzardrecs.php","干熄车平台容易积攒灰尘和焦炭块，空间狭小没有防护栏。本岗位一名操作工在清理卫生时左脚不慎踩到焦块，从2米高的平台处坠落地面，导致左腿骨折。住院一个月在家疗养两个月，一人损工事故。")</f>
        <v>干熄车平台容易积攒灰尘和焦炭块，空间狭小没有防护栏。本岗位一名操作工在清理卫生时左脚不慎踩到焦块，从2米高的平台处坠落地面，导致左腿骨折。住院一个月在家疗养两个月，一人损工事故。</v>
      </c>
      <c r="E456" s="19" t="s">
        <v>2159</v>
      </c>
      <c r="F456" s="23" t="s">
        <v>227</v>
      </c>
      <c r="G456" s="21" t="s">
        <v>43</v>
      </c>
      <c r="H456" s="19" t="s">
        <v>44</v>
      </c>
      <c r="I456" s="19" t="s">
        <v>205</v>
      </c>
      <c r="J456" s="19" t="s">
        <v>45</v>
      </c>
      <c r="K456" s="19" t="s">
        <v>302</v>
      </c>
      <c r="L456" s="19" t="s">
        <v>65</v>
      </c>
      <c r="M456" s="19" t="s">
        <v>49</v>
      </c>
      <c r="N456" s="19" t="s">
        <v>1656</v>
      </c>
      <c r="O456" s="19"/>
      <c r="P456" s="19"/>
      <c r="Q456" s="19"/>
      <c r="R456" s="19" t="s">
        <v>461</v>
      </c>
      <c r="S456" s="19" t="s">
        <v>2160</v>
      </c>
      <c r="T456" s="19" t="s">
        <v>53</v>
      </c>
      <c r="U456" s="19" t="s">
        <v>71</v>
      </c>
      <c r="V456" s="19" t="s">
        <v>55</v>
      </c>
      <c r="W456" s="19" t="s">
        <v>72</v>
      </c>
      <c r="X456" s="19"/>
      <c r="Y456" s="19"/>
      <c r="Z456" s="19"/>
      <c r="AA456" s="19">
        <v>0</v>
      </c>
      <c r="AB456" s="19"/>
      <c r="AC456" s="19" t="s">
        <v>233</v>
      </c>
      <c r="AD456" s="19"/>
      <c r="AE456" s="19"/>
      <c r="AF456" s="19"/>
    </row>
    <row r="457" spans="1:34">
      <c r="A457" s="19">
        <v>449</v>
      </c>
      <c r="B457" s="19" t="s">
        <v>1632</v>
      </c>
      <c r="C457" s="19" t="s">
        <v>531</v>
      </c>
      <c r="D457" s="19" t="str">
        <f>HYPERLINK("http://henontech.com/fieldsafety/harzard/harzard_show.php?rid=24909&amp;url=harzardrecs.php","化产车间粗苯终冷塔处废水管道铝皮开裂，如果一名巡检工从开裂铝皮下面经过，铝皮不慎掉落，砸到巡检工头部，经送医确诊，巡检工头部轻微脑震荡。")</f>
        <v>化产车间粗苯终冷塔处废水管道铝皮开裂，如果一名巡检工从开裂铝皮下面经过，铝皮不慎掉落，砸到巡检工头部，经送医确诊，巡检工头部轻微脑震荡。</v>
      </c>
      <c r="E457" s="19" t="s">
        <v>2161</v>
      </c>
      <c r="F457" s="25" t="s">
        <v>1784</v>
      </c>
      <c r="G457" s="21" t="s">
        <v>43</v>
      </c>
      <c r="H457" s="19" t="s">
        <v>44</v>
      </c>
      <c r="I457" s="19" t="s">
        <v>78</v>
      </c>
      <c r="J457" s="19" t="s">
        <v>64</v>
      </c>
      <c r="K457" s="19" t="s">
        <v>46</v>
      </c>
      <c r="L457" s="19" t="s">
        <v>65</v>
      </c>
      <c r="M457" s="19" t="s">
        <v>66</v>
      </c>
      <c r="N457" s="19" t="s">
        <v>1034</v>
      </c>
      <c r="O457" s="19" t="s">
        <v>66</v>
      </c>
      <c r="P457" s="19" t="s">
        <v>68</v>
      </c>
      <c r="Q457" s="19" t="s">
        <v>2061</v>
      </c>
      <c r="R457" s="19" t="s">
        <v>2162</v>
      </c>
      <c r="S457" s="19"/>
      <c r="T457" s="19" t="s">
        <v>53</v>
      </c>
      <c r="U457" s="19" t="s">
        <v>54</v>
      </c>
      <c r="V457" s="19" t="s">
        <v>105</v>
      </c>
      <c r="W457" s="19" t="s">
        <v>72</v>
      </c>
      <c r="X457" s="19"/>
      <c r="Y457" s="19"/>
      <c r="Z457" s="19" t="s">
        <v>2163</v>
      </c>
      <c r="AA457" s="19">
        <v>1</v>
      </c>
      <c r="AB457" s="19"/>
      <c r="AC457" s="19" t="s">
        <v>233</v>
      </c>
      <c r="AD457" s="19"/>
      <c r="AE457" s="19"/>
      <c r="AF457" s="19"/>
    </row>
    <row r="458" spans="1:34">
      <c r="A458" s="19">
        <v>450</v>
      </c>
      <c r="B458" s="19" t="s">
        <v>1632</v>
      </c>
      <c r="C458" s="19" t="s">
        <v>1925</v>
      </c>
      <c r="D458" s="19" t="str">
        <f>HYPERLINK("http://henontech.com/fieldsafety/harzard/harzard_show.php?rid=24944&amp;url=harzardrecs.php","因防护栏套管缺失，起不到防护作用，一旦操作工在清理皮带机卫生时误操作，容易造成右手卷入托辊的伤害，送医院检查：右手手指骨折，住院治疗7天，在家修养2个月")</f>
        <v>因防护栏套管缺失，起不到防护作用，一旦操作工在清理皮带机卫生时误操作，容易造成右手卷入托辊的伤害，送医院检查：右手手指骨折，住院治疗7天，在家修养2个月</v>
      </c>
      <c r="E458" s="19" t="s">
        <v>2164</v>
      </c>
      <c r="F458" s="20" t="s">
        <v>42</v>
      </c>
      <c r="G458" s="21" t="s">
        <v>43</v>
      </c>
      <c r="H458" s="19" t="s">
        <v>44</v>
      </c>
      <c r="I458" s="19" t="s">
        <v>78</v>
      </c>
      <c r="J458" s="19"/>
      <c r="K458" s="19"/>
      <c r="L458" s="19" t="s">
        <v>65</v>
      </c>
      <c r="M458" s="19" t="s">
        <v>633</v>
      </c>
      <c r="N458" s="19" t="s">
        <v>2165</v>
      </c>
      <c r="O458" s="19" t="s">
        <v>633</v>
      </c>
      <c r="P458" s="19" t="s">
        <v>1268</v>
      </c>
      <c r="Q458" s="19" t="s">
        <v>2085</v>
      </c>
      <c r="R458" s="19" t="s">
        <v>2166</v>
      </c>
      <c r="S458" s="19"/>
      <c r="T458" s="19" t="s">
        <v>53</v>
      </c>
      <c r="U458" s="19" t="s">
        <v>54</v>
      </c>
      <c r="V458" s="19" t="s">
        <v>55</v>
      </c>
      <c r="W458" s="19" t="s">
        <v>56</v>
      </c>
      <c r="X458" s="19"/>
      <c r="Y458" s="19"/>
      <c r="Z458" s="19" t="s">
        <v>2167</v>
      </c>
      <c r="AA458" s="19">
        <v>1</v>
      </c>
      <c r="AB458" s="19">
        <v>1</v>
      </c>
      <c r="AC458" s="19" t="s">
        <v>59</v>
      </c>
      <c r="AD458" s="19" t="s">
        <v>1268</v>
      </c>
      <c r="AE458" s="19" t="s">
        <v>1796</v>
      </c>
      <c r="AF458" s="19"/>
    </row>
    <row r="459" spans="1:34">
      <c r="A459" s="19">
        <v>451</v>
      </c>
      <c r="B459" s="19" t="s">
        <v>1632</v>
      </c>
      <c r="C459" s="19" t="s">
        <v>2004</v>
      </c>
      <c r="D459" s="19" t="str">
        <f>HYPERLINK("http://henontech.com/fieldsafety/harzard/harzard_show.php?rid=24948&amp;url=harzardrecs.php","西四岗位南边水沟盖板安装不到位，一职工路过时一旦脚踩空掉入，造成右脚脚踝擦伤，去医务室敷药后不影响工作")</f>
        <v>西四岗位南边水沟盖板安装不到位，一职工路过时一旦脚踩空掉入，造成右脚脚踝擦伤，去医务室敷药后不影响工作</v>
      </c>
      <c r="E459" s="19" t="s">
        <v>2168</v>
      </c>
      <c r="F459" s="20" t="s">
        <v>42</v>
      </c>
      <c r="G459" s="21" t="s">
        <v>43</v>
      </c>
      <c r="H459" s="19" t="s">
        <v>44</v>
      </c>
      <c r="I459" s="19" t="s">
        <v>78</v>
      </c>
      <c r="J459" s="19"/>
      <c r="K459" s="19"/>
      <c r="L459" s="19" t="s">
        <v>65</v>
      </c>
      <c r="M459" s="19" t="s">
        <v>633</v>
      </c>
      <c r="N459" s="19" t="s">
        <v>2169</v>
      </c>
      <c r="O459" s="19" t="s">
        <v>633</v>
      </c>
      <c r="P459" s="19" t="s">
        <v>1268</v>
      </c>
      <c r="Q459" s="19" t="s">
        <v>2085</v>
      </c>
      <c r="R459" s="19" t="s">
        <v>2170</v>
      </c>
      <c r="S459" s="19"/>
      <c r="T459" s="19" t="s">
        <v>53</v>
      </c>
      <c r="U459" s="19" t="s">
        <v>71</v>
      </c>
      <c r="V459" s="19" t="s">
        <v>55</v>
      </c>
      <c r="W459" s="19" t="s">
        <v>72</v>
      </c>
      <c r="X459" s="19"/>
      <c r="Y459" s="19"/>
      <c r="Z459" s="19" t="s">
        <v>2171</v>
      </c>
      <c r="AA459" s="19">
        <v>1</v>
      </c>
      <c r="AB459" s="19">
        <v>1</v>
      </c>
      <c r="AC459" s="19" t="s">
        <v>59</v>
      </c>
      <c r="AD459" s="19" t="s">
        <v>1268</v>
      </c>
      <c r="AE459" s="19" t="s">
        <v>1796</v>
      </c>
      <c r="AF459" s="19"/>
    </row>
    <row r="460" spans="1:34" customHeight="1" ht="42">
      <c r="A460" s="19">
        <v>452</v>
      </c>
      <c r="B460" s="19" t="s">
        <v>1632</v>
      </c>
      <c r="C460" s="19" t="s">
        <v>1580</v>
      </c>
      <c r="D460" s="19" t="str">
        <f>HYPERLINK("http://henontech.com/fieldsafety/harzard/harzard_show.php?rid=24949&amp;url=harzardrecs.php","送煤车接煤板南侧平台腐蚀漏洞，操作工铲煤时不小心落入，造成脚部骨折")</f>
        <v>送煤车接煤板南侧平台腐蚀漏洞，操作工铲煤时不小心落入，造成脚部骨折</v>
      </c>
      <c r="E460" s="19" t="s">
        <v>2172</v>
      </c>
      <c r="F460" s="20" t="s">
        <v>42</v>
      </c>
      <c r="G460" s="21" t="s">
        <v>43</v>
      </c>
      <c r="H460" s="19" t="s">
        <v>44</v>
      </c>
      <c r="I460" s="19" t="s">
        <v>205</v>
      </c>
      <c r="J460" s="19" t="s">
        <v>64</v>
      </c>
      <c r="K460" s="19" t="s">
        <v>46</v>
      </c>
      <c r="L460" s="19" t="s">
        <v>65</v>
      </c>
      <c r="M460" s="19" t="s">
        <v>49</v>
      </c>
      <c r="N460" s="19" t="s">
        <v>1626</v>
      </c>
      <c r="O460" s="19" t="s">
        <v>49</v>
      </c>
      <c r="P460" s="19" t="s">
        <v>460</v>
      </c>
      <c r="Q460" s="19" t="s">
        <v>2061</v>
      </c>
      <c r="R460" s="19" t="s">
        <v>2173</v>
      </c>
      <c r="S460" s="19"/>
      <c r="T460" s="19" t="s">
        <v>53</v>
      </c>
      <c r="U460" s="19" t="s">
        <v>54</v>
      </c>
      <c r="V460" s="19" t="s">
        <v>55</v>
      </c>
      <c r="W460" s="19" t="s">
        <v>56</v>
      </c>
      <c r="X460" s="19" t="s">
        <v>57</v>
      </c>
      <c r="Y460" s="19"/>
      <c r="Z460" s="19" t="s">
        <v>2174</v>
      </c>
      <c r="AA460" s="19">
        <v>2</v>
      </c>
      <c r="AB460" s="19">
        <v>2</v>
      </c>
      <c r="AC460" s="19" t="s">
        <v>59</v>
      </c>
      <c r="AD460" s="19" t="s">
        <v>460</v>
      </c>
      <c r="AE460" s="19" t="s">
        <v>1564</v>
      </c>
      <c r="AF460" s="19"/>
    </row>
    <row r="461" spans="1:34" customHeight="1" ht="42">
      <c r="A461" s="19">
        <v>453</v>
      </c>
      <c r="B461" s="19" t="s">
        <v>1738</v>
      </c>
      <c r="C461" s="19" t="s">
        <v>1693</v>
      </c>
      <c r="D461" s="19" t="str">
        <f>HYPERLINK("http://henontech.com/fieldsafety/harzard/harzard_show.php?rid=25007&amp;url=harzardrecs.php","熄焦道轨西侧一块废弃的衬板，假设一名操作工在巡检时被拌倒致使右手臂骨折就医")</f>
        <v>熄焦道轨西侧一块废弃的衬板，假设一名操作工在巡检时被拌倒致使右手臂骨折就医</v>
      </c>
      <c r="E461" s="19" t="s">
        <v>2175</v>
      </c>
      <c r="F461" s="20" t="s">
        <v>42</v>
      </c>
      <c r="G461" s="21" t="s">
        <v>43</v>
      </c>
      <c r="H461" s="19" t="s">
        <v>44</v>
      </c>
      <c r="I461" s="19" t="s">
        <v>205</v>
      </c>
      <c r="J461" s="19" t="s">
        <v>64</v>
      </c>
      <c r="K461" s="19" t="s">
        <v>46</v>
      </c>
      <c r="L461" s="19" t="s">
        <v>662</v>
      </c>
      <c r="M461" s="19" t="s">
        <v>49</v>
      </c>
      <c r="N461" s="19" t="s">
        <v>871</v>
      </c>
      <c r="O461" s="19" t="s">
        <v>49</v>
      </c>
      <c r="P461" s="19" t="s">
        <v>1260</v>
      </c>
      <c r="Q461" s="19" t="s">
        <v>2176</v>
      </c>
      <c r="R461" s="19" t="s">
        <v>2177</v>
      </c>
      <c r="S461" s="19"/>
      <c r="T461" s="19" t="s">
        <v>53</v>
      </c>
      <c r="U461" s="19" t="s">
        <v>54</v>
      </c>
      <c r="V461" s="19" t="s">
        <v>55</v>
      </c>
      <c r="W461" s="19" t="s">
        <v>56</v>
      </c>
      <c r="X461" s="19" t="s">
        <v>150</v>
      </c>
      <c r="Y461" s="19"/>
      <c r="Z461" s="19" t="s">
        <v>2178</v>
      </c>
      <c r="AA461" s="19">
        <v>2</v>
      </c>
      <c r="AB461" s="19">
        <v>2</v>
      </c>
      <c r="AC461" s="19" t="s">
        <v>59</v>
      </c>
      <c r="AD461" s="19" t="s">
        <v>1260</v>
      </c>
      <c r="AE461" s="19" t="s">
        <v>1414</v>
      </c>
      <c r="AF461" s="19"/>
    </row>
    <row r="462" spans="1:34">
      <c r="A462" s="19">
        <v>454</v>
      </c>
      <c r="B462" s="19" t="s">
        <v>1738</v>
      </c>
      <c r="C462" s="19" t="s">
        <v>1878</v>
      </c>
      <c r="D462" s="19" t="str">
        <f>HYPERLINK("http://henontech.com/fieldsafety/harzard/harzard_show.php?rid=25054&amp;url=harzardrecs.php","西硫铵工段终冷器蒸汽管道保温铝皮脱落，如果在大风天气人员从此处经过可能被掉落的铝皮轻微划伤脸部，简单包扎后能正常工作")</f>
        <v>西硫铵工段终冷器蒸汽管道保温铝皮脱落，如果在大风天气人员从此处经过可能被掉落的铝皮轻微划伤脸部，简单包扎后能正常工作</v>
      </c>
      <c r="E462" s="19" t="s">
        <v>2179</v>
      </c>
      <c r="F462" s="25" t="s">
        <v>1784</v>
      </c>
      <c r="G462" s="21" t="s">
        <v>43</v>
      </c>
      <c r="H462" s="19" t="s">
        <v>44</v>
      </c>
      <c r="I462" s="19" t="s">
        <v>78</v>
      </c>
      <c r="J462" s="19" t="s">
        <v>64</v>
      </c>
      <c r="K462" s="19" t="s">
        <v>46</v>
      </c>
      <c r="L462" s="19" t="s">
        <v>65</v>
      </c>
      <c r="M462" s="19" t="s">
        <v>66</v>
      </c>
      <c r="N462" s="19" t="s">
        <v>1101</v>
      </c>
      <c r="O462" s="19" t="s">
        <v>66</v>
      </c>
      <c r="P462" s="19" t="s">
        <v>68</v>
      </c>
      <c r="Q462" s="19" t="s">
        <v>2061</v>
      </c>
      <c r="R462" s="19" t="s">
        <v>2180</v>
      </c>
      <c r="S462" s="19"/>
      <c r="T462" s="19" t="s">
        <v>53</v>
      </c>
      <c r="U462" s="19" t="s">
        <v>71</v>
      </c>
      <c r="V462" s="19" t="s">
        <v>105</v>
      </c>
      <c r="W462" s="19" t="s">
        <v>96</v>
      </c>
      <c r="X462" s="19"/>
      <c r="Y462" s="19"/>
      <c r="Z462" s="19" t="s">
        <v>2163</v>
      </c>
      <c r="AA462" s="19">
        <v>1</v>
      </c>
      <c r="AB462" s="19"/>
      <c r="AC462" s="19" t="s">
        <v>233</v>
      </c>
      <c r="AD462" s="19"/>
      <c r="AE462" s="19"/>
      <c r="AF462" s="19"/>
    </row>
    <row r="463" spans="1:34" customHeight="1" ht="42">
      <c r="A463" s="19">
        <v>455</v>
      </c>
      <c r="B463" s="19" t="s">
        <v>1738</v>
      </c>
      <c r="C463" s="19" t="s">
        <v>1431</v>
      </c>
      <c r="D463" s="19" t="str">
        <f>HYPERLINK("http://henontech.com/fieldsafety/harzard/harzard_show.php?rid=25062&amp;url=harzardrecs.php","新化学水地面货物底座破损，一名巡检工，巡检时不小心绊倒，导致右手臂骨折，送医院救治。")</f>
        <v>新化学水地面货物底座破损，一名巡检工，巡检时不小心绊倒，导致右手臂骨折，送医院救治。</v>
      </c>
      <c r="E463" s="19" t="s">
        <v>1615</v>
      </c>
      <c r="F463" s="25" t="s">
        <v>1784</v>
      </c>
      <c r="G463" s="21" t="s">
        <v>43</v>
      </c>
      <c r="H463" s="19" t="s">
        <v>44</v>
      </c>
      <c r="I463" s="19" t="s">
        <v>205</v>
      </c>
      <c r="J463" s="19" t="s">
        <v>64</v>
      </c>
      <c r="K463" s="19" t="s">
        <v>88</v>
      </c>
      <c r="L463" s="19"/>
      <c r="M463" s="19" t="s">
        <v>229</v>
      </c>
      <c r="N463" s="19" t="s">
        <v>2181</v>
      </c>
      <c r="O463" s="19" t="s">
        <v>229</v>
      </c>
      <c r="P463" s="19" t="s">
        <v>669</v>
      </c>
      <c r="Q463" s="19" t="s">
        <v>2066</v>
      </c>
      <c r="R463" s="19" t="s">
        <v>2182</v>
      </c>
      <c r="S463" s="19"/>
      <c r="T463" s="19" t="s">
        <v>53</v>
      </c>
      <c r="U463" s="19" t="s">
        <v>54</v>
      </c>
      <c r="V463" s="19" t="s">
        <v>55</v>
      </c>
      <c r="W463" s="19" t="s">
        <v>56</v>
      </c>
      <c r="X463" s="19" t="s">
        <v>57</v>
      </c>
      <c r="Y463" s="19"/>
      <c r="Z463" s="19" t="s">
        <v>2183</v>
      </c>
      <c r="AA463" s="19">
        <v>2</v>
      </c>
      <c r="AB463" s="19"/>
      <c r="AC463" s="19" t="s">
        <v>233</v>
      </c>
      <c r="AD463" s="19"/>
      <c r="AE463" s="19"/>
      <c r="AF463" s="19"/>
    </row>
    <row r="464" spans="1:34">
      <c r="A464" s="19">
        <v>456</v>
      </c>
      <c r="B464" s="19" t="s">
        <v>1738</v>
      </c>
      <c r="C464" s="19" t="s">
        <v>2184</v>
      </c>
      <c r="D464" s="19" t="str">
        <f>HYPERLINK("http://henontech.com/fieldsafety/harzard/harzard_show.php?rid=25064&amp;url=harzardrecs.php","3#皮带输煤通廊安装普通照明，存在火灾爆炸安全隐患，造成设备损坏，人员受伤。")</f>
        <v>3#皮带输煤通廊安装普通照明，存在火灾爆炸安全隐患，造成设备损坏，人员受伤。</v>
      </c>
      <c r="E464" s="19" t="s">
        <v>2185</v>
      </c>
      <c r="F464" s="23" t="s">
        <v>227</v>
      </c>
      <c r="G464" s="21" t="s">
        <v>43</v>
      </c>
      <c r="H464" s="19" t="s">
        <v>44</v>
      </c>
      <c r="I464" s="19" t="s">
        <v>129</v>
      </c>
      <c r="J464" s="19" t="s">
        <v>64</v>
      </c>
      <c r="K464" s="19" t="s">
        <v>88</v>
      </c>
      <c r="L464" s="19" t="s">
        <v>65</v>
      </c>
      <c r="M464" s="19" t="s">
        <v>229</v>
      </c>
      <c r="N464" s="19" t="s">
        <v>1522</v>
      </c>
      <c r="O464" s="19"/>
      <c r="P464" s="19"/>
      <c r="Q464" s="19"/>
      <c r="R464" s="19" t="s">
        <v>2186</v>
      </c>
      <c r="S464" s="19" t="s">
        <v>2059</v>
      </c>
      <c r="T464" s="19" t="s">
        <v>53</v>
      </c>
      <c r="U464" s="19" t="s">
        <v>54</v>
      </c>
      <c r="V464" s="19" t="s">
        <v>105</v>
      </c>
      <c r="W464" s="19" t="s">
        <v>72</v>
      </c>
      <c r="X464" s="19"/>
      <c r="Y464" s="19"/>
      <c r="Z464" s="19"/>
      <c r="AA464" s="19">
        <v>0</v>
      </c>
      <c r="AB464" s="19"/>
      <c r="AC464" s="19" t="s">
        <v>233</v>
      </c>
      <c r="AD464" s="19"/>
      <c r="AE464" s="19"/>
      <c r="AF464" s="19"/>
    </row>
    <row r="465" spans="1:34">
      <c r="A465" s="19">
        <v>457</v>
      </c>
      <c r="B465" s="19" t="s">
        <v>1738</v>
      </c>
      <c r="C465" s="19" t="s">
        <v>531</v>
      </c>
      <c r="D465" s="19" t="str">
        <f>HYPERLINK("http://henontech.com/fieldsafety/harzard/harzard_show.php?rid=25069&amp;url=harzardrecs.php","化产车间粗苯南泵房管架上部铝皮未清理，大风天气，如果一名巡检工巡检到铝皮下面时，铝皮被大风刮落，砸到巡检工头部，经送医诊断，巡检工头部轻微伤。")</f>
        <v>化产车间粗苯南泵房管架上部铝皮未清理，大风天气，如果一名巡检工巡检到铝皮下面时，铝皮被大风刮落，砸到巡检工头部，经送医诊断，巡检工头部轻微伤。</v>
      </c>
      <c r="E465" s="19" t="s">
        <v>2187</v>
      </c>
      <c r="F465" s="20" t="s">
        <v>42</v>
      </c>
      <c r="G465" s="21" t="s">
        <v>43</v>
      </c>
      <c r="H465" s="19" t="s">
        <v>44</v>
      </c>
      <c r="I465" s="19" t="s">
        <v>78</v>
      </c>
      <c r="J465" s="19" t="s">
        <v>64</v>
      </c>
      <c r="K465" s="19" t="s">
        <v>46</v>
      </c>
      <c r="L465" s="19" t="s">
        <v>65</v>
      </c>
      <c r="M465" s="19" t="s">
        <v>66</v>
      </c>
      <c r="N465" s="19" t="s">
        <v>2188</v>
      </c>
      <c r="O465" s="19" t="s">
        <v>66</v>
      </c>
      <c r="P465" s="19" t="s">
        <v>68</v>
      </c>
      <c r="Q465" s="19" t="s">
        <v>2061</v>
      </c>
      <c r="R465" s="19" t="s">
        <v>2189</v>
      </c>
      <c r="S465" s="19"/>
      <c r="T465" s="19" t="s">
        <v>53</v>
      </c>
      <c r="U465" s="19" t="s">
        <v>54</v>
      </c>
      <c r="V465" s="19" t="s">
        <v>105</v>
      </c>
      <c r="W465" s="19" t="s">
        <v>72</v>
      </c>
      <c r="X465" s="19"/>
      <c r="Y465" s="19"/>
      <c r="Z465" s="19" t="s">
        <v>2190</v>
      </c>
      <c r="AA465" s="19">
        <v>1</v>
      </c>
      <c r="AB465" s="19">
        <v>1</v>
      </c>
      <c r="AC465" s="19" t="s">
        <v>59</v>
      </c>
      <c r="AD465" s="19" t="s">
        <v>68</v>
      </c>
      <c r="AE465" s="19" t="s">
        <v>1796</v>
      </c>
      <c r="AF465" s="19"/>
    </row>
    <row r="466" spans="1:34">
      <c r="A466" s="19">
        <v>458</v>
      </c>
      <c r="B466" s="19" t="s">
        <v>1738</v>
      </c>
      <c r="C466" s="19" t="s">
        <v>2191</v>
      </c>
      <c r="D466" s="19" t="str">
        <f>HYPERLINK("http://henontech.com/fieldsafety/harzard/harzard_show.php?rid=25099&amp;url=harzardrecs.php","碳化塔北侧地沟盖板缺失，夜班1名巡检人员在巡检时不小心掉入地沟膝盖及小腿多处擦伤")</f>
        <v>碳化塔北侧地沟盖板缺失，夜班1名巡检人员在巡检时不小心掉入地沟膝盖及小腿多处擦伤</v>
      </c>
      <c r="E466" s="19" t="s">
        <v>2192</v>
      </c>
      <c r="F466" s="20" t="s">
        <v>42</v>
      </c>
      <c r="G466" s="21" t="s">
        <v>43</v>
      </c>
      <c r="H466" s="19" t="s">
        <v>44</v>
      </c>
      <c r="I466" s="19" t="s">
        <v>78</v>
      </c>
      <c r="J466" s="19" t="s">
        <v>45</v>
      </c>
      <c r="K466" s="19" t="s">
        <v>46</v>
      </c>
      <c r="L466" s="19"/>
      <c r="M466" s="19" t="s">
        <v>146</v>
      </c>
      <c r="N466" s="19" t="s">
        <v>931</v>
      </c>
      <c r="O466" s="19" t="s">
        <v>146</v>
      </c>
      <c r="P466" s="19" t="s">
        <v>1084</v>
      </c>
      <c r="Q466" s="19" t="s">
        <v>2085</v>
      </c>
      <c r="R466" s="19" t="s">
        <v>2193</v>
      </c>
      <c r="S466" s="19"/>
      <c r="T466" s="19" t="s">
        <v>53</v>
      </c>
      <c r="U466" s="19" t="s">
        <v>71</v>
      </c>
      <c r="V466" s="19" t="s">
        <v>105</v>
      </c>
      <c r="W466" s="19" t="s">
        <v>96</v>
      </c>
      <c r="X466" s="19" t="s">
        <v>150</v>
      </c>
      <c r="Y466" s="19" t="s">
        <v>150</v>
      </c>
      <c r="Z466" s="19" t="s">
        <v>2194</v>
      </c>
      <c r="AA466" s="19">
        <v>1</v>
      </c>
      <c r="AB466" s="19">
        <v>0</v>
      </c>
      <c r="AC466" s="19" t="s">
        <v>59</v>
      </c>
      <c r="AD466" s="19" t="s">
        <v>1084</v>
      </c>
      <c r="AE466" s="19" t="s">
        <v>1796</v>
      </c>
      <c r="AF466" s="19"/>
    </row>
    <row r="467" spans="1:34">
      <c r="A467" s="19">
        <v>459</v>
      </c>
      <c r="B467" s="19" t="s">
        <v>1738</v>
      </c>
      <c r="C467" s="19" t="s">
        <v>2195</v>
      </c>
      <c r="D467" s="19" t="str">
        <f>HYPERLINK("http://henontech.com/fieldsafety/harzard/harzard_show.php?rid=25126&amp;url=harzardrecs.php","污水2#站推拉大门，因大门北头没有焊接安全限位销，一名巡检人员在关闭大门时，南头没有进入关闭固定扣内，大门脱离两端固定扣后，砸到推拉人员身上，造成肩部骨折住院治疗，休养三个月。")</f>
        <v>污水2#站推拉大门，因大门北头没有焊接安全限位销，一名巡检人员在关闭大门时，南头没有进入关闭固定扣内，大门脱离两端固定扣后，砸到推拉人员身上，造成肩部骨折住院治疗，休养三个月。</v>
      </c>
      <c r="E467" s="19" t="s">
        <v>2196</v>
      </c>
      <c r="F467" s="20" t="s">
        <v>42</v>
      </c>
      <c r="G467" s="21" t="s">
        <v>43</v>
      </c>
      <c r="H467" s="19" t="s">
        <v>44</v>
      </c>
      <c r="I467" s="19"/>
      <c r="J467" s="19" t="s">
        <v>45</v>
      </c>
      <c r="K467" s="19"/>
      <c r="L467" s="19"/>
      <c r="M467" s="19" t="s">
        <v>89</v>
      </c>
      <c r="N467" s="19" t="s">
        <v>2197</v>
      </c>
      <c r="O467" s="19" t="s">
        <v>89</v>
      </c>
      <c r="P467" s="19" t="s">
        <v>2198</v>
      </c>
      <c r="Q467" s="19" t="s">
        <v>2199</v>
      </c>
      <c r="R467" s="19" t="s">
        <v>2200</v>
      </c>
      <c r="S467" s="19"/>
      <c r="T467" s="19" t="s">
        <v>53</v>
      </c>
      <c r="U467" s="19" t="s">
        <v>54</v>
      </c>
      <c r="V467" s="19" t="s">
        <v>55</v>
      </c>
      <c r="W467" s="19" t="s">
        <v>56</v>
      </c>
      <c r="X467" s="19" t="s">
        <v>57</v>
      </c>
      <c r="Y467" s="19" t="s">
        <v>57</v>
      </c>
      <c r="Z467" s="19" t="s">
        <v>2201</v>
      </c>
      <c r="AA467" s="19">
        <v>1</v>
      </c>
      <c r="AB467" s="19">
        <v>1</v>
      </c>
      <c r="AC467" s="19" t="s">
        <v>59</v>
      </c>
      <c r="AD467" s="19" t="s">
        <v>2198</v>
      </c>
      <c r="AE467" s="19" t="s">
        <v>2202</v>
      </c>
      <c r="AF467" s="19"/>
    </row>
    <row r="468" spans="1:34">
      <c r="A468" s="19">
        <v>460</v>
      </c>
      <c r="B468" s="19" t="s">
        <v>1738</v>
      </c>
      <c r="C468" s="19" t="s">
        <v>2203</v>
      </c>
      <c r="D468" s="19" t="str">
        <f>HYPERLINK("http://henontech.com/fieldsafety/harzard/harzard_show.php?rid=25132&amp;url=harzardrecs.php","一名工人在进行巡查时，未注意护栏腐烂严重开焊，一条腿滑入护栏池中，造成腿擦伤无损工事故。")</f>
        <v>一名工人在进行巡查时，未注意护栏腐烂严重开焊，一条腿滑入护栏池中，造成腿擦伤无损工事故。</v>
      </c>
      <c r="E468" s="19" t="s">
        <v>2204</v>
      </c>
      <c r="F468" s="20" t="s">
        <v>42</v>
      </c>
      <c r="G468" s="21" t="s">
        <v>43</v>
      </c>
      <c r="H468" s="19" t="s">
        <v>709</v>
      </c>
      <c r="I468" s="19" t="s">
        <v>205</v>
      </c>
      <c r="J468" s="19" t="s">
        <v>45</v>
      </c>
      <c r="K468" s="19" t="s">
        <v>302</v>
      </c>
      <c r="L468" s="19" t="s">
        <v>65</v>
      </c>
      <c r="M468" s="19" t="s">
        <v>89</v>
      </c>
      <c r="N468" s="19" t="s">
        <v>2205</v>
      </c>
      <c r="O468" s="19" t="s">
        <v>89</v>
      </c>
      <c r="P468" s="19" t="s">
        <v>2198</v>
      </c>
      <c r="Q468" s="19" t="s">
        <v>2199</v>
      </c>
      <c r="R468" s="19" t="s">
        <v>2206</v>
      </c>
      <c r="S468" s="19"/>
      <c r="T468" s="19" t="s">
        <v>53</v>
      </c>
      <c r="U468" s="19" t="s">
        <v>71</v>
      </c>
      <c r="V468" s="19" t="s">
        <v>95</v>
      </c>
      <c r="W468" s="19" t="s">
        <v>56</v>
      </c>
      <c r="X468" s="19" t="s">
        <v>57</v>
      </c>
      <c r="Y468" s="19" t="s">
        <v>57</v>
      </c>
      <c r="Z468" s="19" t="s">
        <v>2207</v>
      </c>
      <c r="AA468" s="19">
        <v>1</v>
      </c>
      <c r="AB468" s="19">
        <v>1</v>
      </c>
      <c r="AC468" s="19" t="s">
        <v>59</v>
      </c>
      <c r="AD468" s="19" t="s">
        <v>2198</v>
      </c>
      <c r="AE468" s="19" t="s">
        <v>2202</v>
      </c>
      <c r="AF468" s="19"/>
    </row>
    <row r="469" spans="1:34">
      <c r="A469" s="19">
        <v>461</v>
      </c>
      <c r="B469" s="19" t="s">
        <v>1738</v>
      </c>
      <c r="C469" s="19" t="s">
        <v>1277</v>
      </c>
      <c r="D469" s="19" t="str">
        <f>HYPERLINK("http://henontech.com/fieldsafety/harzard/harzard_show.php?rid=25141&amp;url=harzardrecs.php","一名操作工在巡检过程中，不慎跌落平台，造成脚踝骨折，住院治疗十五天，在家修养三个月后复工")</f>
        <v>一名操作工在巡检过程中，不慎跌落平台，造成脚踝骨折，住院治疗十五天，在家修养三个月后复工</v>
      </c>
      <c r="E469" s="19" t="s">
        <v>2208</v>
      </c>
      <c r="F469" s="20" t="s">
        <v>42</v>
      </c>
      <c r="G469" s="21" t="s">
        <v>43</v>
      </c>
      <c r="H469" s="19" t="s">
        <v>44</v>
      </c>
      <c r="I469" s="19" t="s">
        <v>205</v>
      </c>
      <c r="J469" s="19" t="s">
        <v>64</v>
      </c>
      <c r="K469" s="19" t="s">
        <v>46</v>
      </c>
      <c r="L469" s="19"/>
      <c r="M469" s="19" t="s">
        <v>89</v>
      </c>
      <c r="N469" s="19" t="s">
        <v>628</v>
      </c>
      <c r="O469" s="19" t="s">
        <v>89</v>
      </c>
      <c r="P469" s="19" t="s">
        <v>2198</v>
      </c>
      <c r="Q469" s="19" t="s">
        <v>2199</v>
      </c>
      <c r="R469" s="19" t="s">
        <v>2209</v>
      </c>
      <c r="S469" s="19"/>
      <c r="T469" s="19" t="s">
        <v>53</v>
      </c>
      <c r="U469" s="19" t="s">
        <v>54</v>
      </c>
      <c r="V469" s="19" t="s">
        <v>55</v>
      </c>
      <c r="W469" s="19" t="s">
        <v>56</v>
      </c>
      <c r="X469" s="19" t="s">
        <v>57</v>
      </c>
      <c r="Y469" s="19" t="s">
        <v>57</v>
      </c>
      <c r="Z469" s="19" t="s">
        <v>2210</v>
      </c>
      <c r="AA469" s="19">
        <v>1</v>
      </c>
      <c r="AB469" s="19">
        <v>1</v>
      </c>
      <c r="AC469" s="19" t="s">
        <v>59</v>
      </c>
      <c r="AD469" s="19" t="s">
        <v>2198</v>
      </c>
      <c r="AE469" s="19" t="s">
        <v>2202</v>
      </c>
      <c r="AF469" s="19"/>
    </row>
    <row r="470" spans="1:34" customHeight="1" ht="42">
      <c r="A470" s="19">
        <v>462</v>
      </c>
      <c r="B470" s="19" t="s">
        <v>1738</v>
      </c>
      <c r="C470" s="19" t="s">
        <v>1431</v>
      </c>
      <c r="D470" s="19" t="str">
        <f>HYPERLINK("http://henontech.com/fieldsafety/harzard/harzard_show.php?rid=25185&amp;url=harzardrecs.php","新化学水锅炉加药间灯不亮取样时不慎造成手臂大面积烫伤")</f>
        <v>新化学水锅炉加药间灯不亮取样时不慎造成手臂大面积烫伤</v>
      </c>
      <c r="E470" s="19" t="s">
        <v>2211</v>
      </c>
      <c r="F470" s="25" t="s">
        <v>1784</v>
      </c>
      <c r="G470" s="21" t="s">
        <v>43</v>
      </c>
      <c r="H470" s="19" t="s">
        <v>1480</v>
      </c>
      <c r="I470" s="19" t="s">
        <v>205</v>
      </c>
      <c r="J470" s="19" t="s">
        <v>64</v>
      </c>
      <c r="K470" s="19" t="s">
        <v>88</v>
      </c>
      <c r="L470" s="19" t="s">
        <v>65</v>
      </c>
      <c r="M470" s="19" t="s">
        <v>229</v>
      </c>
      <c r="N470" s="19" t="s">
        <v>2212</v>
      </c>
      <c r="O470" s="19" t="s">
        <v>229</v>
      </c>
      <c r="P470" s="19" t="s">
        <v>1410</v>
      </c>
      <c r="Q470" s="19" t="s">
        <v>2066</v>
      </c>
      <c r="R470" s="19" t="s">
        <v>2213</v>
      </c>
      <c r="S470" s="19"/>
      <c r="T470" s="19" t="s">
        <v>53</v>
      </c>
      <c r="U470" s="19" t="s">
        <v>54</v>
      </c>
      <c r="V470" s="19" t="s">
        <v>55</v>
      </c>
      <c r="W470" s="19" t="s">
        <v>56</v>
      </c>
      <c r="X470" s="19" t="s">
        <v>57</v>
      </c>
      <c r="Y470" s="19"/>
      <c r="Z470" s="19" t="s">
        <v>2214</v>
      </c>
      <c r="AA470" s="19">
        <v>2</v>
      </c>
      <c r="AB470" s="19"/>
      <c r="AC470" s="19" t="s">
        <v>233</v>
      </c>
      <c r="AD470" s="19"/>
      <c r="AE470" s="19"/>
      <c r="AF470" s="19"/>
    </row>
    <row r="471" spans="1:34">
      <c r="A471" s="19">
        <v>463</v>
      </c>
      <c r="B471" s="19" t="s">
        <v>1738</v>
      </c>
      <c r="C471" s="19" t="s">
        <v>1431</v>
      </c>
      <c r="D471" s="19" t="str">
        <f>HYPERLINK("http://henontech.com/fieldsafety/harzard/harzard_show.php?rid=25186&amp;url=harzardrecs.php","新化学水加药间浓水排水地沟盖板缺失，巡检时掉入地沟造成小腿骨折")</f>
        <v>新化学水加药间浓水排水地沟盖板缺失，巡检时掉入地沟造成小腿骨折</v>
      </c>
      <c r="E471" s="19" t="s">
        <v>2215</v>
      </c>
      <c r="F471" s="23" t="s">
        <v>227</v>
      </c>
      <c r="G471" s="21" t="s">
        <v>43</v>
      </c>
      <c r="H471" s="19" t="s">
        <v>1480</v>
      </c>
      <c r="I471" s="19" t="s">
        <v>205</v>
      </c>
      <c r="J471" s="19" t="s">
        <v>64</v>
      </c>
      <c r="K471" s="19" t="s">
        <v>88</v>
      </c>
      <c r="L471" s="19"/>
      <c r="M471" s="19" t="s">
        <v>229</v>
      </c>
      <c r="N471" s="19" t="s">
        <v>1446</v>
      </c>
      <c r="O471" s="19"/>
      <c r="P471" s="19"/>
      <c r="Q471" s="19"/>
      <c r="R471" s="19" t="s">
        <v>2216</v>
      </c>
      <c r="S471" s="19" t="s">
        <v>1775</v>
      </c>
      <c r="T471" s="19" t="s">
        <v>53</v>
      </c>
      <c r="U471" s="19" t="s">
        <v>54</v>
      </c>
      <c r="V471" s="19" t="s">
        <v>55</v>
      </c>
      <c r="W471" s="19" t="s">
        <v>56</v>
      </c>
      <c r="X471" s="19"/>
      <c r="Y471" s="19"/>
      <c r="Z471" s="19"/>
      <c r="AA471" s="19">
        <v>0</v>
      </c>
      <c r="AB471" s="19"/>
      <c r="AC471" s="19" t="s">
        <v>233</v>
      </c>
      <c r="AD471" s="19"/>
      <c r="AE471" s="19"/>
      <c r="AF471" s="19"/>
    </row>
    <row r="472" spans="1:34">
      <c r="A472" s="19">
        <v>464</v>
      </c>
      <c r="B472" s="19" t="s">
        <v>1738</v>
      </c>
      <c r="C472" s="19" t="s">
        <v>435</v>
      </c>
      <c r="D472" s="19" t="str">
        <f>HYPERLINK("http://henontech.com/fieldsafety/harzard/harzard_show.php?rid=25187&amp;url=harzardrecs.php","脱硫塔中部离地面约30米处一照明灯支架因腐蚀掉落，只有一根电线连接。当岗位巡检人员巡检到脱硫塔下部，照明灯支架一旦坠落会击中巡检人员头部")</f>
        <v>脱硫塔中部离地面约30米处一照明灯支架因腐蚀掉落，只有一根电线连接。当岗位巡检人员巡检到脱硫塔下部，照明灯支架一旦坠落会击中巡检人员头部</v>
      </c>
      <c r="E472" s="19" t="s">
        <v>2217</v>
      </c>
      <c r="F472" s="20" t="s">
        <v>42</v>
      </c>
      <c r="G472" s="21" t="s">
        <v>43</v>
      </c>
      <c r="H472" s="19" t="s">
        <v>44</v>
      </c>
      <c r="I472" s="19" t="s">
        <v>129</v>
      </c>
      <c r="J472" s="19" t="s">
        <v>64</v>
      </c>
      <c r="K472" s="19" t="s">
        <v>79</v>
      </c>
      <c r="L472" s="19" t="s">
        <v>65</v>
      </c>
      <c r="M472" s="19" t="s">
        <v>66</v>
      </c>
      <c r="N472" s="19" t="s">
        <v>101</v>
      </c>
      <c r="O472" s="19" t="s">
        <v>66</v>
      </c>
      <c r="P472" s="19" t="s">
        <v>68</v>
      </c>
      <c r="Q472" s="19" t="s">
        <v>2085</v>
      </c>
      <c r="R472" s="19" t="s">
        <v>639</v>
      </c>
      <c r="S472" s="19"/>
      <c r="T472" s="19" t="s">
        <v>53</v>
      </c>
      <c r="U472" s="19" t="s">
        <v>116</v>
      </c>
      <c r="V472" s="19" t="s">
        <v>193</v>
      </c>
      <c r="W472" s="19" t="s">
        <v>72</v>
      </c>
      <c r="X472" s="19"/>
      <c r="Y472" s="19"/>
      <c r="Z472" s="19" t="s">
        <v>2218</v>
      </c>
      <c r="AA472" s="19">
        <v>1</v>
      </c>
      <c r="AB472" s="19">
        <v>1</v>
      </c>
      <c r="AC472" s="19" t="s">
        <v>59</v>
      </c>
      <c r="AD472" s="19" t="s">
        <v>68</v>
      </c>
      <c r="AE472" s="19" t="s">
        <v>1796</v>
      </c>
      <c r="AF472" s="19"/>
    </row>
    <row r="473" spans="1:34" customHeight="1" ht="42">
      <c r="A473" s="19">
        <v>465</v>
      </c>
      <c r="B473" s="19" t="s">
        <v>2202</v>
      </c>
      <c r="C473" s="19" t="s">
        <v>464</v>
      </c>
      <c r="D473" s="19" t="str">
        <f>HYPERLINK("http://henontech.com/fieldsafety/harzard/harzard_show.php?rid=25198&amp;url=harzardrecs.php","焦三斜桥由于铁皮腐蚀，悬挂于半空中，有一巡检工从此处经过，遇到大风天气，悬挂的铁皮掉落巡检工肩部，致使巡检工肩部受轻微伤")</f>
        <v>焦三斜桥由于铁皮腐蚀，悬挂于半空中，有一巡检工从此处经过，遇到大风天气，悬挂的铁皮掉落巡检工肩部，致使巡检工肩部受轻微伤</v>
      </c>
      <c r="E473" s="19" t="s">
        <v>2219</v>
      </c>
      <c r="F473" s="20" t="s">
        <v>42</v>
      </c>
      <c r="G473" s="21" t="s">
        <v>43</v>
      </c>
      <c r="H473" s="19" t="s">
        <v>44</v>
      </c>
      <c r="I473" s="19" t="s">
        <v>78</v>
      </c>
      <c r="J473" s="19" t="s">
        <v>64</v>
      </c>
      <c r="K473" s="19" t="s">
        <v>46</v>
      </c>
      <c r="L473" s="19" t="s">
        <v>65</v>
      </c>
      <c r="M473" s="19" t="s">
        <v>49</v>
      </c>
      <c r="N473" s="19" t="s">
        <v>1684</v>
      </c>
      <c r="O473" s="19" t="s">
        <v>49</v>
      </c>
      <c r="P473" s="19" t="s">
        <v>1260</v>
      </c>
      <c r="Q473" s="19" t="s">
        <v>2085</v>
      </c>
      <c r="R473" s="19" t="s">
        <v>1608</v>
      </c>
      <c r="S473" s="19"/>
      <c r="T473" s="19" t="s">
        <v>53</v>
      </c>
      <c r="U473" s="19" t="s">
        <v>54</v>
      </c>
      <c r="V473" s="19" t="s">
        <v>105</v>
      </c>
      <c r="W473" s="19" t="s">
        <v>72</v>
      </c>
      <c r="X473" s="19" t="s">
        <v>150</v>
      </c>
      <c r="Y473" s="19"/>
      <c r="Z473" s="19" t="s">
        <v>2220</v>
      </c>
      <c r="AA473" s="19">
        <v>2</v>
      </c>
      <c r="AB473" s="19">
        <v>2</v>
      </c>
      <c r="AC473" s="19" t="s">
        <v>59</v>
      </c>
      <c r="AD473" s="19" t="s">
        <v>1260</v>
      </c>
      <c r="AE473" s="19" t="s">
        <v>1414</v>
      </c>
      <c r="AF473" s="19"/>
    </row>
    <row r="474" spans="1:34" customHeight="1" ht="42">
      <c r="A474" s="19">
        <v>466</v>
      </c>
      <c r="B474" s="19" t="s">
        <v>2202</v>
      </c>
      <c r="C474" s="19" t="s">
        <v>1682</v>
      </c>
      <c r="D474" s="19" t="str">
        <f>HYPERLINK("http://henontech.com/fieldsafety/harzard/harzard_show.php?rid=25245&amp;url=harzardrecs.php","焦四机尾，接线盒电线杂乱裸露在外，如果一操作人员在巡检时不慎触电，昏迷不醒，送医抢救。")</f>
        <v>焦四机尾，接线盒电线杂乱裸露在外，如果一操作人员在巡检时不慎触电，昏迷不醒，送医抢救。</v>
      </c>
      <c r="E474" s="19" t="s">
        <v>2221</v>
      </c>
      <c r="F474" s="20" t="s">
        <v>42</v>
      </c>
      <c r="G474" s="22" t="s">
        <v>111</v>
      </c>
      <c r="H474" s="19" t="s">
        <v>44</v>
      </c>
      <c r="I474" s="19" t="s">
        <v>205</v>
      </c>
      <c r="J474" s="19" t="s">
        <v>112</v>
      </c>
      <c r="K474" s="19" t="s">
        <v>88</v>
      </c>
      <c r="L474" s="19" t="s">
        <v>662</v>
      </c>
      <c r="M474" s="19" t="s">
        <v>49</v>
      </c>
      <c r="N474" s="19" t="s">
        <v>797</v>
      </c>
      <c r="O474" s="19" t="s">
        <v>49</v>
      </c>
      <c r="P474" s="19" t="s">
        <v>460</v>
      </c>
      <c r="Q474" s="19" t="s">
        <v>2085</v>
      </c>
      <c r="R474" s="19" t="s">
        <v>2222</v>
      </c>
      <c r="S474" s="19"/>
      <c r="T474" s="19" t="s">
        <v>53</v>
      </c>
      <c r="U474" s="19" t="s">
        <v>116</v>
      </c>
      <c r="V474" s="19" t="s">
        <v>105</v>
      </c>
      <c r="W474" s="19" t="s">
        <v>56</v>
      </c>
      <c r="X474" s="19" t="s">
        <v>150</v>
      </c>
      <c r="Y474" s="19"/>
      <c r="Z474" s="19" t="s">
        <v>2223</v>
      </c>
      <c r="AA474" s="19">
        <v>2</v>
      </c>
      <c r="AB474" s="19">
        <v>2</v>
      </c>
      <c r="AC474" s="19" t="s">
        <v>59</v>
      </c>
      <c r="AD474" s="19" t="s">
        <v>460</v>
      </c>
      <c r="AE474" s="19" t="s">
        <v>1557</v>
      </c>
      <c r="AF474" s="19"/>
    </row>
    <row r="475" spans="1:34" customHeight="1" ht="42">
      <c r="A475" s="19">
        <v>467</v>
      </c>
      <c r="B475" s="19" t="s">
        <v>2202</v>
      </c>
      <c r="C475" s="19" t="s">
        <v>934</v>
      </c>
      <c r="D475" s="19" t="str">
        <f>HYPERLINK("http://henontech.com/fieldsafety/harzard/harzard_show.php?rid=25268&amp;url=harzardrecs.php","东五分料器刀头磨损，一旦开启皮带机容易划伤，撕裂皮带。")</f>
        <v>东五分料器刀头磨损，一旦开启皮带机容易划伤，撕裂皮带。</v>
      </c>
      <c r="E475" s="19" t="s">
        <v>1933</v>
      </c>
      <c r="F475" s="20" t="s">
        <v>42</v>
      </c>
      <c r="G475" s="21" t="s">
        <v>43</v>
      </c>
      <c r="H475" s="19" t="s">
        <v>44</v>
      </c>
      <c r="I475" s="19" t="s">
        <v>1566</v>
      </c>
      <c r="J475" s="19" t="s">
        <v>64</v>
      </c>
      <c r="K475" s="19" t="s">
        <v>88</v>
      </c>
      <c r="L475" s="19"/>
      <c r="M475" s="19" t="s">
        <v>633</v>
      </c>
      <c r="N475" s="19" t="s">
        <v>2224</v>
      </c>
      <c r="O475" s="19" t="s">
        <v>633</v>
      </c>
      <c r="P475" s="19" t="s">
        <v>924</v>
      </c>
      <c r="Q475" s="19" t="s">
        <v>1592</v>
      </c>
      <c r="R475" s="19" t="s">
        <v>1935</v>
      </c>
      <c r="S475" s="19"/>
      <c r="T475" s="19" t="s">
        <v>104</v>
      </c>
      <c r="U475" s="19" t="s">
        <v>71</v>
      </c>
      <c r="V475" s="19" t="s">
        <v>55</v>
      </c>
      <c r="W475" s="19" t="s">
        <v>72</v>
      </c>
      <c r="X475" s="19" t="s">
        <v>141</v>
      </c>
      <c r="Y475" s="19" t="s">
        <v>141</v>
      </c>
      <c r="Z475" s="19" t="s">
        <v>2225</v>
      </c>
      <c r="AA475" s="19">
        <v>2</v>
      </c>
      <c r="AB475" s="19">
        <v>2</v>
      </c>
      <c r="AC475" s="19" t="s">
        <v>59</v>
      </c>
      <c r="AD475" s="19" t="s">
        <v>924</v>
      </c>
      <c r="AE475" s="19" t="s">
        <v>1796</v>
      </c>
      <c r="AF475" s="19"/>
    </row>
    <row r="476" spans="1:34" customHeight="1" ht="42">
      <c r="A476" s="19">
        <v>468</v>
      </c>
      <c r="B476" s="19" t="s">
        <v>2202</v>
      </c>
      <c r="C476" s="19" t="s">
        <v>1693</v>
      </c>
      <c r="D476" s="19" t="str">
        <f>HYPERLINK("http://henontech.com/fieldsafety/harzard/harzard_show.php?rid=25351&amp;url=harzardrecs.php","一名操作工在置换熄焦水池水位时，假如被熄焦水池北侧倾倒的围挡拌倒，身体前倾，双手扶地，造成右手臂骨折")</f>
        <v>一名操作工在置换熄焦水池水位时，假如被熄焦水池北侧倾倒的围挡拌倒，身体前倾，双手扶地，造成右手臂骨折</v>
      </c>
      <c r="E476" s="19" t="s">
        <v>1697</v>
      </c>
      <c r="F476" s="20" t="s">
        <v>42</v>
      </c>
      <c r="G476" s="21" t="s">
        <v>43</v>
      </c>
      <c r="H476" s="19" t="s">
        <v>44</v>
      </c>
      <c r="I476" s="19" t="s">
        <v>129</v>
      </c>
      <c r="J476" s="19" t="s">
        <v>87</v>
      </c>
      <c r="K476" s="19" t="s">
        <v>79</v>
      </c>
      <c r="L476" s="19" t="s">
        <v>65</v>
      </c>
      <c r="M476" s="19" t="s">
        <v>49</v>
      </c>
      <c r="N476" s="19" t="s">
        <v>1698</v>
      </c>
      <c r="O476" s="19" t="s">
        <v>49</v>
      </c>
      <c r="P476" s="19" t="s">
        <v>1260</v>
      </c>
      <c r="Q476" s="19" t="s">
        <v>2085</v>
      </c>
      <c r="R476" s="19" t="s">
        <v>2226</v>
      </c>
      <c r="S476" s="19"/>
      <c r="T476" s="19" t="s">
        <v>53</v>
      </c>
      <c r="U476" s="19" t="s">
        <v>54</v>
      </c>
      <c r="V476" s="19" t="s">
        <v>55</v>
      </c>
      <c r="W476" s="19" t="s">
        <v>56</v>
      </c>
      <c r="X476" s="19" t="s">
        <v>57</v>
      </c>
      <c r="Y476" s="19"/>
      <c r="Z476" s="19" t="s">
        <v>2227</v>
      </c>
      <c r="AA476" s="19">
        <v>2</v>
      </c>
      <c r="AB476" s="19">
        <v>2</v>
      </c>
      <c r="AC476" s="19" t="s">
        <v>59</v>
      </c>
      <c r="AD476" s="19" t="s">
        <v>1260</v>
      </c>
      <c r="AE476" s="19" t="s">
        <v>1414</v>
      </c>
      <c r="AF476" s="19"/>
    </row>
    <row r="477" spans="1:34">
      <c r="A477" s="19">
        <v>469</v>
      </c>
      <c r="B477" s="19" t="s">
        <v>2202</v>
      </c>
      <c r="C477" s="19" t="s">
        <v>934</v>
      </c>
      <c r="D477" s="19" t="str">
        <f>HYPERLINK("http://henontech.com/fieldsafety/harzard/harzard_show.php?rid=25568&amp;url=harzardrecs.php","东四机头刮煤板因长期使用变形，运行中从侧面漏煤，一旦巡检不到位造成带料偏带，胶带磨损撕裂80余米，换带损失21000余元。")</f>
        <v>东四机头刮煤板因长期使用变形，运行中从侧面漏煤，一旦巡检不到位造成带料偏带，胶带磨损撕裂80余米，换带损失21000余元。</v>
      </c>
      <c r="E477" s="19" t="s">
        <v>2228</v>
      </c>
      <c r="F477" s="20" t="s">
        <v>42</v>
      </c>
      <c r="G477" s="22" t="s">
        <v>111</v>
      </c>
      <c r="H477" s="19" t="s">
        <v>44</v>
      </c>
      <c r="I477" s="19" t="s">
        <v>1566</v>
      </c>
      <c r="J477" s="19" t="s">
        <v>64</v>
      </c>
      <c r="K477" s="19"/>
      <c r="L477" s="19"/>
      <c r="M477" s="19" t="s">
        <v>633</v>
      </c>
      <c r="N477" s="19" t="s">
        <v>2229</v>
      </c>
      <c r="O477" s="19" t="s">
        <v>633</v>
      </c>
      <c r="P477" s="19" t="s">
        <v>634</v>
      </c>
      <c r="Q477" s="19" t="s">
        <v>2230</v>
      </c>
      <c r="R477" s="19" t="s">
        <v>2093</v>
      </c>
      <c r="S477" s="19"/>
      <c r="T477" s="19" t="s">
        <v>104</v>
      </c>
      <c r="U477" s="19" t="s">
        <v>71</v>
      </c>
      <c r="V477" s="19" t="s">
        <v>55</v>
      </c>
      <c r="W477" s="19" t="s">
        <v>72</v>
      </c>
      <c r="X477" s="19"/>
      <c r="Y477" s="19"/>
      <c r="Z477" s="19" t="s">
        <v>2231</v>
      </c>
      <c r="AA477" s="19">
        <v>1</v>
      </c>
      <c r="AB477" s="19">
        <v>1</v>
      </c>
      <c r="AC477" s="19" t="s">
        <v>59</v>
      </c>
      <c r="AD477" s="19" t="s">
        <v>634</v>
      </c>
      <c r="AE477" s="19" t="s">
        <v>2230</v>
      </c>
      <c r="AF477" s="19"/>
    </row>
    <row r="478" spans="1:34" customHeight="1" ht="42">
      <c r="A478" s="19">
        <v>470</v>
      </c>
      <c r="B478" s="19" t="s">
        <v>2202</v>
      </c>
      <c r="C478" s="19" t="s">
        <v>135</v>
      </c>
      <c r="D478" s="19" t="str">
        <f>HYPERLINK("http://henontech.com/fieldsafety/harzard/harzard_show.php?rid=25597&amp;url=harzardrecs.php","主控楼南楼体口及通道被保温棉、铝皮等杂物堵塞，若1名职工巡检时自此处避让穿过时，因重心不稳被杂物绊倒，身体前倾胸部磕碰至周边铁件物。")</f>
        <v>主控楼南楼体口及通道被保温棉、铝皮等杂物堵塞，若1名职工巡检时自此处避让穿过时，因重心不稳被杂物绊倒，身体前倾胸部磕碰至周边铁件物。</v>
      </c>
      <c r="E478" s="19" t="s">
        <v>2232</v>
      </c>
      <c r="F478" s="20" t="s">
        <v>42</v>
      </c>
      <c r="G478" s="21" t="s">
        <v>43</v>
      </c>
      <c r="H478" s="19" t="s">
        <v>44</v>
      </c>
      <c r="I478" s="19"/>
      <c r="J478" s="19"/>
      <c r="K478" s="19" t="s">
        <v>46</v>
      </c>
      <c r="L478" s="19"/>
      <c r="M478" s="19" t="s">
        <v>49</v>
      </c>
      <c r="N478" s="19" t="s">
        <v>2233</v>
      </c>
      <c r="O478" s="19" t="s">
        <v>49</v>
      </c>
      <c r="P478" s="19" t="s">
        <v>1320</v>
      </c>
      <c r="Q478" s="19" t="s">
        <v>1592</v>
      </c>
      <c r="R478" s="19" t="s">
        <v>2234</v>
      </c>
      <c r="S478" s="19"/>
      <c r="T478" s="19" t="s">
        <v>53</v>
      </c>
      <c r="U478" s="19" t="s">
        <v>54</v>
      </c>
      <c r="V478" s="19" t="s">
        <v>55</v>
      </c>
      <c r="W478" s="19" t="s">
        <v>56</v>
      </c>
      <c r="X478" s="19" t="s">
        <v>141</v>
      </c>
      <c r="Y478" s="19"/>
      <c r="Z478" s="19" t="s">
        <v>2235</v>
      </c>
      <c r="AA478" s="19">
        <v>2</v>
      </c>
      <c r="AB478" s="19">
        <v>2</v>
      </c>
      <c r="AC478" s="19" t="s">
        <v>59</v>
      </c>
      <c r="AD478" s="19" t="s">
        <v>1320</v>
      </c>
      <c r="AE478" s="19" t="s">
        <v>2202</v>
      </c>
      <c r="AF478" s="19" t="s">
        <v>2236</v>
      </c>
    </row>
    <row r="479" spans="1:34" customHeight="1" ht="42">
      <c r="A479" s="19">
        <v>471</v>
      </c>
      <c r="B479" s="19" t="s">
        <v>2202</v>
      </c>
      <c r="C479" s="19" t="s">
        <v>2237</v>
      </c>
      <c r="D479" s="19" t="str">
        <f>HYPERLINK("http://henontech.com/fieldsafety/harzard/harzard_show.php?rid=25652&amp;url=harzardrecs.php","焦炉北端炉门站爬梯处存放一堆炉门碎砖，假如有员工从此经过不慎被绊倒，手部着地造成伤害。")</f>
        <v>焦炉北端炉门站爬梯处存放一堆炉门碎砖，假如有员工从此经过不慎被绊倒，手部着地造成伤害。</v>
      </c>
      <c r="E479" s="19" t="s">
        <v>2238</v>
      </c>
      <c r="F479" s="20" t="s">
        <v>42</v>
      </c>
      <c r="G479" s="21" t="s">
        <v>43</v>
      </c>
      <c r="H479" s="19" t="s">
        <v>44</v>
      </c>
      <c r="I479" s="19"/>
      <c r="J479" s="19" t="s">
        <v>308</v>
      </c>
      <c r="K479" s="19" t="s">
        <v>46</v>
      </c>
      <c r="L479" s="19" t="s">
        <v>662</v>
      </c>
      <c r="M479" s="19" t="s">
        <v>49</v>
      </c>
      <c r="N479" s="19" t="s">
        <v>800</v>
      </c>
      <c r="O479" s="19" t="s">
        <v>49</v>
      </c>
      <c r="P479" s="19" t="s">
        <v>499</v>
      </c>
      <c r="Q479" s="19" t="s">
        <v>2085</v>
      </c>
      <c r="R479" s="19" t="s">
        <v>2239</v>
      </c>
      <c r="S479" s="19"/>
      <c r="T479" s="19" t="s">
        <v>53</v>
      </c>
      <c r="U479" s="19" t="s">
        <v>54</v>
      </c>
      <c r="V479" s="19" t="s">
        <v>55</v>
      </c>
      <c r="W479" s="19" t="s">
        <v>56</v>
      </c>
      <c r="X479" s="19" t="s">
        <v>150</v>
      </c>
      <c r="Y479" s="19"/>
      <c r="Z479" s="19" t="s">
        <v>2240</v>
      </c>
      <c r="AA479" s="19">
        <v>2</v>
      </c>
      <c r="AB479" s="19">
        <v>2</v>
      </c>
      <c r="AC479" s="19" t="s">
        <v>59</v>
      </c>
      <c r="AD479" s="19" t="s">
        <v>499</v>
      </c>
      <c r="AE479" s="19" t="s">
        <v>1796</v>
      </c>
      <c r="AF479" s="19" t="s">
        <v>2241</v>
      </c>
    </row>
    <row r="480" spans="1:34" customHeight="1" ht="42">
      <c r="A480" s="19">
        <v>472</v>
      </c>
      <c r="B480" s="19" t="s">
        <v>2202</v>
      </c>
      <c r="C480" s="19" t="s">
        <v>1580</v>
      </c>
      <c r="D480" s="19" t="str">
        <f>HYPERLINK("http://henontech.com/fieldsafety/harzard/harzard_show.php?rid=25658&amp;url=harzardrecs.php","装煤车1#刮板机链条维修后未及时按装防护罩，假如员工在工作时不慎将手碰到转动的链条上，就会造成人身伤害。")</f>
        <v>装煤车1#刮板机链条维修后未及时按装防护罩，假如员工在工作时不慎将手碰到转动的链条上，就会造成人身伤害。</v>
      </c>
      <c r="E480" s="19" t="s">
        <v>2242</v>
      </c>
      <c r="F480" s="20" t="s">
        <v>42</v>
      </c>
      <c r="G480" s="22" t="s">
        <v>111</v>
      </c>
      <c r="H480" s="19" t="s">
        <v>44</v>
      </c>
      <c r="I480" s="19" t="s">
        <v>78</v>
      </c>
      <c r="J480" s="19" t="s">
        <v>45</v>
      </c>
      <c r="K480" s="19" t="s">
        <v>46</v>
      </c>
      <c r="L480" s="19" t="s">
        <v>662</v>
      </c>
      <c r="M480" s="19" t="s">
        <v>49</v>
      </c>
      <c r="N480" s="19" t="s">
        <v>800</v>
      </c>
      <c r="O480" s="19" t="s">
        <v>49</v>
      </c>
      <c r="P480" s="19" t="s">
        <v>460</v>
      </c>
      <c r="Q480" s="19" t="s">
        <v>2085</v>
      </c>
      <c r="R480" s="19" t="s">
        <v>2243</v>
      </c>
      <c r="S480" s="19"/>
      <c r="T480" s="19" t="s">
        <v>53</v>
      </c>
      <c r="U480" s="19" t="s">
        <v>54</v>
      </c>
      <c r="V480" s="19" t="s">
        <v>55</v>
      </c>
      <c r="W480" s="19" t="s">
        <v>56</v>
      </c>
      <c r="X480" s="19" t="s">
        <v>57</v>
      </c>
      <c r="Y480" s="19"/>
      <c r="Z480" s="19" t="s">
        <v>2244</v>
      </c>
      <c r="AA480" s="19">
        <v>2</v>
      </c>
      <c r="AB480" s="19">
        <v>2</v>
      </c>
      <c r="AC480" s="19" t="s">
        <v>59</v>
      </c>
      <c r="AD480" s="19" t="s">
        <v>460</v>
      </c>
      <c r="AE480" s="19" t="s">
        <v>1564</v>
      </c>
      <c r="AF480" s="19"/>
    </row>
    <row r="481" spans="1:34" customHeight="1" ht="42">
      <c r="A481" s="19">
        <v>473</v>
      </c>
      <c r="B481" s="19" t="s">
        <v>2202</v>
      </c>
      <c r="C481" s="19" t="s">
        <v>489</v>
      </c>
      <c r="D481" s="19" t="str">
        <f>HYPERLINK("http://henontech.com/fieldsafety/harzard/harzard_show.php?rid=25668&amp;url=harzardrecs.php","5.5米焦炉筛焦楼一爬梯踩板开焊撬起，假如有员工从此处经过不慎摔倒，造成脚踝扭伤。")</f>
        <v>5.5米焦炉筛焦楼一爬梯踩板开焊撬起，假如有员工从此处经过不慎摔倒，造成脚踝扭伤。</v>
      </c>
      <c r="E481" s="19" t="s">
        <v>2245</v>
      </c>
      <c r="F481" s="20" t="s">
        <v>42</v>
      </c>
      <c r="G481" s="21" t="s">
        <v>43</v>
      </c>
      <c r="H481" s="19" t="s">
        <v>44</v>
      </c>
      <c r="I481" s="19" t="s">
        <v>78</v>
      </c>
      <c r="J481" s="19" t="s">
        <v>64</v>
      </c>
      <c r="K481" s="19" t="s">
        <v>466</v>
      </c>
      <c r="L481" s="19" t="s">
        <v>662</v>
      </c>
      <c r="M481" s="19" t="s">
        <v>49</v>
      </c>
      <c r="N481" s="19" t="s">
        <v>800</v>
      </c>
      <c r="O481" s="19" t="s">
        <v>49</v>
      </c>
      <c r="P481" s="19" t="s">
        <v>460</v>
      </c>
      <c r="Q481" s="19" t="s">
        <v>2085</v>
      </c>
      <c r="R481" s="19" t="s">
        <v>2246</v>
      </c>
      <c r="S481" s="19"/>
      <c r="T481" s="19" t="s">
        <v>53</v>
      </c>
      <c r="U481" s="19" t="s">
        <v>54</v>
      </c>
      <c r="V481" s="19" t="s">
        <v>55</v>
      </c>
      <c r="W481" s="19" t="s">
        <v>56</v>
      </c>
      <c r="X481" s="19" t="s">
        <v>57</v>
      </c>
      <c r="Y481" s="19"/>
      <c r="Z481" s="19" t="s">
        <v>2247</v>
      </c>
      <c r="AA481" s="19">
        <v>2</v>
      </c>
      <c r="AB481" s="19">
        <v>2</v>
      </c>
      <c r="AC481" s="19" t="s">
        <v>59</v>
      </c>
      <c r="AD481" s="19" t="s">
        <v>460</v>
      </c>
      <c r="AE481" s="19" t="s">
        <v>2248</v>
      </c>
      <c r="AF481" s="19"/>
    </row>
    <row r="482" spans="1:34" customHeight="1" ht="42">
      <c r="A482" s="19">
        <v>474</v>
      </c>
      <c r="B482" s="19" t="s">
        <v>2202</v>
      </c>
      <c r="C482" s="19" t="s">
        <v>484</v>
      </c>
      <c r="D482" s="19" t="str">
        <f>HYPERLINK("http://henontech.com/fieldsafety/harzard/harzard_show.php?rid=25669&amp;url=harzardrecs.php","5.5米焦炉炉顶南端废旧物料摆放杂乱，假如员工在工作时不慎被绊倒，手部着地造成伤害。")</f>
        <v>5.5米焦炉炉顶南端废旧物料摆放杂乱，假如员工在工作时不慎被绊倒，手部着地造成伤害。</v>
      </c>
      <c r="E482" s="19" t="s">
        <v>2249</v>
      </c>
      <c r="F482" s="20" t="s">
        <v>42</v>
      </c>
      <c r="G482" s="21" t="s">
        <v>43</v>
      </c>
      <c r="H482" s="19" t="s">
        <v>44</v>
      </c>
      <c r="I482" s="19" t="s">
        <v>78</v>
      </c>
      <c r="J482" s="19" t="s">
        <v>308</v>
      </c>
      <c r="K482" s="19" t="s">
        <v>46</v>
      </c>
      <c r="L482" s="19" t="s">
        <v>662</v>
      </c>
      <c r="M482" s="19" t="s">
        <v>49</v>
      </c>
      <c r="N482" s="19" t="s">
        <v>800</v>
      </c>
      <c r="O482" s="19" t="s">
        <v>49</v>
      </c>
      <c r="P482" s="19" t="s">
        <v>1260</v>
      </c>
      <c r="Q482" s="19" t="s">
        <v>2085</v>
      </c>
      <c r="R482" s="19" t="s">
        <v>2250</v>
      </c>
      <c r="S482" s="19"/>
      <c r="T482" s="19" t="s">
        <v>53</v>
      </c>
      <c r="U482" s="19" t="s">
        <v>54</v>
      </c>
      <c r="V482" s="19" t="s">
        <v>55</v>
      </c>
      <c r="W482" s="19" t="s">
        <v>56</v>
      </c>
      <c r="X482" s="19" t="s">
        <v>150</v>
      </c>
      <c r="Y482" s="19"/>
      <c r="Z482" s="19" t="s">
        <v>2240</v>
      </c>
      <c r="AA482" s="19">
        <v>2</v>
      </c>
      <c r="AB482" s="19">
        <v>2</v>
      </c>
      <c r="AC482" s="19" t="s">
        <v>59</v>
      </c>
      <c r="AD482" s="19" t="s">
        <v>1260</v>
      </c>
      <c r="AE482" s="19" t="s">
        <v>1414</v>
      </c>
      <c r="AF482" s="19"/>
    </row>
    <row r="483" spans="1:34">
      <c r="A483" s="19">
        <v>475</v>
      </c>
      <c r="B483" s="19" t="s">
        <v>2202</v>
      </c>
      <c r="C483" s="19" t="s">
        <v>1503</v>
      </c>
      <c r="D483" s="19" t="str">
        <f>HYPERLINK("http://henontech.com/fieldsafety/harzard/harzard_show.php?rid=25680&amp;url=harzardrecs.php","一名操作工在排污时，不慎将左手烫伤。")</f>
        <v>一名操作工在排污时，不慎将左手烫伤。</v>
      </c>
      <c r="E483" s="19" t="s">
        <v>2251</v>
      </c>
      <c r="F483" s="23" t="s">
        <v>227</v>
      </c>
      <c r="G483" s="21" t="s">
        <v>43</v>
      </c>
      <c r="H483" s="19" t="s">
        <v>44</v>
      </c>
      <c r="I483" s="19" t="s">
        <v>129</v>
      </c>
      <c r="J483" s="19" t="s">
        <v>45</v>
      </c>
      <c r="K483" s="19" t="s">
        <v>79</v>
      </c>
      <c r="L483" s="19" t="s">
        <v>65</v>
      </c>
      <c r="M483" s="19" t="s">
        <v>229</v>
      </c>
      <c r="N483" s="19" t="s">
        <v>2252</v>
      </c>
      <c r="O483" s="19"/>
      <c r="P483" s="19"/>
      <c r="Q483" s="19"/>
      <c r="R483" s="19" t="s">
        <v>2253</v>
      </c>
      <c r="S483" s="19" t="s">
        <v>1775</v>
      </c>
      <c r="T483" s="19" t="s">
        <v>53</v>
      </c>
      <c r="U483" s="19" t="s">
        <v>54</v>
      </c>
      <c r="V483" s="19" t="s">
        <v>105</v>
      </c>
      <c r="W483" s="19" t="s">
        <v>72</v>
      </c>
      <c r="X483" s="19"/>
      <c r="Y483" s="19"/>
      <c r="Z483" s="19"/>
      <c r="AA483" s="19">
        <v>0</v>
      </c>
      <c r="AB483" s="19"/>
      <c r="AC483" s="19" t="s">
        <v>233</v>
      </c>
      <c r="AD483" s="19"/>
      <c r="AE483" s="19"/>
      <c r="AF483" s="19"/>
    </row>
    <row r="484" spans="1:34" customHeight="1" ht="42">
      <c r="A484" s="19">
        <v>476</v>
      </c>
      <c r="B484" s="19" t="s">
        <v>1725</v>
      </c>
      <c r="C484" s="19" t="s">
        <v>985</v>
      </c>
      <c r="D484" s="19" t="str">
        <f>HYPERLINK("http://henontech.com/fieldsafety/harzard/harzard_show.php?rid=25693&amp;url=harzardrecs.php","炉顶面上的自动控制测温线缆盒开裂，炉顶面高温，造成里面的光纤电缆线损坏，")</f>
        <v>炉顶面上的自动控制测温线缆盒开裂，炉顶面高温，造成里面的光纤电缆线损坏，</v>
      </c>
      <c r="E484" s="19" t="s">
        <v>2254</v>
      </c>
      <c r="F484" s="20" t="s">
        <v>42</v>
      </c>
      <c r="G484" s="21" t="s">
        <v>43</v>
      </c>
      <c r="H484" s="19" t="s">
        <v>44</v>
      </c>
      <c r="I484" s="19" t="s">
        <v>129</v>
      </c>
      <c r="J484" s="19" t="s">
        <v>64</v>
      </c>
      <c r="K484" s="19"/>
      <c r="L484" s="19"/>
      <c r="M484" s="19" t="s">
        <v>49</v>
      </c>
      <c r="N484" s="19" t="s">
        <v>755</v>
      </c>
      <c r="O484" s="19" t="s">
        <v>49</v>
      </c>
      <c r="P484" s="19" t="s">
        <v>460</v>
      </c>
      <c r="Q484" s="19" t="s">
        <v>2085</v>
      </c>
      <c r="R484" s="19" t="s">
        <v>2255</v>
      </c>
      <c r="S484" s="19"/>
      <c r="T484" s="19" t="s">
        <v>104</v>
      </c>
      <c r="U484" s="19" t="s">
        <v>94</v>
      </c>
      <c r="V484" s="19" t="s">
        <v>55</v>
      </c>
      <c r="W484" s="19" t="s">
        <v>96</v>
      </c>
      <c r="X484" s="19" t="s">
        <v>57</v>
      </c>
      <c r="Y484" s="19"/>
      <c r="Z484" s="19" t="s">
        <v>2244</v>
      </c>
      <c r="AA484" s="19">
        <v>2</v>
      </c>
      <c r="AB484" s="19">
        <v>2</v>
      </c>
      <c r="AC484" s="19" t="s">
        <v>59</v>
      </c>
      <c r="AD484" s="19" t="s">
        <v>460</v>
      </c>
      <c r="AE484" s="19" t="s">
        <v>1557</v>
      </c>
      <c r="AF484" s="19"/>
    </row>
    <row r="485" spans="1:34" customHeight="1" ht="42">
      <c r="A485" s="19">
        <v>477</v>
      </c>
      <c r="B485" s="19" t="s">
        <v>1725</v>
      </c>
      <c r="C485" s="19" t="s">
        <v>2256</v>
      </c>
      <c r="D485" s="19" t="str">
        <f>HYPERLINK("http://henontech.com/fieldsafety/harzard/harzard_show.php?rid=25701&amp;url=harzardrecs.php","一名巡检工在巡检油站时，由于振动上方的铁棍掉下，砸到头部跟肩部，造成肩部出血，送医院治疗")</f>
        <v>一名巡检工在巡检油站时，由于振动上方的铁棍掉下，砸到头部跟肩部，造成肩部出血，送医院治疗</v>
      </c>
      <c r="E485" s="19" t="s">
        <v>2257</v>
      </c>
      <c r="F485" s="25" t="s">
        <v>1784</v>
      </c>
      <c r="G485" s="21" t="s">
        <v>43</v>
      </c>
      <c r="H485" s="19" t="s">
        <v>44</v>
      </c>
      <c r="I485" s="19" t="s">
        <v>78</v>
      </c>
      <c r="J485" s="19" t="s">
        <v>64</v>
      </c>
      <c r="K485" s="19" t="s">
        <v>88</v>
      </c>
      <c r="L485" s="19"/>
      <c r="M485" s="19" t="s">
        <v>229</v>
      </c>
      <c r="N485" s="19" t="s">
        <v>1622</v>
      </c>
      <c r="O485" s="19" t="s">
        <v>229</v>
      </c>
      <c r="P485" s="19" t="s">
        <v>1493</v>
      </c>
      <c r="Q485" s="19" t="s">
        <v>2028</v>
      </c>
      <c r="R485" s="19" t="s">
        <v>2258</v>
      </c>
      <c r="S485" s="19"/>
      <c r="T485" s="19" t="s">
        <v>53</v>
      </c>
      <c r="U485" s="19" t="s">
        <v>54</v>
      </c>
      <c r="V485" s="19" t="s">
        <v>55</v>
      </c>
      <c r="W485" s="19" t="s">
        <v>56</v>
      </c>
      <c r="X485" s="19" t="s">
        <v>57</v>
      </c>
      <c r="Y485" s="19"/>
      <c r="Z485" s="19" t="s">
        <v>2259</v>
      </c>
      <c r="AA485" s="19">
        <v>2</v>
      </c>
      <c r="AB485" s="19"/>
      <c r="AC485" s="19" t="s">
        <v>233</v>
      </c>
      <c r="AD485" s="19"/>
      <c r="AE485" s="19"/>
      <c r="AF485" s="19"/>
    </row>
    <row r="486" spans="1:34">
      <c r="A486" s="19">
        <v>478</v>
      </c>
      <c r="B486" s="19" t="s">
        <v>1725</v>
      </c>
      <c r="C486" s="19" t="s">
        <v>2191</v>
      </c>
      <c r="D486" s="19" t="str">
        <f>HYPERLINK("http://henontech.com/fieldsafety/harzard/harzard_show.php?rid=25793&amp;url=harzardrecs.php","烘干加热器泄露一操作工巡检时被蒸汽烫伤腿部，导致皮肤大面积损伤，送医治疗二周损工两周")</f>
        <v>烘干加热器泄露一操作工巡检时被蒸汽烫伤腿部，导致皮肤大面积损伤，送医治疗二周损工两周</v>
      </c>
      <c r="E486" s="19" t="s">
        <v>2260</v>
      </c>
      <c r="F486" s="20" t="s">
        <v>42</v>
      </c>
      <c r="G486" s="22" t="s">
        <v>111</v>
      </c>
      <c r="H486" s="19" t="s">
        <v>44</v>
      </c>
      <c r="I486" s="19" t="s">
        <v>205</v>
      </c>
      <c r="J486" s="19" t="s">
        <v>87</v>
      </c>
      <c r="K486" s="19" t="s">
        <v>79</v>
      </c>
      <c r="L486" s="19" t="s">
        <v>65</v>
      </c>
      <c r="M486" s="19" t="s">
        <v>146</v>
      </c>
      <c r="N486" s="19" t="s">
        <v>2261</v>
      </c>
      <c r="O486" s="19" t="s">
        <v>146</v>
      </c>
      <c r="P486" s="19" t="s">
        <v>2262</v>
      </c>
      <c r="Q486" s="19" t="s">
        <v>1549</v>
      </c>
      <c r="R486" s="19" t="s">
        <v>2263</v>
      </c>
      <c r="S486" s="19" t="s">
        <v>2264</v>
      </c>
      <c r="T486" s="19" t="s">
        <v>53</v>
      </c>
      <c r="U486" s="19" t="s">
        <v>54</v>
      </c>
      <c r="V486" s="19" t="s">
        <v>95</v>
      </c>
      <c r="W486" s="19" t="s">
        <v>117</v>
      </c>
      <c r="X486" s="19" t="s">
        <v>2265</v>
      </c>
      <c r="Y486" s="19" t="s">
        <v>2265</v>
      </c>
      <c r="Z486" s="19" t="s">
        <v>2266</v>
      </c>
      <c r="AA486" s="19">
        <v>1</v>
      </c>
      <c r="AB486" s="19">
        <v>1</v>
      </c>
      <c r="AC486" s="19" t="s">
        <v>59</v>
      </c>
      <c r="AD486" s="19" t="s">
        <v>2262</v>
      </c>
      <c r="AE486" s="19" t="s">
        <v>1725</v>
      </c>
      <c r="AF486" s="19" t="s">
        <v>2267</v>
      </c>
    </row>
    <row r="487" spans="1:34">
      <c r="A487" s="19">
        <v>479</v>
      </c>
      <c r="B487" s="19" t="s">
        <v>1725</v>
      </c>
      <c r="C487" s="19" t="s">
        <v>1915</v>
      </c>
      <c r="D487" s="19" t="str">
        <f>HYPERLINK("http://henontech.com/fieldsafety/harzard/harzard_show.php?rid=25830&amp;url=harzardrecs.php","东五有好几个窗户插销损坏，窗扇容易脱落，一旦有人从底下经过，就会造成头部砸伤，送医敷药包扎，回家休养三天后复工")</f>
        <v>东五有好几个窗户插销损坏，窗扇容易脱落，一旦有人从底下经过，就会造成头部砸伤，送医敷药包扎，回家休养三天后复工</v>
      </c>
      <c r="E487" s="19" t="s">
        <v>2268</v>
      </c>
      <c r="F487" s="20" t="s">
        <v>42</v>
      </c>
      <c r="G487" s="21" t="s">
        <v>43</v>
      </c>
      <c r="H487" s="19" t="s">
        <v>44</v>
      </c>
      <c r="I487" s="19" t="s">
        <v>129</v>
      </c>
      <c r="J487" s="19" t="s">
        <v>87</v>
      </c>
      <c r="K487" s="19" t="s">
        <v>88</v>
      </c>
      <c r="L487" s="19" t="s">
        <v>65</v>
      </c>
      <c r="M487" s="19" t="s">
        <v>633</v>
      </c>
      <c r="N487" s="19" t="s">
        <v>2269</v>
      </c>
      <c r="O487" s="19" t="s">
        <v>633</v>
      </c>
      <c r="P487" s="19" t="s">
        <v>634</v>
      </c>
      <c r="Q487" s="19" t="s">
        <v>2075</v>
      </c>
      <c r="R487" s="19" t="s">
        <v>1935</v>
      </c>
      <c r="S487" s="19"/>
      <c r="T487" s="19" t="s">
        <v>53</v>
      </c>
      <c r="U487" s="19" t="s">
        <v>54</v>
      </c>
      <c r="V487" s="19" t="s">
        <v>55</v>
      </c>
      <c r="W487" s="19" t="s">
        <v>56</v>
      </c>
      <c r="X487" s="19"/>
      <c r="Y487" s="19"/>
      <c r="Z487" s="19" t="s">
        <v>2270</v>
      </c>
      <c r="AA487" s="19">
        <v>1</v>
      </c>
      <c r="AB487" s="19">
        <v>1</v>
      </c>
      <c r="AC487" s="19" t="s">
        <v>59</v>
      </c>
      <c r="AD487" s="19" t="s">
        <v>634</v>
      </c>
      <c r="AE487" s="19" t="s">
        <v>2075</v>
      </c>
      <c r="AF487" s="19"/>
    </row>
    <row r="488" spans="1:34">
      <c r="A488" s="19">
        <v>480</v>
      </c>
      <c r="B488" s="19" t="s">
        <v>1725</v>
      </c>
      <c r="C488" s="19" t="s">
        <v>1915</v>
      </c>
      <c r="D488" s="19" t="str">
        <f>HYPERLINK("http://henontech.com/fieldsafety/harzard/harzard_show.php?rid=25831&amp;url=harzardrecs.php","纤子未按照规定摆放，一员工在巡检过程中被绊倒，导致胳膊轻微划伤，经送医务室包扎后继续工作。")</f>
        <v>纤子未按照规定摆放，一员工在巡检过程中被绊倒，导致胳膊轻微划伤，经送医务室包扎后继续工作。</v>
      </c>
      <c r="E488" s="19" t="s">
        <v>2271</v>
      </c>
      <c r="F488" s="20" t="s">
        <v>42</v>
      </c>
      <c r="G488" s="21" t="s">
        <v>43</v>
      </c>
      <c r="H488" s="19" t="s">
        <v>44</v>
      </c>
      <c r="I488" s="19" t="s">
        <v>129</v>
      </c>
      <c r="J488" s="19" t="s">
        <v>87</v>
      </c>
      <c r="K488" s="19" t="s">
        <v>88</v>
      </c>
      <c r="L488" s="19" t="s">
        <v>65</v>
      </c>
      <c r="M488" s="19" t="s">
        <v>633</v>
      </c>
      <c r="N488" s="19" t="s">
        <v>2272</v>
      </c>
      <c r="O488" s="19" t="s">
        <v>633</v>
      </c>
      <c r="P488" s="19" t="s">
        <v>634</v>
      </c>
      <c r="Q488" s="19" t="s">
        <v>1796</v>
      </c>
      <c r="R488" s="19" t="s">
        <v>2273</v>
      </c>
      <c r="S488" s="19"/>
      <c r="T488" s="19" t="s">
        <v>53</v>
      </c>
      <c r="U488" s="19" t="s">
        <v>71</v>
      </c>
      <c r="V488" s="19" t="s">
        <v>193</v>
      </c>
      <c r="W488" s="19" t="s">
        <v>96</v>
      </c>
      <c r="X488" s="19"/>
      <c r="Y488" s="19"/>
      <c r="Z488" s="19" t="s">
        <v>2274</v>
      </c>
      <c r="AA488" s="19">
        <v>1</v>
      </c>
      <c r="AB488" s="19">
        <v>1</v>
      </c>
      <c r="AC488" s="19" t="s">
        <v>59</v>
      </c>
      <c r="AD488" s="19" t="s">
        <v>634</v>
      </c>
      <c r="AE488" s="19" t="s">
        <v>1796</v>
      </c>
      <c r="AF488" s="19"/>
    </row>
    <row r="489" spans="1:34">
      <c r="A489" s="19">
        <v>481</v>
      </c>
      <c r="B489" s="19" t="s">
        <v>2230</v>
      </c>
      <c r="C489" s="19" t="s">
        <v>934</v>
      </c>
      <c r="D489" s="19" t="str">
        <f>HYPERLINK("http://henontech.com/fieldsafety/harzard/harzard_show.php?rid=25921&amp;url=harzardrecs.php","破碎机除尘器铰刀连轴销挡盘脱落，开机期间一旦连轴销脱出，造成除尘器非正常停机30分钟。")</f>
        <v>破碎机除尘器铰刀连轴销挡盘脱落，开机期间一旦连轴销脱出，造成除尘器非正常停机30分钟。</v>
      </c>
      <c r="E489" s="19" t="s">
        <v>2275</v>
      </c>
      <c r="F489" s="20" t="s">
        <v>42</v>
      </c>
      <c r="G489" s="22" t="s">
        <v>111</v>
      </c>
      <c r="H489" s="19" t="s">
        <v>44</v>
      </c>
      <c r="I489" s="19" t="s">
        <v>129</v>
      </c>
      <c r="J489" s="19" t="s">
        <v>87</v>
      </c>
      <c r="K489" s="19" t="s">
        <v>79</v>
      </c>
      <c r="L489" s="19" t="s">
        <v>65</v>
      </c>
      <c r="M489" s="19" t="s">
        <v>633</v>
      </c>
      <c r="N489" s="19" t="s">
        <v>2276</v>
      </c>
      <c r="O489" s="19" t="s">
        <v>633</v>
      </c>
      <c r="P489" s="19" t="s">
        <v>634</v>
      </c>
      <c r="Q489" s="19" t="s">
        <v>1796</v>
      </c>
      <c r="R489" s="19" t="s">
        <v>2277</v>
      </c>
      <c r="S489" s="19"/>
      <c r="T489" s="19" t="s">
        <v>104</v>
      </c>
      <c r="U489" s="19" t="s">
        <v>94</v>
      </c>
      <c r="V489" s="19" t="s">
        <v>105</v>
      </c>
      <c r="W489" s="19" t="s">
        <v>96</v>
      </c>
      <c r="X489" s="19"/>
      <c r="Y489" s="19"/>
      <c r="Z489" s="19" t="s">
        <v>2278</v>
      </c>
      <c r="AA489" s="19">
        <v>1</v>
      </c>
      <c r="AB489" s="19">
        <v>1</v>
      </c>
      <c r="AC489" s="19" t="s">
        <v>59</v>
      </c>
      <c r="AD489" s="19" t="s">
        <v>634</v>
      </c>
      <c r="AE489" s="19" t="s">
        <v>1796</v>
      </c>
      <c r="AF489" s="19"/>
    </row>
    <row r="490" spans="1:34">
      <c r="A490" s="19">
        <v>482</v>
      </c>
      <c r="B490" s="19" t="s">
        <v>1796</v>
      </c>
      <c r="C490" s="19" t="s">
        <v>934</v>
      </c>
      <c r="D490" s="19" t="str">
        <f>HYPERLINK("http://henontech.com/fieldsafety/harzard/harzard_show.php?rid=26111&amp;url=harzardrecs.php","东五护栏套管缺失，一职工清理机架卫生时，一旦晃动过大，会造成右手磨蹭托辊受伤，送医务室检查右手轻微擦伤，敷药后继续上岗作业。")</f>
        <v>东五护栏套管缺失，一职工清理机架卫生时，一旦晃动过大，会造成右手磨蹭托辊受伤，送医务室检查右手轻微擦伤，敷药后继续上岗作业。</v>
      </c>
      <c r="E490" s="19" t="s">
        <v>2279</v>
      </c>
      <c r="F490" s="20" t="s">
        <v>42</v>
      </c>
      <c r="G490" s="21" t="s">
        <v>43</v>
      </c>
      <c r="H490" s="19" t="s">
        <v>44</v>
      </c>
      <c r="I490" s="19" t="s">
        <v>78</v>
      </c>
      <c r="J490" s="19" t="s">
        <v>64</v>
      </c>
      <c r="K490" s="19" t="s">
        <v>88</v>
      </c>
      <c r="L490" s="19" t="s">
        <v>662</v>
      </c>
      <c r="M490" s="19" t="s">
        <v>633</v>
      </c>
      <c r="N490" s="19" t="s">
        <v>2280</v>
      </c>
      <c r="O490" s="19" t="s">
        <v>633</v>
      </c>
      <c r="P490" s="19" t="s">
        <v>634</v>
      </c>
      <c r="Q490" s="19" t="s">
        <v>2075</v>
      </c>
      <c r="R490" s="19" t="s">
        <v>1935</v>
      </c>
      <c r="S490" s="19"/>
      <c r="T490" s="19" t="s">
        <v>53</v>
      </c>
      <c r="U490" s="19" t="s">
        <v>71</v>
      </c>
      <c r="V490" s="19" t="s">
        <v>105</v>
      </c>
      <c r="W490" s="19" t="s">
        <v>96</v>
      </c>
      <c r="X490" s="19"/>
      <c r="Y490" s="19"/>
      <c r="Z490" s="19" t="s">
        <v>2281</v>
      </c>
      <c r="AA490" s="19">
        <v>1</v>
      </c>
      <c r="AB490" s="19">
        <v>1</v>
      </c>
      <c r="AC490" s="19" t="s">
        <v>59</v>
      </c>
      <c r="AD490" s="19" t="s">
        <v>634</v>
      </c>
      <c r="AE490" s="19" t="s">
        <v>2075</v>
      </c>
      <c r="AF490" s="19"/>
    </row>
    <row r="491" spans="1:34">
      <c r="A491" s="19">
        <v>483</v>
      </c>
      <c r="B491" s="19" t="s">
        <v>1796</v>
      </c>
      <c r="C491" s="19" t="s">
        <v>246</v>
      </c>
      <c r="D491" s="19" t="str">
        <f>HYPERLINK("http://henontech.com/fieldsafety/harzard/harzard_show.php?rid=26114&amp;url=harzardrecs.php","化工厂吸氨岗母液槽液位计显示不准，容易引起操作工误操作，母液槽抽空，液氨泄露，造成人员中毒，送医院救治，损工七天")</f>
        <v>化工厂吸氨岗母液槽液位计显示不准，容易引起操作工误操作，母液槽抽空，液氨泄露，造成人员中毒，送医院救治，损工七天</v>
      </c>
      <c r="E491" s="19" t="s">
        <v>2282</v>
      </c>
      <c r="F491" s="20" t="s">
        <v>42</v>
      </c>
      <c r="G491" s="22" t="s">
        <v>111</v>
      </c>
      <c r="H491" s="19" t="s">
        <v>44</v>
      </c>
      <c r="I491" s="19" t="s">
        <v>297</v>
      </c>
      <c r="J491" s="19" t="s">
        <v>64</v>
      </c>
      <c r="K491" s="19" t="s">
        <v>46</v>
      </c>
      <c r="L491" s="19" t="s">
        <v>65</v>
      </c>
      <c r="M491" s="19" t="s">
        <v>146</v>
      </c>
      <c r="N491" s="19" t="s">
        <v>248</v>
      </c>
      <c r="O491" s="19" t="s">
        <v>146</v>
      </c>
      <c r="P491" s="19" t="s">
        <v>1084</v>
      </c>
      <c r="Q491" s="19" t="s">
        <v>2085</v>
      </c>
      <c r="R491" s="19" t="s">
        <v>2283</v>
      </c>
      <c r="S491" s="19"/>
      <c r="T491" s="19" t="s">
        <v>53</v>
      </c>
      <c r="U491" s="19" t="s">
        <v>54</v>
      </c>
      <c r="V491" s="19" t="s">
        <v>55</v>
      </c>
      <c r="W491" s="19" t="s">
        <v>56</v>
      </c>
      <c r="X491" s="19" t="s">
        <v>150</v>
      </c>
      <c r="Y491" s="19" t="s">
        <v>150</v>
      </c>
      <c r="Z491" s="19" t="s">
        <v>2284</v>
      </c>
      <c r="AA491" s="19">
        <v>1</v>
      </c>
      <c r="AB491" s="19">
        <v>0</v>
      </c>
      <c r="AC491" s="19" t="s">
        <v>59</v>
      </c>
      <c r="AD491" s="19" t="s">
        <v>1084</v>
      </c>
      <c r="AE491" s="19" t="s">
        <v>1796</v>
      </c>
      <c r="AF491" s="19"/>
    </row>
    <row r="492" spans="1:34">
      <c r="A492" s="19">
        <v>484</v>
      </c>
      <c r="B492" s="19" t="s">
        <v>1796</v>
      </c>
      <c r="C492" s="19" t="s">
        <v>2256</v>
      </c>
      <c r="D492" s="19" t="str">
        <f>HYPERLINK("http://henontech.com/fieldsafety/harzard/harzard_show.php?rid=26139&amp;url=harzardrecs.php","西五机头一照明灯损坏，夜班操作工巡检时，因光线不好没看清脚下被绊倒，扭伤脚踝，休息一会继续工作。")</f>
        <v>西五机头一照明灯损坏，夜班操作工巡检时，因光线不好没看清脚下被绊倒，扭伤脚踝，休息一会继续工作。</v>
      </c>
      <c r="E492" s="19" t="s">
        <v>2285</v>
      </c>
      <c r="F492" s="26" t="s">
        <v>2286</v>
      </c>
      <c r="G492" s="19"/>
      <c r="H492" s="19" t="s">
        <v>44</v>
      </c>
      <c r="I492" s="19" t="s">
        <v>78</v>
      </c>
      <c r="J492" s="19" t="s">
        <v>64</v>
      </c>
      <c r="K492" s="19" t="s">
        <v>88</v>
      </c>
      <c r="L492" s="19" t="s">
        <v>65</v>
      </c>
      <c r="M492" s="19" t="s">
        <v>633</v>
      </c>
      <c r="N492" s="19" t="s">
        <v>2287</v>
      </c>
      <c r="O492" s="19"/>
      <c r="P492" s="19"/>
      <c r="Q492" s="19"/>
      <c r="R492" s="19" t="s">
        <v>2288</v>
      </c>
      <c r="S492" s="19"/>
      <c r="T492" s="19" t="s">
        <v>53</v>
      </c>
      <c r="U492" s="19" t="s">
        <v>71</v>
      </c>
      <c r="V492" s="19" t="s">
        <v>105</v>
      </c>
      <c r="W492" s="19" t="s">
        <v>96</v>
      </c>
      <c r="X492" s="19"/>
      <c r="Y492" s="19"/>
      <c r="Z492" s="19"/>
      <c r="AA492" s="19"/>
      <c r="AB492" s="19"/>
      <c r="AC492" s="19" t="s">
        <v>233</v>
      </c>
      <c r="AD492" s="19"/>
      <c r="AE492" s="19"/>
      <c r="AF492" s="19"/>
    </row>
    <row r="493" spans="1:34" customHeight="1" ht="42">
      <c r="A493" s="19">
        <v>485</v>
      </c>
      <c r="B493" s="19" t="s">
        <v>1796</v>
      </c>
      <c r="C493" s="19" t="s">
        <v>1606</v>
      </c>
      <c r="D493" s="19" t="str">
        <f>HYPERLINK("http://henontech.com/fieldsafety/harzard/harzard_show.php?rid=26163&amp;url=harzardrecs.php","焦三带除尘站东侧输焦通廊上方一处彩钢瓦包边脱落半空吊挂，高度10m左右，若1名职工巡检路过时该铁件掉落，砸中职工肩部。")</f>
        <v>焦三带除尘站东侧输焦通廊上方一处彩钢瓦包边脱落半空吊挂，高度10m左右，若1名职工巡检路过时该铁件掉落，砸中职工肩部。</v>
      </c>
      <c r="E493" s="19" t="s">
        <v>2289</v>
      </c>
      <c r="F493" s="20" t="s">
        <v>42</v>
      </c>
      <c r="G493" s="22" t="s">
        <v>111</v>
      </c>
      <c r="H493" s="19" t="s">
        <v>44</v>
      </c>
      <c r="I493" s="19"/>
      <c r="J493" s="19" t="s">
        <v>64</v>
      </c>
      <c r="K493" s="19"/>
      <c r="L493" s="19"/>
      <c r="M493" s="19" t="s">
        <v>49</v>
      </c>
      <c r="N493" s="19" t="s">
        <v>2233</v>
      </c>
      <c r="O493" s="19" t="s">
        <v>49</v>
      </c>
      <c r="P493" s="19" t="s">
        <v>1601</v>
      </c>
      <c r="Q493" s="19" t="s">
        <v>1760</v>
      </c>
      <c r="R493" s="19" t="s">
        <v>2290</v>
      </c>
      <c r="S493" s="19"/>
      <c r="T493" s="19" t="s">
        <v>53</v>
      </c>
      <c r="U493" s="19" t="s">
        <v>54</v>
      </c>
      <c r="V493" s="19" t="s">
        <v>55</v>
      </c>
      <c r="W493" s="19" t="s">
        <v>56</v>
      </c>
      <c r="X493" s="19" t="s">
        <v>57</v>
      </c>
      <c r="Y493" s="19"/>
      <c r="Z493" s="19" t="s">
        <v>2291</v>
      </c>
      <c r="AA493" s="19">
        <v>2</v>
      </c>
      <c r="AB493" s="19">
        <v>2</v>
      </c>
      <c r="AC493" s="19" t="s">
        <v>59</v>
      </c>
      <c r="AD493" s="19" t="s">
        <v>1601</v>
      </c>
      <c r="AE493" s="19" t="s">
        <v>1796</v>
      </c>
      <c r="AF493" s="19"/>
    </row>
    <row r="494" spans="1:34" customHeight="1" ht="42">
      <c r="A494" s="19">
        <v>486</v>
      </c>
      <c r="B494" s="19" t="s">
        <v>1796</v>
      </c>
      <c r="C494" s="19" t="s">
        <v>1994</v>
      </c>
      <c r="D494" s="19" t="str">
        <f>HYPERLINK("http://henontech.com/fieldsafety/harzard/harzard_show.php?rid=26171&amp;url=harzardrecs.php","场地石头未清理，一职工巡检时不慎摔倒，脸部受伤。")</f>
        <v>场地石头未清理，一职工巡检时不慎摔倒，脸部受伤。</v>
      </c>
      <c r="E494" s="19" t="s">
        <v>2292</v>
      </c>
      <c r="F494" s="25" t="s">
        <v>1784</v>
      </c>
      <c r="G494" s="21" t="s">
        <v>43</v>
      </c>
      <c r="H494" s="19" t="s">
        <v>44</v>
      </c>
      <c r="I494" s="19" t="s">
        <v>78</v>
      </c>
      <c r="J494" s="19" t="s">
        <v>64</v>
      </c>
      <c r="K494" s="19" t="s">
        <v>46</v>
      </c>
      <c r="L494" s="19"/>
      <c r="M494" s="19" t="s">
        <v>229</v>
      </c>
      <c r="N494" s="19" t="s">
        <v>2293</v>
      </c>
      <c r="O494" s="19" t="s">
        <v>229</v>
      </c>
      <c r="P494" s="19" t="s">
        <v>668</v>
      </c>
      <c r="Q494" s="19" t="s">
        <v>2028</v>
      </c>
      <c r="R494" s="19" t="s">
        <v>2294</v>
      </c>
      <c r="S494" s="19"/>
      <c r="T494" s="19" t="s">
        <v>53</v>
      </c>
      <c r="U494" s="19" t="s">
        <v>54</v>
      </c>
      <c r="V494" s="19" t="s">
        <v>55</v>
      </c>
      <c r="W494" s="19" t="s">
        <v>56</v>
      </c>
      <c r="X494" s="19" t="s">
        <v>57</v>
      </c>
      <c r="Y494" s="19"/>
      <c r="Z494" s="19" t="s">
        <v>2295</v>
      </c>
      <c r="AA494" s="19">
        <v>2</v>
      </c>
      <c r="AB494" s="19"/>
      <c r="AC494" s="19" t="s">
        <v>233</v>
      </c>
      <c r="AD494" s="19"/>
      <c r="AE494" s="19"/>
      <c r="AF494" s="19"/>
    </row>
    <row r="495" spans="1:34" customHeight="1" ht="42">
      <c r="A495" s="19">
        <v>487</v>
      </c>
      <c r="B495" s="19" t="s">
        <v>2075</v>
      </c>
      <c r="C495" s="19" t="s">
        <v>1925</v>
      </c>
      <c r="D495" s="19" t="str">
        <f>HYPERLINK("http://henontech.com/fieldsafety/harzard/harzard_show.php?rid=26181&amp;url=harzardrecs.php","煤八皮带带边开裂，运行中一旦监护不到位会刮带撕裂胶带，造成换带损失72000余元。")</f>
        <v>煤八皮带带边开裂，运行中一旦监护不到位会刮带撕裂胶带，造成换带损失72000余元。</v>
      </c>
      <c r="E495" s="19" t="s">
        <v>2296</v>
      </c>
      <c r="F495" s="20" t="s">
        <v>42</v>
      </c>
      <c r="G495" s="21" t="s">
        <v>43</v>
      </c>
      <c r="H495" s="19" t="s">
        <v>44</v>
      </c>
      <c r="I495" s="19" t="s">
        <v>78</v>
      </c>
      <c r="J495" s="19" t="s">
        <v>64</v>
      </c>
      <c r="K495" s="19"/>
      <c r="L495" s="19"/>
      <c r="M495" s="19" t="s">
        <v>633</v>
      </c>
      <c r="N495" s="19" t="s">
        <v>2020</v>
      </c>
      <c r="O495" s="19" t="s">
        <v>633</v>
      </c>
      <c r="P495" s="19" t="s">
        <v>924</v>
      </c>
      <c r="Q495" s="19" t="s">
        <v>2297</v>
      </c>
      <c r="R495" s="19" t="s">
        <v>2298</v>
      </c>
      <c r="S495" s="19"/>
      <c r="T495" s="19" t="s">
        <v>104</v>
      </c>
      <c r="U495" s="19" t="s">
        <v>71</v>
      </c>
      <c r="V495" s="19" t="s">
        <v>55</v>
      </c>
      <c r="W495" s="19" t="s">
        <v>72</v>
      </c>
      <c r="X495" s="19" t="s">
        <v>141</v>
      </c>
      <c r="Y495" s="19" t="s">
        <v>141</v>
      </c>
      <c r="Z495" s="19" t="s">
        <v>2299</v>
      </c>
      <c r="AA495" s="19">
        <v>2</v>
      </c>
      <c r="AB495" s="19">
        <v>2</v>
      </c>
      <c r="AC495" s="19" t="s">
        <v>59</v>
      </c>
      <c r="AD495" s="19" t="s">
        <v>924</v>
      </c>
      <c r="AE495" s="19" t="s">
        <v>1722</v>
      </c>
      <c r="AF495" s="19"/>
    </row>
    <row r="496" spans="1:34">
      <c r="A496" s="19">
        <v>488</v>
      </c>
      <c r="B496" s="19" t="s">
        <v>2075</v>
      </c>
      <c r="C496" s="19" t="s">
        <v>2300</v>
      </c>
      <c r="D496" s="19" t="str">
        <f>HYPERLINK("http://henontech.com/fieldsafety/harzard/harzard_show.php?rid=26186&amp;url=harzardrecs.php","5号减温减压分汽缸阀门处保温缺失，一巡检人员经过时右小臂不慎碰到高温阀门，送医治疗。")</f>
        <v>5号减温减压分汽缸阀门处保温缺失，一巡检人员经过时右小臂不慎碰到高温阀门，送医治疗。</v>
      </c>
      <c r="E496" s="19" t="s">
        <v>2301</v>
      </c>
      <c r="F496" s="20" t="s">
        <v>42</v>
      </c>
      <c r="G496" s="21" t="s">
        <v>43</v>
      </c>
      <c r="H496" s="19" t="s">
        <v>44</v>
      </c>
      <c r="I496" s="19" t="s">
        <v>78</v>
      </c>
      <c r="J496" s="19" t="s">
        <v>45</v>
      </c>
      <c r="K496" s="19" t="s">
        <v>88</v>
      </c>
      <c r="L496" s="19" t="s">
        <v>65</v>
      </c>
      <c r="M496" s="19" t="s">
        <v>49</v>
      </c>
      <c r="N496" s="19" t="s">
        <v>1029</v>
      </c>
      <c r="O496" s="19" t="s">
        <v>49</v>
      </c>
      <c r="P496" s="19" t="s">
        <v>2302</v>
      </c>
      <c r="Q496" s="19" t="s">
        <v>2303</v>
      </c>
      <c r="R496" s="19" t="s">
        <v>2304</v>
      </c>
      <c r="S496" s="19" t="s">
        <v>2305</v>
      </c>
      <c r="T496" s="19" t="s">
        <v>53</v>
      </c>
      <c r="U496" s="19" t="s">
        <v>54</v>
      </c>
      <c r="V496" s="19" t="s">
        <v>55</v>
      </c>
      <c r="W496" s="19" t="s">
        <v>56</v>
      </c>
      <c r="X496" s="19" t="s">
        <v>57</v>
      </c>
      <c r="Y496" s="19"/>
      <c r="Z496" s="19" t="s">
        <v>2306</v>
      </c>
      <c r="AA496" s="19">
        <v>1</v>
      </c>
      <c r="AB496" s="19">
        <v>1</v>
      </c>
      <c r="AC496" s="19" t="s">
        <v>59</v>
      </c>
      <c r="AD496" s="19" t="s">
        <v>2302</v>
      </c>
      <c r="AE496" s="19" t="s">
        <v>1405</v>
      </c>
      <c r="AF496" s="19" t="s">
        <v>2307</v>
      </c>
    </row>
    <row r="497" spans="1:34">
      <c r="A497" s="19">
        <v>489</v>
      </c>
      <c r="B497" s="19" t="s">
        <v>2075</v>
      </c>
      <c r="C497" s="19" t="s">
        <v>1325</v>
      </c>
      <c r="D497" s="19" t="str">
        <f>HYPERLINK("http://henontech.com/fieldsafety/harzard/harzard_show.php?rid=26191&amp;url=harzardrecs.php","主控楼PLC室一块地板翘起，一电气人员巡检时不慎被绊倒，造成右脚轻微扭伤，送医治疗！")</f>
        <v>主控楼PLC室一块地板翘起，一电气人员巡检时不慎被绊倒，造成右脚轻微扭伤，送医治疗！</v>
      </c>
      <c r="E497" s="19" t="s">
        <v>2308</v>
      </c>
      <c r="F497" s="20" t="s">
        <v>42</v>
      </c>
      <c r="G497" s="21" t="s">
        <v>43</v>
      </c>
      <c r="H497" s="19" t="s">
        <v>44</v>
      </c>
      <c r="I497" s="19" t="s">
        <v>129</v>
      </c>
      <c r="J497" s="19" t="s">
        <v>64</v>
      </c>
      <c r="K497" s="19" t="s">
        <v>79</v>
      </c>
      <c r="L497" s="19" t="s">
        <v>65</v>
      </c>
      <c r="M497" s="19" t="s">
        <v>49</v>
      </c>
      <c r="N497" s="19" t="s">
        <v>979</v>
      </c>
      <c r="O497" s="19" t="s">
        <v>49</v>
      </c>
      <c r="P497" s="19" t="s">
        <v>2302</v>
      </c>
      <c r="Q497" s="19" t="s">
        <v>2309</v>
      </c>
      <c r="R497" s="19" t="s">
        <v>2310</v>
      </c>
      <c r="S497" s="19" t="s">
        <v>2311</v>
      </c>
      <c r="T497" s="19" t="s">
        <v>53</v>
      </c>
      <c r="U497" s="19" t="s">
        <v>54</v>
      </c>
      <c r="V497" s="19" t="s">
        <v>55</v>
      </c>
      <c r="W497" s="19" t="s">
        <v>56</v>
      </c>
      <c r="X497" s="19" t="s">
        <v>57</v>
      </c>
      <c r="Y497" s="19"/>
      <c r="Z497" s="19" t="s">
        <v>2312</v>
      </c>
      <c r="AA497" s="19">
        <v>1</v>
      </c>
      <c r="AB497" s="19">
        <v>1</v>
      </c>
      <c r="AC497" s="19" t="s">
        <v>59</v>
      </c>
      <c r="AD497" s="19" t="s">
        <v>2302</v>
      </c>
      <c r="AE497" s="19" t="s">
        <v>1405</v>
      </c>
      <c r="AF497" s="19" t="s">
        <v>2313</v>
      </c>
    </row>
    <row r="498" spans="1:34">
      <c r="A498" s="19">
        <v>490</v>
      </c>
      <c r="B498" s="19" t="s">
        <v>2075</v>
      </c>
      <c r="C498" s="19" t="s">
        <v>2314</v>
      </c>
      <c r="D498" s="19" t="str">
        <f>HYPERLINK("http://henontech.com/fieldsafety/harzard/harzard_show.php?rid=26229&amp;url=harzardrecs.php","一名职工中班在冷凝澄清槽巡检时由于天气比较潮湿照明穿线管破损造成爬梯扶手处有电压造成触电，该职工迅速摆脱爬梯扶手后未造成人员伤害，继续上班。")</f>
        <v>一名职工中班在冷凝澄清槽巡检时由于天气比较潮湿照明穿线管破损造成爬梯扶手处有电压造成触电，该职工迅速摆脱爬梯扶手后未造成人员伤害，继续上班。</v>
      </c>
      <c r="E498" s="19" t="s">
        <v>2315</v>
      </c>
      <c r="F498" s="25" t="s">
        <v>1784</v>
      </c>
      <c r="G498" s="21" t="s">
        <v>43</v>
      </c>
      <c r="H498" s="19" t="s">
        <v>44</v>
      </c>
      <c r="I498" s="19" t="s">
        <v>78</v>
      </c>
      <c r="J498" s="19" t="s">
        <v>64</v>
      </c>
      <c r="K498" s="19" t="s">
        <v>46</v>
      </c>
      <c r="L498" s="19" t="s">
        <v>65</v>
      </c>
      <c r="M498" s="19" t="s">
        <v>66</v>
      </c>
      <c r="N498" s="19" t="s">
        <v>744</v>
      </c>
      <c r="O498" s="19" t="s">
        <v>66</v>
      </c>
      <c r="P498" s="19" t="s">
        <v>68</v>
      </c>
      <c r="Q498" s="19" t="s">
        <v>2316</v>
      </c>
      <c r="R498" s="19" t="s">
        <v>2317</v>
      </c>
      <c r="S498" s="19"/>
      <c r="T498" s="19" t="s">
        <v>53</v>
      </c>
      <c r="U498" s="19" t="s">
        <v>94</v>
      </c>
      <c r="V498" s="19" t="s">
        <v>55</v>
      </c>
      <c r="W498" s="19" t="s">
        <v>96</v>
      </c>
      <c r="X498" s="19"/>
      <c r="Y498" s="19"/>
      <c r="Z498" s="19" t="s">
        <v>2318</v>
      </c>
      <c r="AA498" s="19">
        <v>1</v>
      </c>
      <c r="AB498" s="19"/>
      <c r="AC498" s="19" t="s">
        <v>233</v>
      </c>
      <c r="AD498" s="19"/>
      <c r="AE498" s="19"/>
      <c r="AF498" s="19"/>
    </row>
    <row r="499" spans="1:34">
      <c r="A499" s="19">
        <v>491</v>
      </c>
      <c r="B499" s="19" t="s">
        <v>2075</v>
      </c>
      <c r="C499" s="19" t="s">
        <v>2300</v>
      </c>
      <c r="D499" s="19" t="str">
        <f>HYPERLINK("http://henontech.com/fieldsafety/harzard/harzard_show.php?rid=26235&amp;url=harzardrecs.php","对讲机垫着报纸等易燃物充电，由于线路老化漏电，将易燃物引燃进而引发了火灾")</f>
        <v>对讲机垫着报纸等易燃物充电，由于线路老化漏电，将易燃物引燃进而引发了火灾</v>
      </c>
      <c r="E499" s="19" t="s">
        <v>2319</v>
      </c>
      <c r="F499" s="26" t="s">
        <v>2286</v>
      </c>
      <c r="G499" s="19"/>
      <c r="H499" s="19" t="s">
        <v>44</v>
      </c>
      <c r="I499" s="19" t="s">
        <v>78</v>
      </c>
      <c r="J499" s="19" t="s">
        <v>87</v>
      </c>
      <c r="K499" s="19" t="s">
        <v>88</v>
      </c>
      <c r="L499" s="19" t="s">
        <v>65</v>
      </c>
      <c r="M499" s="19" t="s">
        <v>633</v>
      </c>
      <c r="N499" s="19" t="s">
        <v>2320</v>
      </c>
      <c r="O499" s="19"/>
      <c r="P499" s="19"/>
      <c r="Q499" s="19"/>
      <c r="R499" s="19" t="s">
        <v>2093</v>
      </c>
      <c r="S499" s="19"/>
      <c r="T499" s="19" t="s">
        <v>104</v>
      </c>
      <c r="U499" s="19" t="s">
        <v>94</v>
      </c>
      <c r="V499" s="19" t="s">
        <v>55</v>
      </c>
      <c r="W499" s="19" t="s">
        <v>96</v>
      </c>
      <c r="X499" s="19"/>
      <c r="Y499" s="19"/>
      <c r="Z499" s="19"/>
      <c r="AA499" s="19"/>
      <c r="AB499" s="19"/>
      <c r="AC499" s="19" t="s">
        <v>233</v>
      </c>
      <c r="AD499" s="19"/>
      <c r="AE499" s="19"/>
      <c r="AF499" s="19"/>
    </row>
    <row r="500" spans="1:34">
      <c r="A500" s="19">
        <v>492</v>
      </c>
      <c r="B500" s="19" t="s">
        <v>2075</v>
      </c>
      <c r="C500" s="19" t="s">
        <v>2004</v>
      </c>
      <c r="D500" s="19" t="str">
        <f>HYPERLINK("http://henontech.com/fieldsafety/harzard/harzard_show.php?rid=26240&amp;url=harzardrecs.php","挡风墙铁架有杂物，一旦职工经过杂物不慎落到左肩，擦伤皮肤，送医务室敷药后继续回岗位工作。")</f>
        <v>挡风墙铁架有杂物，一旦职工经过杂物不慎落到左肩，擦伤皮肤，送医务室敷药后继续回岗位工作。</v>
      </c>
      <c r="E500" s="19" t="s">
        <v>2321</v>
      </c>
      <c r="F500" s="20" t="s">
        <v>42</v>
      </c>
      <c r="G500" s="21" t="s">
        <v>43</v>
      </c>
      <c r="H500" s="19" t="s">
        <v>44</v>
      </c>
      <c r="I500" s="19" t="s">
        <v>78</v>
      </c>
      <c r="J500" s="19" t="s">
        <v>45</v>
      </c>
      <c r="K500" s="19" t="s">
        <v>79</v>
      </c>
      <c r="L500" s="19" t="s">
        <v>65</v>
      </c>
      <c r="M500" s="19" t="s">
        <v>633</v>
      </c>
      <c r="N500" s="19" t="s">
        <v>1370</v>
      </c>
      <c r="O500" s="19" t="s">
        <v>633</v>
      </c>
      <c r="P500" s="19" t="s">
        <v>634</v>
      </c>
      <c r="Q500" s="19" t="s">
        <v>1399</v>
      </c>
      <c r="R500" s="19" t="s">
        <v>2322</v>
      </c>
      <c r="S500" s="19"/>
      <c r="T500" s="19" t="s">
        <v>53</v>
      </c>
      <c r="U500" s="19" t="s">
        <v>71</v>
      </c>
      <c r="V500" s="19" t="s">
        <v>55</v>
      </c>
      <c r="W500" s="19" t="s">
        <v>72</v>
      </c>
      <c r="X500" s="19"/>
      <c r="Y500" s="19"/>
      <c r="Z500" s="19" t="s">
        <v>2323</v>
      </c>
      <c r="AA500" s="19">
        <v>1</v>
      </c>
      <c r="AB500" s="19">
        <v>1</v>
      </c>
      <c r="AC500" s="19" t="s">
        <v>59</v>
      </c>
      <c r="AD500" s="19" t="s">
        <v>634</v>
      </c>
      <c r="AE500" s="19" t="s">
        <v>1399</v>
      </c>
      <c r="AF500" s="19"/>
    </row>
    <row r="501" spans="1:34">
      <c r="A501" s="19">
        <v>493</v>
      </c>
      <c r="B501" s="19" t="s">
        <v>2075</v>
      </c>
      <c r="C501" s="19" t="s">
        <v>934</v>
      </c>
      <c r="D501" s="19" t="str">
        <f>HYPERLINK("http://henontech.com/fieldsafety/harzard/harzard_show.php?rid=26241&amp;url=harzardrecs.php","东四护栏开焊，一旦操作工在清理卫生时，可能右手食指被护栏划伤，去医务室敷药包扎后回岗位继续工作。")</f>
        <v>东四护栏开焊，一旦操作工在清理卫生时，可能右手食指被护栏划伤，去医务室敷药包扎后回岗位继续工作。</v>
      </c>
      <c r="E501" s="19" t="s">
        <v>2324</v>
      </c>
      <c r="F501" s="20" t="s">
        <v>42</v>
      </c>
      <c r="G501" s="21" t="s">
        <v>43</v>
      </c>
      <c r="H501" s="19" t="s">
        <v>44</v>
      </c>
      <c r="I501" s="19" t="s">
        <v>78</v>
      </c>
      <c r="J501" s="19" t="s">
        <v>64</v>
      </c>
      <c r="K501" s="19" t="s">
        <v>88</v>
      </c>
      <c r="L501" s="19" t="s">
        <v>65</v>
      </c>
      <c r="M501" s="19" t="s">
        <v>633</v>
      </c>
      <c r="N501" s="19" t="s">
        <v>2325</v>
      </c>
      <c r="O501" s="19" t="s">
        <v>633</v>
      </c>
      <c r="P501" s="19" t="s">
        <v>634</v>
      </c>
      <c r="Q501" s="19" t="s">
        <v>1399</v>
      </c>
      <c r="R501" s="19" t="s">
        <v>2093</v>
      </c>
      <c r="S501" s="19"/>
      <c r="T501" s="19" t="s">
        <v>53</v>
      </c>
      <c r="U501" s="19" t="s">
        <v>71</v>
      </c>
      <c r="V501" s="19" t="s">
        <v>105</v>
      </c>
      <c r="W501" s="19" t="s">
        <v>96</v>
      </c>
      <c r="X501" s="19"/>
      <c r="Y501" s="19"/>
      <c r="Z501" s="19" t="s">
        <v>2326</v>
      </c>
      <c r="AA501" s="19">
        <v>1</v>
      </c>
      <c r="AB501" s="19">
        <v>1</v>
      </c>
      <c r="AC501" s="19" t="s">
        <v>59</v>
      </c>
      <c r="AD501" s="19" t="s">
        <v>634</v>
      </c>
      <c r="AE501" s="19" t="s">
        <v>1399</v>
      </c>
      <c r="AF501" s="19"/>
    </row>
    <row r="502" spans="1:34" customHeight="1" ht="42">
      <c r="A502" s="19">
        <v>494</v>
      </c>
      <c r="B502" s="19" t="s">
        <v>2075</v>
      </c>
      <c r="C502" s="19" t="s">
        <v>656</v>
      </c>
      <c r="D502" s="19" t="str">
        <f>HYPERLINK("http://henontech.com/fieldsafety/harzard/harzard_show.php?rid=26254&amp;url=harzardrecs.php","西三楼道照明灯坏 夜班操作工上下楼梯时看不清脚下不慎踩空摔倒造成右脚脚踝扭伤休息一会不影响工作")</f>
        <v>西三楼道照明灯坏 夜班操作工上下楼梯时看不清脚下不慎踩空摔倒造成右脚脚踝扭伤休息一会不影响工作</v>
      </c>
      <c r="E502" s="19" t="s">
        <v>2327</v>
      </c>
      <c r="F502" s="20" t="s">
        <v>42</v>
      </c>
      <c r="G502" s="21" t="s">
        <v>43</v>
      </c>
      <c r="H502" s="19" t="s">
        <v>44</v>
      </c>
      <c r="I502" s="19" t="s">
        <v>78</v>
      </c>
      <c r="J502" s="19"/>
      <c r="K502" s="19" t="s">
        <v>88</v>
      </c>
      <c r="L502" s="19" t="s">
        <v>65</v>
      </c>
      <c r="M502" s="19" t="s">
        <v>633</v>
      </c>
      <c r="N502" s="19" t="s">
        <v>2328</v>
      </c>
      <c r="O502" s="19" t="s">
        <v>633</v>
      </c>
      <c r="P502" s="19" t="s">
        <v>2329</v>
      </c>
      <c r="Q502" s="19" t="s">
        <v>2330</v>
      </c>
      <c r="R502" s="19" t="s">
        <v>2331</v>
      </c>
      <c r="S502" s="19"/>
      <c r="T502" s="19" t="s">
        <v>53</v>
      </c>
      <c r="U502" s="19" t="s">
        <v>71</v>
      </c>
      <c r="V502" s="19" t="s">
        <v>105</v>
      </c>
      <c r="W502" s="19" t="s">
        <v>96</v>
      </c>
      <c r="X502" s="19"/>
      <c r="Y502" s="19"/>
      <c r="Z502" s="19" t="s">
        <v>2332</v>
      </c>
      <c r="AA502" s="19">
        <v>2</v>
      </c>
      <c r="AB502" s="19">
        <v>2</v>
      </c>
      <c r="AC502" s="19" t="s">
        <v>59</v>
      </c>
      <c r="AD502" s="19" t="s">
        <v>2329</v>
      </c>
      <c r="AE502" s="19" t="s">
        <v>1592</v>
      </c>
      <c r="AF502" s="19"/>
    </row>
    <row r="503" spans="1:34" customHeight="1" ht="42">
      <c r="A503" s="19">
        <v>495</v>
      </c>
      <c r="B503" s="19" t="s">
        <v>2075</v>
      </c>
      <c r="C503" s="19" t="s">
        <v>656</v>
      </c>
      <c r="D503" s="19" t="str">
        <f>HYPERLINK("http://henontech.com/fieldsafety/harzard/harzard_show.php?rid=26256&amp;url=harzardrecs.php","西一带电机护罩螺丝脱落 开车时如果螺丝都震动掉落造成护罩脱落风扇叶片外露 操作工经过时不慎碰触到 造成右手被叶片打伤从医院包扎在家修养一个月")</f>
        <v>西一带电机护罩螺丝脱落 开车时如果螺丝都震动掉落造成护罩脱落风扇叶片外露 操作工经过时不慎碰触到 造成右手被叶片打伤从医院包扎在家修养一个月</v>
      </c>
      <c r="E503" s="19" t="s">
        <v>2333</v>
      </c>
      <c r="F503" s="20" t="s">
        <v>42</v>
      </c>
      <c r="G503" s="21" t="s">
        <v>43</v>
      </c>
      <c r="H503" s="19" t="s">
        <v>44</v>
      </c>
      <c r="I503" s="19" t="s">
        <v>78</v>
      </c>
      <c r="J503" s="19"/>
      <c r="K503" s="19"/>
      <c r="L503" s="19" t="s">
        <v>65</v>
      </c>
      <c r="M503" s="19" t="s">
        <v>633</v>
      </c>
      <c r="N503" s="19" t="s">
        <v>2334</v>
      </c>
      <c r="O503" s="19" t="s">
        <v>633</v>
      </c>
      <c r="P503" s="19" t="s">
        <v>2329</v>
      </c>
      <c r="Q503" s="19" t="s">
        <v>2330</v>
      </c>
      <c r="R503" s="19" t="s">
        <v>2018</v>
      </c>
      <c r="S503" s="19"/>
      <c r="T503" s="19" t="s">
        <v>53</v>
      </c>
      <c r="U503" s="19" t="s">
        <v>54</v>
      </c>
      <c r="V503" s="19" t="s">
        <v>105</v>
      </c>
      <c r="W503" s="19" t="s">
        <v>72</v>
      </c>
      <c r="X503" s="19"/>
      <c r="Y503" s="19"/>
      <c r="Z503" s="19" t="s">
        <v>2332</v>
      </c>
      <c r="AA503" s="19">
        <v>2</v>
      </c>
      <c r="AB503" s="19">
        <v>2</v>
      </c>
      <c r="AC503" s="19" t="s">
        <v>59</v>
      </c>
      <c r="AD503" s="19" t="s">
        <v>2329</v>
      </c>
      <c r="AE503" s="19" t="s">
        <v>1592</v>
      </c>
      <c r="AF503" s="19"/>
    </row>
    <row r="504" spans="1:34" customHeight="1" ht="42">
      <c r="A504" s="19">
        <v>496</v>
      </c>
      <c r="B504" s="19" t="s">
        <v>2075</v>
      </c>
      <c r="C504" s="19" t="s">
        <v>631</v>
      </c>
      <c r="D504" s="19" t="str">
        <f>HYPERLINK("http://henontech.com/fieldsafety/harzard/harzard_show.php?rid=26258&amp;url=harzardrecs.php","煤厂一钢筋翘起外露 夜班操作工经过时不慎被拌倒 造成右手手腕扭伤休息一会不影响工作")</f>
        <v>煤厂一钢筋翘起外露 夜班操作工经过时不慎被拌倒 造成右手手腕扭伤休息一会不影响工作</v>
      </c>
      <c r="E504" s="19" t="s">
        <v>2335</v>
      </c>
      <c r="F504" s="20" t="s">
        <v>42</v>
      </c>
      <c r="G504" s="21" t="s">
        <v>43</v>
      </c>
      <c r="H504" s="19" t="s">
        <v>44</v>
      </c>
      <c r="I504" s="19" t="s">
        <v>78</v>
      </c>
      <c r="J504" s="19"/>
      <c r="K504" s="19"/>
      <c r="L504" s="19" t="s">
        <v>65</v>
      </c>
      <c r="M504" s="19" t="s">
        <v>633</v>
      </c>
      <c r="N504" s="19" t="s">
        <v>2336</v>
      </c>
      <c r="O504" s="19" t="s">
        <v>633</v>
      </c>
      <c r="P504" s="19" t="s">
        <v>2329</v>
      </c>
      <c r="Q504" s="19" t="s">
        <v>2330</v>
      </c>
      <c r="R504" s="19" t="s">
        <v>2337</v>
      </c>
      <c r="S504" s="19"/>
      <c r="T504" s="19" t="s">
        <v>53</v>
      </c>
      <c r="U504" s="19" t="s">
        <v>71</v>
      </c>
      <c r="V504" s="19" t="s">
        <v>105</v>
      </c>
      <c r="W504" s="19" t="s">
        <v>96</v>
      </c>
      <c r="X504" s="19"/>
      <c r="Y504" s="19"/>
      <c r="Z504" s="19" t="s">
        <v>2338</v>
      </c>
      <c r="AA504" s="19">
        <v>2</v>
      </c>
      <c r="AB504" s="19">
        <v>2</v>
      </c>
      <c r="AC504" s="19" t="s">
        <v>59</v>
      </c>
      <c r="AD504" s="19" t="s">
        <v>2329</v>
      </c>
      <c r="AE504" s="19" t="s">
        <v>1592</v>
      </c>
      <c r="AF504" s="19"/>
    </row>
    <row r="505" spans="1:34" customHeight="1" ht="42">
      <c r="A505" s="19">
        <v>497</v>
      </c>
      <c r="B505" s="19" t="s">
        <v>2075</v>
      </c>
      <c r="C505" s="19" t="s">
        <v>631</v>
      </c>
      <c r="D505" s="19" t="str">
        <f>HYPERLINK("http://henontech.com/fieldsafety/harzard/harzard_show.php?rid=26259&amp;url=harzardrecs.php","1618油站油管外皮老化 油管继续老化破损漏油流到地上操作工经过时踩到油上脚底打滑摔倒 造成右脚脚踝扭伤休息一会不影响工作")</f>
        <v>1618油站油管外皮老化 油管继续老化破损漏油流到地上操作工经过时踩到油上脚底打滑摔倒 造成右脚脚踝扭伤休息一会不影响工作</v>
      </c>
      <c r="E505" s="19" t="s">
        <v>2327</v>
      </c>
      <c r="F505" s="20" t="s">
        <v>42</v>
      </c>
      <c r="G505" s="21" t="s">
        <v>43</v>
      </c>
      <c r="H505" s="19" t="s">
        <v>44</v>
      </c>
      <c r="I505" s="19" t="s">
        <v>78</v>
      </c>
      <c r="J505" s="19"/>
      <c r="K505" s="19"/>
      <c r="L505" s="19" t="s">
        <v>65</v>
      </c>
      <c r="M505" s="19" t="s">
        <v>49</v>
      </c>
      <c r="N505" s="19" t="s">
        <v>596</v>
      </c>
      <c r="O505" s="19" t="s">
        <v>633</v>
      </c>
      <c r="P505" s="19" t="s">
        <v>2329</v>
      </c>
      <c r="Q505" s="19" t="s">
        <v>2330</v>
      </c>
      <c r="R505" s="19" t="s">
        <v>2339</v>
      </c>
      <c r="S505" s="19"/>
      <c r="T505" s="19" t="s">
        <v>53</v>
      </c>
      <c r="U505" s="19" t="s">
        <v>71</v>
      </c>
      <c r="V505" s="19" t="s">
        <v>105</v>
      </c>
      <c r="W505" s="19" t="s">
        <v>96</v>
      </c>
      <c r="X505" s="19"/>
      <c r="Y505" s="19"/>
      <c r="Z505" s="19" t="s">
        <v>2340</v>
      </c>
      <c r="AA505" s="19">
        <v>2</v>
      </c>
      <c r="AB505" s="19">
        <v>2</v>
      </c>
      <c r="AC505" s="19" t="s">
        <v>59</v>
      </c>
      <c r="AD505" s="19" t="s">
        <v>2329</v>
      </c>
      <c r="AE505" s="19" t="s">
        <v>1592</v>
      </c>
      <c r="AF505" s="19"/>
    </row>
    <row r="506" spans="1:34">
      <c r="A506" s="19">
        <v>498</v>
      </c>
      <c r="B506" s="19" t="s">
        <v>2075</v>
      </c>
      <c r="C506" s="19" t="s">
        <v>631</v>
      </c>
      <c r="D506" s="19" t="str">
        <f>HYPERLINK("http://henontech.com/fieldsafety/harzard/harzard_show.php?rid=26260&amp;url=harzardrecs.php","煤厂钢筋翘起外露 夜班操作工经过时 没看清不慎被拌倒造成右脚脚踝扭伤休息一会不影响工作")</f>
        <v>煤厂钢筋翘起外露 夜班操作工经过时 没看清不慎被拌倒造成右脚脚踝扭伤休息一会不影响工作</v>
      </c>
      <c r="E506" s="19" t="s">
        <v>2327</v>
      </c>
      <c r="F506" s="20" t="s">
        <v>42</v>
      </c>
      <c r="G506" s="21" t="s">
        <v>43</v>
      </c>
      <c r="H506" s="19" t="s">
        <v>44</v>
      </c>
      <c r="I506" s="19" t="s">
        <v>78</v>
      </c>
      <c r="J506" s="19"/>
      <c r="K506" s="19"/>
      <c r="L506" s="19" t="s">
        <v>65</v>
      </c>
      <c r="M506" s="19" t="s">
        <v>633</v>
      </c>
      <c r="N506" s="19" t="s">
        <v>2341</v>
      </c>
      <c r="O506" s="19" t="s">
        <v>633</v>
      </c>
      <c r="P506" s="19" t="s">
        <v>2329</v>
      </c>
      <c r="Q506" s="19" t="s">
        <v>2330</v>
      </c>
      <c r="R506" s="19" t="s">
        <v>2337</v>
      </c>
      <c r="S506" s="19"/>
      <c r="T506" s="19" t="s">
        <v>53</v>
      </c>
      <c r="U506" s="19" t="s">
        <v>71</v>
      </c>
      <c r="V506" s="19" t="s">
        <v>105</v>
      </c>
      <c r="W506" s="19" t="s">
        <v>96</v>
      </c>
      <c r="X506" s="19"/>
      <c r="Y506" s="19"/>
      <c r="Z506" s="19" t="s">
        <v>2342</v>
      </c>
      <c r="AA506" s="19">
        <v>1</v>
      </c>
      <c r="AB506" s="19">
        <v>1</v>
      </c>
      <c r="AC506" s="19" t="s">
        <v>59</v>
      </c>
      <c r="AD506" s="19" t="s">
        <v>2329</v>
      </c>
      <c r="AE506" s="19" t="s">
        <v>1592</v>
      </c>
      <c r="AF506" s="19"/>
    </row>
    <row r="507" spans="1:34" customHeight="1" ht="42">
      <c r="A507" s="19">
        <v>499</v>
      </c>
      <c r="B507" s="19" t="s">
        <v>2075</v>
      </c>
      <c r="C507" s="19" t="s">
        <v>656</v>
      </c>
      <c r="D507" s="19" t="str">
        <f>HYPERLINK("http://henontech.com/fieldsafety/harzard/harzard_show.php?rid=26261&amp;url=harzardrecs.php","西一铁爬梯腐蚀破损 人员上下楼梯铁板开裂踩空摔下 造成右腿小腿骨折送医院治疗住院一个月在家修养91天")</f>
        <v>西一铁爬梯腐蚀破损 人员上下楼梯铁板开裂踩空摔下 造成右腿小腿骨折送医院治疗住院一个月在家修养91天</v>
      </c>
      <c r="E507" s="19" t="s">
        <v>2343</v>
      </c>
      <c r="F507" s="20" t="s">
        <v>42</v>
      </c>
      <c r="G507" s="21" t="s">
        <v>43</v>
      </c>
      <c r="H507" s="19" t="s">
        <v>44</v>
      </c>
      <c r="I507" s="19" t="s">
        <v>78</v>
      </c>
      <c r="J507" s="19"/>
      <c r="K507" s="19"/>
      <c r="L507" s="19" t="s">
        <v>65</v>
      </c>
      <c r="M507" s="19" t="s">
        <v>633</v>
      </c>
      <c r="N507" s="19" t="s">
        <v>2344</v>
      </c>
      <c r="O507" s="19" t="s">
        <v>633</v>
      </c>
      <c r="P507" s="19" t="s">
        <v>2329</v>
      </c>
      <c r="Q507" s="19" t="s">
        <v>2330</v>
      </c>
      <c r="R507" s="19" t="s">
        <v>2018</v>
      </c>
      <c r="S507" s="19"/>
      <c r="T507" s="19" t="s">
        <v>53</v>
      </c>
      <c r="U507" s="19" t="s">
        <v>54</v>
      </c>
      <c r="V507" s="19" t="s">
        <v>105</v>
      </c>
      <c r="W507" s="19" t="s">
        <v>72</v>
      </c>
      <c r="X507" s="19"/>
      <c r="Y507" s="19"/>
      <c r="Z507" s="19" t="s">
        <v>2340</v>
      </c>
      <c r="AA507" s="19">
        <v>2</v>
      </c>
      <c r="AB507" s="19">
        <v>2</v>
      </c>
      <c r="AC507" s="19" t="s">
        <v>59</v>
      </c>
      <c r="AD507" s="19" t="s">
        <v>2329</v>
      </c>
      <c r="AE507" s="19" t="s">
        <v>1592</v>
      </c>
      <c r="AF507" s="19"/>
    </row>
    <row r="508" spans="1:34" customHeight="1" ht="42">
      <c r="A508" s="19">
        <v>500</v>
      </c>
      <c r="B508" s="19" t="s">
        <v>1722</v>
      </c>
      <c r="C508" s="19" t="s">
        <v>2345</v>
      </c>
      <c r="D508" s="19" t="str">
        <f>HYPERLINK("http://henontech.com/fieldsafety/harzard/harzard_show.php?rid=26478&amp;url=harzardrecs.php","输煤楼三楼窗户玻璃破损，一名操作工在去抓煤途中经过此处，由于风大，致使破损的玻璃刮落，掉落时划伤操作工手部。")</f>
        <v>输煤楼三楼窗户玻璃破损，一名操作工在去抓煤途中经过此处，由于风大，致使破损的玻璃刮落，掉落时划伤操作工手部。</v>
      </c>
      <c r="E508" s="19" t="s">
        <v>2346</v>
      </c>
      <c r="F508" s="25" t="s">
        <v>1784</v>
      </c>
      <c r="G508" s="21" t="s">
        <v>43</v>
      </c>
      <c r="H508" s="19" t="s">
        <v>44</v>
      </c>
      <c r="I508" s="19" t="s">
        <v>78</v>
      </c>
      <c r="J508" s="19" t="s">
        <v>64</v>
      </c>
      <c r="K508" s="19" t="s">
        <v>46</v>
      </c>
      <c r="L508" s="19" t="s">
        <v>65</v>
      </c>
      <c r="M508" s="19" t="s">
        <v>229</v>
      </c>
      <c r="N508" s="19" t="s">
        <v>1512</v>
      </c>
      <c r="O508" s="19" t="s">
        <v>229</v>
      </c>
      <c r="P508" s="19" t="s">
        <v>1493</v>
      </c>
      <c r="Q508" s="19" t="s">
        <v>2028</v>
      </c>
      <c r="R508" s="19" t="s">
        <v>2345</v>
      </c>
      <c r="S508" s="19"/>
      <c r="T508" s="19" t="s">
        <v>53</v>
      </c>
      <c r="U508" s="19" t="s">
        <v>71</v>
      </c>
      <c r="V508" s="19" t="s">
        <v>105</v>
      </c>
      <c r="W508" s="19" t="s">
        <v>96</v>
      </c>
      <c r="X508" s="19" t="s">
        <v>57</v>
      </c>
      <c r="Y508" s="19"/>
      <c r="Z508" s="19" t="s">
        <v>2347</v>
      </c>
      <c r="AA508" s="19">
        <v>2</v>
      </c>
      <c r="AB508" s="19"/>
      <c r="AC508" s="19" t="s">
        <v>233</v>
      </c>
      <c r="AD508" s="19"/>
      <c r="AE508" s="19"/>
      <c r="AF508" s="19"/>
    </row>
    <row r="509" spans="1:34">
      <c r="A509" s="19">
        <v>501</v>
      </c>
      <c r="B509" s="19" t="s">
        <v>1722</v>
      </c>
      <c r="C509" s="19" t="s">
        <v>1546</v>
      </c>
      <c r="D509" s="19" t="str">
        <f>HYPERLINK("http://henontech.com/fieldsafety/harzard/harzard_show.php?rid=26484&amp;url=harzardrecs.php","锅炉二层取样阀门关不严漏水，长时间漏水积水滴到锅炉给水泵电机上，渗入接线盒内，造成短路。")</f>
        <v>锅炉二层取样阀门关不严漏水，长时间漏水积水滴到锅炉给水泵电机上，渗入接线盒内，造成短路。</v>
      </c>
      <c r="E509" s="19" t="s">
        <v>2348</v>
      </c>
      <c r="F509" s="20" t="s">
        <v>42</v>
      </c>
      <c r="G509" s="21" t="s">
        <v>43</v>
      </c>
      <c r="H509" s="19" t="s">
        <v>44</v>
      </c>
      <c r="I509" s="19" t="s">
        <v>129</v>
      </c>
      <c r="J509" s="19" t="s">
        <v>64</v>
      </c>
      <c r="K509" s="19" t="s">
        <v>88</v>
      </c>
      <c r="L509" s="19" t="s">
        <v>65</v>
      </c>
      <c r="M509" s="19" t="s">
        <v>49</v>
      </c>
      <c r="N509" s="19" t="s">
        <v>2349</v>
      </c>
      <c r="O509" s="19" t="s">
        <v>49</v>
      </c>
      <c r="P509" s="19" t="s">
        <v>1344</v>
      </c>
      <c r="Q509" s="19" t="s">
        <v>2350</v>
      </c>
      <c r="R509" s="19" t="s">
        <v>2351</v>
      </c>
      <c r="S509" s="19" t="s">
        <v>2352</v>
      </c>
      <c r="T509" s="19" t="s">
        <v>104</v>
      </c>
      <c r="U509" s="19" t="s">
        <v>71</v>
      </c>
      <c r="V509" s="19" t="s">
        <v>55</v>
      </c>
      <c r="W509" s="19" t="s">
        <v>72</v>
      </c>
      <c r="X509" s="19" t="s">
        <v>57</v>
      </c>
      <c r="Y509" s="19"/>
      <c r="Z509" s="19" t="s">
        <v>2353</v>
      </c>
      <c r="AA509" s="19">
        <v>1</v>
      </c>
      <c r="AB509" s="19">
        <v>1</v>
      </c>
      <c r="AC509" s="19" t="s">
        <v>59</v>
      </c>
      <c r="AD509" s="19" t="s">
        <v>1344</v>
      </c>
      <c r="AE509" s="19" t="s">
        <v>2024</v>
      </c>
      <c r="AF509" s="19"/>
    </row>
    <row r="510" spans="1:34">
      <c r="A510" s="19">
        <v>502</v>
      </c>
      <c r="B510" s="19" t="s">
        <v>1722</v>
      </c>
      <c r="C510" s="19" t="s">
        <v>1546</v>
      </c>
      <c r="D510" s="19" t="str">
        <f>HYPERLINK("http://henontech.com/fieldsafety/harzard/harzard_show.php?rid=26485&amp;url=harzardrecs.php","锅炉二层取样阀门关不严漏水，长时间漏水积水滴到锅炉给水泵电机上，渗入接线盒内，造成短路。")</f>
        <v>锅炉二层取样阀门关不严漏水，长时间漏水积水滴到锅炉给水泵电机上，渗入接线盒内，造成短路。</v>
      </c>
      <c r="E510" s="19" t="s">
        <v>2348</v>
      </c>
      <c r="F510" s="20" t="s">
        <v>42</v>
      </c>
      <c r="G510" s="21" t="s">
        <v>43</v>
      </c>
      <c r="H510" s="19" t="s">
        <v>44</v>
      </c>
      <c r="I510" s="19" t="s">
        <v>129</v>
      </c>
      <c r="J510" s="19" t="s">
        <v>64</v>
      </c>
      <c r="K510" s="19" t="s">
        <v>88</v>
      </c>
      <c r="L510" s="19" t="s">
        <v>65</v>
      </c>
      <c r="M510" s="19" t="s">
        <v>49</v>
      </c>
      <c r="N510" s="19" t="s">
        <v>2349</v>
      </c>
      <c r="O510" s="19" t="s">
        <v>49</v>
      </c>
      <c r="P510" s="19" t="s">
        <v>1344</v>
      </c>
      <c r="Q510" s="19" t="s">
        <v>2350</v>
      </c>
      <c r="R510" s="19" t="s">
        <v>2351</v>
      </c>
      <c r="S510" s="19" t="s">
        <v>2352</v>
      </c>
      <c r="T510" s="19" t="s">
        <v>104</v>
      </c>
      <c r="U510" s="19" t="s">
        <v>71</v>
      </c>
      <c r="V510" s="19" t="s">
        <v>55</v>
      </c>
      <c r="W510" s="19" t="s">
        <v>72</v>
      </c>
      <c r="X510" s="19" t="s">
        <v>57</v>
      </c>
      <c r="Y510" s="19"/>
      <c r="Z510" s="19" t="s">
        <v>2354</v>
      </c>
      <c r="AA510" s="19">
        <v>1</v>
      </c>
      <c r="AB510" s="19">
        <v>1</v>
      </c>
      <c r="AC510" s="19" t="s">
        <v>59</v>
      </c>
      <c r="AD510" s="19" t="s">
        <v>1344</v>
      </c>
      <c r="AE510" s="19" t="s">
        <v>2024</v>
      </c>
      <c r="AF510" s="19"/>
    </row>
    <row r="511" spans="1:34">
      <c r="A511" s="19">
        <v>503</v>
      </c>
      <c r="B511" s="19" t="s">
        <v>1722</v>
      </c>
      <c r="C511" s="19" t="s">
        <v>1203</v>
      </c>
      <c r="D511" s="19" t="str">
        <f>HYPERLINK("http://henontech.com/fieldsafety/harzard/harzard_show.php?rid=26487&amp;url=harzardrecs.php","射水泵出口阀门套管过长，一巡检人员经过此处时，被过长的套管划伤右上臂，去医务室处理。")</f>
        <v>射水泵出口阀门套管过长，一巡检人员经过此处时，被过长的套管划伤右上臂，去医务室处理。</v>
      </c>
      <c r="E511" s="19" t="s">
        <v>2355</v>
      </c>
      <c r="F511" s="20" t="s">
        <v>42</v>
      </c>
      <c r="G511" s="21" t="s">
        <v>43</v>
      </c>
      <c r="H511" s="19" t="s">
        <v>44</v>
      </c>
      <c r="I511" s="19" t="s">
        <v>78</v>
      </c>
      <c r="J511" s="19" t="s">
        <v>45</v>
      </c>
      <c r="K511" s="19" t="s">
        <v>88</v>
      </c>
      <c r="L511" s="19"/>
      <c r="M511" s="19" t="s">
        <v>49</v>
      </c>
      <c r="N511" s="19" t="s">
        <v>1338</v>
      </c>
      <c r="O511" s="19" t="s">
        <v>49</v>
      </c>
      <c r="P511" s="19" t="s">
        <v>2302</v>
      </c>
      <c r="Q511" s="19" t="s">
        <v>2356</v>
      </c>
      <c r="R511" s="19" t="s">
        <v>2357</v>
      </c>
      <c r="S511" s="19" t="s">
        <v>2358</v>
      </c>
      <c r="T511" s="19" t="s">
        <v>53</v>
      </c>
      <c r="U511" s="19" t="s">
        <v>54</v>
      </c>
      <c r="V511" s="19" t="s">
        <v>55</v>
      </c>
      <c r="W511" s="19" t="s">
        <v>56</v>
      </c>
      <c r="X511" s="19" t="s">
        <v>57</v>
      </c>
      <c r="Y511" s="19"/>
      <c r="Z511" s="19" t="s">
        <v>2359</v>
      </c>
      <c r="AA511" s="19">
        <v>1</v>
      </c>
      <c r="AB511" s="19">
        <v>1</v>
      </c>
      <c r="AC511" s="19" t="s">
        <v>59</v>
      </c>
      <c r="AD511" s="19" t="s">
        <v>2302</v>
      </c>
      <c r="AE511" s="19" t="s">
        <v>1405</v>
      </c>
      <c r="AF511" s="19" t="s">
        <v>2360</v>
      </c>
    </row>
    <row r="512" spans="1:34">
      <c r="A512" s="19">
        <v>504</v>
      </c>
      <c r="B512" s="19" t="s">
        <v>1722</v>
      </c>
      <c r="C512" s="19" t="s">
        <v>135</v>
      </c>
      <c r="D512" s="19" t="str">
        <f>HYPERLINK("http://henontech.com/fieldsafety/harzard/harzard_show.php?rid=26489&amp;url=harzardrecs.php","干熄焦七层汽包南侧有保温铁皮未清理，遇大风天气，铁皮吹落，巡检工在六层巡检时，被吹落得铁皮划伤脸部。送医务室涂药，休息2小时返工。")</f>
        <v>干熄焦七层汽包南侧有保温铁皮未清理，遇大风天气，铁皮吹落，巡检工在六层巡检时，被吹落得铁皮划伤脸部。送医务室涂药，休息2小时返工。</v>
      </c>
      <c r="E512" s="19" t="s">
        <v>2361</v>
      </c>
      <c r="F512" s="20" t="s">
        <v>42</v>
      </c>
      <c r="G512" s="21" t="s">
        <v>43</v>
      </c>
      <c r="H512" s="19" t="s">
        <v>44</v>
      </c>
      <c r="I512" s="19" t="s">
        <v>129</v>
      </c>
      <c r="J512" s="19" t="s">
        <v>308</v>
      </c>
      <c r="K512" s="19" t="s">
        <v>46</v>
      </c>
      <c r="L512" s="19" t="s">
        <v>65</v>
      </c>
      <c r="M512" s="19" t="s">
        <v>49</v>
      </c>
      <c r="N512" s="19" t="s">
        <v>2362</v>
      </c>
      <c r="O512" s="19" t="s">
        <v>49</v>
      </c>
      <c r="P512" s="19" t="s">
        <v>2302</v>
      </c>
      <c r="Q512" s="19" t="s">
        <v>2303</v>
      </c>
      <c r="R512" s="19" t="s">
        <v>2363</v>
      </c>
      <c r="S512" s="19" t="s">
        <v>2364</v>
      </c>
      <c r="T512" s="19" t="s">
        <v>53</v>
      </c>
      <c r="U512" s="19" t="s">
        <v>71</v>
      </c>
      <c r="V512" s="19" t="s">
        <v>193</v>
      </c>
      <c r="W512" s="19" t="s">
        <v>96</v>
      </c>
      <c r="X512" s="19" t="s">
        <v>57</v>
      </c>
      <c r="Y512" s="19"/>
      <c r="Z512" s="19" t="s">
        <v>2365</v>
      </c>
      <c r="AA512" s="19">
        <v>1</v>
      </c>
      <c r="AB512" s="19">
        <v>1</v>
      </c>
      <c r="AC512" s="19" t="s">
        <v>59</v>
      </c>
      <c r="AD512" s="19" t="s">
        <v>2302</v>
      </c>
      <c r="AE512" s="19" t="s">
        <v>1405</v>
      </c>
      <c r="AF512" s="19" t="s">
        <v>2366</v>
      </c>
    </row>
    <row r="513" spans="1:34">
      <c r="A513" s="19">
        <v>505</v>
      </c>
      <c r="B513" s="19" t="s">
        <v>1722</v>
      </c>
      <c r="C513" s="19" t="s">
        <v>2367</v>
      </c>
      <c r="D513" s="19" t="str">
        <f>HYPERLINK("http://henontech.com/fieldsafety/harzard/harzard_show.php?rid=26490&amp;url=harzardrecs.php","汽轮机七米平台盖板不完善，一巡检工在此经过，不慎绊倒，左膝盖右手腕擦伤，送医务室包扎，损工两天。")</f>
        <v>汽轮机七米平台盖板不完善，一巡检工在此经过，不慎绊倒，左膝盖右手腕擦伤，送医务室包扎，损工两天。</v>
      </c>
      <c r="E513" s="19" t="s">
        <v>2368</v>
      </c>
      <c r="F513" s="20" t="s">
        <v>42</v>
      </c>
      <c r="G513" s="21" t="s">
        <v>43</v>
      </c>
      <c r="H513" s="19" t="s">
        <v>44</v>
      </c>
      <c r="I513" s="19" t="s">
        <v>78</v>
      </c>
      <c r="J513" s="19" t="s">
        <v>64</v>
      </c>
      <c r="K513" s="19" t="s">
        <v>302</v>
      </c>
      <c r="L513" s="19" t="s">
        <v>65</v>
      </c>
      <c r="M513" s="19" t="s">
        <v>49</v>
      </c>
      <c r="N513" s="19" t="s">
        <v>1009</v>
      </c>
      <c r="O513" s="19" t="s">
        <v>49</v>
      </c>
      <c r="P513" s="19" t="s">
        <v>2302</v>
      </c>
      <c r="Q513" s="19" t="s">
        <v>2356</v>
      </c>
      <c r="R513" s="19" t="s">
        <v>2369</v>
      </c>
      <c r="S513" s="19" t="s">
        <v>2370</v>
      </c>
      <c r="T513" s="19" t="s">
        <v>53</v>
      </c>
      <c r="U513" s="19" t="s">
        <v>54</v>
      </c>
      <c r="V513" s="19" t="s">
        <v>95</v>
      </c>
      <c r="W513" s="19" t="s">
        <v>117</v>
      </c>
      <c r="X513" s="19" t="s">
        <v>57</v>
      </c>
      <c r="Y513" s="19"/>
      <c r="Z513" s="19" t="s">
        <v>2371</v>
      </c>
      <c r="AA513" s="19">
        <v>1</v>
      </c>
      <c r="AB513" s="19">
        <v>1</v>
      </c>
      <c r="AC513" s="19" t="s">
        <v>59</v>
      </c>
      <c r="AD513" s="19" t="s">
        <v>2302</v>
      </c>
      <c r="AE513" s="19" t="s">
        <v>1564</v>
      </c>
      <c r="AF513" s="19" t="s">
        <v>2372</v>
      </c>
    </row>
    <row r="514" spans="1:34">
      <c r="A514" s="19">
        <v>506</v>
      </c>
      <c r="B514" s="19" t="s">
        <v>1722</v>
      </c>
      <c r="C514" s="19" t="s">
        <v>2373</v>
      </c>
      <c r="D514" s="19" t="str">
        <f>HYPERLINK("http://henontech.com/fieldsafety/harzard/harzard_show.php?rid=26491&amp;url=harzardrecs.php","深度脱硫塔15米处平台人孔处有铁悬挂，当大风天气，操作工在塔底巡检时，铁棍被大风吹落，砸到在此处巡检的操作工右胳膊，造成操作工右胳膊砸伤，去医院检查骨头正常，上药后回家休养15天后复工")</f>
        <v>深度脱硫塔15米处平台人孔处有铁悬挂，当大风天气，操作工在塔底巡检时，铁棍被大风吹落，砸到在此处巡检的操作工右胳膊，造成操作工右胳膊砸伤，去医院检查骨头正常，上药后回家休养15天后复工</v>
      </c>
      <c r="E514" s="19" t="s">
        <v>2374</v>
      </c>
      <c r="F514" s="25" t="s">
        <v>1784</v>
      </c>
      <c r="G514" s="21" t="s">
        <v>43</v>
      </c>
      <c r="H514" s="19" t="s">
        <v>44</v>
      </c>
      <c r="I514" s="19" t="s">
        <v>78</v>
      </c>
      <c r="J514" s="19" t="s">
        <v>45</v>
      </c>
      <c r="K514" s="19" t="s">
        <v>46</v>
      </c>
      <c r="L514" s="19" t="s">
        <v>65</v>
      </c>
      <c r="M514" s="19" t="s">
        <v>66</v>
      </c>
      <c r="N514" s="19" t="s">
        <v>1843</v>
      </c>
      <c r="O514" s="19" t="s">
        <v>66</v>
      </c>
      <c r="P514" s="19" t="s">
        <v>68</v>
      </c>
      <c r="Q514" s="19" t="s">
        <v>2316</v>
      </c>
      <c r="R514" s="19" t="s">
        <v>2375</v>
      </c>
      <c r="S514" s="19"/>
      <c r="T514" s="19" t="s">
        <v>53</v>
      </c>
      <c r="U514" s="19" t="s">
        <v>54</v>
      </c>
      <c r="V514" s="19" t="s">
        <v>55</v>
      </c>
      <c r="W514" s="19" t="s">
        <v>56</v>
      </c>
      <c r="X514" s="19"/>
      <c r="Y514" s="19"/>
      <c r="Z514" s="19" t="s">
        <v>2376</v>
      </c>
      <c r="AA514" s="19">
        <v>1</v>
      </c>
      <c r="AB514" s="19"/>
      <c r="AC514" s="19" t="s">
        <v>233</v>
      </c>
      <c r="AD514" s="19"/>
      <c r="AE514" s="19"/>
      <c r="AF514" s="19"/>
    </row>
    <row r="515" spans="1:34">
      <c r="A515" s="19">
        <v>507</v>
      </c>
      <c r="B515" s="19" t="s">
        <v>1722</v>
      </c>
      <c r="C515" s="19" t="s">
        <v>656</v>
      </c>
      <c r="D515" s="19" t="str">
        <f>HYPERLINK("http://henontech.com/fieldsafety/harzard/harzard_show.php?rid=26649&amp;url=harzardrecs.php","外来卸煤司机在卸煤打挡板时，未戴安全帽，一旦挡板突然弹开，造成头部轻微撞伤，休息一会儿，继续卸煤")</f>
        <v>外来卸煤司机在卸煤打挡板时，未戴安全帽，一旦挡板突然弹开，造成头部轻微撞伤，休息一会儿，继续卸煤</v>
      </c>
      <c r="E515" s="19" t="s">
        <v>2377</v>
      </c>
      <c r="F515" s="20" t="s">
        <v>42</v>
      </c>
      <c r="G515" s="22" t="s">
        <v>111</v>
      </c>
      <c r="H515" s="19" t="s">
        <v>44</v>
      </c>
      <c r="I515" s="19" t="s">
        <v>78</v>
      </c>
      <c r="J515" s="19"/>
      <c r="K515" s="19"/>
      <c r="L515" s="19"/>
      <c r="M515" s="19" t="s">
        <v>633</v>
      </c>
      <c r="N515" s="19" t="s">
        <v>2378</v>
      </c>
      <c r="O515" s="19" t="s">
        <v>633</v>
      </c>
      <c r="P515" s="19" t="s">
        <v>634</v>
      </c>
      <c r="Q515" s="19" t="s">
        <v>1399</v>
      </c>
      <c r="R515" s="19" t="s">
        <v>2097</v>
      </c>
      <c r="S515" s="19"/>
      <c r="T515" s="19" t="s">
        <v>53</v>
      </c>
      <c r="U515" s="19" t="s">
        <v>71</v>
      </c>
      <c r="V515" s="19" t="s">
        <v>55</v>
      </c>
      <c r="W515" s="19" t="s">
        <v>72</v>
      </c>
      <c r="X515" s="19"/>
      <c r="Y515" s="19"/>
      <c r="Z515" s="19" t="s">
        <v>2379</v>
      </c>
      <c r="AA515" s="19">
        <v>1</v>
      </c>
      <c r="AB515" s="19">
        <v>1</v>
      </c>
      <c r="AC515" s="19" t="s">
        <v>59</v>
      </c>
      <c r="AD515" s="19" t="s">
        <v>634</v>
      </c>
      <c r="AE515" s="19" t="s">
        <v>1399</v>
      </c>
      <c r="AF515" s="19"/>
    </row>
    <row r="516" spans="1:34">
      <c r="A516" s="19">
        <v>508</v>
      </c>
      <c r="B516" s="19" t="s">
        <v>1722</v>
      </c>
      <c r="C516" s="19" t="s">
        <v>1707</v>
      </c>
      <c r="D516" s="19" t="str">
        <f>HYPERLINK("http://henontech.com/fieldsafety/harzard/harzard_show.php?rid=26846&amp;url=harzardrecs.php","深度脱硫4#熔硫釜回液管线泄露，假如一名操作工在放硫磺时因回液管线泄露造成一名操作工左边脸部烫伤，送医院治疗15天在家休息15天后正常上班")</f>
        <v>深度脱硫4#熔硫釜回液管线泄露，假如一名操作工在放硫磺时因回液管线泄露造成一名操作工左边脸部烫伤，送医院治疗15天在家休息15天后正常上班</v>
      </c>
      <c r="E516" s="19" t="s">
        <v>2380</v>
      </c>
      <c r="F516" s="25" t="s">
        <v>1784</v>
      </c>
      <c r="G516" s="21" t="s">
        <v>43</v>
      </c>
      <c r="H516" s="19" t="s">
        <v>44</v>
      </c>
      <c r="I516" s="19" t="s">
        <v>129</v>
      </c>
      <c r="J516" s="19" t="s">
        <v>87</v>
      </c>
      <c r="K516" s="19" t="s">
        <v>46</v>
      </c>
      <c r="L516" s="19" t="s">
        <v>65</v>
      </c>
      <c r="M516" s="19" t="s">
        <v>66</v>
      </c>
      <c r="N516" s="19" t="s">
        <v>1709</v>
      </c>
      <c r="O516" s="19" t="s">
        <v>66</v>
      </c>
      <c r="P516" s="19" t="s">
        <v>68</v>
      </c>
      <c r="Q516" s="19" t="s">
        <v>2316</v>
      </c>
      <c r="R516" s="19" t="s">
        <v>2381</v>
      </c>
      <c r="S516" s="19"/>
      <c r="T516" s="19" t="s">
        <v>53</v>
      </c>
      <c r="U516" s="19" t="s">
        <v>54</v>
      </c>
      <c r="V516" s="19" t="s">
        <v>55</v>
      </c>
      <c r="W516" s="19" t="s">
        <v>56</v>
      </c>
      <c r="X516" s="19"/>
      <c r="Y516" s="19"/>
      <c r="Z516" s="19" t="s">
        <v>2382</v>
      </c>
      <c r="AA516" s="19">
        <v>1</v>
      </c>
      <c r="AB516" s="19"/>
      <c r="AC516" s="19" t="s">
        <v>233</v>
      </c>
      <c r="AD516" s="19"/>
      <c r="AE516" s="19"/>
      <c r="AF516" s="19"/>
    </row>
    <row r="517" spans="1:34" customHeight="1" ht="42">
      <c r="A517" s="19">
        <v>509</v>
      </c>
      <c r="B517" s="19" t="s">
        <v>1710</v>
      </c>
      <c r="C517" s="19" t="s">
        <v>656</v>
      </c>
      <c r="D517" s="19" t="str">
        <f>HYPERLINK("http://henontech.com/fieldsafety/harzard/harzard_show.php?rid=26868&amp;url=harzardrecs.php","西四除铁器线路未按规定加装套管，一旦线路老化易造成人员电伤！")</f>
        <v>西四除铁器线路未按规定加装套管，一旦线路老化易造成人员电伤！</v>
      </c>
      <c r="E517" s="19" t="s">
        <v>2383</v>
      </c>
      <c r="F517" s="20" t="s">
        <v>42</v>
      </c>
      <c r="G517" s="21" t="s">
        <v>43</v>
      </c>
      <c r="H517" s="19" t="s">
        <v>44</v>
      </c>
      <c r="I517" s="19" t="s">
        <v>129</v>
      </c>
      <c r="J517" s="19" t="s">
        <v>64</v>
      </c>
      <c r="K517" s="19" t="s">
        <v>79</v>
      </c>
      <c r="L517" s="19" t="s">
        <v>65</v>
      </c>
      <c r="M517" s="19" t="s">
        <v>633</v>
      </c>
      <c r="N517" s="19" t="s">
        <v>1365</v>
      </c>
      <c r="O517" s="19" t="s">
        <v>633</v>
      </c>
      <c r="P517" s="19" t="s">
        <v>924</v>
      </c>
      <c r="Q517" s="19" t="s">
        <v>1592</v>
      </c>
      <c r="R517" s="19" t="s">
        <v>2384</v>
      </c>
      <c r="S517" s="19"/>
      <c r="T517" s="19" t="s">
        <v>53</v>
      </c>
      <c r="U517" s="19" t="s">
        <v>71</v>
      </c>
      <c r="V517" s="19" t="s">
        <v>105</v>
      </c>
      <c r="W517" s="19" t="s">
        <v>96</v>
      </c>
      <c r="X517" s="19" t="s">
        <v>141</v>
      </c>
      <c r="Y517" s="19" t="s">
        <v>141</v>
      </c>
      <c r="Z517" s="19" t="s">
        <v>2385</v>
      </c>
      <c r="AA517" s="19">
        <v>2</v>
      </c>
      <c r="AB517" s="19">
        <v>2</v>
      </c>
      <c r="AC517" s="19" t="s">
        <v>59</v>
      </c>
      <c r="AD517" s="19" t="s">
        <v>924</v>
      </c>
      <c r="AE517" s="19" t="s">
        <v>1710</v>
      </c>
      <c r="AF517" s="19"/>
    </row>
    <row r="518" spans="1:34">
      <c r="A518" s="19">
        <v>510</v>
      </c>
      <c r="B518" s="19" t="s">
        <v>1710</v>
      </c>
      <c r="C518" s="19" t="s">
        <v>163</v>
      </c>
      <c r="D518" s="19" t="str">
        <f>HYPERLINK("http://henontech.com/fieldsafety/harzard/harzard_show.php?rid=26999&amp;url=harzardrecs.php","除盐水站配电室内两块盖板间缝隙过大，一电气运行人员巡检时不慎右脚掉入缝隙内，右脚脚踝扭伤，送医治疗7天，回家休养15天。")</f>
        <v>除盐水站配电室内两块盖板间缝隙过大，一电气运行人员巡检时不慎右脚掉入缝隙内，右脚脚踝扭伤，送医治疗7天，回家休养15天。</v>
      </c>
      <c r="E518" s="19" t="s">
        <v>2386</v>
      </c>
      <c r="F518" s="20" t="s">
        <v>42</v>
      </c>
      <c r="G518" s="21" t="s">
        <v>43</v>
      </c>
      <c r="H518" s="19" t="s">
        <v>44</v>
      </c>
      <c r="I518" s="19" t="s">
        <v>129</v>
      </c>
      <c r="J518" s="19" t="s">
        <v>64</v>
      </c>
      <c r="K518" s="19" t="s">
        <v>79</v>
      </c>
      <c r="L518" s="19" t="s">
        <v>65</v>
      </c>
      <c r="M518" s="19" t="s">
        <v>49</v>
      </c>
      <c r="N518" s="19" t="s">
        <v>166</v>
      </c>
      <c r="O518" s="19" t="s">
        <v>49</v>
      </c>
      <c r="P518" s="19" t="s">
        <v>2302</v>
      </c>
      <c r="Q518" s="19" t="s">
        <v>2303</v>
      </c>
      <c r="R518" s="19" t="s">
        <v>2387</v>
      </c>
      <c r="S518" s="19" t="s">
        <v>2388</v>
      </c>
      <c r="T518" s="19" t="s">
        <v>53</v>
      </c>
      <c r="U518" s="19" t="s">
        <v>54</v>
      </c>
      <c r="V518" s="19" t="s">
        <v>55</v>
      </c>
      <c r="W518" s="19" t="s">
        <v>56</v>
      </c>
      <c r="X518" s="19" t="s">
        <v>57</v>
      </c>
      <c r="Y518" s="19"/>
      <c r="Z518" s="19" t="s">
        <v>2389</v>
      </c>
      <c r="AA518" s="19">
        <v>1</v>
      </c>
      <c r="AB518" s="19">
        <v>1</v>
      </c>
      <c r="AC518" s="19" t="s">
        <v>59</v>
      </c>
      <c r="AD518" s="19" t="s">
        <v>2302</v>
      </c>
      <c r="AE518" s="19" t="s">
        <v>1564</v>
      </c>
      <c r="AF518" s="19" t="s">
        <v>2390</v>
      </c>
    </row>
    <row r="519" spans="1:34">
      <c r="A519" s="19">
        <v>511</v>
      </c>
      <c r="B519" s="19" t="s">
        <v>1710</v>
      </c>
      <c r="C519" s="19" t="s">
        <v>2004</v>
      </c>
      <c r="D519" s="19" t="str">
        <f>HYPERLINK("http://henontech.com/fieldsafety/harzard/harzard_show.php?rid=27016&amp;url=harzardrecs.php","西四西墙边水沟清完盖板未盖，一旦职工疏忽大意经过水沟，一脚踩入水沟，造成右小脚擦伤，消毒处理休息一会儿后，继续工作")</f>
        <v>西四西墙边水沟清完盖板未盖，一旦职工疏忽大意经过水沟，一脚踩入水沟，造成右小脚擦伤，消毒处理休息一会儿后，继续工作</v>
      </c>
      <c r="E519" s="19" t="s">
        <v>2391</v>
      </c>
      <c r="F519" s="20" t="s">
        <v>42</v>
      </c>
      <c r="G519" s="24" t="s">
        <v>534</v>
      </c>
      <c r="H519" s="19" t="s">
        <v>44</v>
      </c>
      <c r="I519" s="19" t="s">
        <v>78</v>
      </c>
      <c r="J519" s="19"/>
      <c r="K519" s="19"/>
      <c r="L519" s="19"/>
      <c r="M519" s="19" t="s">
        <v>633</v>
      </c>
      <c r="N519" s="19" t="s">
        <v>2392</v>
      </c>
      <c r="O519" s="19" t="s">
        <v>633</v>
      </c>
      <c r="P519" s="19" t="s">
        <v>1268</v>
      </c>
      <c r="Q519" s="19" t="s">
        <v>2297</v>
      </c>
      <c r="R519" s="19" t="s">
        <v>2393</v>
      </c>
      <c r="S519" s="19"/>
      <c r="T519" s="19" t="s">
        <v>53</v>
      </c>
      <c r="U519" s="19" t="s">
        <v>71</v>
      </c>
      <c r="V519" s="19" t="s">
        <v>55</v>
      </c>
      <c r="W519" s="19" t="s">
        <v>72</v>
      </c>
      <c r="X519" s="19"/>
      <c r="Y519" s="19"/>
      <c r="Z519" s="19" t="s">
        <v>2394</v>
      </c>
      <c r="AA519" s="19">
        <v>1</v>
      </c>
      <c r="AB519" s="19">
        <v>1</v>
      </c>
      <c r="AC519" s="19" t="s">
        <v>59</v>
      </c>
      <c r="AD519" s="19" t="s">
        <v>1268</v>
      </c>
      <c r="AE519" s="19" t="s">
        <v>1710</v>
      </c>
      <c r="AF519" s="19"/>
    </row>
    <row r="520" spans="1:34">
      <c r="A520" s="19">
        <v>512</v>
      </c>
      <c r="B520" s="19" t="s">
        <v>1710</v>
      </c>
      <c r="C520" s="19" t="s">
        <v>2004</v>
      </c>
      <c r="D520" s="19" t="str">
        <f>HYPERLINK("http://henontech.com/fieldsafety/harzard/harzard_show.php?rid=27029&amp;url=harzardrecs.php","西一通廊包边老化脱落，一旦行人路过，造成行人脸部擦伤，消毒处理后继续工作")</f>
        <v>西一通廊包边老化脱落，一旦行人路过，造成行人脸部擦伤，消毒处理后继续工作</v>
      </c>
      <c r="E520" s="19" t="s">
        <v>2395</v>
      </c>
      <c r="F520" s="20" t="s">
        <v>42</v>
      </c>
      <c r="G520" s="24" t="s">
        <v>534</v>
      </c>
      <c r="H520" s="19" t="s">
        <v>44</v>
      </c>
      <c r="I520" s="19" t="s">
        <v>78</v>
      </c>
      <c r="J520" s="19" t="s">
        <v>64</v>
      </c>
      <c r="K520" s="19"/>
      <c r="L520" s="19"/>
      <c r="M520" s="19" t="s">
        <v>633</v>
      </c>
      <c r="N520" s="19" t="s">
        <v>2396</v>
      </c>
      <c r="O520" s="19" t="s">
        <v>633</v>
      </c>
      <c r="P520" s="19" t="s">
        <v>1268</v>
      </c>
      <c r="Q520" s="19" t="s">
        <v>2297</v>
      </c>
      <c r="R520" s="19" t="s">
        <v>2397</v>
      </c>
      <c r="S520" s="19"/>
      <c r="T520" s="19" t="s">
        <v>53</v>
      </c>
      <c r="U520" s="19" t="s">
        <v>71</v>
      </c>
      <c r="V520" s="19" t="s">
        <v>55</v>
      </c>
      <c r="W520" s="19" t="s">
        <v>72</v>
      </c>
      <c r="X520" s="19"/>
      <c r="Y520" s="19"/>
      <c r="Z520" s="19" t="s">
        <v>2398</v>
      </c>
      <c r="AA520" s="19">
        <v>1</v>
      </c>
      <c r="AB520" s="19">
        <v>1</v>
      </c>
      <c r="AC520" s="19" t="s">
        <v>59</v>
      </c>
      <c r="AD520" s="19" t="s">
        <v>1268</v>
      </c>
      <c r="AE520" s="19" t="s">
        <v>1710</v>
      </c>
      <c r="AF520" s="19"/>
    </row>
    <row r="521" spans="1:34">
      <c r="A521" s="19">
        <v>513</v>
      </c>
      <c r="B521" s="19" t="s">
        <v>1710</v>
      </c>
      <c r="C521" s="19" t="s">
        <v>2191</v>
      </c>
      <c r="D521" s="19" t="str">
        <f>HYPERLINK("http://henontech.com/fieldsafety/harzard/harzard_show.php?rid=27093&amp;url=harzardrecs.php","碳化塔北侧一处塌陷，一名操作工在夜间巡检时不慎跌落，造成腿部多处擦伤，送医务室包扎后立即复工")</f>
        <v>碳化塔北侧一处塌陷，一名操作工在夜间巡检时不慎跌落，造成腿部多处擦伤，送医务室包扎后立即复工</v>
      </c>
      <c r="E521" s="19" t="s">
        <v>2399</v>
      </c>
      <c r="F521" s="20" t="s">
        <v>42</v>
      </c>
      <c r="G521" s="21" t="s">
        <v>43</v>
      </c>
      <c r="H521" s="19" t="s">
        <v>44</v>
      </c>
      <c r="I521" s="19" t="s">
        <v>129</v>
      </c>
      <c r="J521" s="19" t="s">
        <v>45</v>
      </c>
      <c r="K521" s="19" t="s">
        <v>46</v>
      </c>
      <c r="L521" s="19" t="s">
        <v>65</v>
      </c>
      <c r="M521" s="19" t="s">
        <v>146</v>
      </c>
      <c r="N521" s="19" t="s">
        <v>2400</v>
      </c>
      <c r="O521" s="19" t="s">
        <v>146</v>
      </c>
      <c r="P521" s="19" t="s">
        <v>1084</v>
      </c>
      <c r="Q521" s="19" t="s">
        <v>2297</v>
      </c>
      <c r="R521" s="19" t="s">
        <v>2401</v>
      </c>
      <c r="S521" s="19"/>
      <c r="T521" s="19" t="s">
        <v>53</v>
      </c>
      <c r="U521" s="19" t="s">
        <v>71</v>
      </c>
      <c r="V521" s="19" t="s">
        <v>105</v>
      </c>
      <c r="W521" s="19" t="s">
        <v>96</v>
      </c>
      <c r="X521" s="19" t="s">
        <v>359</v>
      </c>
      <c r="Y521" s="19" t="s">
        <v>359</v>
      </c>
      <c r="Z521" s="19" t="s">
        <v>2402</v>
      </c>
      <c r="AA521" s="19">
        <v>1</v>
      </c>
      <c r="AB521" s="19">
        <v>0</v>
      </c>
      <c r="AC521" s="19" t="s">
        <v>59</v>
      </c>
      <c r="AD521" s="19" t="s">
        <v>1084</v>
      </c>
      <c r="AE521" s="19" t="s">
        <v>1710</v>
      </c>
      <c r="AF521" s="19"/>
    </row>
    <row r="522" spans="1:34" customHeight="1" ht="42">
      <c r="A522" s="19">
        <v>514</v>
      </c>
      <c r="B522" s="19" t="s">
        <v>1710</v>
      </c>
      <c r="C522" s="19" t="s">
        <v>229</v>
      </c>
      <c r="D522" s="19" t="str">
        <f>HYPERLINK("http://henontech.com/fieldsafety/harzard/harzard_show.php?rid=27098&amp;url=harzardrecs.php","操作工在巡检过程中，由于光线比较暗，一只脚调入水沟内，造成右脚踝扭伤，去医务室简单治疗，回家休养五天。")</f>
        <v>操作工在巡检过程中，由于光线比较暗，一只脚调入水沟内，造成右脚踝扭伤，去医务室简单治疗，回家休养五天。</v>
      </c>
      <c r="E522" s="19" t="s">
        <v>2403</v>
      </c>
      <c r="F522" s="25" t="s">
        <v>1784</v>
      </c>
      <c r="G522" s="21" t="s">
        <v>43</v>
      </c>
      <c r="H522" s="19" t="s">
        <v>709</v>
      </c>
      <c r="I522" s="19" t="s">
        <v>129</v>
      </c>
      <c r="J522" s="19" t="s">
        <v>64</v>
      </c>
      <c r="K522" s="19" t="s">
        <v>46</v>
      </c>
      <c r="L522" s="19" t="s">
        <v>65</v>
      </c>
      <c r="M522" s="19" t="s">
        <v>229</v>
      </c>
      <c r="N522" s="19" t="s">
        <v>2404</v>
      </c>
      <c r="O522" s="19" t="s">
        <v>229</v>
      </c>
      <c r="P522" s="19" t="s">
        <v>669</v>
      </c>
      <c r="Q522" s="19" t="s">
        <v>2028</v>
      </c>
      <c r="R522" s="19" t="s">
        <v>2405</v>
      </c>
      <c r="S522" s="19"/>
      <c r="T522" s="19" t="s">
        <v>53</v>
      </c>
      <c r="U522" s="19" t="s">
        <v>54</v>
      </c>
      <c r="V522" s="19" t="s">
        <v>55</v>
      </c>
      <c r="W522" s="19" t="s">
        <v>56</v>
      </c>
      <c r="X522" s="19" t="s">
        <v>57</v>
      </c>
      <c r="Y522" s="19"/>
      <c r="Z522" s="19" t="s">
        <v>2406</v>
      </c>
      <c r="AA522" s="19">
        <v>2</v>
      </c>
      <c r="AB522" s="19"/>
      <c r="AC522" s="19" t="s">
        <v>233</v>
      </c>
      <c r="AD522" s="19"/>
      <c r="AE522" s="19"/>
      <c r="AF522" s="19"/>
    </row>
    <row r="523" spans="1:34">
      <c r="A523" s="19">
        <v>515</v>
      </c>
      <c r="B523" s="19" t="s">
        <v>1710</v>
      </c>
      <c r="C523" s="19" t="s">
        <v>1803</v>
      </c>
      <c r="D523" s="19" t="str">
        <f>HYPERLINK("http://henontech.com/fieldsafety/harzard/harzard_show.php?rid=27099&amp;url=harzardrecs.php","四楼结晶槽进口管道漏母液，如果一操作人员在巡检时未发现，母液从四楼流到三楼造成环境污染。")</f>
        <v>四楼结晶槽进口管道漏母液，如果一操作人员在巡检时未发现，母液从四楼流到三楼造成环境污染。</v>
      </c>
      <c r="E523" s="19" t="s">
        <v>392</v>
      </c>
      <c r="F523" s="25" t="s">
        <v>1784</v>
      </c>
      <c r="G523" s="21" t="s">
        <v>43</v>
      </c>
      <c r="H523" s="19" t="s">
        <v>44</v>
      </c>
      <c r="I523" s="19" t="s">
        <v>78</v>
      </c>
      <c r="J523" s="19" t="s">
        <v>650</v>
      </c>
      <c r="K523" s="19" t="s">
        <v>88</v>
      </c>
      <c r="L523" s="19" t="s">
        <v>65</v>
      </c>
      <c r="M523" s="19" t="s">
        <v>66</v>
      </c>
      <c r="N523" s="19" t="s">
        <v>343</v>
      </c>
      <c r="O523" s="19" t="s">
        <v>66</v>
      </c>
      <c r="P523" s="19" t="s">
        <v>68</v>
      </c>
      <c r="Q523" s="19" t="s">
        <v>2316</v>
      </c>
      <c r="R523" s="19" t="s">
        <v>2407</v>
      </c>
      <c r="S523" s="19"/>
      <c r="T523" s="19" t="s">
        <v>392</v>
      </c>
      <c r="U523" s="19" t="s">
        <v>94</v>
      </c>
      <c r="V523" s="19" t="s">
        <v>95</v>
      </c>
      <c r="W523" s="19" t="s">
        <v>96</v>
      </c>
      <c r="X523" s="19"/>
      <c r="Y523" s="19"/>
      <c r="Z523" s="19" t="s">
        <v>2408</v>
      </c>
      <c r="AA523" s="19">
        <v>1</v>
      </c>
      <c r="AB523" s="19"/>
      <c r="AC523" s="19" t="s">
        <v>233</v>
      </c>
      <c r="AD523" s="19"/>
      <c r="AE523" s="19"/>
      <c r="AF523" s="19"/>
    </row>
    <row r="524" spans="1:34">
      <c r="A524" s="19">
        <v>516</v>
      </c>
      <c r="B524" s="19" t="s">
        <v>1710</v>
      </c>
      <c r="C524" s="19" t="s">
        <v>656</v>
      </c>
      <c r="D524" s="19" t="str">
        <f>HYPERLINK("http://henontech.com/fieldsafety/harzard/harzard_show.php?rid=27292&amp;url=harzardrecs.php","一拉煤车辆在拐弯时把管道碰弯，造成管道变形无法正常使用，巡检人员及时发现汇报，经过维修后正常使用。")</f>
        <v>一拉煤车辆在拐弯时把管道碰弯，造成管道变形无法正常使用，巡检人员及时发现汇报，经过维修后正常使用。</v>
      </c>
      <c r="E524" s="19" t="s">
        <v>2409</v>
      </c>
      <c r="F524" s="20" t="s">
        <v>42</v>
      </c>
      <c r="G524" s="22" t="s">
        <v>111</v>
      </c>
      <c r="H524" s="19" t="s">
        <v>44</v>
      </c>
      <c r="I524" s="19" t="s">
        <v>129</v>
      </c>
      <c r="J524" s="19" t="s">
        <v>87</v>
      </c>
      <c r="K524" s="19" t="s">
        <v>79</v>
      </c>
      <c r="L524" s="19" t="s">
        <v>65</v>
      </c>
      <c r="M524" s="19" t="s">
        <v>633</v>
      </c>
      <c r="N524" s="19" t="s">
        <v>2410</v>
      </c>
      <c r="O524" s="19" t="s">
        <v>633</v>
      </c>
      <c r="P524" s="19" t="s">
        <v>634</v>
      </c>
      <c r="Q524" s="19" t="s">
        <v>1399</v>
      </c>
      <c r="R524" s="19" t="s">
        <v>2411</v>
      </c>
      <c r="S524" s="19"/>
      <c r="T524" s="19" t="s">
        <v>104</v>
      </c>
      <c r="U524" s="19" t="s">
        <v>94</v>
      </c>
      <c r="V524" s="19" t="s">
        <v>193</v>
      </c>
      <c r="W524" s="19" t="s">
        <v>96</v>
      </c>
      <c r="X524" s="19"/>
      <c r="Y524" s="19"/>
      <c r="Z524" s="19" t="s">
        <v>2412</v>
      </c>
      <c r="AA524" s="19">
        <v>1</v>
      </c>
      <c r="AB524" s="19">
        <v>1</v>
      </c>
      <c r="AC524" s="19" t="s">
        <v>59</v>
      </c>
      <c r="AD524" s="19" t="s">
        <v>634</v>
      </c>
      <c r="AE524" s="19" t="s">
        <v>1399</v>
      </c>
      <c r="AF524" s="19"/>
    </row>
    <row r="525" spans="1:34" customHeight="1" ht="42">
      <c r="A525" s="19">
        <v>517</v>
      </c>
      <c r="B525" s="19" t="s">
        <v>1710</v>
      </c>
      <c r="C525" s="19" t="s">
        <v>2191</v>
      </c>
      <c r="D525" s="19" t="str">
        <f>HYPERLINK("http://henontech.com/fieldsafety/harzard/harzard_show.php?rid=27323&amp;url=harzardrecs.php","夜班一巡检工路过精脱硫拆除现场时，踏入精脱硫拆除配液罐中，送往医院救治，巡检工右小腿骨折，住院治疗一个月，在家休息三个月")</f>
        <v>夜班一巡检工路过精脱硫拆除现场时，踏入精脱硫拆除配液罐中，送往医院救治，巡检工右小腿骨折，住院治疗一个月，在家休息三个月</v>
      </c>
      <c r="E525" s="19" t="s">
        <v>2413</v>
      </c>
      <c r="F525" s="20" t="s">
        <v>42</v>
      </c>
      <c r="G525" s="22" t="s">
        <v>111</v>
      </c>
      <c r="H525" s="19" t="s">
        <v>44</v>
      </c>
      <c r="I525" s="19" t="s">
        <v>78</v>
      </c>
      <c r="J525" s="19" t="s">
        <v>45</v>
      </c>
      <c r="K525" s="19" t="s">
        <v>46</v>
      </c>
      <c r="L525" s="19" t="s">
        <v>65</v>
      </c>
      <c r="M525" s="19" t="s">
        <v>146</v>
      </c>
      <c r="N525" s="19" t="s">
        <v>965</v>
      </c>
      <c r="O525" s="19" t="s">
        <v>146</v>
      </c>
      <c r="P525" s="19" t="s">
        <v>2262</v>
      </c>
      <c r="Q525" s="19" t="s">
        <v>2414</v>
      </c>
      <c r="R525" s="19" t="s">
        <v>2415</v>
      </c>
      <c r="S525" s="19"/>
      <c r="T525" s="19" t="s">
        <v>53</v>
      </c>
      <c r="U525" s="19" t="s">
        <v>54</v>
      </c>
      <c r="V525" s="19" t="s">
        <v>55</v>
      </c>
      <c r="W525" s="19" t="s">
        <v>56</v>
      </c>
      <c r="X525" s="19" t="s">
        <v>825</v>
      </c>
      <c r="Y525" s="19" t="s">
        <v>57</v>
      </c>
      <c r="Z525" s="19" t="s">
        <v>2416</v>
      </c>
      <c r="AA525" s="19">
        <v>2</v>
      </c>
      <c r="AB525" s="19">
        <v>0</v>
      </c>
      <c r="AC525" s="19" t="s">
        <v>59</v>
      </c>
      <c r="AD525" s="19" t="s">
        <v>2262</v>
      </c>
      <c r="AE525" s="19" t="s">
        <v>2417</v>
      </c>
      <c r="AF525" s="19" t="s">
        <v>2418</v>
      </c>
    </row>
    <row r="526" spans="1:34" customHeight="1" ht="42">
      <c r="A526" s="19">
        <v>518</v>
      </c>
      <c r="B526" s="19" t="s">
        <v>1710</v>
      </c>
      <c r="C526" s="19" t="s">
        <v>2191</v>
      </c>
      <c r="D526" s="19" t="str">
        <f>HYPERLINK("http://henontech.com/fieldsafety/harzard/harzard_show.php?rid=27324&amp;url=harzardrecs.php","一巡检工路过精脱硫拆除现场时，不小心踏入塌陷缺失的地沟中，巡检工左脸脚踝扭伤，住院治疗十五天，在家修养一个月")</f>
        <v>一巡检工路过精脱硫拆除现场时，不小心踏入塌陷缺失的地沟中，巡检工左脸脚踝扭伤，住院治疗十五天，在家修养一个月</v>
      </c>
      <c r="E526" s="19" t="s">
        <v>2419</v>
      </c>
      <c r="F526" s="20" t="s">
        <v>42</v>
      </c>
      <c r="G526" s="21" t="s">
        <v>43</v>
      </c>
      <c r="H526" s="19" t="s">
        <v>44</v>
      </c>
      <c r="I526" s="19" t="s">
        <v>78</v>
      </c>
      <c r="J526" s="19" t="s">
        <v>64</v>
      </c>
      <c r="K526" s="19" t="s">
        <v>46</v>
      </c>
      <c r="L526" s="19" t="s">
        <v>65</v>
      </c>
      <c r="M526" s="19" t="s">
        <v>146</v>
      </c>
      <c r="N526" s="19" t="s">
        <v>965</v>
      </c>
      <c r="O526" s="19" t="s">
        <v>146</v>
      </c>
      <c r="P526" s="19" t="s">
        <v>2262</v>
      </c>
      <c r="Q526" s="19" t="s">
        <v>2176</v>
      </c>
      <c r="R526" s="19" t="s">
        <v>2415</v>
      </c>
      <c r="S526" s="19"/>
      <c r="T526" s="19" t="s">
        <v>53</v>
      </c>
      <c r="U526" s="19" t="s">
        <v>54</v>
      </c>
      <c r="V526" s="19" t="s">
        <v>55</v>
      </c>
      <c r="W526" s="19" t="s">
        <v>56</v>
      </c>
      <c r="X526" s="19" t="s">
        <v>570</v>
      </c>
      <c r="Y526" s="19" t="s">
        <v>570</v>
      </c>
      <c r="Z526" s="19" t="s">
        <v>2420</v>
      </c>
      <c r="AA526" s="19">
        <v>2</v>
      </c>
      <c r="AB526" s="19">
        <v>1</v>
      </c>
      <c r="AC526" s="19" t="s">
        <v>59</v>
      </c>
      <c r="AD526" s="19" t="s">
        <v>2262</v>
      </c>
      <c r="AE526" s="19" t="s">
        <v>2100</v>
      </c>
      <c r="AF526" s="19" t="s">
        <v>2421</v>
      </c>
    </row>
    <row r="527" spans="1:34">
      <c r="A527" s="19">
        <v>519</v>
      </c>
      <c r="B527" s="19" t="s">
        <v>1760</v>
      </c>
      <c r="C527" s="19" t="s">
        <v>135</v>
      </c>
      <c r="D527" s="19" t="str">
        <f>HYPERLINK("http://henontech.com/fieldsafety/harzard/harzard_show.php?rid=27340&amp;url=harzardrecs.php","低压室配电柜接地线由于维护不良断开，由于线路漏电接触柜体，导致柜体带电，某员工在操作开关时，触碰柜体而触电！")</f>
        <v>低压室配电柜接地线由于维护不良断开，由于线路漏电接触柜体，导致柜体带电，某员工在操作开关时，触碰柜体而触电！</v>
      </c>
      <c r="E527" s="19" t="s">
        <v>2422</v>
      </c>
      <c r="F527" s="20" t="s">
        <v>42</v>
      </c>
      <c r="G527" s="21" t="s">
        <v>43</v>
      </c>
      <c r="H527" s="19" t="s">
        <v>44</v>
      </c>
      <c r="I527" s="19" t="s">
        <v>129</v>
      </c>
      <c r="J527" s="19" t="s">
        <v>64</v>
      </c>
      <c r="K527" s="19" t="s">
        <v>88</v>
      </c>
      <c r="L527" s="19" t="s">
        <v>65</v>
      </c>
      <c r="M527" s="19" t="s">
        <v>49</v>
      </c>
      <c r="N527" s="19" t="s">
        <v>1018</v>
      </c>
      <c r="O527" s="19" t="s">
        <v>49</v>
      </c>
      <c r="P527" s="19" t="s">
        <v>2302</v>
      </c>
      <c r="Q527" s="19" t="s">
        <v>2303</v>
      </c>
      <c r="R527" s="19" t="s">
        <v>1145</v>
      </c>
      <c r="S527" s="19" t="s">
        <v>2423</v>
      </c>
      <c r="T527" s="19" t="s">
        <v>53</v>
      </c>
      <c r="U527" s="19" t="s">
        <v>116</v>
      </c>
      <c r="V527" s="19" t="s">
        <v>193</v>
      </c>
      <c r="W527" s="19" t="s">
        <v>72</v>
      </c>
      <c r="X527" s="19" t="s">
        <v>57</v>
      </c>
      <c r="Y527" s="19"/>
      <c r="Z527" s="19" t="s">
        <v>1147</v>
      </c>
      <c r="AA527" s="19">
        <v>1</v>
      </c>
      <c r="AB527" s="19">
        <v>1</v>
      </c>
      <c r="AC527" s="19" t="s">
        <v>59</v>
      </c>
      <c r="AD527" s="19" t="s">
        <v>2302</v>
      </c>
      <c r="AE527" s="19" t="s">
        <v>1405</v>
      </c>
      <c r="AF527" s="19" t="s">
        <v>2424</v>
      </c>
    </row>
    <row r="528" spans="1:34">
      <c r="A528" s="19">
        <v>520</v>
      </c>
      <c r="B528" s="19" t="s">
        <v>1760</v>
      </c>
      <c r="C528" s="19" t="s">
        <v>2191</v>
      </c>
      <c r="D528" s="19" t="str">
        <f>HYPERLINK("http://henontech.com/fieldsafety/harzard/harzard_show.php?rid=27439&amp;url=harzardrecs.php","碳化一楼二氧化碳气化器循环水管架支撑断裂，造成循环水管线下垂，影响正常生产，生产损失两万元")</f>
        <v>碳化一楼二氧化碳气化器循环水管架支撑断裂，造成循环水管线下垂，影响正常生产，生产损失两万元</v>
      </c>
      <c r="E528" s="19" t="s">
        <v>2425</v>
      </c>
      <c r="F528" s="20" t="s">
        <v>42</v>
      </c>
      <c r="G528" s="21" t="s">
        <v>43</v>
      </c>
      <c r="H528" s="19" t="s">
        <v>44</v>
      </c>
      <c r="I528" s="19" t="s">
        <v>78</v>
      </c>
      <c r="J528" s="19" t="s">
        <v>64</v>
      </c>
      <c r="K528" s="19" t="s">
        <v>46</v>
      </c>
      <c r="L528" s="19" t="s">
        <v>65</v>
      </c>
      <c r="M528" s="19" t="s">
        <v>146</v>
      </c>
      <c r="N528" s="19" t="s">
        <v>2426</v>
      </c>
      <c r="O528" s="19" t="s">
        <v>146</v>
      </c>
      <c r="P528" s="19" t="s">
        <v>1084</v>
      </c>
      <c r="Q528" s="19" t="s">
        <v>2330</v>
      </c>
      <c r="R528" s="19" t="s">
        <v>2427</v>
      </c>
      <c r="S528" s="19"/>
      <c r="T528" s="19" t="s">
        <v>104</v>
      </c>
      <c r="U528" s="19" t="s">
        <v>94</v>
      </c>
      <c r="V528" s="19" t="s">
        <v>95</v>
      </c>
      <c r="W528" s="19" t="s">
        <v>96</v>
      </c>
      <c r="X528" s="19" t="s">
        <v>150</v>
      </c>
      <c r="Y528" s="19" t="s">
        <v>150</v>
      </c>
      <c r="Z528" s="19" t="s">
        <v>2428</v>
      </c>
      <c r="AA528" s="19">
        <v>1</v>
      </c>
      <c r="AB528" s="19">
        <v>0</v>
      </c>
      <c r="AC528" s="19" t="s">
        <v>59</v>
      </c>
      <c r="AD528" s="19" t="s">
        <v>1084</v>
      </c>
      <c r="AE528" s="19" t="s">
        <v>1592</v>
      </c>
      <c r="AF528" s="19"/>
    </row>
    <row r="529" spans="1:34">
      <c r="A529" s="19">
        <v>521</v>
      </c>
      <c r="B529" s="19" t="s">
        <v>1760</v>
      </c>
      <c r="C529" s="19" t="s">
        <v>127</v>
      </c>
      <c r="D529" s="19" t="str">
        <f>HYPERLINK("http://henontech.com/fieldsafety/harzard/harzard_show.php?rid=27451&amp;url=harzardrecs.php","脱硫操作室二楼爬梯，一名外协人员人员在使用磨光机除锈时未带防护镜，造成钢丝脱落刺入眼中。")</f>
        <v>脱硫操作室二楼爬梯，一名外协人员人员在使用磨光机除锈时未带防护镜，造成钢丝脱落刺入眼中。</v>
      </c>
      <c r="E529" s="19" t="s">
        <v>2429</v>
      </c>
      <c r="F529" s="25" t="s">
        <v>1784</v>
      </c>
      <c r="G529" s="21" t="s">
        <v>43</v>
      </c>
      <c r="H529" s="19" t="s">
        <v>44</v>
      </c>
      <c r="I529" s="19" t="s">
        <v>78</v>
      </c>
      <c r="J529" s="19" t="s">
        <v>45</v>
      </c>
      <c r="K529" s="19" t="s">
        <v>88</v>
      </c>
      <c r="L529" s="19"/>
      <c r="M529" s="19" t="s">
        <v>66</v>
      </c>
      <c r="N529" s="19" t="s">
        <v>943</v>
      </c>
      <c r="O529" s="19" t="s">
        <v>66</v>
      </c>
      <c r="P529" s="19" t="s">
        <v>68</v>
      </c>
      <c r="Q529" s="19" t="s">
        <v>2316</v>
      </c>
      <c r="R529" s="19" t="s">
        <v>2430</v>
      </c>
      <c r="S529" s="19"/>
      <c r="T529" s="19" t="s">
        <v>53</v>
      </c>
      <c r="U529" s="19" t="s">
        <v>54</v>
      </c>
      <c r="V529" s="19" t="s">
        <v>55</v>
      </c>
      <c r="W529" s="19" t="s">
        <v>56</v>
      </c>
      <c r="X529" s="19"/>
      <c r="Y529" s="19"/>
      <c r="Z529" s="19" t="s">
        <v>2431</v>
      </c>
      <c r="AA529" s="19">
        <v>1</v>
      </c>
      <c r="AB529" s="19"/>
      <c r="AC529" s="19" t="s">
        <v>233</v>
      </c>
      <c r="AD529" s="19"/>
      <c r="AE529" s="19"/>
      <c r="AF529" s="19"/>
    </row>
    <row r="530" spans="1:34" customHeight="1" ht="42">
      <c r="A530" s="19">
        <v>522</v>
      </c>
      <c r="B530" s="19" t="s">
        <v>1760</v>
      </c>
      <c r="C530" s="19" t="s">
        <v>2004</v>
      </c>
      <c r="D530" s="19" t="str">
        <f>HYPERLINK("http://henontech.com/fieldsafety/harzard/harzard_show.php?rid=27579&amp;url=harzardrecs.php","洗车机水池东北角护栏缺失，操作工巡检时不小心掉入水池，造成人员伤亡")</f>
        <v>洗车机水池东北角护栏缺失，操作工巡检时不小心掉入水池，造成人员伤亡</v>
      </c>
      <c r="E530" s="19" t="s">
        <v>438</v>
      </c>
      <c r="F530" s="20" t="s">
        <v>42</v>
      </c>
      <c r="G530" s="21" t="s">
        <v>43</v>
      </c>
      <c r="H530" s="19" t="s">
        <v>44</v>
      </c>
      <c r="I530" s="19" t="s">
        <v>129</v>
      </c>
      <c r="J530" s="19" t="s">
        <v>64</v>
      </c>
      <c r="K530" s="19" t="s">
        <v>302</v>
      </c>
      <c r="L530" s="19" t="s">
        <v>65</v>
      </c>
      <c r="M530" s="19" t="s">
        <v>633</v>
      </c>
      <c r="N530" s="19" t="s">
        <v>2432</v>
      </c>
      <c r="O530" s="19" t="s">
        <v>633</v>
      </c>
      <c r="P530" s="19" t="s">
        <v>924</v>
      </c>
      <c r="Q530" s="19" t="s">
        <v>1414</v>
      </c>
      <c r="R530" s="19" t="s">
        <v>2433</v>
      </c>
      <c r="S530" s="19"/>
      <c r="T530" s="19" t="s">
        <v>53</v>
      </c>
      <c r="U530" s="19" t="s">
        <v>116</v>
      </c>
      <c r="V530" s="19" t="s">
        <v>105</v>
      </c>
      <c r="W530" s="19" t="s">
        <v>56</v>
      </c>
      <c r="X530" s="19" t="s">
        <v>141</v>
      </c>
      <c r="Y530" s="19" t="s">
        <v>141</v>
      </c>
      <c r="Z530" s="19" t="s">
        <v>2434</v>
      </c>
      <c r="AA530" s="19">
        <v>2</v>
      </c>
      <c r="AB530" s="19">
        <v>2</v>
      </c>
      <c r="AC530" s="19" t="s">
        <v>59</v>
      </c>
      <c r="AD530" s="19" t="s">
        <v>924</v>
      </c>
      <c r="AE530" s="19" t="s">
        <v>1760</v>
      </c>
      <c r="AF530" s="19"/>
    </row>
    <row r="531" spans="1:34">
      <c r="A531" s="19">
        <v>523</v>
      </c>
      <c r="B531" s="19" t="s">
        <v>1592</v>
      </c>
      <c r="C531" s="19" t="s">
        <v>1965</v>
      </c>
      <c r="D531" s="19" t="str">
        <f>HYPERLINK("http://henontech.com/fieldsafety/harzard/harzard_show.php?rid=27657&amp;url=harzardrecs.php","初冷器检修过程中一废弃管道遗落现场，一操作工巡检过程中被其拌倒，造成左脚踝扭伤，送医简单处理后回家休养一周后复工。")</f>
        <v>初冷器检修过程中一废弃管道遗落现场，一操作工巡检过程中被其拌倒，造成左脚踝扭伤，送医简单处理后回家休养一周后复工。</v>
      </c>
      <c r="E531" s="19" t="s">
        <v>2435</v>
      </c>
      <c r="F531" s="25" t="s">
        <v>1784</v>
      </c>
      <c r="G531" s="21" t="s">
        <v>43</v>
      </c>
      <c r="H531" s="19" t="s">
        <v>44</v>
      </c>
      <c r="I531" s="19" t="s">
        <v>129</v>
      </c>
      <c r="J531" s="19" t="s">
        <v>64</v>
      </c>
      <c r="K531" s="19" t="s">
        <v>79</v>
      </c>
      <c r="L531" s="19" t="s">
        <v>65</v>
      </c>
      <c r="M531" s="19" t="s">
        <v>66</v>
      </c>
      <c r="N531" s="19" t="s">
        <v>2436</v>
      </c>
      <c r="O531" s="19" t="s">
        <v>66</v>
      </c>
      <c r="P531" s="19" t="s">
        <v>68</v>
      </c>
      <c r="Q531" s="19" t="s">
        <v>2316</v>
      </c>
      <c r="R531" s="19" t="s">
        <v>2437</v>
      </c>
      <c r="S531" s="19"/>
      <c r="T531" s="19" t="s">
        <v>53</v>
      </c>
      <c r="U531" s="19" t="s">
        <v>54</v>
      </c>
      <c r="V531" s="19" t="s">
        <v>55</v>
      </c>
      <c r="W531" s="19" t="s">
        <v>56</v>
      </c>
      <c r="X531" s="19"/>
      <c r="Y531" s="19"/>
      <c r="Z531" s="19" t="s">
        <v>2438</v>
      </c>
      <c r="AA531" s="19">
        <v>1</v>
      </c>
      <c r="AB531" s="19"/>
      <c r="AC531" s="19" t="s">
        <v>233</v>
      </c>
      <c r="AD531" s="19"/>
      <c r="AE531" s="19"/>
      <c r="AF531" s="19"/>
    </row>
    <row r="532" spans="1:34">
      <c r="A532" s="19">
        <v>524</v>
      </c>
      <c r="B532" s="19" t="s">
        <v>1592</v>
      </c>
      <c r="C532" s="19" t="s">
        <v>934</v>
      </c>
      <c r="D532" s="19" t="str">
        <f>HYPERLINK("http://henontech.com/fieldsafety/harzard/harzard_show.php?rid=27664&amp;url=harzardrecs.php","皮带运行过程中，一员工不慎被卸料车碰倒，造成右脚受伤，经医生确诊为右脚腕扭伤，回家休养三天后复工。")</f>
        <v>皮带运行过程中，一员工不慎被卸料车碰倒，造成右脚受伤，经医生确诊为右脚腕扭伤，回家休养三天后复工。</v>
      </c>
      <c r="E532" s="19" t="s">
        <v>2439</v>
      </c>
      <c r="F532" s="20" t="s">
        <v>42</v>
      </c>
      <c r="G532" s="21" t="s">
        <v>43</v>
      </c>
      <c r="H532" s="19" t="s">
        <v>44</v>
      </c>
      <c r="I532" s="19" t="s">
        <v>78</v>
      </c>
      <c r="J532" s="19" t="s">
        <v>64</v>
      </c>
      <c r="K532" s="19" t="s">
        <v>88</v>
      </c>
      <c r="L532" s="19" t="s">
        <v>65</v>
      </c>
      <c r="M532" s="19" t="s">
        <v>633</v>
      </c>
      <c r="N532" s="19" t="s">
        <v>2440</v>
      </c>
      <c r="O532" s="19" t="s">
        <v>633</v>
      </c>
      <c r="P532" s="19" t="s">
        <v>634</v>
      </c>
      <c r="Q532" s="19" t="s">
        <v>1399</v>
      </c>
      <c r="R532" s="19" t="s">
        <v>2441</v>
      </c>
      <c r="S532" s="19"/>
      <c r="T532" s="19" t="s">
        <v>53</v>
      </c>
      <c r="U532" s="19" t="s">
        <v>71</v>
      </c>
      <c r="V532" s="19" t="s">
        <v>55</v>
      </c>
      <c r="W532" s="19" t="s">
        <v>72</v>
      </c>
      <c r="X532" s="19"/>
      <c r="Y532" s="19"/>
      <c r="Z532" s="19" t="s">
        <v>2442</v>
      </c>
      <c r="AA532" s="19">
        <v>1</v>
      </c>
      <c r="AB532" s="19">
        <v>1</v>
      </c>
      <c r="AC532" s="19" t="s">
        <v>59</v>
      </c>
      <c r="AD532" s="19" t="s">
        <v>634</v>
      </c>
      <c r="AE532" s="19" t="s">
        <v>1399</v>
      </c>
      <c r="AF532" s="19"/>
    </row>
    <row r="533" spans="1:34">
      <c r="A533" s="19">
        <v>525</v>
      </c>
      <c r="B533" s="19" t="s">
        <v>1592</v>
      </c>
      <c r="C533" s="19" t="s">
        <v>229</v>
      </c>
      <c r="D533" s="19" t="str">
        <f>HYPERLINK("http://henontech.com/fieldsafety/harzard/harzard_show.php?rid=27685&amp;url=harzardrecs.php","由于给水泵处没照明，夜间巡查视线不好，导致人员受伤")</f>
        <v>由于给水泵处没照明，夜间巡查视线不好，导致人员受伤</v>
      </c>
      <c r="E533" s="19" t="s">
        <v>2443</v>
      </c>
      <c r="F533" s="23" t="s">
        <v>227</v>
      </c>
      <c r="G533" s="21" t="s">
        <v>43</v>
      </c>
      <c r="H533" s="19" t="s">
        <v>44</v>
      </c>
      <c r="I533" s="19" t="s">
        <v>129</v>
      </c>
      <c r="J533" s="19" t="s">
        <v>64</v>
      </c>
      <c r="K533" s="19" t="s">
        <v>46</v>
      </c>
      <c r="L533" s="19" t="s">
        <v>65</v>
      </c>
      <c r="M533" s="19" t="s">
        <v>229</v>
      </c>
      <c r="N533" s="19" t="s">
        <v>472</v>
      </c>
      <c r="O533" s="19"/>
      <c r="P533" s="19"/>
      <c r="Q533" s="19"/>
      <c r="R533" s="19" t="s">
        <v>2444</v>
      </c>
      <c r="S533" s="19" t="s">
        <v>1775</v>
      </c>
      <c r="T533" s="19" t="s">
        <v>53</v>
      </c>
      <c r="U533" s="19" t="s">
        <v>71</v>
      </c>
      <c r="V533" s="19" t="s">
        <v>55</v>
      </c>
      <c r="W533" s="19" t="s">
        <v>72</v>
      </c>
      <c r="X533" s="19"/>
      <c r="Y533" s="19"/>
      <c r="Z533" s="19"/>
      <c r="AA533" s="19">
        <v>0</v>
      </c>
      <c r="AB533" s="19"/>
      <c r="AC533" s="19" t="s">
        <v>233</v>
      </c>
      <c r="AD533" s="19"/>
      <c r="AE533" s="19"/>
      <c r="AF533" s="19"/>
    </row>
    <row r="534" spans="1:34">
      <c r="A534" s="19">
        <v>526</v>
      </c>
      <c r="B534" s="19" t="s">
        <v>1592</v>
      </c>
      <c r="C534" s="19" t="s">
        <v>656</v>
      </c>
      <c r="D534" s="19" t="str">
        <f>HYPERLINK("http://henontech.com/fieldsafety/harzard/harzard_show.php?rid=27695&amp;url=harzardrecs.php","西一铁爬梯处照明灯坏 夜班操作工上下爬梯时看不清脚下不慎踩空摔倒造成右前臂骨折送医院治疗住院一个月在家修养91天")</f>
        <v>西一铁爬梯处照明灯坏 夜班操作工上下爬梯时看不清脚下不慎踩空摔倒造成右前臂骨折送医院治疗住院一个月在家修养91天</v>
      </c>
      <c r="E534" s="19" t="s">
        <v>2445</v>
      </c>
      <c r="F534" s="20" t="s">
        <v>42</v>
      </c>
      <c r="G534" s="21" t="s">
        <v>43</v>
      </c>
      <c r="H534" s="19" t="s">
        <v>44</v>
      </c>
      <c r="I534" s="19" t="s">
        <v>78</v>
      </c>
      <c r="J534" s="19"/>
      <c r="K534" s="19" t="s">
        <v>88</v>
      </c>
      <c r="L534" s="19" t="s">
        <v>65</v>
      </c>
      <c r="M534" s="19" t="s">
        <v>633</v>
      </c>
      <c r="N534" s="19" t="s">
        <v>2446</v>
      </c>
      <c r="O534" s="19" t="s">
        <v>633</v>
      </c>
      <c r="P534" s="19" t="s">
        <v>2329</v>
      </c>
      <c r="Q534" s="19" t="s">
        <v>2447</v>
      </c>
      <c r="R534" s="19" t="s">
        <v>2018</v>
      </c>
      <c r="S534" s="19"/>
      <c r="T534" s="19" t="s">
        <v>53</v>
      </c>
      <c r="U534" s="19" t="s">
        <v>54</v>
      </c>
      <c r="V534" s="19" t="s">
        <v>105</v>
      </c>
      <c r="W534" s="19" t="s">
        <v>72</v>
      </c>
      <c r="X534" s="19"/>
      <c r="Y534" s="19"/>
      <c r="Z534" s="19" t="s">
        <v>2342</v>
      </c>
      <c r="AA534" s="19">
        <v>1</v>
      </c>
      <c r="AB534" s="19">
        <v>1</v>
      </c>
      <c r="AC534" s="19" t="s">
        <v>59</v>
      </c>
      <c r="AD534" s="19" t="s">
        <v>2329</v>
      </c>
      <c r="AE534" s="19" t="s">
        <v>2248</v>
      </c>
      <c r="AF534" s="19"/>
    </row>
    <row r="535" spans="1:34" customHeight="1" ht="42">
      <c r="A535" s="19">
        <v>527</v>
      </c>
      <c r="B535" s="19" t="s">
        <v>1592</v>
      </c>
      <c r="C535" s="19" t="s">
        <v>656</v>
      </c>
      <c r="D535" s="19" t="str">
        <f>HYPERLINK("http://henontech.com/fieldsafety/harzard/harzard_show.php?rid=27696&amp;url=harzardrecs.php","西一操作室吊装处铁板腐蚀 操作工经过时被破损处拌倒造成右脚脚踝扭伤休息一会不影响工作")</f>
        <v>西一操作室吊装处铁板腐蚀 操作工经过时被破损处拌倒造成右脚脚踝扭伤休息一会不影响工作</v>
      </c>
      <c r="E535" s="19" t="s">
        <v>2327</v>
      </c>
      <c r="F535" s="20" t="s">
        <v>42</v>
      </c>
      <c r="G535" s="21" t="s">
        <v>43</v>
      </c>
      <c r="H535" s="19" t="s">
        <v>44</v>
      </c>
      <c r="I535" s="19" t="s">
        <v>78</v>
      </c>
      <c r="J535" s="19"/>
      <c r="K535" s="19"/>
      <c r="L535" s="19" t="s">
        <v>65</v>
      </c>
      <c r="M535" s="19" t="s">
        <v>633</v>
      </c>
      <c r="N535" s="19" t="s">
        <v>2448</v>
      </c>
      <c r="O535" s="19" t="s">
        <v>633</v>
      </c>
      <c r="P535" s="19" t="s">
        <v>2329</v>
      </c>
      <c r="Q535" s="19" t="s">
        <v>2447</v>
      </c>
      <c r="R535" s="19" t="s">
        <v>2018</v>
      </c>
      <c r="S535" s="19"/>
      <c r="T535" s="19" t="s">
        <v>53</v>
      </c>
      <c r="U535" s="19" t="s">
        <v>71</v>
      </c>
      <c r="V535" s="19" t="s">
        <v>105</v>
      </c>
      <c r="W535" s="19" t="s">
        <v>96</v>
      </c>
      <c r="X535" s="19"/>
      <c r="Y535" s="19"/>
      <c r="Z535" s="19" t="s">
        <v>2340</v>
      </c>
      <c r="AA535" s="19">
        <v>2</v>
      </c>
      <c r="AB535" s="19">
        <v>2</v>
      </c>
      <c r="AC535" s="19" t="s">
        <v>59</v>
      </c>
      <c r="AD535" s="19" t="s">
        <v>2329</v>
      </c>
      <c r="AE535" s="19" t="s">
        <v>2248</v>
      </c>
      <c r="AF535" s="19"/>
    </row>
    <row r="536" spans="1:34" customHeight="1" ht="42">
      <c r="A536" s="19">
        <v>528</v>
      </c>
      <c r="B536" s="19" t="s">
        <v>1592</v>
      </c>
      <c r="C536" s="19" t="s">
        <v>934</v>
      </c>
      <c r="D536" s="19" t="str">
        <f>HYPERLINK("http://henontech.com/fieldsafety/harzard/harzard_show.php?rid=27697&amp;url=harzardrecs.php","点名室门口台阶处照明灯损坏 夜班经过时看不清脚下不慎踩空摔倒造成右脚脚踝扭伤休息一会不影响工作")</f>
        <v>点名室门口台阶处照明灯损坏 夜班经过时看不清脚下不慎踩空摔倒造成右脚脚踝扭伤休息一会不影响工作</v>
      </c>
      <c r="E536" s="19" t="s">
        <v>2327</v>
      </c>
      <c r="F536" s="20" t="s">
        <v>42</v>
      </c>
      <c r="G536" s="21" t="s">
        <v>43</v>
      </c>
      <c r="H536" s="19" t="s">
        <v>44</v>
      </c>
      <c r="I536" s="19" t="s">
        <v>78</v>
      </c>
      <c r="J536" s="19"/>
      <c r="K536" s="19"/>
      <c r="L536" s="19" t="s">
        <v>65</v>
      </c>
      <c r="M536" s="19" t="s">
        <v>633</v>
      </c>
      <c r="N536" s="19" t="s">
        <v>2449</v>
      </c>
      <c r="O536" s="19" t="s">
        <v>633</v>
      </c>
      <c r="P536" s="19" t="s">
        <v>2329</v>
      </c>
      <c r="Q536" s="19" t="s">
        <v>2447</v>
      </c>
      <c r="R536" s="19" t="s">
        <v>2450</v>
      </c>
      <c r="S536" s="19"/>
      <c r="T536" s="19" t="s">
        <v>53</v>
      </c>
      <c r="U536" s="19" t="s">
        <v>71</v>
      </c>
      <c r="V536" s="19" t="s">
        <v>105</v>
      </c>
      <c r="W536" s="19" t="s">
        <v>96</v>
      </c>
      <c r="X536" s="19"/>
      <c r="Y536" s="19"/>
      <c r="Z536" s="19" t="s">
        <v>2332</v>
      </c>
      <c r="AA536" s="19">
        <v>2</v>
      </c>
      <c r="AB536" s="19">
        <v>2</v>
      </c>
      <c r="AC536" s="19" t="s">
        <v>59</v>
      </c>
      <c r="AD536" s="19" t="s">
        <v>2329</v>
      </c>
      <c r="AE536" s="19" t="s">
        <v>2248</v>
      </c>
      <c r="AF536" s="19"/>
    </row>
    <row r="537" spans="1:34" customHeight="1" ht="42">
      <c r="A537" s="19">
        <v>529</v>
      </c>
      <c r="B537" s="19" t="s">
        <v>1592</v>
      </c>
      <c r="C537" s="19" t="s">
        <v>631</v>
      </c>
      <c r="D537" s="19" t="str">
        <f>HYPERLINK("http://henontech.com/fieldsafety/harzard/harzard_show.php?rid=27698&amp;url=harzardrecs.php","1618下料筒处破损漏煤 夜班有人员经过时不慎踩上脚下打滑摔倒造成右前臂骨折送医院治疗住院一个月在家修养92天")</f>
        <v>1618下料筒处破损漏煤 夜班有人员经过时不慎踩上脚下打滑摔倒造成右前臂骨折送医院治疗住院一个月在家修养92天</v>
      </c>
      <c r="E537" s="19" t="s">
        <v>2445</v>
      </c>
      <c r="F537" s="20" t="s">
        <v>42</v>
      </c>
      <c r="G537" s="21" t="s">
        <v>43</v>
      </c>
      <c r="H537" s="19" t="s">
        <v>44</v>
      </c>
      <c r="I537" s="19" t="s">
        <v>78</v>
      </c>
      <c r="J537" s="19"/>
      <c r="K537" s="19"/>
      <c r="L537" s="19" t="s">
        <v>65</v>
      </c>
      <c r="M537" s="19" t="s">
        <v>633</v>
      </c>
      <c r="N537" s="19" t="s">
        <v>2451</v>
      </c>
      <c r="O537" s="19" t="s">
        <v>633</v>
      </c>
      <c r="P537" s="19" t="s">
        <v>2329</v>
      </c>
      <c r="Q537" s="19" t="s">
        <v>2447</v>
      </c>
      <c r="R537" s="19" t="s">
        <v>2452</v>
      </c>
      <c r="S537" s="19"/>
      <c r="T537" s="19" t="s">
        <v>53</v>
      </c>
      <c r="U537" s="19" t="s">
        <v>54</v>
      </c>
      <c r="V537" s="19" t="s">
        <v>105</v>
      </c>
      <c r="W537" s="19" t="s">
        <v>72</v>
      </c>
      <c r="X537" s="19"/>
      <c r="Y537" s="19"/>
      <c r="Z537" s="19" t="s">
        <v>2332</v>
      </c>
      <c r="AA537" s="19">
        <v>2</v>
      </c>
      <c r="AB537" s="19">
        <v>2</v>
      </c>
      <c r="AC537" s="19" t="s">
        <v>59</v>
      </c>
      <c r="AD537" s="19" t="s">
        <v>2329</v>
      </c>
      <c r="AE537" s="19" t="s">
        <v>2248</v>
      </c>
      <c r="AF537" s="19"/>
    </row>
    <row r="538" spans="1:34" customHeight="1" ht="42">
      <c r="A538" s="19">
        <v>530</v>
      </c>
      <c r="B538" s="19" t="s">
        <v>1592</v>
      </c>
      <c r="C538" s="19" t="s">
        <v>631</v>
      </c>
      <c r="D538" s="19" t="str">
        <f>HYPERLINK("http://henontech.com/fieldsafety/harzard/harzard_show.php?rid=27699&amp;url=harzardrecs.php","煤七铁平台下照明灯损坏 夜班操作工工巡查时经过光线暗看不清脚下不慎摔倒造成右脚脚踝扭伤休息一会不影响工作")</f>
        <v>煤七铁平台下照明灯损坏 夜班操作工工巡查时经过光线暗看不清脚下不慎摔倒造成右脚脚踝扭伤休息一会不影响工作</v>
      </c>
      <c r="E538" s="19" t="s">
        <v>2327</v>
      </c>
      <c r="F538" s="20" t="s">
        <v>42</v>
      </c>
      <c r="G538" s="21" t="s">
        <v>43</v>
      </c>
      <c r="H538" s="19" t="s">
        <v>44</v>
      </c>
      <c r="I538" s="19" t="s">
        <v>78</v>
      </c>
      <c r="J538" s="19"/>
      <c r="K538" s="19" t="s">
        <v>88</v>
      </c>
      <c r="L538" s="19" t="s">
        <v>65</v>
      </c>
      <c r="M538" s="19" t="s">
        <v>633</v>
      </c>
      <c r="N538" s="19" t="s">
        <v>2329</v>
      </c>
      <c r="O538" s="19" t="s">
        <v>633</v>
      </c>
      <c r="P538" s="19" t="s">
        <v>2329</v>
      </c>
      <c r="Q538" s="19" t="s">
        <v>2447</v>
      </c>
      <c r="R538" s="19" t="s">
        <v>2453</v>
      </c>
      <c r="S538" s="19"/>
      <c r="T538" s="19" t="s">
        <v>53</v>
      </c>
      <c r="U538" s="19" t="s">
        <v>71</v>
      </c>
      <c r="V538" s="19" t="s">
        <v>105</v>
      </c>
      <c r="W538" s="19" t="s">
        <v>96</v>
      </c>
      <c r="X538" s="19"/>
      <c r="Y538" s="19"/>
      <c r="Z538" s="19" t="s">
        <v>2332</v>
      </c>
      <c r="AA538" s="19">
        <v>2</v>
      </c>
      <c r="AB538" s="19">
        <v>2</v>
      </c>
      <c r="AC538" s="19" t="s">
        <v>59</v>
      </c>
      <c r="AD538" s="19" t="s">
        <v>2329</v>
      </c>
      <c r="AE538" s="19" t="s">
        <v>2248</v>
      </c>
      <c r="AF538" s="19"/>
    </row>
    <row r="539" spans="1:34">
      <c r="A539" s="19">
        <v>531</v>
      </c>
      <c r="B539" s="19" t="s">
        <v>1405</v>
      </c>
      <c r="C539" s="19" t="s">
        <v>2367</v>
      </c>
      <c r="D539" s="19" t="str">
        <f>HYPERLINK("http://henontech.com/fieldsafety/harzard/harzard_show.php?rid=27751&amp;url=harzardrecs.php","汽轮机一楼仓库玻璃破裂，一员工在推门进入仓库时，破裂的玻璃突然掉落，造成该员工右手臂被玻璃轻微划伤，经医务室包扎处理后可从事简单劳动。")</f>
        <v>汽轮机一楼仓库玻璃破裂，一员工在推门进入仓库时，破裂的玻璃突然掉落，造成该员工右手臂被玻璃轻微划伤，经医务室包扎处理后可从事简单劳动。</v>
      </c>
      <c r="E539" s="19" t="s">
        <v>2454</v>
      </c>
      <c r="F539" s="20" t="s">
        <v>42</v>
      </c>
      <c r="G539" s="21" t="s">
        <v>43</v>
      </c>
      <c r="H539" s="19" t="s">
        <v>44</v>
      </c>
      <c r="I539" s="19" t="s">
        <v>129</v>
      </c>
      <c r="J539" s="19" t="s">
        <v>87</v>
      </c>
      <c r="K539" s="19" t="s">
        <v>88</v>
      </c>
      <c r="L539" s="19" t="s">
        <v>65</v>
      </c>
      <c r="M539" s="19" t="s">
        <v>49</v>
      </c>
      <c r="N539" s="19" t="s">
        <v>199</v>
      </c>
      <c r="O539" s="19" t="s">
        <v>49</v>
      </c>
      <c r="P539" s="19" t="s">
        <v>1320</v>
      </c>
      <c r="Q539" s="19" t="s">
        <v>1537</v>
      </c>
      <c r="R539" s="19" t="s">
        <v>2455</v>
      </c>
      <c r="S539" s="19" t="s">
        <v>2456</v>
      </c>
      <c r="T539" s="19" t="s">
        <v>53</v>
      </c>
      <c r="U539" s="19" t="s">
        <v>71</v>
      </c>
      <c r="V539" s="19" t="s">
        <v>95</v>
      </c>
      <c r="W539" s="19" t="s">
        <v>56</v>
      </c>
      <c r="X539" s="19" t="s">
        <v>57</v>
      </c>
      <c r="Y539" s="19"/>
      <c r="Z539" s="19" t="s">
        <v>2457</v>
      </c>
      <c r="AA539" s="19">
        <v>1</v>
      </c>
      <c r="AB539" s="19">
        <v>1</v>
      </c>
      <c r="AC539" s="19" t="s">
        <v>59</v>
      </c>
      <c r="AD539" s="19" t="s">
        <v>1320</v>
      </c>
      <c r="AE539" s="19" t="s">
        <v>1557</v>
      </c>
      <c r="AF539" s="19" t="s">
        <v>2458</v>
      </c>
    </row>
    <row r="540" spans="1:34">
      <c r="A540" s="19">
        <v>532</v>
      </c>
      <c r="B540" s="19" t="s">
        <v>1405</v>
      </c>
      <c r="C540" s="19" t="s">
        <v>1325</v>
      </c>
      <c r="D540" s="19" t="str">
        <f>HYPERLINK("http://henontech.com/fieldsafety/harzard/harzard_show.php?rid=27753&amp;url=harzardrecs.php","因地沟盖板缺失，一操作工在巡查至综合水池过道时，左脚落入地沟中，送医院救治，确诊为左侧脚踝扭伤，治疗十五天，修养三十天后恢复工作。")</f>
        <v>因地沟盖板缺失，一操作工在巡查至综合水池过道时，左脚落入地沟中，送医院救治，确诊为左侧脚踝扭伤，治疗十五天，修养三十天后恢复工作。</v>
      </c>
      <c r="E540" s="19" t="s">
        <v>2459</v>
      </c>
      <c r="F540" s="20" t="s">
        <v>42</v>
      </c>
      <c r="G540" s="21" t="s">
        <v>43</v>
      </c>
      <c r="H540" s="19" t="s">
        <v>44</v>
      </c>
      <c r="I540" s="19" t="s">
        <v>78</v>
      </c>
      <c r="J540" s="19" t="s">
        <v>64</v>
      </c>
      <c r="K540" s="19" t="s">
        <v>46</v>
      </c>
      <c r="L540" s="19" t="s">
        <v>65</v>
      </c>
      <c r="M540" s="19" t="s">
        <v>49</v>
      </c>
      <c r="N540" s="19" t="s">
        <v>2460</v>
      </c>
      <c r="O540" s="19" t="s">
        <v>49</v>
      </c>
      <c r="P540" s="19" t="s">
        <v>1320</v>
      </c>
      <c r="Q540" s="19" t="s">
        <v>1537</v>
      </c>
      <c r="R540" s="19" t="s">
        <v>2461</v>
      </c>
      <c r="S540" s="19" t="s">
        <v>2462</v>
      </c>
      <c r="T540" s="19" t="s">
        <v>53</v>
      </c>
      <c r="U540" s="19" t="s">
        <v>54</v>
      </c>
      <c r="V540" s="19" t="s">
        <v>55</v>
      </c>
      <c r="W540" s="19" t="s">
        <v>56</v>
      </c>
      <c r="X540" s="19" t="s">
        <v>57</v>
      </c>
      <c r="Y540" s="19"/>
      <c r="Z540" s="19" t="s">
        <v>2463</v>
      </c>
      <c r="AA540" s="19">
        <v>1</v>
      </c>
      <c r="AB540" s="19">
        <v>1</v>
      </c>
      <c r="AC540" s="19" t="s">
        <v>59</v>
      </c>
      <c r="AD540" s="19" t="s">
        <v>1320</v>
      </c>
      <c r="AE540" s="19" t="s">
        <v>1557</v>
      </c>
      <c r="AF540" s="19" t="s">
        <v>2464</v>
      </c>
    </row>
    <row r="541" spans="1:34">
      <c r="A541" s="19">
        <v>533</v>
      </c>
      <c r="B541" s="19" t="s">
        <v>1405</v>
      </c>
      <c r="C541" s="19" t="s">
        <v>656</v>
      </c>
      <c r="D541" s="19" t="str">
        <f>HYPERLINK("http://henontech.com/fieldsafety/harzard/harzard_show.php?rid=27760&amp;url=harzardrecs.php","刮板机内进入杂物，一旦开启，极易造成刮板变形，被迫停机更换刮板一小时，经济损失200元。")</f>
        <v>刮板机内进入杂物，一旦开启，极易造成刮板变形，被迫停机更换刮板一小时，经济损失200元。</v>
      </c>
      <c r="E541" s="19" t="s">
        <v>2465</v>
      </c>
      <c r="F541" s="20" t="s">
        <v>42</v>
      </c>
      <c r="G541" s="22" t="s">
        <v>111</v>
      </c>
      <c r="H541" s="19" t="s">
        <v>709</v>
      </c>
      <c r="I541" s="19" t="s">
        <v>129</v>
      </c>
      <c r="J541" s="19" t="s">
        <v>308</v>
      </c>
      <c r="K541" s="19" t="s">
        <v>46</v>
      </c>
      <c r="L541" s="19" t="s">
        <v>65</v>
      </c>
      <c r="M541" s="19" t="s">
        <v>633</v>
      </c>
      <c r="N541" s="19" t="s">
        <v>634</v>
      </c>
      <c r="O541" s="19" t="s">
        <v>633</v>
      </c>
      <c r="P541" s="19" t="s">
        <v>634</v>
      </c>
      <c r="Q541" s="19" t="s">
        <v>1399</v>
      </c>
      <c r="R541" s="19" t="s">
        <v>2466</v>
      </c>
      <c r="S541" s="19"/>
      <c r="T541" s="19" t="s">
        <v>104</v>
      </c>
      <c r="U541" s="19" t="s">
        <v>94</v>
      </c>
      <c r="V541" s="19" t="s">
        <v>55</v>
      </c>
      <c r="W541" s="19" t="s">
        <v>96</v>
      </c>
      <c r="X541" s="19"/>
      <c r="Y541" s="19"/>
      <c r="Z541" s="19" t="s">
        <v>2467</v>
      </c>
      <c r="AA541" s="19">
        <v>1</v>
      </c>
      <c r="AB541" s="19">
        <v>1</v>
      </c>
      <c r="AC541" s="19" t="s">
        <v>59</v>
      </c>
      <c r="AD541" s="19" t="s">
        <v>634</v>
      </c>
      <c r="AE541" s="19" t="s">
        <v>1399</v>
      </c>
      <c r="AF541" s="19"/>
    </row>
    <row r="542" spans="1:34">
      <c r="A542" s="19">
        <v>534</v>
      </c>
      <c r="B542" s="19" t="s">
        <v>1405</v>
      </c>
      <c r="C542" s="19" t="s">
        <v>1546</v>
      </c>
      <c r="D542" s="19" t="str">
        <f>HYPERLINK("http://henontech.com/fieldsafety/harzard/harzard_show.php?rid=27763&amp;url=harzardrecs.php","因提升机七层西侧护栏一处踢脚板开焊翘起，雨雪天气，一巡检工在护栏内向道轨撒沙防滑时，不慎被翘起的踢脚板绊倒，右侧膝盖着地，送医治疗确诊为右侧膝盖骨骨裂，治疗7天，修养三个月后恢复工作。")</f>
        <v>因提升机七层西侧护栏一处踢脚板开焊翘起，雨雪天气，一巡检工在护栏内向道轨撒沙防滑时，不慎被翘起的踢脚板绊倒，右侧膝盖着地，送医治疗确诊为右侧膝盖骨骨裂，治疗7天，修养三个月后恢复工作。</v>
      </c>
      <c r="E542" s="19" t="s">
        <v>2468</v>
      </c>
      <c r="F542" s="20" t="s">
        <v>42</v>
      </c>
      <c r="G542" s="21" t="s">
        <v>43</v>
      </c>
      <c r="H542" s="19" t="s">
        <v>44</v>
      </c>
      <c r="I542" s="19" t="s">
        <v>129</v>
      </c>
      <c r="J542" s="19" t="s">
        <v>64</v>
      </c>
      <c r="K542" s="19" t="s">
        <v>46</v>
      </c>
      <c r="L542" s="19" t="s">
        <v>65</v>
      </c>
      <c r="M542" s="19" t="s">
        <v>49</v>
      </c>
      <c r="N542" s="19" t="s">
        <v>832</v>
      </c>
      <c r="O542" s="19" t="s">
        <v>49</v>
      </c>
      <c r="P542" s="19" t="s">
        <v>1320</v>
      </c>
      <c r="Q542" s="19" t="s">
        <v>1537</v>
      </c>
      <c r="R542" s="19" t="s">
        <v>2469</v>
      </c>
      <c r="S542" s="19" t="s">
        <v>2470</v>
      </c>
      <c r="T542" s="19" t="s">
        <v>53</v>
      </c>
      <c r="U542" s="19" t="s">
        <v>54</v>
      </c>
      <c r="V542" s="19" t="s">
        <v>55</v>
      </c>
      <c r="W542" s="19" t="s">
        <v>56</v>
      </c>
      <c r="X542" s="19" t="s">
        <v>57</v>
      </c>
      <c r="Y542" s="19"/>
      <c r="Z542" s="19" t="s">
        <v>2471</v>
      </c>
      <c r="AA542" s="19">
        <v>1</v>
      </c>
      <c r="AB542" s="19">
        <v>1</v>
      </c>
      <c r="AC542" s="19" t="s">
        <v>59</v>
      </c>
      <c r="AD542" s="19" t="s">
        <v>1320</v>
      </c>
      <c r="AE542" s="19" t="s">
        <v>1564</v>
      </c>
      <c r="AF542" s="19" t="s">
        <v>2472</v>
      </c>
    </row>
    <row r="543" spans="1:34">
      <c r="A543" s="19">
        <v>535</v>
      </c>
      <c r="B543" s="19" t="s">
        <v>1405</v>
      </c>
      <c r="C543" s="19" t="s">
        <v>163</v>
      </c>
      <c r="D543" s="19" t="str">
        <f>HYPERLINK("http://henontech.com/fieldsafety/harzard/harzard_show.php?rid=27850&amp;url=harzardrecs.php","除盐水站主控室内西墙暖气片破裂拆除后遗留挂钩未清理，一员工擦西墙玻璃时被挂钩钩伤手背，流血不止，送医务室简单包扎后送医院缝合，又回到岗位，但不能从事重体力劳动。")</f>
        <v>除盐水站主控室内西墙暖气片破裂拆除后遗留挂钩未清理，一员工擦西墙玻璃时被挂钩钩伤手背，流血不止，送医务室简单包扎后送医院缝合，又回到岗位，但不能从事重体力劳动。</v>
      </c>
      <c r="E543" s="19" t="s">
        <v>2473</v>
      </c>
      <c r="F543" s="20" t="s">
        <v>42</v>
      </c>
      <c r="G543" s="21" t="s">
        <v>43</v>
      </c>
      <c r="H543" s="19" t="s">
        <v>44</v>
      </c>
      <c r="I543" s="19" t="s">
        <v>78</v>
      </c>
      <c r="J543" s="19" t="s">
        <v>308</v>
      </c>
      <c r="K543" s="19" t="s">
        <v>88</v>
      </c>
      <c r="L543" s="19"/>
      <c r="M543" s="19" t="s">
        <v>49</v>
      </c>
      <c r="N543" s="19" t="s">
        <v>1293</v>
      </c>
      <c r="O543" s="19" t="s">
        <v>49</v>
      </c>
      <c r="P543" s="19" t="s">
        <v>1344</v>
      </c>
      <c r="Q543" s="19" t="s">
        <v>1537</v>
      </c>
      <c r="R543" s="19" t="s">
        <v>2474</v>
      </c>
      <c r="S543" s="19" t="s">
        <v>2358</v>
      </c>
      <c r="T543" s="19" t="s">
        <v>53</v>
      </c>
      <c r="U543" s="19" t="s">
        <v>71</v>
      </c>
      <c r="V543" s="19" t="s">
        <v>105</v>
      </c>
      <c r="W543" s="19" t="s">
        <v>96</v>
      </c>
      <c r="X543" s="19" t="s">
        <v>57</v>
      </c>
      <c r="Y543" s="19"/>
      <c r="Z543" s="19" t="s">
        <v>2359</v>
      </c>
      <c r="AA543" s="19">
        <v>1</v>
      </c>
      <c r="AB543" s="19">
        <v>1</v>
      </c>
      <c r="AC543" s="19" t="s">
        <v>59</v>
      </c>
      <c r="AD543" s="19" t="s">
        <v>1344</v>
      </c>
      <c r="AE543" s="19" t="s">
        <v>2024</v>
      </c>
      <c r="AF543" s="19"/>
    </row>
    <row r="544" spans="1:34">
      <c r="A544" s="19">
        <v>536</v>
      </c>
      <c r="B544" s="19" t="s">
        <v>1405</v>
      </c>
      <c r="C544" s="19" t="s">
        <v>178</v>
      </c>
      <c r="D544" s="19" t="str">
        <f>HYPERLINK("http://henontech.com/fieldsafety/harzard/harzard_show.php?rid=27852&amp;url=harzardrecs.php","主控楼南楼梯处分气缸排污管摆放不规整，一巡检人员上楼梯时，未及时发现将其拌倒，身体前俯右手小臂与楼梯台阶碰撞，送医治疗确诊为右手小臂骨裂，治疗7天，修养三个月后恢复工作。")</f>
        <v>主控楼南楼梯处分气缸排污管摆放不规整，一巡检人员上楼梯时，未及时发现将其拌倒，身体前俯右手小臂与楼梯台阶碰撞，送医治疗确诊为右手小臂骨裂，治疗7天，修养三个月后恢复工作。</v>
      </c>
      <c r="E544" s="19" t="s">
        <v>2475</v>
      </c>
      <c r="F544" s="20" t="s">
        <v>42</v>
      </c>
      <c r="G544" s="21" t="s">
        <v>43</v>
      </c>
      <c r="H544" s="19" t="s">
        <v>44</v>
      </c>
      <c r="I544" s="19" t="s">
        <v>129</v>
      </c>
      <c r="J544" s="19" t="s">
        <v>64</v>
      </c>
      <c r="K544" s="19" t="s">
        <v>46</v>
      </c>
      <c r="L544" s="19"/>
      <c r="M544" s="19" t="s">
        <v>49</v>
      </c>
      <c r="N544" s="19" t="s">
        <v>1144</v>
      </c>
      <c r="O544" s="19" t="s">
        <v>49</v>
      </c>
      <c r="P544" s="19" t="s">
        <v>1320</v>
      </c>
      <c r="Q544" s="19" t="s">
        <v>1537</v>
      </c>
      <c r="R544" s="19" t="s">
        <v>2234</v>
      </c>
      <c r="S544" s="19" t="s">
        <v>2476</v>
      </c>
      <c r="T544" s="19" t="s">
        <v>53</v>
      </c>
      <c r="U544" s="19" t="s">
        <v>54</v>
      </c>
      <c r="V544" s="19" t="s">
        <v>55</v>
      </c>
      <c r="W544" s="19" t="s">
        <v>56</v>
      </c>
      <c r="X544" s="19" t="s">
        <v>141</v>
      </c>
      <c r="Y544" s="19"/>
      <c r="Z544" s="19" t="s">
        <v>2477</v>
      </c>
      <c r="AA544" s="19">
        <v>1</v>
      </c>
      <c r="AB544" s="19">
        <v>1</v>
      </c>
      <c r="AC544" s="19" t="s">
        <v>59</v>
      </c>
      <c r="AD544" s="19" t="s">
        <v>1320</v>
      </c>
      <c r="AE544" s="19" t="s">
        <v>1557</v>
      </c>
      <c r="AF544" s="19" t="s">
        <v>2478</v>
      </c>
    </row>
    <row r="545" spans="1:34">
      <c r="A545" s="19">
        <v>537</v>
      </c>
      <c r="B545" s="19" t="s">
        <v>1405</v>
      </c>
      <c r="C545" s="19" t="s">
        <v>1915</v>
      </c>
      <c r="D545" s="19" t="str">
        <f>HYPERLINK("http://henontech.com/fieldsafety/harzard/harzard_show.php?rid=27854&amp;url=harzardrecs.php","东四吊装门未关闭，一员工经过爬梯时头部磕碰门上，身体倾斜顺着爬梯滑落地面，造成右腿擦伤，休息一会继续工作")</f>
        <v>东四吊装门未关闭，一员工经过爬梯时头部磕碰门上，身体倾斜顺着爬梯滑落地面，造成右腿擦伤，休息一会继续工作</v>
      </c>
      <c r="E545" s="19" t="s">
        <v>2479</v>
      </c>
      <c r="F545" s="20" t="s">
        <v>42</v>
      </c>
      <c r="G545" s="21" t="s">
        <v>43</v>
      </c>
      <c r="H545" s="19" t="s">
        <v>44</v>
      </c>
      <c r="I545" s="19" t="s">
        <v>78</v>
      </c>
      <c r="J545" s="19"/>
      <c r="K545" s="19"/>
      <c r="L545" s="19" t="s">
        <v>65</v>
      </c>
      <c r="M545" s="19" t="s">
        <v>633</v>
      </c>
      <c r="N545" s="19" t="s">
        <v>2480</v>
      </c>
      <c r="O545" s="19" t="s">
        <v>633</v>
      </c>
      <c r="P545" s="19" t="s">
        <v>1268</v>
      </c>
      <c r="Q545" s="19" t="s">
        <v>2481</v>
      </c>
      <c r="R545" s="19" t="s">
        <v>2093</v>
      </c>
      <c r="S545" s="19"/>
      <c r="T545" s="19" t="s">
        <v>53</v>
      </c>
      <c r="U545" s="19" t="s">
        <v>71</v>
      </c>
      <c r="V545" s="19" t="s">
        <v>55</v>
      </c>
      <c r="W545" s="19" t="s">
        <v>72</v>
      </c>
      <c r="X545" s="19"/>
      <c r="Y545" s="19"/>
      <c r="Z545" s="19" t="s">
        <v>2482</v>
      </c>
      <c r="AA545" s="19">
        <v>1</v>
      </c>
      <c r="AB545" s="19">
        <v>1</v>
      </c>
      <c r="AC545" s="19" t="s">
        <v>59</v>
      </c>
      <c r="AD545" s="19" t="s">
        <v>1268</v>
      </c>
      <c r="AE545" s="19" t="s">
        <v>1552</v>
      </c>
      <c r="AF545" s="19"/>
    </row>
    <row r="546" spans="1:34">
      <c r="A546" s="19">
        <v>538</v>
      </c>
      <c r="B546" s="19" t="s">
        <v>1405</v>
      </c>
      <c r="C546" s="19" t="s">
        <v>1915</v>
      </c>
      <c r="D546" s="19" t="str">
        <f>HYPERLINK("http://henontech.com/fieldsafety/harzard/harzard_show.php?rid=27861&amp;url=harzardrecs.php","东五操作室旁边的沉淀池盖板安装不到位，一操作工巡检时被翘起的盖板绊倒，右手腕扭伤，在家修养2天")</f>
        <v>东五操作室旁边的沉淀池盖板安装不到位，一操作工巡检时被翘起的盖板绊倒，右手腕扭伤，在家修养2天</v>
      </c>
      <c r="E546" s="19" t="s">
        <v>2483</v>
      </c>
      <c r="F546" s="20" t="s">
        <v>42</v>
      </c>
      <c r="G546" s="21" t="s">
        <v>43</v>
      </c>
      <c r="H546" s="19" t="s">
        <v>44</v>
      </c>
      <c r="I546" s="19" t="s">
        <v>78</v>
      </c>
      <c r="J546" s="19"/>
      <c r="K546" s="19"/>
      <c r="L546" s="19" t="s">
        <v>65</v>
      </c>
      <c r="M546" s="19" t="s">
        <v>633</v>
      </c>
      <c r="N546" s="19" t="s">
        <v>2484</v>
      </c>
      <c r="O546" s="19" t="s">
        <v>633</v>
      </c>
      <c r="P546" s="19" t="s">
        <v>1268</v>
      </c>
      <c r="Q546" s="19" t="s">
        <v>2481</v>
      </c>
      <c r="R546" s="19" t="s">
        <v>1935</v>
      </c>
      <c r="S546" s="19"/>
      <c r="T546" s="19" t="s">
        <v>53</v>
      </c>
      <c r="U546" s="19" t="s">
        <v>54</v>
      </c>
      <c r="V546" s="19" t="s">
        <v>55</v>
      </c>
      <c r="W546" s="19" t="s">
        <v>56</v>
      </c>
      <c r="X546" s="19"/>
      <c r="Y546" s="19"/>
      <c r="Z546" s="19" t="s">
        <v>2485</v>
      </c>
      <c r="AA546" s="19">
        <v>1</v>
      </c>
      <c r="AB546" s="19">
        <v>1</v>
      </c>
      <c r="AC546" s="19" t="s">
        <v>59</v>
      </c>
      <c r="AD546" s="19" t="s">
        <v>1268</v>
      </c>
      <c r="AE546" s="19" t="s">
        <v>1552</v>
      </c>
      <c r="AF546" s="19"/>
    </row>
    <row r="547" spans="1:34">
      <c r="A547" s="19">
        <v>539</v>
      </c>
      <c r="B547" s="19" t="s">
        <v>1399</v>
      </c>
      <c r="C547" s="19" t="s">
        <v>1925</v>
      </c>
      <c r="D547" s="19" t="str">
        <f>HYPERLINK("http://henontech.com/fieldsafety/harzard/harzard_show.php?rid=27931&amp;url=harzardrecs.php","维修工在进行登高作业时未设置监护人，在维修时不慎从梯子上滑落造成左脚踝擦伤经医务室清理伤口后返回岗位")</f>
        <v>维修工在进行登高作业时未设置监护人，在维修时不慎从梯子上滑落造成左脚踝擦伤经医务室清理伤口后返回岗位</v>
      </c>
      <c r="E547" s="19" t="s">
        <v>2486</v>
      </c>
      <c r="F547" s="20" t="s">
        <v>42</v>
      </c>
      <c r="G547" s="22" t="s">
        <v>111</v>
      </c>
      <c r="H547" s="19" t="s">
        <v>44</v>
      </c>
      <c r="I547" s="19" t="s">
        <v>129</v>
      </c>
      <c r="J547" s="19" t="s">
        <v>87</v>
      </c>
      <c r="K547" s="19"/>
      <c r="L547" s="19"/>
      <c r="M547" s="19" t="s">
        <v>633</v>
      </c>
      <c r="N547" s="19" t="s">
        <v>2487</v>
      </c>
      <c r="O547" s="19" t="s">
        <v>633</v>
      </c>
      <c r="P547" s="19" t="s">
        <v>634</v>
      </c>
      <c r="Q547" s="19" t="s">
        <v>1557</v>
      </c>
      <c r="R547" s="19" t="s">
        <v>2488</v>
      </c>
      <c r="S547" s="19"/>
      <c r="T547" s="19" t="s">
        <v>53</v>
      </c>
      <c r="U547" s="19" t="s">
        <v>94</v>
      </c>
      <c r="V547" s="19" t="s">
        <v>55</v>
      </c>
      <c r="W547" s="19" t="s">
        <v>96</v>
      </c>
      <c r="X547" s="19"/>
      <c r="Y547" s="19"/>
      <c r="Z547" s="19" t="s">
        <v>2489</v>
      </c>
      <c r="AA547" s="19">
        <v>1</v>
      </c>
      <c r="AB547" s="19">
        <v>1</v>
      </c>
      <c r="AC547" s="19" t="s">
        <v>59</v>
      </c>
      <c r="AD547" s="19" t="s">
        <v>634</v>
      </c>
      <c r="AE547" s="19" t="s">
        <v>1557</v>
      </c>
      <c r="AF547" s="19"/>
    </row>
    <row r="548" spans="1:34">
      <c r="A548" s="19">
        <v>540</v>
      </c>
      <c r="B548" s="19" t="s">
        <v>1399</v>
      </c>
      <c r="C548" s="19" t="s">
        <v>1915</v>
      </c>
      <c r="D548" s="19" t="str">
        <f>HYPERLINK("http://henontech.com/fieldsafety/harzard/harzard_show.php?rid=27932&amp;url=harzardrecs.php","东五岗位分料器刀头磨损严重，一旦磨损至铁板处，将会造成胶带磨损加快，缩短使用寿命。")</f>
        <v>东五岗位分料器刀头磨损严重，一旦磨损至铁板处，将会造成胶带磨损加快，缩短使用寿命。</v>
      </c>
      <c r="E548" s="19" t="s">
        <v>2490</v>
      </c>
      <c r="F548" s="20" t="s">
        <v>42</v>
      </c>
      <c r="G548" s="21" t="s">
        <v>43</v>
      </c>
      <c r="H548" s="19" t="s">
        <v>44</v>
      </c>
      <c r="I548" s="19" t="s">
        <v>78</v>
      </c>
      <c r="J548" s="19" t="s">
        <v>64</v>
      </c>
      <c r="K548" s="19" t="s">
        <v>79</v>
      </c>
      <c r="L548" s="19" t="s">
        <v>65</v>
      </c>
      <c r="M548" s="19" t="s">
        <v>633</v>
      </c>
      <c r="N548" s="19" t="s">
        <v>2491</v>
      </c>
      <c r="O548" s="19" t="s">
        <v>633</v>
      </c>
      <c r="P548" s="19" t="s">
        <v>634</v>
      </c>
      <c r="Q548" s="19" t="s">
        <v>1564</v>
      </c>
      <c r="R548" s="19" t="s">
        <v>1935</v>
      </c>
      <c r="S548" s="19"/>
      <c r="T548" s="19" t="s">
        <v>104</v>
      </c>
      <c r="U548" s="19" t="s">
        <v>71</v>
      </c>
      <c r="V548" s="19" t="s">
        <v>105</v>
      </c>
      <c r="W548" s="19" t="s">
        <v>96</v>
      </c>
      <c r="X548" s="19"/>
      <c r="Y548" s="19"/>
      <c r="Z548" s="19" t="s">
        <v>2492</v>
      </c>
      <c r="AA548" s="19">
        <v>1</v>
      </c>
      <c r="AB548" s="19">
        <v>1</v>
      </c>
      <c r="AC548" s="19" t="s">
        <v>59</v>
      </c>
      <c r="AD548" s="19" t="s">
        <v>634</v>
      </c>
      <c r="AE548" s="19" t="s">
        <v>1557</v>
      </c>
      <c r="AF548" s="19"/>
    </row>
    <row r="549" spans="1:34">
      <c r="A549" s="19">
        <v>541</v>
      </c>
      <c r="B549" s="19" t="s">
        <v>1399</v>
      </c>
      <c r="C549" s="19" t="s">
        <v>2004</v>
      </c>
      <c r="D549" s="19" t="str">
        <f>HYPERLINK("http://henontech.com/fieldsafety/harzard/harzard_show.php?rid=27933&amp;url=harzardrecs.php","西一岗位机头铁板破损，岗位职工从上方经过，一旦踩空，右腿跌落，造成划伤，送医检查，右小腿轻微划伤，敷药包扎后回到岗位继续工作。")</f>
        <v>西一岗位机头铁板破损，岗位职工从上方经过，一旦踩空，右腿跌落，造成划伤，送医检查，右小腿轻微划伤，敷药包扎后回到岗位继续工作。</v>
      </c>
      <c r="E549" s="19" t="s">
        <v>2493</v>
      </c>
      <c r="F549" s="20" t="s">
        <v>42</v>
      </c>
      <c r="G549" s="21" t="s">
        <v>43</v>
      </c>
      <c r="H549" s="19" t="s">
        <v>44</v>
      </c>
      <c r="I549" s="19" t="s">
        <v>78</v>
      </c>
      <c r="J549" s="19" t="s">
        <v>87</v>
      </c>
      <c r="K549" s="19" t="s">
        <v>79</v>
      </c>
      <c r="L549" s="19" t="s">
        <v>65</v>
      </c>
      <c r="M549" s="19" t="s">
        <v>633</v>
      </c>
      <c r="N549" s="19" t="s">
        <v>2494</v>
      </c>
      <c r="O549" s="19" t="s">
        <v>633</v>
      </c>
      <c r="P549" s="19" t="s">
        <v>634</v>
      </c>
      <c r="Q549" s="19" t="s">
        <v>1557</v>
      </c>
      <c r="R549" s="19" t="s">
        <v>2495</v>
      </c>
      <c r="S549" s="19"/>
      <c r="T549" s="19" t="s">
        <v>53</v>
      </c>
      <c r="U549" s="19" t="s">
        <v>54</v>
      </c>
      <c r="V549" s="19" t="s">
        <v>105</v>
      </c>
      <c r="W549" s="19" t="s">
        <v>72</v>
      </c>
      <c r="X549" s="19"/>
      <c r="Y549" s="19"/>
      <c r="Z549" s="19" t="s">
        <v>2496</v>
      </c>
      <c r="AA549" s="19">
        <v>1</v>
      </c>
      <c r="AB549" s="19">
        <v>1</v>
      </c>
      <c r="AC549" s="19" t="s">
        <v>59</v>
      </c>
      <c r="AD549" s="19" t="s">
        <v>634</v>
      </c>
      <c r="AE549" s="19" t="s">
        <v>1557</v>
      </c>
      <c r="AF549" s="19"/>
    </row>
    <row r="550" spans="1:34">
      <c r="A550" s="19">
        <v>542</v>
      </c>
      <c r="B550" s="19" t="s">
        <v>1399</v>
      </c>
      <c r="C550" s="19" t="s">
        <v>2004</v>
      </c>
      <c r="D550" s="19" t="str">
        <f>HYPERLINK("http://henontech.com/fieldsafety/harzard/harzard_show.php?rid=27935&amp;url=harzardrecs.php","管道架上方有杂物，一旦职工经过杂物不慎落在右肩，擦伤皮肤，送医务室敷药后回岗位继续工作。")</f>
        <v>管道架上方有杂物，一旦职工经过杂物不慎落在右肩，擦伤皮肤，送医务室敷药后回岗位继续工作。</v>
      </c>
      <c r="E550" s="19" t="s">
        <v>2497</v>
      </c>
      <c r="F550" s="20" t="s">
        <v>42</v>
      </c>
      <c r="G550" s="22" t="s">
        <v>111</v>
      </c>
      <c r="H550" s="19" t="s">
        <v>44</v>
      </c>
      <c r="I550" s="19" t="s">
        <v>78</v>
      </c>
      <c r="J550" s="19" t="s">
        <v>45</v>
      </c>
      <c r="K550" s="19" t="s">
        <v>79</v>
      </c>
      <c r="L550" s="19" t="s">
        <v>65</v>
      </c>
      <c r="M550" s="19" t="s">
        <v>633</v>
      </c>
      <c r="N550" s="19" t="s">
        <v>2498</v>
      </c>
      <c r="O550" s="19" t="s">
        <v>633</v>
      </c>
      <c r="P550" s="19" t="s">
        <v>634</v>
      </c>
      <c r="Q550" s="19" t="s">
        <v>1557</v>
      </c>
      <c r="R550" s="19" t="s">
        <v>2499</v>
      </c>
      <c r="S550" s="19"/>
      <c r="T550" s="19" t="s">
        <v>53</v>
      </c>
      <c r="U550" s="19" t="s">
        <v>71</v>
      </c>
      <c r="V550" s="19" t="s">
        <v>55</v>
      </c>
      <c r="W550" s="19" t="s">
        <v>72</v>
      </c>
      <c r="X550" s="19"/>
      <c r="Y550" s="19"/>
      <c r="Z550" s="19" t="s">
        <v>2500</v>
      </c>
      <c r="AA550" s="19">
        <v>1</v>
      </c>
      <c r="AB550" s="19">
        <v>1</v>
      </c>
      <c r="AC550" s="19" t="s">
        <v>59</v>
      </c>
      <c r="AD550" s="19" t="s">
        <v>634</v>
      </c>
      <c r="AE550" s="19" t="s">
        <v>1557</v>
      </c>
      <c r="AF550" s="19"/>
    </row>
    <row r="551" spans="1:34">
      <c r="A551" s="19">
        <v>543</v>
      </c>
      <c r="B551" s="19" t="s">
        <v>1399</v>
      </c>
      <c r="C551" s="19" t="s">
        <v>365</v>
      </c>
      <c r="D551" s="19" t="str">
        <f>HYPERLINK("http://henontech.com/fieldsafety/harzard/harzard_show.php?rid=27990&amp;url=harzardrecs.php","南脱硫设备安装现场，有一电焊机一次线接头破损脱落，如果遇到雷雨天气，会造成设备连电，将一名正在作业的工作人员电击休克，送医治疗7天，休养15天后复工。")</f>
        <v>南脱硫设备安装现场，有一电焊机一次线接头破损脱落，如果遇到雷雨天气，会造成设备连电，将一名正在作业的工作人员电击休克，送医治疗7天，休养15天后复工。</v>
      </c>
      <c r="E551" s="19" t="s">
        <v>2501</v>
      </c>
      <c r="F551" s="25" t="s">
        <v>1784</v>
      </c>
      <c r="G551" s="21" t="s">
        <v>43</v>
      </c>
      <c r="H551" s="19" t="s">
        <v>44</v>
      </c>
      <c r="I551" s="19" t="s">
        <v>78</v>
      </c>
      <c r="J551" s="19" t="s">
        <v>112</v>
      </c>
      <c r="K551" s="19"/>
      <c r="L551" s="19"/>
      <c r="M551" s="19" t="s">
        <v>66</v>
      </c>
      <c r="N551" s="19" t="s">
        <v>511</v>
      </c>
      <c r="O551" s="19" t="s">
        <v>66</v>
      </c>
      <c r="P551" s="19" t="s">
        <v>68</v>
      </c>
      <c r="Q551" s="19" t="s">
        <v>2176</v>
      </c>
      <c r="R551" s="19" t="s">
        <v>2502</v>
      </c>
      <c r="S551" s="19"/>
      <c r="T551" s="19" t="s">
        <v>53</v>
      </c>
      <c r="U551" s="19" t="s">
        <v>54</v>
      </c>
      <c r="V551" s="19" t="s">
        <v>55</v>
      </c>
      <c r="W551" s="19" t="s">
        <v>56</v>
      </c>
      <c r="X551" s="19"/>
      <c r="Y551" s="19"/>
      <c r="Z551" s="19" t="s">
        <v>2503</v>
      </c>
      <c r="AA551" s="19">
        <v>1</v>
      </c>
      <c r="AB551" s="19"/>
      <c r="AC551" s="19" t="s">
        <v>233</v>
      </c>
      <c r="AD551" s="19"/>
      <c r="AE551" s="19"/>
      <c r="AF551" s="19"/>
    </row>
    <row r="552" spans="1:34">
      <c r="A552" s="19">
        <v>544</v>
      </c>
      <c r="B552" s="19" t="s">
        <v>1399</v>
      </c>
      <c r="C552" s="19" t="s">
        <v>203</v>
      </c>
      <c r="D552" s="19" t="str">
        <f>HYPERLINK("http://henontech.com/fieldsafety/harzard/harzard_show.php?rid=27991&amp;url=harzardrecs.php","3号站操作室内一流量计积算仪未正确安装，放到盘顶部，一操作人员在清理卫生时造成电源短路，引起电弧烧伤手部，送医处理后在家休息5天后复工。")</f>
        <v>3号站操作室内一流量计积算仪未正确安装，放到盘顶部，一操作人员在清理卫生时造成电源短路，引起电弧烧伤手部，送医处理后在家休息5天后复工。</v>
      </c>
      <c r="E552" s="19" t="s">
        <v>2504</v>
      </c>
      <c r="F552" s="26" t="s">
        <v>2286</v>
      </c>
      <c r="G552" s="19"/>
      <c r="H552" s="19" t="s">
        <v>44</v>
      </c>
      <c r="I552" s="19"/>
      <c r="J552" s="19" t="s">
        <v>64</v>
      </c>
      <c r="K552" s="19"/>
      <c r="L552" s="19"/>
      <c r="M552" s="19" t="s">
        <v>89</v>
      </c>
      <c r="N552" s="19" t="s">
        <v>2505</v>
      </c>
      <c r="O552" s="19"/>
      <c r="P552" s="19"/>
      <c r="Q552" s="19"/>
      <c r="R552" s="19" t="s">
        <v>1487</v>
      </c>
      <c r="S552" s="19"/>
      <c r="T552" s="19" t="s">
        <v>53</v>
      </c>
      <c r="U552" s="19" t="s">
        <v>54</v>
      </c>
      <c r="V552" s="19" t="s">
        <v>105</v>
      </c>
      <c r="W552" s="19" t="s">
        <v>72</v>
      </c>
      <c r="X552" s="19"/>
      <c r="Y552" s="19"/>
      <c r="Z552" s="19"/>
      <c r="AA552" s="19"/>
      <c r="AB552" s="19"/>
      <c r="AC552" s="19" t="s">
        <v>233</v>
      </c>
      <c r="AD552" s="19"/>
      <c r="AE552" s="19"/>
      <c r="AF552" s="19"/>
    </row>
    <row r="553" spans="1:34" customHeight="1" ht="42">
      <c r="A553" s="19">
        <v>545</v>
      </c>
      <c r="B553" s="19" t="s">
        <v>1399</v>
      </c>
      <c r="C553" s="19" t="s">
        <v>2191</v>
      </c>
      <c r="D553" s="19" t="str">
        <f>HYPERLINK("http://henontech.com/fieldsafety/harzard/harzard_show.php?rid=28006&amp;url=harzardrecs.php","碳铵三楼楼顶干燥管保温铝皮破损，由于风大，铝皮掉落至一楼，正好一名巡检工经过，被铝皮划伤脸部。")</f>
        <v>碳铵三楼楼顶干燥管保温铝皮破损，由于风大，铝皮掉落至一楼，正好一名巡检工经过，被铝皮划伤脸部。</v>
      </c>
      <c r="E553" s="19" t="s">
        <v>2506</v>
      </c>
      <c r="F553" s="20" t="s">
        <v>42</v>
      </c>
      <c r="G553" s="21" t="s">
        <v>43</v>
      </c>
      <c r="H553" s="19" t="s">
        <v>44</v>
      </c>
      <c r="I553" s="19" t="s">
        <v>129</v>
      </c>
      <c r="J553" s="19" t="s">
        <v>64</v>
      </c>
      <c r="K553" s="19" t="s">
        <v>46</v>
      </c>
      <c r="L553" s="19" t="s">
        <v>65</v>
      </c>
      <c r="M553" s="19" t="s">
        <v>146</v>
      </c>
      <c r="N553" s="19" t="s">
        <v>855</v>
      </c>
      <c r="O553" s="19" t="s">
        <v>146</v>
      </c>
      <c r="P553" s="19" t="s">
        <v>2262</v>
      </c>
      <c r="Q553" s="19" t="s">
        <v>2176</v>
      </c>
      <c r="R553" s="19" t="s">
        <v>2507</v>
      </c>
      <c r="S553" s="19"/>
      <c r="T553" s="19" t="s">
        <v>53</v>
      </c>
      <c r="U553" s="19" t="s">
        <v>54</v>
      </c>
      <c r="V553" s="19" t="s">
        <v>105</v>
      </c>
      <c r="W553" s="19" t="s">
        <v>72</v>
      </c>
      <c r="X553" s="19" t="s">
        <v>57</v>
      </c>
      <c r="Y553" s="19" t="s">
        <v>570</v>
      </c>
      <c r="Z553" s="19" t="s">
        <v>2508</v>
      </c>
      <c r="AA553" s="19">
        <v>2</v>
      </c>
      <c r="AB553" s="19">
        <v>1</v>
      </c>
      <c r="AC553" s="19" t="s">
        <v>59</v>
      </c>
      <c r="AD553" s="19" t="s">
        <v>2262</v>
      </c>
      <c r="AE553" s="19" t="s">
        <v>2417</v>
      </c>
      <c r="AF553" s="19"/>
    </row>
    <row r="554" spans="1:34">
      <c r="A554" s="19">
        <v>546</v>
      </c>
      <c r="B554" s="19" t="s">
        <v>1399</v>
      </c>
      <c r="C554" s="19" t="s">
        <v>2509</v>
      </c>
      <c r="D554" s="19" t="str">
        <f>HYPERLINK("http://henontech.com/fieldsafety/harzard/harzard_show.php?rid=28011&amp;url=harzardrecs.php","生化污泥浓缩池爬梯平台无踢脚线，平台护栏间隙过大，如果一名操作人员在雨雪天经过不慎滑倒，造成左小腿多处轻微划伤，休息一会后不影响工作。")</f>
        <v>生化污泥浓缩池爬梯平台无踢脚线，平台护栏间隙过大，如果一名操作人员在雨雪天经过不慎滑倒，造成左小腿多处轻微划伤，休息一会后不影响工作。</v>
      </c>
      <c r="E554" s="19" t="s">
        <v>2510</v>
      </c>
      <c r="F554" s="26" t="s">
        <v>2286</v>
      </c>
      <c r="G554" s="19"/>
      <c r="H554" s="19" t="s">
        <v>44</v>
      </c>
      <c r="I554" s="19" t="s">
        <v>78</v>
      </c>
      <c r="J554" s="19" t="s">
        <v>45</v>
      </c>
      <c r="K554" s="19" t="s">
        <v>466</v>
      </c>
      <c r="L554" s="19" t="s">
        <v>65</v>
      </c>
      <c r="M554" s="19" t="s">
        <v>89</v>
      </c>
      <c r="N554" s="19" t="s">
        <v>676</v>
      </c>
      <c r="O554" s="19"/>
      <c r="P554" s="19"/>
      <c r="Q554" s="19"/>
      <c r="R554" s="19" t="s">
        <v>2511</v>
      </c>
      <c r="S554" s="19"/>
      <c r="T554" s="19" t="s">
        <v>53</v>
      </c>
      <c r="U554" s="19" t="s">
        <v>71</v>
      </c>
      <c r="V554" s="19" t="s">
        <v>105</v>
      </c>
      <c r="W554" s="19" t="s">
        <v>96</v>
      </c>
      <c r="X554" s="19"/>
      <c r="Y554" s="19"/>
      <c r="Z554" s="19"/>
      <c r="AA554" s="19"/>
      <c r="AB554" s="19"/>
      <c r="AC554" s="19" t="s">
        <v>233</v>
      </c>
      <c r="AD554" s="19"/>
      <c r="AE554" s="19"/>
      <c r="AF554" s="19"/>
    </row>
    <row r="555" spans="1:34">
      <c r="A555" s="19">
        <v>547</v>
      </c>
      <c r="B555" s="19" t="s">
        <v>1399</v>
      </c>
      <c r="C555" s="19" t="s">
        <v>85</v>
      </c>
      <c r="D555" s="19" t="str">
        <f>HYPERLINK("http://henontech.com/fieldsafety/harzard/harzard_show.php?rid=28016&amp;url=harzardrecs.php","8000方东侧管架一保温铝皮脱落，如果一名操作人员在巡检过程中经过，不慎被掉落的铝皮砸中肩部，休息一会后不影响工作。")</f>
        <v>8000方东侧管架一保温铝皮脱落，如果一名操作人员在巡检过程中经过，不慎被掉落的铝皮砸中肩部，休息一会后不影响工作。</v>
      </c>
      <c r="E555" s="19" t="s">
        <v>2512</v>
      </c>
      <c r="F555" s="26" t="s">
        <v>2286</v>
      </c>
      <c r="G555" s="19"/>
      <c r="H555" s="19" t="s">
        <v>44</v>
      </c>
      <c r="I555" s="19" t="s">
        <v>78</v>
      </c>
      <c r="J555" s="19" t="s">
        <v>87</v>
      </c>
      <c r="K555" s="19" t="s">
        <v>46</v>
      </c>
      <c r="L555" s="19" t="s">
        <v>65</v>
      </c>
      <c r="M555" s="19" t="s">
        <v>89</v>
      </c>
      <c r="N555" s="19" t="s">
        <v>2513</v>
      </c>
      <c r="O555" s="19"/>
      <c r="P555" s="19"/>
      <c r="Q555" s="19"/>
      <c r="R555" s="19" t="s">
        <v>2514</v>
      </c>
      <c r="S555" s="19"/>
      <c r="T555" s="19" t="s">
        <v>53</v>
      </c>
      <c r="U555" s="19" t="s">
        <v>71</v>
      </c>
      <c r="V555" s="19" t="s">
        <v>105</v>
      </c>
      <c r="W555" s="19" t="s">
        <v>96</v>
      </c>
      <c r="X555" s="19"/>
      <c r="Y555" s="19"/>
      <c r="Z555" s="19"/>
      <c r="AA555" s="19"/>
      <c r="AB555" s="19"/>
      <c r="AC555" s="19" t="s">
        <v>233</v>
      </c>
      <c r="AD555" s="19"/>
      <c r="AE555" s="19"/>
      <c r="AF555" s="19"/>
    </row>
    <row r="556" spans="1:34">
      <c r="A556" s="19">
        <v>548</v>
      </c>
      <c r="B556" s="19" t="s">
        <v>1399</v>
      </c>
      <c r="C556" s="19" t="s">
        <v>229</v>
      </c>
      <c r="D556" s="19" t="str">
        <f>HYPERLINK("http://henontech.com/fieldsafety/harzard/harzard_show.php?rid=28036&amp;url=harzardrecs.php","硫铵引风机断裂开焊不能正常使用，损失工时")</f>
        <v>硫铵引风机断裂开焊不能正常使用，损失工时</v>
      </c>
      <c r="E556" s="19" t="s">
        <v>2515</v>
      </c>
      <c r="F556" s="23" t="s">
        <v>227</v>
      </c>
      <c r="G556" s="21" t="s">
        <v>43</v>
      </c>
      <c r="H556" s="19" t="s">
        <v>709</v>
      </c>
      <c r="I556" s="19" t="s">
        <v>78</v>
      </c>
      <c r="J556" s="19" t="s">
        <v>2516</v>
      </c>
      <c r="K556" s="19" t="s">
        <v>88</v>
      </c>
      <c r="L556" s="19" t="s">
        <v>65</v>
      </c>
      <c r="M556" s="19" t="s">
        <v>229</v>
      </c>
      <c r="N556" s="19" t="s">
        <v>1691</v>
      </c>
      <c r="O556" s="19"/>
      <c r="P556" s="19"/>
      <c r="Q556" s="19"/>
      <c r="R556" s="19" t="s">
        <v>2517</v>
      </c>
      <c r="S556" s="19" t="s">
        <v>1775</v>
      </c>
      <c r="T556" s="19" t="s">
        <v>104</v>
      </c>
      <c r="U556" s="19" t="s">
        <v>71</v>
      </c>
      <c r="V556" s="19" t="s">
        <v>105</v>
      </c>
      <c r="W556" s="19" t="s">
        <v>96</v>
      </c>
      <c r="X556" s="19"/>
      <c r="Y556" s="19"/>
      <c r="Z556" s="19"/>
      <c r="AA556" s="19">
        <v>0</v>
      </c>
      <c r="AB556" s="19"/>
      <c r="AC556" s="19" t="s">
        <v>233</v>
      </c>
      <c r="AD556" s="19"/>
      <c r="AE556" s="19"/>
      <c r="AF556" s="19"/>
    </row>
    <row r="557" spans="1:34">
      <c r="A557" s="19">
        <v>549</v>
      </c>
      <c r="B557" s="19" t="s">
        <v>1399</v>
      </c>
      <c r="C557" s="19" t="s">
        <v>229</v>
      </c>
      <c r="D557" s="19" t="str">
        <f>HYPERLINK("http://henontech.com/fieldsafety/harzard/harzard_show.php?rid=28038&amp;url=harzardrecs.php","化学水浓水回收过滤器人孔垫子泄漏不能使用")</f>
        <v>化学水浓水回收过滤器人孔垫子泄漏不能使用</v>
      </c>
      <c r="E557" s="19" t="s">
        <v>2518</v>
      </c>
      <c r="F557" s="23" t="s">
        <v>227</v>
      </c>
      <c r="G557" s="21" t="s">
        <v>43</v>
      </c>
      <c r="H557" s="19" t="s">
        <v>709</v>
      </c>
      <c r="I557" s="19"/>
      <c r="J557" s="19" t="s">
        <v>64</v>
      </c>
      <c r="K557" s="19" t="s">
        <v>46</v>
      </c>
      <c r="L557" s="19" t="s">
        <v>65</v>
      </c>
      <c r="M557" s="19" t="s">
        <v>229</v>
      </c>
      <c r="N557" s="19" t="s">
        <v>2519</v>
      </c>
      <c r="O557" s="19"/>
      <c r="P557" s="19"/>
      <c r="Q557" s="19"/>
      <c r="R557" s="19" t="s">
        <v>2520</v>
      </c>
      <c r="S557" s="19" t="s">
        <v>1775</v>
      </c>
      <c r="T557" s="19" t="s">
        <v>104</v>
      </c>
      <c r="U557" s="19" t="s">
        <v>71</v>
      </c>
      <c r="V557" s="19" t="s">
        <v>105</v>
      </c>
      <c r="W557" s="19" t="s">
        <v>96</v>
      </c>
      <c r="X557" s="19"/>
      <c r="Y557" s="19"/>
      <c r="Z557" s="19"/>
      <c r="AA557" s="19">
        <v>0</v>
      </c>
      <c r="AB557" s="19"/>
      <c r="AC557" s="19" t="s">
        <v>233</v>
      </c>
      <c r="AD557" s="19"/>
      <c r="AE557" s="19"/>
      <c r="AF557" s="19"/>
    </row>
    <row r="558" spans="1:34">
      <c r="A558" s="19">
        <v>550</v>
      </c>
      <c r="B558" s="19" t="s">
        <v>1399</v>
      </c>
      <c r="C558" s="19" t="s">
        <v>2191</v>
      </c>
      <c r="D558" s="19" t="str">
        <f>HYPERLINK("http://henontech.com/fieldsafety/harzard/harzard_show.php?rid=28067&amp;url=harzardrecs.php","四点班一名巡检工，在前往三楼顶巡检时，因照明不足，下楼梯时踩蹭，造成右脚脚踝扭伤，在家休养7天。")</f>
        <v>四点班一名巡检工，在前往三楼顶巡检时，因照明不足，下楼梯时踩蹭，造成右脚脚踝扭伤，在家休养7天。</v>
      </c>
      <c r="E558" s="19" t="s">
        <v>2521</v>
      </c>
      <c r="F558" s="20" t="s">
        <v>42</v>
      </c>
      <c r="G558" s="22" t="s">
        <v>111</v>
      </c>
      <c r="H558" s="19" t="s">
        <v>44</v>
      </c>
      <c r="I558" s="19" t="s">
        <v>78</v>
      </c>
      <c r="J558" s="19" t="s">
        <v>64</v>
      </c>
      <c r="K558" s="19" t="s">
        <v>88</v>
      </c>
      <c r="L558" s="19" t="s">
        <v>65</v>
      </c>
      <c r="M558" s="19" t="s">
        <v>146</v>
      </c>
      <c r="N558" s="19" t="s">
        <v>2522</v>
      </c>
      <c r="O558" s="19" t="s">
        <v>146</v>
      </c>
      <c r="P558" s="19" t="s">
        <v>2262</v>
      </c>
      <c r="Q558" s="19" t="s">
        <v>1564</v>
      </c>
      <c r="R558" s="19" t="s">
        <v>2523</v>
      </c>
      <c r="S558" s="19"/>
      <c r="T558" s="19" t="s">
        <v>53</v>
      </c>
      <c r="U558" s="19" t="s">
        <v>54</v>
      </c>
      <c r="V558" s="19" t="s">
        <v>55</v>
      </c>
      <c r="W558" s="19" t="s">
        <v>56</v>
      </c>
      <c r="X558" s="19" t="s">
        <v>2524</v>
      </c>
      <c r="Y558" s="19" t="s">
        <v>2524</v>
      </c>
      <c r="Z558" s="19" t="s">
        <v>2525</v>
      </c>
      <c r="AA558" s="19">
        <v>1</v>
      </c>
      <c r="AB558" s="19">
        <v>1</v>
      </c>
      <c r="AC558" s="19" t="s">
        <v>59</v>
      </c>
      <c r="AD558" s="19" t="s">
        <v>2262</v>
      </c>
      <c r="AE558" s="19" t="s">
        <v>1399</v>
      </c>
      <c r="AF558" s="19" t="s">
        <v>2526</v>
      </c>
    </row>
    <row r="559" spans="1:34">
      <c r="A559" s="19">
        <v>551</v>
      </c>
      <c r="B559" s="19" t="s">
        <v>1399</v>
      </c>
      <c r="C559" s="19" t="s">
        <v>2004</v>
      </c>
      <c r="D559" s="19" t="str">
        <f>HYPERLINK("http://henontech.com/fieldsafety/harzard/harzard_show.php?rid=28076&amp;url=harzardrecs.php","西五斜桥南边一彩钢瓦脱落，如果不及时清理容易造成人员划伤")</f>
        <v>西五斜桥南边一彩钢瓦脱落，如果不及时清理容易造成人员划伤</v>
      </c>
      <c r="E559" s="19" t="s">
        <v>2527</v>
      </c>
      <c r="F559" s="20" t="s">
        <v>42</v>
      </c>
      <c r="G559" s="21" t="s">
        <v>43</v>
      </c>
      <c r="H559" s="19" t="s">
        <v>44</v>
      </c>
      <c r="I559" s="19" t="s">
        <v>78</v>
      </c>
      <c r="J559" s="19"/>
      <c r="K559" s="19" t="s">
        <v>79</v>
      </c>
      <c r="L559" s="19" t="s">
        <v>65</v>
      </c>
      <c r="M559" s="19" t="s">
        <v>633</v>
      </c>
      <c r="N559" s="19" t="s">
        <v>2528</v>
      </c>
      <c r="O559" s="19" t="s">
        <v>633</v>
      </c>
      <c r="P559" s="19" t="s">
        <v>1268</v>
      </c>
      <c r="Q559" s="19" t="s">
        <v>2481</v>
      </c>
      <c r="R559" s="19" t="s">
        <v>2288</v>
      </c>
      <c r="S559" s="19"/>
      <c r="T559" s="19" t="s">
        <v>53</v>
      </c>
      <c r="U559" s="19" t="s">
        <v>71</v>
      </c>
      <c r="V559" s="19" t="s">
        <v>105</v>
      </c>
      <c r="W559" s="19" t="s">
        <v>96</v>
      </c>
      <c r="X559" s="19"/>
      <c r="Y559" s="19"/>
      <c r="Z559" s="19" t="s">
        <v>2529</v>
      </c>
      <c r="AA559" s="19">
        <v>1</v>
      </c>
      <c r="AB559" s="19">
        <v>1</v>
      </c>
      <c r="AC559" s="19" t="s">
        <v>59</v>
      </c>
      <c r="AD559" s="19" t="s">
        <v>1268</v>
      </c>
      <c r="AE559" s="19" t="s">
        <v>1552</v>
      </c>
      <c r="AF559" s="19"/>
    </row>
    <row r="560" spans="1:34">
      <c r="A560" s="19">
        <v>552</v>
      </c>
      <c r="B560" s="19" t="s">
        <v>1399</v>
      </c>
      <c r="C560" s="19" t="s">
        <v>229</v>
      </c>
      <c r="D560" s="19" t="str">
        <f>HYPERLINK("http://henontech.com/fieldsafety/harzard/harzard_show.php?rid=28094&amp;url=harzardrecs.php","输水管高于地面十公分，夜班巡检人员经过时不慎绊倒，造成膝盖擦伤，简单处理后不影响工作。")</f>
        <v>输水管高于地面十公分，夜班巡检人员经过时不慎绊倒，造成膝盖擦伤，简单处理后不影响工作。</v>
      </c>
      <c r="E560" s="19" t="s">
        <v>2530</v>
      </c>
      <c r="F560" s="23" t="s">
        <v>227</v>
      </c>
      <c r="G560" s="21" t="s">
        <v>43</v>
      </c>
      <c r="H560" s="19" t="s">
        <v>709</v>
      </c>
      <c r="I560" s="19" t="s">
        <v>129</v>
      </c>
      <c r="J560" s="19" t="s">
        <v>64</v>
      </c>
      <c r="K560" s="19" t="s">
        <v>46</v>
      </c>
      <c r="L560" s="19"/>
      <c r="M560" s="19" t="s">
        <v>229</v>
      </c>
      <c r="N560" s="19" t="s">
        <v>221</v>
      </c>
      <c r="O560" s="19"/>
      <c r="P560" s="19"/>
      <c r="Q560" s="19"/>
      <c r="R560" s="19" t="s">
        <v>2531</v>
      </c>
      <c r="S560" s="19" t="s">
        <v>1775</v>
      </c>
      <c r="T560" s="19" t="s">
        <v>53</v>
      </c>
      <c r="U560" s="19" t="s">
        <v>71</v>
      </c>
      <c r="V560" s="19" t="s">
        <v>105</v>
      </c>
      <c r="W560" s="19" t="s">
        <v>96</v>
      </c>
      <c r="X560" s="19"/>
      <c r="Y560" s="19"/>
      <c r="Z560" s="19"/>
      <c r="AA560" s="19">
        <v>0</v>
      </c>
      <c r="AB560" s="19"/>
      <c r="AC560" s="19" t="s">
        <v>233</v>
      </c>
      <c r="AD560" s="19"/>
      <c r="AE560" s="19"/>
      <c r="AF560" s="19"/>
    </row>
    <row r="561" spans="1:34">
      <c r="A561" s="19">
        <v>553</v>
      </c>
      <c r="B561" s="19" t="s">
        <v>1399</v>
      </c>
      <c r="C561" s="19" t="s">
        <v>2532</v>
      </c>
      <c r="D561" s="19" t="str">
        <f>HYPERLINK("http://henontech.com/fieldsafety/harzard/harzard_show.php?rid=28105&amp;url=harzardrecs.php","除盐水站一楼泵房一盖板钢筋翘起，一名操作工巡检时，不慎被翘起钢筋绊倒，造成右脚脚踝扭伤，送医治疗7天，休养10天。")</f>
        <v>除盐水站一楼泵房一盖板钢筋翘起，一名操作工巡检时，不慎被翘起钢筋绊倒，造成右脚脚踝扭伤，送医治疗7天，休养10天。</v>
      </c>
      <c r="E561" s="19" t="s">
        <v>2533</v>
      </c>
      <c r="F561" s="20" t="s">
        <v>42</v>
      </c>
      <c r="G561" s="21" t="s">
        <v>43</v>
      </c>
      <c r="H561" s="19" t="s">
        <v>44</v>
      </c>
      <c r="I561" s="19" t="s">
        <v>78</v>
      </c>
      <c r="J561" s="19" t="s">
        <v>64</v>
      </c>
      <c r="K561" s="19" t="s">
        <v>46</v>
      </c>
      <c r="L561" s="19"/>
      <c r="M561" s="19" t="s">
        <v>49</v>
      </c>
      <c r="N561" s="19" t="s">
        <v>2534</v>
      </c>
      <c r="O561" s="19" t="s">
        <v>49</v>
      </c>
      <c r="P561" s="19" t="s">
        <v>1344</v>
      </c>
      <c r="Q561" s="19" t="s">
        <v>2350</v>
      </c>
      <c r="R561" s="19" t="s">
        <v>2535</v>
      </c>
      <c r="S561" s="19" t="s">
        <v>2536</v>
      </c>
      <c r="T561" s="19" t="s">
        <v>53</v>
      </c>
      <c r="U561" s="19" t="s">
        <v>54</v>
      </c>
      <c r="V561" s="19" t="s">
        <v>55</v>
      </c>
      <c r="W561" s="19" t="s">
        <v>56</v>
      </c>
      <c r="X561" s="19" t="s">
        <v>150</v>
      </c>
      <c r="Y561" s="19"/>
      <c r="Z561" s="19" t="s">
        <v>2537</v>
      </c>
      <c r="AA561" s="19">
        <v>1</v>
      </c>
      <c r="AB561" s="19">
        <v>1</v>
      </c>
      <c r="AC561" s="19" t="s">
        <v>59</v>
      </c>
      <c r="AD561" s="19" t="s">
        <v>1344</v>
      </c>
      <c r="AE561" s="19" t="s">
        <v>2024</v>
      </c>
      <c r="AF561" s="19"/>
    </row>
    <row r="562" spans="1:34">
      <c r="A562" s="19">
        <v>554</v>
      </c>
      <c r="B562" s="19" t="s">
        <v>1557</v>
      </c>
      <c r="C562" s="19" t="s">
        <v>1325</v>
      </c>
      <c r="D562" s="19" t="str">
        <f>HYPERLINK("http://henontech.com/fieldsafety/harzard/harzard_show.php?rid=28113&amp;url=harzardrecs.php","环境除尘卸灰平台临时用电电缆架在平地，当职工卸灰操作经过时，不慎绊倒，导致膝盖、面部擦伤，立即到送医务室进行治疗")</f>
        <v>环境除尘卸灰平台临时用电电缆架在平地，当职工卸灰操作经过时，不慎绊倒，导致膝盖、面部擦伤，立即到送医务室进行治疗</v>
      </c>
      <c r="E562" s="19" t="s">
        <v>2538</v>
      </c>
      <c r="F562" s="20" t="s">
        <v>42</v>
      </c>
      <c r="G562" s="21" t="s">
        <v>43</v>
      </c>
      <c r="H562" s="19" t="s">
        <v>44</v>
      </c>
      <c r="I562" s="19" t="s">
        <v>129</v>
      </c>
      <c r="J562" s="19" t="s">
        <v>45</v>
      </c>
      <c r="K562" s="19" t="s">
        <v>46</v>
      </c>
      <c r="L562" s="19" t="s">
        <v>65</v>
      </c>
      <c r="M562" s="19" t="s">
        <v>49</v>
      </c>
      <c r="N562" s="19" t="s">
        <v>832</v>
      </c>
      <c r="O562" s="19" t="s">
        <v>49</v>
      </c>
      <c r="P562" s="19" t="s">
        <v>1320</v>
      </c>
      <c r="Q562" s="19" t="s">
        <v>2539</v>
      </c>
      <c r="R562" s="19" t="s">
        <v>2540</v>
      </c>
      <c r="S562" s="19"/>
      <c r="T562" s="19" t="s">
        <v>53</v>
      </c>
      <c r="U562" s="19" t="s">
        <v>71</v>
      </c>
      <c r="V562" s="19" t="s">
        <v>55</v>
      </c>
      <c r="W562" s="19" t="s">
        <v>72</v>
      </c>
      <c r="X562" s="19"/>
      <c r="Y562" s="19"/>
      <c r="Z562" s="19" t="s">
        <v>2541</v>
      </c>
      <c r="AA562" s="19">
        <v>1</v>
      </c>
      <c r="AB562" s="19">
        <v>1</v>
      </c>
      <c r="AC562" s="19" t="s">
        <v>59</v>
      </c>
      <c r="AD562" s="19" t="s">
        <v>1320</v>
      </c>
      <c r="AE562" s="19" t="s">
        <v>1564</v>
      </c>
      <c r="AF562" s="19" t="s">
        <v>2542</v>
      </c>
    </row>
    <row r="563" spans="1:34">
      <c r="A563" s="19">
        <v>555</v>
      </c>
      <c r="B563" s="19" t="s">
        <v>1557</v>
      </c>
      <c r="C563" s="19" t="s">
        <v>1925</v>
      </c>
      <c r="D563" s="19" t="str">
        <f>HYPERLINK("http://henontech.com/fieldsafety/harzard/harzard_show.php?rid=28116&amp;url=harzardrecs.php","煤七电动葫芦吊钩舌片失效，吊装滚筒过程中，一旦脱钩，滚筒掉落，造成损害，经济损失800元。")</f>
        <v>煤七电动葫芦吊钩舌片失效，吊装滚筒过程中，一旦脱钩，滚筒掉落，造成损害，经济损失800元。</v>
      </c>
      <c r="E563" s="19" t="s">
        <v>2543</v>
      </c>
      <c r="F563" s="20" t="s">
        <v>42</v>
      </c>
      <c r="G563" s="21" t="s">
        <v>43</v>
      </c>
      <c r="H563" s="19" t="s">
        <v>44</v>
      </c>
      <c r="I563" s="19" t="s">
        <v>78</v>
      </c>
      <c r="J563" s="19" t="s">
        <v>64</v>
      </c>
      <c r="K563" s="19" t="s">
        <v>79</v>
      </c>
      <c r="L563" s="19" t="s">
        <v>65</v>
      </c>
      <c r="M563" s="19" t="s">
        <v>633</v>
      </c>
      <c r="N563" s="19" t="s">
        <v>2544</v>
      </c>
      <c r="O563" s="19" t="s">
        <v>633</v>
      </c>
      <c r="P563" s="19" t="s">
        <v>634</v>
      </c>
      <c r="Q563" s="19" t="s">
        <v>1564</v>
      </c>
      <c r="R563" s="19" t="s">
        <v>2545</v>
      </c>
      <c r="S563" s="19"/>
      <c r="T563" s="19" t="s">
        <v>104</v>
      </c>
      <c r="U563" s="19" t="s">
        <v>71</v>
      </c>
      <c r="V563" s="19" t="s">
        <v>105</v>
      </c>
      <c r="W563" s="19" t="s">
        <v>96</v>
      </c>
      <c r="X563" s="19"/>
      <c r="Y563" s="19"/>
      <c r="Z563" s="19" t="s">
        <v>2546</v>
      </c>
      <c r="AA563" s="19">
        <v>1</v>
      </c>
      <c r="AB563" s="19">
        <v>1</v>
      </c>
      <c r="AC563" s="19" t="s">
        <v>59</v>
      </c>
      <c r="AD563" s="19" t="s">
        <v>634</v>
      </c>
      <c r="AE563" s="19" t="s">
        <v>1557</v>
      </c>
      <c r="AF563" s="19"/>
    </row>
    <row r="564" spans="1:34">
      <c r="A564" s="19">
        <v>556</v>
      </c>
      <c r="B564" s="19" t="s">
        <v>1557</v>
      </c>
      <c r="C564" s="19" t="s">
        <v>2367</v>
      </c>
      <c r="D564" s="19" t="str">
        <f>HYPERLINK("http://henontech.com/fieldsafety/harzard/harzard_show.php?rid=28119&amp;url=harzardrecs.php","汽封加热器出水阀套管过长，一操作工前往测量轴加风机电机温度时，被过长的套管擦伤右手，经简单消毒包扎后恢复工作。")</f>
        <v>汽封加热器出水阀套管过长，一操作工前往测量轴加风机电机温度时，被过长的套管擦伤右手，经简单消毒包扎后恢复工作。</v>
      </c>
      <c r="E564" s="19" t="s">
        <v>2547</v>
      </c>
      <c r="F564" s="20" t="s">
        <v>42</v>
      </c>
      <c r="G564" s="21" t="s">
        <v>43</v>
      </c>
      <c r="H564" s="19" t="s">
        <v>44</v>
      </c>
      <c r="I564" s="19" t="s">
        <v>78</v>
      </c>
      <c r="J564" s="19" t="s">
        <v>45</v>
      </c>
      <c r="K564" s="19" t="s">
        <v>79</v>
      </c>
      <c r="L564" s="19" t="s">
        <v>65</v>
      </c>
      <c r="M564" s="19" t="s">
        <v>49</v>
      </c>
      <c r="N564" s="19" t="s">
        <v>1230</v>
      </c>
      <c r="O564" s="19" t="s">
        <v>49</v>
      </c>
      <c r="P564" s="19" t="s">
        <v>1320</v>
      </c>
      <c r="Q564" s="19" t="s">
        <v>2447</v>
      </c>
      <c r="R564" s="19" t="s">
        <v>2548</v>
      </c>
      <c r="S564" s="19" t="s">
        <v>2549</v>
      </c>
      <c r="T564" s="19" t="s">
        <v>53</v>
      </c>
      <c r="U564" s="19" t="s">
        <v>71</v>
      </c>
      <c r="V564" s="19" t="s">
        <v>55</v>
      </c>
      <c r="W564" s="19" t="s">
        <v>72</v>
      </c>
      <c r="X564" s="19" t="s">
        <v>150</v>
      </c>
      <c r="Y564" s="19"/>
      <c r="Z564" s="19" t="s">
        <v>2550</v>
      </c>
      <c r="AA564" s="19">
        <v>1</v>
      </c>
      <c r="AB564" s="19">
        <v>1</v>
      </c>
      <c r="AC564" s="19" t="s">
        <v>59</v>
      </c>
      <c r="AD564" s="19" t="s">
        <v>1320</v>
      </c>
      <c r="AE564" s="19" t="s">
        <v>1564</v>
      </c>
      <c r="AF564" s="19" t="s">
        <v>2551</v>
      </c>
    </row>
    <row r="565" spans="1:34">
      <c r="A565" s="19">
        <v>557</v>
      </c>
      <c r="B565" s="19" t="s">
        <v>1557</v>
      </c>
      <c r="C565" s="19" t="s">
        <v>135</v>
      </c>
      <c r="D565" s="19" t="str">
        <f>HYPERLINK("http://henontech.com/fieldsafety/harzard/harzard_show.php?rid=28120&amp;url=harzardrecs.php","一次除尘三层铁板摆放不规范，一巡检人员经过此处时不慎被铁板绊倒，造成左脚脚踝扭伤。送医治疗，在家休养10天")</f>
        <v>一次除尘三层铁板摆放不规范，一巡检人员经过此处时不慎被铁板绊倒，造成左脚脚踝扭伤。送医治疗，在家休养10天</v>
      </c>
      <c r="E565" s="19" t="s">
        <v>2552</v>
      </c>
      <c r="F565" s="20" t="s">
        <v>42</v>
      </c>
      <c r="G565" s="21" t="s">
        <v>43</v>
      </c>
      <c r="H565" s="19" t="s">
        <v>44</v>
      </c>
      <c r="I565" s="19" t="s">
        <v>78</v>
      </c>
      <c r="J565" s="19" t="s">
        <v>64</v>
      </c>
      <c r="K565" s="19" t="s">
        <v>46</v>
      </c>
      <c r="L565" s="19" t="s">
        <v>65</v>
      </c>
      <c r="M565" s="19" t="s">
        <v>49</v>
      </c>
      <c r="N565" s="19" t="s">
        <v>1282</v>
      </c>
      <c r="O565" s="19" t="s">
        <v>49</v>
      </c>
      <c r="P565" s="19" t="s">
        <v>1320</v>
      </c>
      <c r="Q565" s="19" t="s">
        <v>2539</v>
      </c>
      <c r="R565" s="19" t="s">
        <v>2553</v>
      </c>
      <c r="S565" s="19"/>
      <c r="T565" s="19" t="s">
        <v>53</v>
      </c>
      <c r="U565" s="19" t="s">
        <v>71</v>
      </c>
      <c r="V565" s="19" t="s">
        <v>105</v>
      </c>
      <c r="W565" s="19" t="s">
        <v>96</v>
      </c>
      <c r="X565" s="19"/>
      <c r="Y565" s="19"/>
      <c r="Z565" s="19" t="s">
        <v>2554</v>
      </c>
      <c r="AA565" s="19">
        <v>1</v>
      </c>
      <c r="AB565" s="19">
        <v>1</v>
      </c>
      <c r="AC565" s="19" t="s">
        <v>59</v>
      </c>
      <c r="AD565" s="19" t="s">
        <v>1320</v>
      </c>
      <c r="AE565" s="19" t="s">
        <v>1564</v>
      </c>
      <c r="AF565" s="19" t="s">
        <v>2555</v>
      </c>
    </row>
    <row r="566" spans="1:34">
      <c r="A566" s="19">
        <v>558</v>
      </c>
      <c r="B566" s="19" t="s">
        <v>1557</v>
      </c>
      <c r="C566" s="19" t="s">
        <v>2155</v>
      </c>
      <c r="D566" s="19" t="str">
        <f>HYPERLINK("http://henontech.com/fieldsafety/harzard/harzard_show.php?rid=28123&amp;url=harzardrecs.php","消防水池上部放水阀门裸露，若不采取措施造成阀门卡涩  锈蚀 无法正常开关")</f>
        <v>消防水池上部放水阀门裸露，若不采取措施造成阀门卡涩  锈蚀 无法正常开关</v>
      </c>
      <c r="E566" s="19" t="s">
        <v>2556</v>
      </c>
      <c r="F566" s="23" t="s">
        <v>227</v>
      </c>
      <c r="G566" s="21" t="s">
        <v>43</v>
      </c>
      <c r="H566" s="19" t="s">
        <v>44</v>
      </c>
      <c r="I566" s="19" t="s">
        <v>129</v>
      </c>
      <c r="J566" s="19" t="s">
        <v>64</v>
      </c>
      <c r="K566" s="19" t="s">
        <v>79</v>
      </c>
      <c r="L566" s="19"/>
      <c r="M566" s="19" t="s">
        <v>49</v>
      </c>
      <c r="N566" s="19" t="s">
        <v>180</v>
      </c>
      <c r="O566" s="19"/>
      <c r="P566" s="19"/>
      <c r="Q566" s="19"/>
      <c r="R566" s="19" t="s">
        <v>2557</v>
      </c>
      <c r="S566" s="19" t="s">
        <v>2558</v>
      </c>
      <c r="T566" s="19" t="s">
        <v>104</v>
      </c>
      <c r="U566" s="19" t="s">
        <v>94</v>
      </c>
      <c r="V566" s="19" t="s">
        <v>95</v>
      </c>
      <c r="W566" s="19" t="s">
        <v>96</v>
      </c>
      <c r="X566" s="19"/>
      <c r="Y566" s="19"/>
      <c r="Z566" s="19"/>
      <c r="AA566" s="19">
        <v>0</v>
      </c>
      <c r="AB566" s="19"/>
      <c r="AC566" s="19" t="s">
        <v>233</v>
      </c>
      <c r="AD566" s="19"/>
      <c r="AE566" s="19"/>
      <c r="AF566" s="19"/>
    </row>
    <row r="567" spans="1:34" customHeight="1" ht="42">
      <c r="A567" s="19">
        <v>559</v>
      </c>
      <c r="B567" s="19" t="s">
        <v>1557</v>
      </c>
      <c r="C567" s="19" t="s">
        <v>229</v>
      </c>
      <c r="D567" s="19" t="str">
        <f>HYPERLINK("http://henontech.com/fieldsafety/harzard/harzard_show.php?rid=28151&amp;url=harzardrecs.php","35吨锅炉操作室地面电缆裸露在外，操作人员经过时被裸露在外的电缆绊倒，手部着地，造成手部轻微擦伤。")</f>
        <v>35吨锅炉操作室地面电缆裸露在外，操作人员经过时被裸露在外的电缆绊倒，手部着地，造成手部轻微擦伤。</v>
      </c>
      <c r="E567" s="19" t="s">
        <v>2559</v>
      </c>
      <c r="F567" s="25" t="s">
        <v>1784</v>
      </c>
      <c r="G567" s="21" t="s">
        <v>43</v>
      </c>
      <c r="H567" s="19" t="s">
        <v>44</v>
      </c>
      <c r="I567" s="19" t="s">
        <v>129</v>
      </c>
      <c r="J567" s="19" t="s">
        <v>87</v>
      </c>
      <c r="K567" s="19" t="s">
        <v>79</v>
      </c>
      <c r="L567" s="19" t="s">
        <v>65</v>
      </c>
      <c r="M567" s="19" t="s">
        <v>229</v>
      </c>
      <c r="N567" s="19" t="s">
        <v>1616</v>
      </c>
      <c r="O567" s="19" t="s">
        <v>229</v>
      </c>
      <c r="P567" s="19" t="s">
        <v>1410</v>
      </c>
      <c r="Q567" s="19" t="s">
        <v>2028</v>
      </c>
      <c r="R567" s="19" t="s">
        <v>2560</v>
      </c>
      <c r="S567" s="19"/>
      <c r="T567" s="19" t="s">
        <v>53</v>
      </c>
      <c r="U567" s="19" t="s">
        <v>71</v>
      </c>
      <c r="V567" s="19" t="s">
        <v>55</v>
      </c>
      <c r="W567" s="19" t="s">
        <v>72</v>
      </c>
      <c r="X567" s="19" t="s">
        <v>57</v>
      </c>
      <c r="Y567" s="19"/>
      <c r="Z567" s="19" t="s">
        <v>2561</v>
      </c>
      <c r="AA567" s="19">
        <v>2</v>
      </c>
      <c r="AB567" s="19"/>
      <c r="AC567" s="19" t="s">
        <v>233</v>
      </c>
      <c r="AD567" s="19"/>
      <c r="AE567" s="19"/>
      <c r="AF567" s="19"/>
    </row>
    <row r="568" spans="1:34">
      <c r="A568" s="19">
        <v>560</v>
      </c>
      <c r="B568" s="19" t="s">
        <v>1557</v>
      </c>
      <c r="C568" s="19" t="s">
        <v>2562</v>
      </c>
      <c r="D568" s="19" t="str">
        <f>HYPERLINK("http://henontech.com/fieldsafety/harzard/harzard_show.php?rid=28168&amp;url=harzardrecs.php","3号循环水泵轴流风扇电缆现场摆放杂乱，一名员工巡检至此处时，左脚被电缆磕绊，造成身体前倾，双手撑地，致使左手腕扭伤。送医治疗，休养五天。")</f>
        <v>3号循环水泵轴流风扇电缆现场摆放杂乱，一名员工巡检至此处时，左脚被电缆磕绊，造成身体前倾，双手撑地，致使左手腕扭伤。送医治疗，休养五天。</v>
      </c>
      <c r="E568" s="19" t="s">
        <v>2563</v>
      </c>
      <c r="F568" s="20" t="s">
        <v>42</v>
      </c>
      <c r="G568" s="21" t="s">
        <v>43</v>
      </c>
      <c r="H568" s="19" t="s">
        <v>44</v>
      </c>
      <c r="I568" s="19" t="s">
        <v>78</v>
      </c>
      <c r="J568" s="19" t="s">
        <v>64</v>
      </c>
      <c r="K568" s="19" t="s">
        <v>88</v>
      </c>
      <c r="L568" s="19" t="s">
        <v>65</v>
      </c>
      <c r="M568" s="19" t="s">
        <v>49</v>
      </c>
      <c r="N568" s="19" t="s">
        <v>1333</v>
      </c>
      <c r="O568" s="19" t="s">
        <v>49</v>
      </c>
      <c r="P568" s="19" t="s">
        <v>1344</v>
      </c>
      <c r="Q568" s="19" t="s">
        <v>2447</v>
      </c>
      <c r="R568" s="19" t="s">
        <v>2564</v>
      </c>
      <c r="S568" s="19" t="s">
        <v>2476</v>
      </c>
      <c r="T568" s="19" t="s">
        <v>53</v>
      </c>
      <c r="U568" s="19" t="s">
        <v>54</v>
      </c>
      <c r="V568" s="19" t="s">
        <v>105</v>
      </c>
      <c r="W568" s="19" t="s">
        <v>72</v>
      </c>
      <c r="X568" s="19" t="s">
        <v>150</v>
      </c>
      <c r="Y568" s="19"/>
      <c r="Z568" s="19" t="s">
        <v>2477</v>
      </c>
      <c r="AA568" s="19">
        <v>1</v>
      </c>
      <c r="AB568" s="19">
        <v>1</v>
      </c>
      <c r="AC568" s="19" t="s">
        <v>59</v>
      </c>
      <c r="AD568" s="19" t="s">
        <v>1344</v>
      </c>
      <c r="AE568" s="19" t="s">
        <v>2024</v>
      </c>
      <c r="AF568" s="19"/>
    </row>
    <row r="569" spans="1:34">
      <c r="A569" s="19">
        <v>561</v>
      </c>
      <c r="B569" s="19" t="s">
        <v>1557</v>
      </c>
      <c r="C569" s="19" t="s">
        <v>2565</v>
      </c>
      <c r="D569" s="19" t="str">
        <f>HYPERLINK("http://henontech.com/fieldsafety/harzard/harzard_show.php?rid=28171&amp;url=harzardrecs.php","MVR原料液换热器渗漏原料液,如果巡检时未发现，不及时处理，有可能会造成原料液长时间泄漏导致污染环境。")</f>
        <v>MVR原料液换热器渗漏原料液,如果巡检时未发现，不及时处理，有可能会造成原料液长时间泄漏导致污染环境。</v>
      </c>
      <c r="E569" s="19" t="s">
        <v>2566</v>
      </c>
      <c r="F569" s="25" t="s">
        <v>1784</v>
      </c>
      <c r="G569" s="21" t="s">
        <v>43</v>
      </c>
      <c r="H569" s="19" t="s">
        <v>44</v>
      </c>
      <c r="I569" s="19" t="s">
        <v>78</v>
      </c>
      <c r="J569" s="19" t="s">
        <v>64</v>
      </c>
      <c r="K569" s="19" t="s">
        <v>79</v>
      </c>
      <c r="L569" s="19" t="s">
        <v>65</v>
      </c>
      <c r="M569" s="19" t="s">
        <v>66</v>
      </c>
      <c r="N569" s="19" t="s">
        <v>906</v>
      </c>
      <c r="O569" s="19" t="s">
        <v>66</v>
      </c>
      <c r="P569" s="19" t="s">
        <v>68</v>
      </c>
      <c r="Q569" s="19" t="s">
        <v>2176</v>
      </c>
      <c r="R569" s="19" t="s">
        <v>2567</v>
      </c>
      <c r="S569" s="19"/>
      <c r="T569" s="19" t="s">
        <v>392</v>
      </c>
      <c r="U569" s="19" t="s">
        <v>94</v>
      </c>
      <c r="V569" s="19" t="s">
        <v>105</v>
      </c>
      <c r="W569" s="19" t="s">
        <v>96</v>
      </c>
      <c r="X569" s="19"/>
      <c r="Y569" s="19"/>
      <c r="Z569" s="19" t="s">
        <v>2071</v>
      </c>
      <c r="AA569" s="19">
        <v>1</v>
      </c>
      <c r="AB569" s="19"/>
      <c r="AC569" s="19" t="s">
        <v>233</v>
      </c>
      <c r="AD569" s="19"/>
      <c r="AE569" s="19"/>
      <c r="AF569" s="19"/>
    </row>
    <row r="570" spans="1:34">
      <c r="A570" s="19">
        <v>562</v>
      </c>
      <c r="B570" s="19" t="s">
        <v>1557</v>
      </c>
      <c r="C570" s="19" t="s">
        <v>2565</v>
      </c>
      <c r="D570" s="19" t="str">
        <f>HYPERLINK("http://henontech.com/fieldsafety/harzard/harzard_show.php?rid=28175&amp;url=harzardrecs.php","MVR原料管道腐蚀泄漏原料液，如果夜间巡检时发现不及时，有可能会造成大量原料液泄漏至地面，造成环境污染。")</f>
        <v>MVR原料管道腐蚀泄漏原料液，如果夜间巡检时发现不及时，有可能会造成大量原料液泄漏至地面，造成环境污染。</v>
      </c>
      <c r="E570" s="19" t="s">
        <v>2568</v>
      </c>
      <c r="F570" s="25" t="s">
        <v>1784</v>
      </c>
      <c r="G570" s="21" t="s">
        <v>43</v>
      </c>
      <c r="H570" s="19" t="s">
        <v>44</v>
      </c>
      <c r="I570" s="19" t="s">
        <v>78</v>
      </c>
      <c r="J570" s="19" t="s">
        <v>64</v>
      </c>
      <c r="K570" s="19" t="s">
        <v>79</v>
      </c>
      <c r="L570" s="19" t="s">
        <v>65</v>
      </c>
      <c r="M570" s="19" t="s">
        <v>66</v>
      </c>
      <c r="N570" s="19" t="s">
        <v>975</v>
      </c>
      <c r="O570" s="19" t="s">
        <v>66</v>
      </c>
      <c r="P570" s="19" t="s">
        <v>68</v>
      </c>
      <c r="Q570" s="19" t="s">
        <v>2176</v>
      </c>
      <c r="R570" s="19" t="s">
        <v>2569</v>
      </c>
      <c r="S570" s="19"/>
      <c r="T570" s="19" t="s">
        <v>392</v>
      </c>
      <c r="U570" s="19" t="s">
        <v>94</v>
      </c>
      <c r="V570" s="19" t="s">
        <v>105</v>
      </c>
      <c r="W570" s="19" t="s">
        <v>96</v>
      </c>
      <c r="X570" s="19"/>
      <c r="Y570" s="19"/>
      <c r="Z570" s="19" t="s">
        <v>2570</v>
      </c>
      <c r="AA570" s="19">
        <v>1</v>
      </c>
      <c r="AB570" s="19"/>
      <c r="AC570" s="19" t="s">
        <v>233</v>
      </c>
      <c r="AD570" s="19"/>
      <c r="AE570" s="19"/>
      <c r="AF570" s="19"/>
    </row>
    <row r="571" spans="1:34" customHeight="1" ht="42">
      <c r="A571" s="19">
        <v>563</v>
      </c>
      <c r="B571" s="19" t="s">
        <v>1557</v>
      </c>
      <c r="C571" s="19" t="s">
        <v>1925</v>
      </c>
      <c r="D571" s="19" t="str">
        <f>HYPERLINK("http://henontech.com/fieldsafety/harzard/harzard_show.php?rid=28178&amp;url=harzardrecs.php","煤九护栏外置楼梯护栏接头腐蚀开焊裂开缝隙变大，巡检人员经过此处时容易造成坠落事故。")</f>
        <v>煤九护栏外置楼梯护栏接头腐蚀开焊裂开缝隙变大，巡检人员经过此处时容易造成坠落事故。</v>
      </c>
      <c r="E571" s="19" t="s">
        <v>53</v>
      </c>
      <c r="F571" s="20" t="s">
        <v>42</v>
      </c>
      <c r="G571" s="21" t="s">
        <v>43</v>
      </c>
      <c r="H571" s="19" t="s">
        <v>44</v>
      </c>
      <c r="I571" s="19"/>
      <c r="J571" s="19"/>
      <c r="K571" s="19" t="s">
        <v>46</v>
      </c>
      <c r="L571" s="19"/>
      <c r="M571" s="19" t="s">
        <v>633</v>
      </c>
      <c r="N571" s="19" t="s">
        <v>2571</v>
      </c>
      <c r="O571" s="19" t="s">
        <v>633</v>
      </c>
      <c r="P571" s="19" t="s">
        <v>924</v>
      </c>
      <c r="Q571" s="19" t="s">
        <v>1414</v>
      </c>
      <c r="R571" s="19" t="s">
        <v>2572</v>
      </c>
      <c r="S571" s="19"/>
      <c r="T571" s="19" t="s">
        <v>53</v>
      </c>
      <c r="U571" s="19" t="s">
        <v>94</v>
      </c>
      <c r="V571" s="19" t="s">
        <v>193</v>
      </c>
      <c r="W571" s="19" t="s">
        <v>96</v>
      </c>
      <c r="X571" s="19" t="s">
        <v>141</v>
      </c>
      <c r="Y571" s="19" t="s">
        <v>141</v>
      </c>
      <c r="Z571" s="19" t="s">
        <v>2573</v>
      </c>
      <c r="AA571" s="19">
        <v>2</v>
      </c>
      <c r="AB571" s="19">
        <v>2</v>
      </c>
      <c r="AC571" s="19" t="s">
        <v>59</v>
      </c>
      <c r="AD571" s="19" t="s">
        <v>924</v>
      </c>
      <c r="AE571" s="19" t="s">
        <v>1564</v>
      </c>
      <c r="AF571" s="19"/>
    </row>
    <row r="572" spans="1:34" customHeight="1" ht="42">
      <c r="A572" s="19">
        <v>564</v>
      </c>
      <c r="B572" s="19" t="s">
        <v>1557</v>
      </c>
      <c r="C572" s="19" t="s">
        <v>1915</v>
      </c>
      <c r="D572" s="19" t="str">
        <f>HYPERLINK("http://henontech.com/fieldsafety/harzard/harzard_show.php?rid=28183&amp;url=harzardrecs.php","东五皮带机卸料器底部托辊损坏，一旦不及时更换，将造成皮带磨损划伤。")</f>
        <v>东五皮带机卸料器底部托辊损坏，一旦不及时更换，将造成皮带磨损划伤。</v>
      </c>
      <c r="E572" s="19" t="s">
        <v>2574</v>
      </c>
      <c r="F572" s="20" t="s">
        <v>42</v>
      </c>
      <c r="G572" s="21" t="s">
        <v>43</v>
      </c>
      <c r="H572" s="19" t="s">
        <v>44</v>
      </c>
      <c r="I572" s="19"/>
      <c r="J572" s="19" t="s">
        <v>64</v>
      </c>
      <c r="K572" s="19"/>
      <c r="L572" s="19"/>
      <c r="M572" s="19" t="s">
        <v>633</v>
      </c>
      <c r="N572" s="19" t="s">
        <v>2575</v>
      </c>
      <c r="O572" s="19" t="s">
        <v>633</v>
      </c>
      <c r="P572" s="19" t="s">
        <v>924</v>
      </c>
      <c r="Q572" s="19" t="s">
        <v>1414</v>
      </c>
      <c r="R572" s="19" t="s">
        <v>2576</v>
      </c>
      <c r="S572" s="19"/>
      <c r="T572" s="19" t="s">
        <v>104</v>
      </c>
      <c r="U572" s="19" t="s">
        <v>94</v>
      </c>
      <c r="V572" s="19" t="s">
        <v>55</v>
      </c>
      <c r="W572" s="19" t="s">
        <v>96</v>
      </c>
      <c r="X572" s="19" t="s">
        <v>141</v>
      </c>
      <c r="Y572" s="19" t="s">
        <v>141</v>
      </c>
      <c r="Z572" s="19" t="s">
        <v>2577</v>
      </c>
      <c r="AA572" s="19">
        <v>2</v>
      </c>
      <c r="AB572" s="19">
        <v>2</v>
      </c>
      <c r="AC572" s="19" t="s">
        <v>59</v>
      </c>
      <c r="AD572" s="19" t="s">
        <v>924</v>
      </c>
      <c r="AE572" s="19" t="s">
        <v>1552</v>
      </c>
      <c r="AF572" s="19"/>
    </row>
    <row r="573" spans="1:34" customHeight="1" ht="42">
      <c r="A573" s="19">
        <v>565</v>
      </c>
      <c r="B573" s="19" t="s">
        <v>1557</v>
      </c>
      <c r="C573" s="19" t="s">
        <v>2004</v>
      </c>
      <c r="D573" s="19" t="str">
        <f>HYPERLINK("http://henontech.com/fieldsafety/harzard/harzard_show.php?rid=28184&amp;url=harzardrecs.php","水沟盖板缺失，一职工经过此处不小心踩空掉落，造成轻微擦伤，送医务室简单包扎后回岗继续工作！")</f>
        <v>水沟盖板缺失，一职工经过此处不小心踩空掉落，造成轻微擦伤，送医务室简单包扎后回岗继续工作！</v>
      </c>
      <c r="E573" s="19" t="s">
        <v>2578</v>
      </c>
      <c r="F573" s="20" t="s">
        <v>42</v>
      </c>
      <c r="G573" s="21" t="s">
        <v>43</v>
      </c>
      <c r="H573" s="19" t="s">
        <v>44</v>
      </c>
      <c r="I573" s="19" t="s">
        <v>129</v>
      </c>
      <c r="J573" s="19" t="s">
        <v>64</v>
      </c>
      <c r="K573" s="19" t="s">
        <v>46</v>
      </c>
      <c r="L573" s="19" t="s">
        <v>65</v>
      </c>
      <c r="M573" s="19" t="s">
        <v>633</v>
      </c>
      <c r="N573" s="19" t="s">
        <v>2579</v>
      </c>
      <c r="O573" s="19" t="s">
        <v>633</v>
      </c>
      <c r="P573" s="19" t="s">
        <v>924</v>
      </c>
      <c r="Q573" s="19" t="s">
        <v>1414</v>
      </c>
      <c r="R573" s="19" t="s">
        <v>2580</v>
      </c>
      <c r="S573" s="19"/>
      <c r="T573" s="19" t="s">
        <v>53</v>
      </c>
      <c r="U573" s="19" t="s">
        <v>71</v>
      </c>
      <c r="V573" s="19" t="s">
        <v>193</v>
      </c>
      <c r="W573" s="19" t="s">
        <v>96</v>
      </c>
      <c r="X573" s="19" t="s">
        <v>141</v>
      </c>
      <c r="Y573" s="19" t="s">
        <v>141</v>
      </c>
      <c r="Z573" s="19" t="s">
        <v>2581</v>
      </c>
      <c r="AA573" s="19">
        <v>2</v>
      </c>
      <c r="AB573" s="19">
        <v>2</v>
      </c>
      <c r="AC573" s="19" t="s">
        <v>59</v>
      </c>
      <c r="AD573" s="19" t="s">
        <v>924</v>
      </c>
      <c r="AE573" s="19" t="s">
        <v>1552</v>
      </c>
      <c r="AF573" s="19"/>
    </row>
    <row r="574" spans="1:34" customHeight="1" ht="42">
      <c r="A574" s="19">
        <v>566</v>
      </c>
      <c r="B574" s="19" t="s">
        <v>1557</v>
      </c>
      <c r="C574" s="19" t="s">
        <v>2004</v>
      </c>
      <c r="D574" s="19" t="str">
        <f>HYPERLINK("http://henontech.com/fieldsafety/harzard/harzard_show.php?rid=28185&amp;url=harzardrecs.php","一行人路过水沟时 不小心踩破盖板  掉入水沟，造成左脚擦伤送医务室简单包扎处理，不影响工作")</f>
        <v>一行人路过水沟时 不小心踩破盖板  掉入水沟，造成左脚擦伤送医务室简单包扎处理，不影响工作</v>
      </c>
      <c r="E574" s="19" t="s">
        <v>2582</v>
      </c>
      <c r="F574" s="20" t="s">
        <v>42</v>
      </c>
      <c r="G574" s="21" t="s">
        <v>43</v>
      </c>
      <c r="H574" s="19" t="s">
        <v>44</v>
      </c>
      <c r="I574" s="19" t="s">
        <v>129</v>
      </c>
      <c r="J574" s="19" t="s">
        <v>64</v>
      </c>
      <c r="K574" s="19" t="s">
        <v>46</v>
      </c>
      <c r="L574" s="19" t="s">
        <v>65</v>
      </c>
      <c r="M574" s="19" t="s">
        <v>633</v>
      </c>
      <c r="N574" s="19" t="s">
        <v>2583</v>
      </c>
      <c r="O574" s="19" t="s">
        <v>633</v>
      </c>
      <c r="P574" s="19" t="s">
        <v>924</v>
      </c>
      <c r="Q574" s="19" t="s">
        <v>1414</v>
      </c>
      <c r="R574" s="19" t="s">
        <v>2584</v>
      </c>
      <c r="S574" s="19"/>
      <c r="T574" s="19" t="s">
        <v>53</v>
      </c>
      <c r="U574" s="19" t="s">
        <v>94</v>
      </c>
      <c r="V574" s="19" t="s">
        <v>193</v>
      </c>
      <c r="W574" s="19" t="s">
        <v>96</v>
      </c>
      <c r="X574" s="19" t="s">
        <v>141</v>
      </c>
      <c r="Y574" s="19" t="s">
        <v>141</v>
      </c>
      <c r="Z574" s="19" t="s">
        <v>2585</v>
      </c>
      <c r="AA574" s="19">
        <v>2</v>
      </c>
      <c r="AB574" s="19">
        <v>2</v>
      </c>
      <c r="AC574" s="19" t="s">
        <v>59</v>
      </c>
      <c r="AD574" s="19" t="s">
        <v>924</v>
      </c>
      <c r="AE574" s="19" t="s">
        <v>1552</v>
      </c>
      <c r="AF574" s="19"/>
    </row>
    <row r="575" spans="1:34">
      <c r="A575" s="19">
        <v>567</v>
      </c>
      <c r="B575" s="19" t="s">
        <v>1557</v>
      </c>
      <c r="C575" s="19" t="s">
        <v>365</v>
      </c>
      <c r="D575" s="19" t="str">
        <f>HYPERLINK("http://henontech.com/fieldsafety/harzard/harzard_show.php?rid=28187&amp;url=harzardrecs.php","2号水封下液管保温铝皮破损，假如一名操作工巡检经过此处时可能被破损的铝皮划伤脚踝，去医务室包扎处理")</f>
        <v>2号水封下液管保温铝皮破损，假如一名操作工巡检经过此处时可能被破损的铝皮划伤脚踝，去医务室包扎处理</v>
      </c>
      <c r="E575" s="19" t="s">
        <v>2586</v>
      </c>
      <c r="F575" s="25" t="s">
        <v>1784</v>
      </c>
      <c r="G575" s="21" t="s">
        <v>43</v>
      </c>
      <c r="H575" s="19" t="s">
        <v>44</v>
      </c>
      <c r="I575" s="19" t="s">
        <v>78</v>
      </c>
      <c r="J575" s="19" t="s">
        <v>64</v>
      </c>
      <c r="K575" s="19" t="s">
        <v>88</v>
      </c>
      <c r="L575" s="19"/>
      <c r="M575" s="19" t="s">
        <v>66</v>
      </c>
      <c r="N575" s="19" t="s">
        <v>1120</v>
      </c>
      <c r="O575" s="19" t="s">
        <v>66</v>
      </c>
      <c r="P575" s="19" t="s">
        <v>68</v>
      </c>
      <c r="Q575" s="19" t="s">
        <v>2176</v>
      </c>
      <c r="R575" s="19" t="s">
        <v>2587</v>
      </c>
      <c r="S575" s="19"/>
      <c r="T575" s="19" t="s">
        <v>53</v>
      </c>
      <c r="U575" s="19" t="s">
        <v>71</v>
      </c>
      <c r="V575" s="19" t="s">
        <v>105</v>
      </c>
      <c r="W575" s="19" t="s">
        <v>96</v>
      </c>
      <c r="X575" s="19"/>
      <c r="Y575" s="19"/>
      <c r="Z575" s="19" t="s">
        <v>2588</v>
      </c>
      <c r="AA575" s="19">
        <v>1</v>
      </c>
      <c r="AB575" s="19"/>
      <c r="AC575" s="19" t="s">
        <v>233</v>
      </c>
      <c r="AD575" s="19"/>
      <c r="AE575" s="19"/>
      <c r="AF575" s="19"/>
    </row>
    <row r="576" spans="1:34">
      <c r="A576" s="19">
        <v>568</v>
      </c>
      <c r="B576" s="19" t="s">
        <v>1557</v>
      </c>
      <c r="C576" s="19" t="s">
        <v>1325</v>
      </c>
      <c r="D576" s="19" t="str">
        <f>HYPERLINK("http://henontech.com/fieldsafety/harzard/harzard_show.php?rid=28191&amp;url=harzardrecs.php","检修后铁件未能及时得到清理，假如一名人员从此处经过，铁件不甚跌落砸到人员脚面上，虽然穿着劳保鞋，但是脚面无防护铁板。")</f>
        <v>检修后铁件未能及时得到清理，假如一名人员从此处经过，铁件不甚跌落砸到人员脚面上，虽然穿着劳保鞋，但是脚面无防护铁板。</v>
      </c>
      <c r="E576" s="19" t="s">
        <v>2589</v>
      </c>
      <c r="F576" s="20" t="s">
        <v>42</v>
      </c>
      <c r="G576" s="21" t="s">
        <v>43</v>
      </c>
      <c r="H576" s="19" t="s">
        <v>44</v>
      </c>
      <c r="I576" s="19" t="s">
        <v>129</v>
      </c>
      <c r="J576" s="19" t="s">
        <v>45</v>
      </c>
      <c r="K576" s="19" t="s">
        <v>46</v>
      </c>
      <c r="L576" s="19"/>
      <c r="M576" s="19" t="s">
        <v>49</v>
      </c>
      <c r="N576" s="19" t="s">
        <v>1327</v>
      </c>
      <c r="O576" s="19" t="s">
        <v>49</v>
      </c>
      <c r="P576" s="19" t="s">
        <v>1344</v>
      </c>
      <c r="Q576" s="19" t="s">
        <v>2350</v>
      </c>
      <c r="R576" s="19" t="s">
        <v>1729</v>
      </c>
      <c r="S576" s="19" t="s">
        <v>2590</v>
      </c>
      <c r="T576" s="19" t="s">
        <v>53</v>
      </c>
      <c r="U576" s="19" t="s">
        <v>54</v>
      </c>
      <c r="V576" s="19" t="s">
        <v>105</v>
      </c>
      <c r="W576" s="19" t="s">
        <v>72</v>
      </c>
      <c r="X576" s="19"/>
      <c r="Y576" s="19"/>
      <c r="Z576" s="19" t="s">
        <v>2591</v>
      </c>
      <c r="AA576" s="19">
        <v>1</v>
      </c>
      <c r="AB576" s="19">
        <v>1</v>
      </c>
      <c r="AC576" s="19" t="s">
        <v>59</v>
      </c>
      <c r="AD576" s="19" t="s">
        <v>1344</v>
      </c>
      <c r="AE576" s="19" t="s">
        <v>1949</v>
      </c>
      <c r="AF576" s="19"/>
    </row>
    <row r="577" spans="1:34" customHeight="1" ht="42">
      <c r="A577" s="19">
        <v>569</v>
      </c>
      <c r="B577" s="19" t="s">
        <v>1557</v>
      </c>
      <c r="C577" s="19" t="s">
        <v>1689</v>
      </c>
      <c r="D577" s="19" t="str">
        <f>HYPERLINK("http://henontech.com/fieldsafety/harzard/harzard_show.php?rid=28219&amp;url=harzardrecs.php","供精馏蒸汽疏水管腐烂巡检人员未及时发现，造成蒸汽泄漏。")</f>
        <v>供精馏蒸汽疏水管腐烂巡检人员未及时发现，造成蒸汽泄漏。</v>
      </c>
      <c r="E577" s="19" t="s">
        <v>2592</v>
      </c>
      <c r="F577" s="25" t="s">
        <v>1784</v>
      </c>
      <c r="G577" s="21" t="s">
        <v>43</v>
      </c>
      <c r="H577" s="19" t="s">
        <v>44</v>
      </c>
      <c r="I577" s="19" t="s">
        <v>78</v>
      </c>
      <c r="J577" s="19" t="s">
        <v>165</v>
      </c>
      <c r="K577" s="19"/>
      <c r="L577" s="19"/>
      <c r="M577" s="19" t="s">
        <v>229</v>
      </c>
      <c r="N577" s="19" t="s">
        <v>669</v>
      </c>
      <c r="O577" s="19" t="s">
        <v>229</v>
      </c>
      <c r="P577" s="19" t="s">
        <v>669</v>
      </c>
      <c r="Q577" s="19" t="s">
        <v>2028</v>
      </c>
      <c r="R577" s="19" t="s">
        <v>2593</v>
      </c>
      <c r="S577" s="19"/>
      <c r="T577" s="19" t="s">
        <v>104</v>
      </c>
      <c r="U577" s="19" t="s">
        <v>54</v>
      </c>
      <c r="V577" s="19" t="s">
        <v>55</v>
      </c>
      <c r="W577" s="19" t="s">
        <v>56</v>
      </c>
      <c r="X577" s="19" t="s">
        <v>57</v>
      </c>
      <c r="Y577" s="19"/>
      <c r="Z577" s="19" t="s">
        <v>2594</v>
      </c>
      <c r="AA577" s="19">
        <v>2</v>
      </c>
      <c r="AB577" s="19"/>
      <c r="AC577" s="19" t="s">
        <v>233</v>
      </c>
      <c r="AD577" s="19"/>
      <c r="AE577" s="19"/>
      <c r="AF577" s="19"/>
    </row>
    <row r="578" spans="1:34">
      <c r="A578" s="19">
        <v>570</v>
      </c>
      <c r="B578" s="19" t="s">
        <v>1557</v>
      </c>
      <c r="C578" s="19" t="s">
        <v>2191</v>
      </c>
      <c r="D578" s="19" t="str">
        <f>HYPERLINK("http://henontech.com/fieldsafety/harzard/harzard_show.php?rid=28237&amp;url=harzardrecs.php","吸氨母液槽顶部人孔未盖，操作人员夜班巡检时踩空掉入槽中导致人员窒息，抢救无效死亡。")</f>
        <v>吸氨母液槽顶部人孔未盖，操作人员夜班巡检时踩空掉入槽中导致人员窒息，抢救无效死亡。</v>
      </c>
      <c r="E578" s="19" t="s">
        <v>2595</v>
      </c>
      <c r="F578" s="20" t="s">
        <v>42</v>
      </c>
      <c r="G578" s="24" t="s">
        <v>534</v>
      </c>
      <c r="H578" s="19" t="s">
        <v>44</v>
      </c>
      <c r="I578" s="19" t="s">
        <v>205</v>
      </c>
      <c r="J578" s="19" t="s">
        <v>87</v>
      </c>
      <c r="K578" s="19" t="s">
        <v>79</v>
      </c>
      <c r="L578" s="19" t="s">
        <v>65</v>
      </c>
      <c r="M578" s="19" t="s">
        <v>146</v>
      </c>
      <c r="N578" s="19" t="s">
        <v>278</v>
      </c>
      <c r="O578" s="19" t="s">
        <v>146</v>
      </c>
      <c r="P578" s="19" t="s">
        <v>2262</v>
      </c>
      <c r="Q578" s="19" t="s">
        <v>1552</v>
      </c>
      <c r="R578" s="19" t="s">
        <v>2596</v>
      </c>
      <c r="S578" s="19"/>
      <c r="T578" s="19" t="s">
        <v>53</v>
      </c>
      <c r="U578" s="19" t="s">
        <v>116</v>
      </c>
      <c r="V578" s="19" t="s">
        <v>55</v>
      </c>
      <c r="W578" s="19" t="s">
        <v>117</v>
      </c>
      <c r="X578" s="19" t="s">
        <v>2524</v>
      </c>
      <c r="Y578" s="19" t="s">
        <v>2524</v>
      </c>
      <c r="Z578" s="19" t="s">
        <v>2597</v>
      </c>
      <c r="AA578" s="19">
        <v>1</v>
      </c>
      <c r="AB578" s="19">
        <v>1</v>
      </c>
      <c r="AC578" s="19" t="s">
        <v>59</v>
      </c>
      <c r="AD578" s="19" t="s">
        <v>2262</v>
      </c>
      <c r="AE578" s="19" t="s">
        <v>1557</v>
      </c>
      <c r="AF578" s="19"/>
    </row>
    <row r="579" spans="1:34">
      <c r="A579" s="19">
        <v>571</v>
      </c>
      <c r="B579" s="19" t="s">
        <v>1557</v>
      </c>
      <c r="C579" s="19" t="s">
        <v>1925</v>
      </c>
      <c r="D579" s="19" t="str">
        <f>HYPERLINK("http://henontech.com/fieldsafety/harzard/harzard_show.php?rid=28244&amp;url=harzardrecs.php","使用后的铁锨未按要求定置摆放，一旦岗位人员巡检过程中被铁锨绊倒，造成左手手腕轻微扭伤，休息一会继续工作")</f>
        <v>使用后的铁锨未按要求定置摆放，一旦岗位人员巡检过程中被铁锨绊倒，造成左手手腕轻微扭伤，休息一会继续工作</v>
      </c>
      <c r="E579" s="19" t="s">
        <v>2598</v>
      </c>
      <c r="F579" s="20" t="s">
        <v>42</v>
      </c>
      <c r="G579" s="21" t="s">
        <v>43</v>
      </c>
      <c r="H579" s="19" t="s">
        <v>44</v>
      </c>
      <c r="I579" s="19" t="s">
        <v>78</v>
      </c>
      <c r="J579" s="19"/>
      <c r="K579" s="19"/>
      <c r="L579" s="19" t="s">
        <v>65</v>
      </c>
      <c r="M579" s="19" t="s">
        <v>633</v>
      </c>
      <c r="N579" s="19" t="s">
        <v>2157</v>
      </c>
      <c r="O579" s="19" t="s">
        <v>633</v>
      </c>
      <c r="P579" s="19" t="s">
        <v>1268</v>
      </c>
      <c r="Q579" s="19" t="s">
        <v>2481</v>
      </c>
      <c r="R579" s="19" t="s">
        <v>2599</v>
      </c>
      <c r="S579" s="19"/>
      <c r="T579" s="19" t="s">
        <v>53</v>
      </c>
      <c r="U579" s="19" t="s">
        <v>71</v>
      </c>
      <c r="V579" s="19" t="s">
        <v>55</v>
      </c>
      <c r="W579" s="19" t="s">
        <v>72</v>
      </c>
      <c r="X579" s="19"/>
      <c r="Y579" s="19"/>
      <c r="Z579" s="19" t="s">
        <v>2600</v>
      </c>
      <c r="AA579" s="19">
        <v>1</v>
      </c>
      <c r="AB579" s="19">
        <v>1</v>
      </c>
      <c r="AC579" s="19" t="s">
        <v>59</v>
      </c>
      <c r="AD579" s="19" t="s">
        <v>1268</v>
      </c>
      <c r="AE579" s="19" t="s">
        <v>1552</v>
      </c>
      <c r="AF579" s="19"/>
    </row>
    <row r="580" spans="1:34">
      <c r="A580" s="19">
        <v>572</v>
      </c>
      <c r="B580" s="19" t="s">
        <v>1557</v>
      </c>
      <c r="C580" s="19" t="s">
        <v>1925</v>
      </c>
      <c r="D580" s="19" t="str">
        <f>HYPERLINK("http://henontech.com/fieldsafety/harzard/harzard_show.php?rid=28247&amp;url=harzardrecs.php","1618加湿罐旁边防护栏开焊，一旦操作工巡检过程中手扶栏杆，身体倾斜跌落地面，送医院检查；右脚脚踝错位，住院7天，在家修养2个月")</f>
        <v>1618加湿罐旁边防护栏开焊，一旦操作工巡检过程中手扶栏杆，身体倾斜跌落地面，送医院检查；右脚脚踝错位，住院7天，在家修养2个月</v>
      </c>
      <c r="E580" s="19" t="s">
        <v>2601</v>
      </c>
      <c r="F580" s="20" t="s">
        <v>42</v>
      </c>
      <c r="G580" s="22" t="s">
        <v>111</v>
      </c>
      <c r="H580" s="19" t="s">
        <v>44</v>
      </c>
      <c r="I580" s="19" t="s">
        <v>78</v>
      </c>
      <c r="J580" s="19"/>
      <c r="K580" s="19"/>
      <c r="L580" s="19" t="s">
        <v>65</v>
      </c>
      <c r="M580" s="19" t="s">
        <v>633</v>
      </c>
      <c r="N580" s="19" t="s">
        <v>2602</v>
      </c>
      <c r="O580" s="19" t="s">
        <v>633</v>
      </c>
      <c r="P580" s="19" t="s">
        <v>1268</v>
      </c>
      <c r="Q580" s="19" t="s">
        <v>2481</v>
      </c>
      <c r="R580" s="19" t="s">
        <v>2603</v>
      </c>
      <c r="S580" s="19"/>
      <c r="T580" s="19" t="s">
        <v>53</v>
      </c>
      <c r="U580" s="19" t="s">
        <v>54</v>
      </c>
      <c r="V580" s="19" t="s">
        <v>55</v>
      </c>
      <c r="W580" s="19" t="s">
        <v>56</v>
      </c>
      <c r="X580" s="19"/>
      <c r="Y580" s="19"/>
      <c r="Z580" s="19" t="s">
        <v>2604</v>
      </c>
      <c r="AA580" s="19">
        <v>1</v>
      </c>
      <c r="AB580" s="19">
        <v>1</v>
      </c>
      <c r="AC580" s="19" t="s">
        <v>59</v>
      </c>
      <c r="AD580" s="19" t="s">
        <v>1268</v>
      </c>
      <c r="AE580" s="19" t="s">
        <v>1552</v>
      </c>
      <c r="AF580" s="19"/>
    </row>
    <row r="581" spans="1:34">
      <c r="A581" s="19">
        <v>573</v>
      </c>
      <c r="B581" s="19" t="s">
        <v>1557</v>
      </c>
      <c r="C581" s="19" t="s">
        <v>2191</v>
      </c>
      <c r="D581" s="19" t="str">
        <f>HYPERLINK("http://henontech.com/fieldsafety/harzard/harzard_show.php?rid=28250&amp;url=harzardrecs.php","原精脱硫塔地池未盖夜间操作人员巡检此处踩空掉入池中导致腿部骨折 及时抢救住院治疗三个月损工三个月！")</f>
        <v>原精脱硫塔地池未盖夜间操作人员巡检此处踩空掉入池中导致腿部骨折 及时抢救住院治疗三个月损工三个月！</v>
      </c>
      <c r="E581" s="19" t="s">
        <v>2605</v>
      </c>
      <c r="F581" s="20" t="s">
        <v>42</v>
      </c>
      <c r="G581" s="22" t="s">
        <v>111</v>
      </c>
      <c r="H581" s="19" t="s">
        <v>44</v>
      </c>
      <c r="I581" s="19" t="s">
        <v>129</v>
      </c>
      <c r="J581" s="19" t="s">
        <v>87</v>
      </c>
      <c r="K581" s="19" t="s">
        <v>79</v>
      </c>
      <c r="L581" s="19"/>
      <c r="M581" s="19" t="s">
        <v>2606</v>
      </c>
      <c r="N581" s="19" t="s">
        <v>2607</v>
      </c>
      <c r="O581" s="19" t="s">
        <v>146</v>
      </c>
      <c r="P581" s="19" t="s">
        <v>2262</v>
      </c>
      <c r="Q581" s="19" t="s">
        <v>2447</v>
      </c>
      <c r="R581" s="19" t="s">
        <v>2608</v>
      </c>
      <c r="S581" s="19"/>
      <c r="T581" s="19" t="s">
        <v>53</v>
      </c>
      <c r="U581" s="19" t="s">
        <v>54</v>
      </c>
      <c r="V581" s="19" t="s">
        <v>55</v>
      </c>
      <c r="W581" s="19" t="s">
        <v>56</v>
      </c>
      <c r="X581" s="19" t="s">
        <v>2524</v>
      </c>
      <c r="Y581" s="19" t="s">
        <v>2524</v>
      </c>
      <c r="Z581" s="19" t="s">
        <v>2609</v>
      </c>
      <c r="AA581" s="19">
        <v>1</v>
      </c>
      <c r="AB581" s="19">
        <v>1</v>
      </c>
      <c r="AC581" s="19" t="s">
        <v>59</v>
      </c>
      <c r="AD581" s="19" t="s">
        <v>2262</v>
      </c>
      <c r="AE581" s="19" t="s">
        <v>1557</v>
      </c>
      <c r="AF581" s="19" t="s">
        <v>2610</v>
      </c>
    </row>
    <row r="582" spans="1:34">
      <c r="A582" s="19">
        <v>574</v>
      </c>
      <c r="B582" s="19" t="s">
        <v>1557</v>
      </c>
      <c r="C582" s="19" t="s">
        <v>1803</v>
      </c>
      <c r="D582" s="19" t="str">
        <f>HYPERLINK("http://henontech.com/fieldsafety/harzard/harzard_show.php?rid=28259&amp;url=harzardrecs.php","西硫铵硫酸卸酸槽往硫酸储槽打硫酸管道，因长年使用腐蚀严重并泄露硫酸，如果一名操作工在巡检时经过此处，可能被喷溅出来的硫酸溅到脸部，及时用生活水冲洗后，送医检查右脸大面积灼伤，住院治疗两个月后康复。")</f>
        <v>西硫铵硫酸卸酸槽往硫酸储槽打硫酸管道，因长年使用腐蚀严重并泄露硫酸，如果一名操作工在巡检时经过此处，可能被喷溅出来的硫酸溅到脸部，及时用生活水冲洗后，送医检查右脸大面积灼伤，住院治疗两个月后康复。</v>
      </c>
      <c r="E582" s="19" t="s">
        <v>2611</v>
      </c>
      <c r="F582" s="25" t="s">
        <v>1784</v>
      </c>
      <c r="G582" s="21" t="s">
        <v>43</v>
      </c>
      <c r="H582" s="19" t="s">
        <v>44</v>
      </c>
      <c r="I582" s="19" t="s">
        <v>129</v>
      </c>
      <c r="J582" s="19" t="s">
        <v>64</v>
      </c>
      <c r="K582" s="19" t="s">
        <v>46</v>
      </c>
      <c r="L582" s="19" t="s">
        <v>65</v>
      </c>
      <c r="M582" s="19" t="s">
        <v>66</v>
      </c>
      <c r="N582" s="19" t="s">
        <v>1002</v>
      </c>
      <c r="O582" s="19" t="s">
        <v>66</v>
      </c>
      <c r="P582" s="19" t="s">
        <v>68</v>
      </c>
      <c r="Q582" s="19" t="s">
        <v>2176</v>
      </c>
      <c r="R582" s="19" t="s">
        <v>2612</v>
      </c>
      <c r="S582" s="19"/>
      <c r="T582" s="19" t="s">
        <v>53</v>
      </c>
      <c r="U582" s="19" t="s">
        <v>54</v>
      </c>
      <c r="V582" s="19" t="s">
        <v>55</v>
      </c>
      <c r="W582" s="19" t="s">
        <v>56</v>
      </c>
      <c r="X582" s="19"/>
      <c r="Y582" s="19"/>
      <c r="Z582" s="19" t="s">
        <v>2570</v>
      </c>
      <c r="AA582" s="19">
        <v>1</v>
      </c>
      <c r="AB582" s="19"/>
      <c r="AC582" s="19" t="s">
        <v>233</v>
      </c>
      <c r="AD582" s="19"/>
      <c r="AE582" s="19"/>
      <c r="AF582" s="19"/>
    </row>
    <row r="583" spans="1:34">
      <c r="A583" s="19">
        <v>575</v>
      </c>
      <c r="B583" s="19" t="s">
        <v>1557</v>
      </c>
      <c r="C583" s="19" t="s">
        <v>2367</v>
      </c>
      <c r="D583" s="19" t="str">
        <f>HYPERLINK("http://henontech.com/fieldsafety/harzard/harzard_show.php?rid=28260&amp;url=harzardrecs.php","一楼排水地沟盖板缝隙过大，一员工巡检时从此经过不小心踩到缝隙中被绊倒，造成右手掌擦伤去医务室涂药处理不影响工作")</f>
        <v>一楼排水地沟盖板缝隙过大，一员工巡检时从此经过不小心踩到缝隙中被绊倒，造成右手掌擦伤去医务室涂药处理不影响工作</v>
      </c>
      <c r="E583" s="19" t="s">
        <v>2613</v>
      </c>
      <c r="F583" s="20" t="s">
        <v>42</v>
      </c>
      <c r="G583" s="21" t="s">
        <v>43</v>
      </c>
      <c r="H583" s="19" t="s">
        <v>44</v>
      </c>
      <c r="I583" s="19" t="s">
        <v>129</v>
      </c>
      <c r="J583" s="19" t="s">
        <v>87</v>
      </c>
      <c r="K583" s="19" t="s">
        <v>88</v>
      </c>
      <c r="L583" s="19" t="s">
        <v>65</v>
      </c>
      <c r="M583" s="19" t="s">
        <v>49</v>
      </c>
      <c r="N583" s="19" t="s">
        <v>1223</v>
      </c>
      <c r="O583" s="19" t="s">
        <v>49</v>
      </c>
      <c r="P583" s="19" t="s">
        <v>1320</v>
      </c>
      <c r="Q583" s="19" t="s">
        <v>2481</v>
      </c>
      <c r="R583" s="19" t="s">
        <v>2614</v>
      </c>
      <c r="S583" s="19"/>
      <c r="T583" s="19" t="s">
        <v>53</v>
      </c>
      <c r="U583" s="19" t="s">
        <v>71</v>
      </c>
      <c r="V583" s="19" t="s">
        <v>55</v>
      </c>
      <c r="W583" s="19" t="s">
        <v>72</v>
      </c>
      <c r="X583" s="19"/>
      <c r="Y583" s="19"/>
      <c r="Z583" s="19" t="s">
        <v>2615</v>
      </c>
      <c r="AA583" s="19">
        <v>1</v>
      </c>
      <c r="AB583" s="19">
        <v>1</v>
      </c>
      <c r="AC583" s="19" t="s">
        <v>59</v>
      </c>
      <c r="AD583" s="19" t="s">
        <v>1320</v>
      </c>
      <c r="AE583" s="19" t="s">
        <v>1552</v>
      </c>
      <c r="AF583" s="19" t="s">
        <v>2616</v>
      </c>
    </row>
    <row r="584" spans="1:34">
      <c r="A584" s="19">
        <v>576</v>
      </c>
      <c r="B584" s="19" t="s">
        <v>2248</v>
      </c>
      <c r="C584" s="19" t="s">
        <v>1377</v>
      </c>
      <c r="D584" s="19" t="str">
        <f>HYPERLINK("http://henontech.com/fieldsafety/harzard/harzard_show.php?rid=28275&amp;url=harzardrecs.php","南冷凝1#循环氨水泵变频坏，导致氨水泵不运转，巡检人员发现不及时，造成集团公司通报的焦炉冒烟环保事故。")</f>
        <v>南冷凝1#循环氨水泵变频坏，导致氨水泵不运转，巡检人员发现不及时，造成集团公司通报的焦炉冒烟环保事故。</v>
      </c>
      <c r="E584" s="19" t="s">
        <v>1565</v>
      </c>
      <c r="F584" s="25" t="s">
        <v>1784</v>
      </c>
      <c r="G584" s="21" t="s">
        <v>43</v>
      </c>
      <c r="H584" s="19" t="s">
        <v>44</v>
      </c>
      <c r="I584" s="19"/>
      <c r="J584" s="19" t="s">
        <v>64</v>
      </c>
      <c r="K584" s="19"/>
      <c r="L584" s="19" t="s">
        <v>65</v>
      </c>
      <c r="M584" s="19" t="s">
        <v>66</v>
      </c>
      <c r="N584" s="19" t="s">
        <v>1740</v>
      </c>
      <c r="O584" s="19" t="s">
        <v>66</v>
      </c>
      <c r="P584" s="19" t="s">
        <v>68</v>
      </c>
      <c r="Q584" s="19" t="s">
        <v>2176</v>
      </c>
      <c r="R584" s="19" t="s">
        <v>620</v>
      </c>
      <c r="S584" s="19"/>
      <c r="T584" s="19" t="s">
        <v>392</v>
      </c>
      <c r="U584" s="19" t="s">
        <v>54</v>
      </c>
      <c r="V584" s="19" t="s">
        <v>55</v>
      </c>
      <c r="W584" s="19" t="s">
        <v>56</v>
      </c>
      <c r="X584" s="19"/>
      <c r="Y584" s="19"/>
      <c r="Z584" s="19" t="s">
        <v>2617</v>
      </c>
      <c r="AA584" s="19">
        <v>1</v>
      </c>
      <c r="AB584" s="19"/>
      <c r="AC584" s="19" t="s">
        <v>233</v>
      </c>
      <c r="AD584" s="19"/>
      <c r="AE584" s="19"/>
      <c r="AF584" s="19"/>
    </row>
    <row r="585" spans="1:34">
      <c r="A585" s="19">
        <v>577</v>
      </c>
      <c r="B585" s="19" t="s">
        <v>1564</v>
      </c>
      <c r="C585" s="19" t="s">
        <v>656</v>
      </c>
      <c r="D585" s="19" t="str">
        <f>HYPERLINK("http://henontech.com/fieldsafety/harzard/harzard_show.php?rid=28279&amp;url=harzardrecs.php","西三一小托辊出现异响，如继续使用，会导致其内部结构损坏不能转动，造成皮带非正常磨损，被迫停车更换，经济损失50元。")</f>
        <v>西三一小托辊出现异响，如继续使用，会导致其内部结构损坏不能转动，造成皮带非正常磨损，被迫停车更换，经济损失50元。</v>
      </c>
      <c r="E585" s="19" t="s">
        <v>2618</v>
      </c>
      <c r="F585" s="20" t="s">
        <v>42</v>
      </c>
      <c r="G585" s="21" t="s">
        <v>43</v>
      </c>
      <c r="H585" s="19" t="s">
        <v>44</v>
      </c>
      <c r="I585" s="19" t="s">
        <v>129</v>
      </c>
      <c r="J585" s="19" t="s">
        <v>64</v>
      </c>
      <c r="K585" s="19" t="s">
        <v>79</v>
      </c>
      <c r="L585" s="19" t="s">
        <v>662</v>
      </c>
      <c r="M585" s="19" t="s">
        <v>633</v>
      </c>
      <c r="N585" s="19" t="s">
        <v>2619</v>
      </c>
      <c r="O585" s="19" t="s">
        <v>633</v>
      </c>
      <c r="P585" s="19" t="s">
        <v>634</v>
      </c>
      <c r="Q585" s="19" t="s">
        <v>1552</v>
      </c>
      <c r="R585" s="19" t="s">
        <v>2137</v>
      </c>
      <c r="S585" s="19"/>
      <c r="T585" s="19" t="s">
        <v>104</v>
      </c>
      <c r="U585" s="19" t="s">
        <v>94</v>
      </c>
      <c r="V585" s="19" t="s">
        <v>55</v>
      </c>
      <c r="W585" s="19" t="s">
        <v>96</v>
      </c>
      <c r="X585" s="19"/>
      <c r="Y585" s="19"/>
      <c r="Z585" s="19" t="s">
        <v>2620</v>
      </c>
      <c r="AA585" s="19">
        <v>1</v>
      </c>
      <c r="AB585" s="19">
        <v>1</v>
      </c>
      <c r="AC585" s="19" t="s">
        <v>59</v>
      </c>
      <c r="AD585" s="19" t="s">
        <v>634</v>
      </c>
      <c r="AE585" s="19" t="s">
        <v>1552</v>
      </c>
      <c r="AF585" s="19"/>
    </row>
    <row r="586" spans="1:34">
      <c r="A586" s="19">
        <v>578</v>
      </c>
      <c r="B586" s="19" t="s">
        <v>1564</v>
      </c>
      <c r="C586" s="19" t="s">
        <v>1431</v>
      </c>
      <c r="D586" s="19" t="str">
        <f>HYPERLINK("http://henontech.com/fieldsafety/harzard/harzard_show.php?rid=28280&amp;url=harzardrecs.php","新化学水2号原水箱补水电动阀坏，造成水资源浪费")</f>
        <v>新化学水2号原水箱补水电动阀坏，造成水资源浪费</v>
      </c>
      <c r="E586" s="19" t="s">
        <v>2621</v>
      </c>
      <c r="F586" s="23" t="s">
        <v>227</v>
      </c>
      <c r="G586" s="21" t="s">
        <v>43</v>
      </c>
      <c r="H586" s="19" t="s">
        <v>44</v>
      </c>
      <c r="I586" s="19" t="s">
        <v>129</v>
      </c>
      <c r="J586" s="19" t="s">
        <v>64</v>
      </c>
      <c r="K586" s="19" t="s">
        <v>46</v>
      </c>
      <c r="L586" s="19" t="s">
        <v>65</v>
      </c>
      <c r="M586" s="19" t="s">
        <v>229</v>
      </c>
      <c r="N586" s="19" t="s">
        <v>2622</v>
      </c>
      <c r="O586" s="19"/>
      <c r="P586" s="19"/>
      <c r="Q586" s="19"/>
      <c r="R586" s="19" t="s">
        <v>2623</v>
      </c>
      <c r="S586" s="19" t="s">
        <v>1775</v>
      </c>
      <c r="T586" s="19" t="s">
        <v>104</v>
      </c>
      <c r="U586" s="19" t="s">
        <v>94</v>
      </c>
      <c r="V586" s="19" t="s">
        <v>193</v>
      </c>
      <c r="W586" s="19" t="s">
        <v>96</v>
      </c>
      <c r="X586" s="19"/>
      <c r="Y586" s="19"/>
      <c r="Z586" s="19"/>
      <c r="AA586" s="19">
        <v>0</v>
      </c>
      <c r="AB586" s="19"/>
      <c r="AC586" s="19" t="s">
        <v>233</v>
      </c>
      <c r="AD586" s="19"/>
      <c r="AE586" s="19"/>
      <c r="AF586" s="19"/>
    </row>
    <row r="587" spans="1:34">
      <c r="A587" s="19">
        <v>579</v>
      </c>
      <c r="B587" s="19" t="s">
        <v>1564</v>
      </c>
      <c r="C587" s="19" t="s">
        <v>2373</v>
      </c>
      <c r="D587" s="19" t="str">
        <f>HYPERLINK("http://henontech.com/fieldsafety/harzard/harzard_show.php?rid=28291&amp;url=harzardrecs.php","深度脱硫水封有F扳手悬挂，假如一名操作工巡检此处时，F扳手脱落砸到操作工脚部。")</f>
        <v>深度脱硫水封有F扳手悬挂，假如一名操作工巡检此处时，F扳手脱落砸到操作工脚部。</v>
      </c>
      <c r="E587" s="19" t="s">
        <v>2624</v>
      </c>
      <c r="F587" s="25" t="s">
        <v>1784</v>
      </c>
      <c r="G587" s="21" t="s">
        <v>43</v>
      </c>
      <c r="H587" s="19" t="s">
        <v>44</v>
      </c>
      <c r="I587" s="19" t="s">
        <v>78</v>
      </c>
      <c r="J587" s="19" t="s">
        <v>64</v>
      </c>
      <c r="K587" s="19" t="s">
        <v>46</v>
      </c>
      <c r="L587" s="19"/>
      <c r="M587" s="19" t="s">
        <v>66</v>
      </c>
      <c r="N587" s="19" t="s">
        <v>970</v>
      </c>
      <c r="O587" s="19" t="s">
        <v>66</v>
      </c>
      <c r="P587" s="19" t="s">
        <v>68</v>
      </c>
      <c r="Q587" s="19" t="s">
        <v>2176</v>
      </c>
      <c r="R587" s="19" t="s">
        <v>2625</v>
      </c>
      <c r="S587" s="19"/>
      <c r="T587" s="19" t="s">
        <v>53</v>
      </c>
      <c r="U587" s="19" t="s">
        <v>71</v>
      </c>
      <c r="V587" s="19" t="s">
        <v>105</v>
      </c>
      <c r="W587" s="19" t="s">
        <v>96</v>
      </c>
      <c r="X587" s="19"/>
      <c r="Y587" s="19"/>
      <c r="Z587" s="19" t="s">
        <v>2626</v>
      </c>
      <c r="AA587" s="19">
        <v>1</v>
      </c>
      <c r="AB587" s="19"/>
      <c r="AC587" s="19" t="s">
        <v>233</v>
      </c>
      <c r="AD587" s="19"/>
      <c r="AE587" s="19"/>
      <c r="AF587" s="19"/>
    </row>
    <row r="588" spans="1:34">
      <c r="A588" s="19">
        <v>580</v>
      </c>
      <c r="B588" s="19" t="s">
        <v>1564</v>
      </c>
      <c r="C588" s="19" t="s">
        <v>2367</v>
      </c>
      <c r="D588" s="19" t="str">
        <f>HYPERLINK("http://henontech.com/fieldsafety/harzard/harzard_show.php?rid=28297&amp;url=harzardrecs.php","射水泵联轴器防护罩松动未固定，若一名员工在进行巡检射水泵时，由于联轴器防护罩螺丝未固定，防护罩被转动的联轴器甩出，击中该员工左腿，导致左腿骨折，送医治疗，休养100天。")</f>
        <v>射水泵联轴器防护罩松动未固定，若一名员工在进行巡检射水泵时，由于联轴器防护罩螺丝未固定，防护罩被转动的联轴器甩出，击中该员工左腿，导致左腿骨折，送医治疗，休养100天。</v>
      </c>
      <c r="E588" s="19" t="s">
        <v>2627</v>
      </c>
      <c r="F588" s="20" t="s">
        <v>42</v>
      </c>
      <c r="G588" s="21" t="s">
        <v>43</v>
      </c>
      <c r="H588" s="19" t="s">
        <v>44</v>
      </c>
      <c r="I588" s="19" t="s">
        <v>78</v>
      </c>
      <c r="J588" s="19" t="s">
        <v>64</v>
      </c>
      <c r="K588" s="19" t="s">
        <v>88</v>
      </c>
      <c r="L588" s="19" t="s">
        <v>65</v>
      </c>
      <c r="M588" s="19" t="s">
        <v>49</v>
      </c>
      <c r="N588" s="19" t="s">
        <v>2628</v>
      </c>
      <c r="O588" s="19" t="s">
        <v>49</v>
      </c>
      <c r="P588" s="19" t="s">
        <v>1344</v>
      </c>
      <c r="Q588" s="19" t="s">
        <v>2350</v>
      </c>
      <c r="R588" s="19" t="s">
        <v>2629</v>
      </c>
      <c r="S588" s="19" t="s">
        <v>2630</v>
      </c>
      <c r="T588" s="19" t="s">
        <v>53</v>
      </c>
      <c r="U588" s="19" t="s">
        <v>54</v>
      </c>
      <c r="V588" s="19" t="s">
        <v>105</v>
      </c>
      <c r="W588" s="19" t="s">
        <v>72</v>
      </c>
      <c r="X588" s="19" t="s">
        <v>57</v>
      </c>
      <c r="Y588" s="19"/>
      <c r="Z588" s="19" t="s">
        <v>2631</v>
      </c>
      <c r="AA588" s="19">
        <v>1</v>
      </c>
      <c r="AB588" s="19">
        <v>1</v>
      </c>
      <c r="AC588" s="19" t="s">
        <v>59</v>
      </c>
      <c r="AD588" s="19" t="s">
        <v>1344</v>
      </c>
      <c r="AE588" s="19" t="s">
        <v>2024</v>
      </c>
      <c r="AF588" s="19"/>
    </row>
    <row r="589" spans="1:34" customHeight="1" ht="42">
      <c r="A589" s="19">
        <v>581</v>
      </c>
      <c r="B589" s="19" t="s">
        <v>1564</v>
      </c>
      <c r="C589" s="19" t="s">
        <v>229</v>
      </c>
      <c r="D589" s="19" t="str">
        <f>HYPERLINK("http://henontech.com/fieldsafety/harzard/harzard_show.php?rid=28304&amp;url=harzardrecs.php","一名操作工在巡检时不慎掉入地沟内造成右腿骨拆立刻送往医院。")</f>
        <v>一名操作工在巡检时不慎掉入地沟内造成右腿骨拆立刻送往医院。</v>
      </c>
      <c r="E589" s="19" t="s">
        <v>1833</v>
      </c>
      <c r="F589" s="25" t="s">
        <v>1784</v>
      </c>
      <c r="G589" s="21" t="s">
        <v>43</v>
      </c>
      <c r="H589" s="19" t="s">
        <v>44</v>
      </c>
      <c r="I589" s="19" t="s">
        <v>78</v>
      </c>
      <c r="J589" s="19" t="s">
        <v>64</v>
      </c>
      <c r="K589" s="19"/>
      <c r="L589" s="19"/>
      <c r="M589" s="19" t="s">
        <v>229</v>
      </c>
      <c r="N589" s="19" t="s">
        <v>2632</v>
      </c>
      <c r="O589" s="19" t="s">
        <v>229</v>
      </c>
      <c r="P589" s="19" t="s">
        <v>669</v>
      </c>
      <c r="Q589" s="19" t="s">
        <v>2028</v>
      </c>
      <c r="R589" s="19" t="s">
        <v>2633</v>
      </c>
      <c r="S589" s="19"/>
      <c r="T589" s="19" t="s">
        <v>53</v>
      </c>
      <c r="U589" s="19" t="s">
        <v>54</v>
      </c>
      <c r="V589" s="19" t="s">
        <v>55</v>
      </c>
      <c r="W589" s="19" t="s">
        <v>56</v>
      </c>
      <c r="X589" s="19" t="s">
        <v>57</v>
      </c>
      <c r="Y589" s="19"/>
      <c r="Z589" s="19" t="s">
        <v>2406</v>
      </c>
      <c r="AA589" s="19">
        <v>2</v>
      </c>
      <c r="AB589" s="19"/>
      <c r="AC589" s="19" t="s">
        <v>233</v>
      </c>
      <c r="AD589" s="19"/>
      <c r="AE589" s="19"/>
      <c r="AF589" s="19"/>
    </row>
    <row r="590" spans="1:34">
      <c r="A590" s="19">
        <v>582</v>
      </c>
      <c r="B590" s="19" t="s">
        <v>1564</v>
      </c>
      <c r="C590" s="19" t="s">
        <v>2300</v>
      </c>
      <c r="D590" s="19" t="str">
        <f>HYPERLINK("http://henontech.com/fieldsafety/harzard/harzard_show.php?rid=28307&amp;url=harzardrecs.php","蒸汽管线保温铝皮缺失，若一名员工巡检至该管线时，左臂不慎触碰到管线，该管线温度约300℃，导致该员工左臂烫伤，送医治疗，休养15天。")</f>
        <v>蒸汽管线保温铝皮缺失，若一名员工巡检至该管线时，左臂不慎触碰到管线，该管线温度约300℃，导致该员工左臂烫伤，送医治疗，休养15天。</v>
      </c>
      <c r="E590" s="19" t="s">
        <v>2634</v>
      </c>
      <c r="F590" s="20" t="s">
        <v>42</v>
      </c>
      <c r="G590" s="21" t="s">
        <v>43</v>
      </c>
      <c r="H590" s="19" t="s">
        <v>44</v>
      </c>
      <c r="I590" s="19" t="s">
        <v>78</v>
      </c>
      <c r="J590" s="19" t="s">
        <v>64</v>
      </c>
      <c r="K590" s="19" t="s">
        <v>88</v>
      </c>
      <c r="L590" s="19" t="s">
        <v>65</v>
      </c>
      <c r="M590" s="19" t="s">
        <v>49</v>
      </c>
      <c r="N590" s="19" t="s">
        <v>2635</v>
      </c>
      <c r="O590" s="19" t="s">
        <v>49</v>
      </c>
      <c r="P590" s="19" t="s">
        <v>1344</v>
      </c>
      <c r="Q590" s="19" t="s">
        <v>2350</v>
      </c>
      <c r="R590" s="19" t="s">
        <v>2304</v>
      </c>
      <c r="S590" s="19" t="s">
        <v>2636</v>
      </c>
      <c r="T590" s="19" t="s">
        <v>53</v>
      </c>
      <c r="U590" s="19" t="s">
        <v>54</v>
      </c>
      <c r="V590" s="19" t="s">
        <v>105</v>
      </c>
      <c r="W590" s="19" t="s">
        <v>72</v>
      </c>
      <c r="X590" s="19"/>
      <c r="Y590" s="19"/>
      <c r="Z590" s="19" t="s">
        <v>2637</v>
      </c>
      <c r="AA590" s="19">
        <v>1</v>
      </c>
      <c r="AB590" s="19">
        <v>1</v>
      </c>
      <c r="AC590" s="19" t="s">
        <v>59</v>
      </c>
      <c r="AD590" s="19" t="s">
        <v>1344</v>
      </c>
      <c r="AE590" s="19" t="s">
        <v>2024</v>
      </c>
      <c r="AF590" s="19"/>
    </row>
    <row r="591" spans="1:34">
      <c r="A591" s="19">
        <v>583</v>
      </c>
      <c r="B591" s="19" t="s">
        <v>1564</v>
      </c>
      <c r="C591" s="19" t="s">
        <v>2638</v>
      </c>
      <c r="D591" s="19" t="str">
        <f>HYPERLINK("http://henontech.com/fieldsafety/harzard/harzard_show.php?rid=28312&amp;url=harzardrecs.php","电解水废水池护栏门未关闭，池水深二米。.当操作工发现池内有垃圾探身捞取时坠池。被发现救起，终因溺水过久死亡。")</f>
        <v>电解水废水池护栏门未关闭，池水深二米。.当操作工发现池内有垃圾探身捞取时坠池。被发现救起，终因溺水过久死亡。</v>
      </c>
      <c r="E591" s="19" t="s">
        <v>2639</v>
      </c>
      <c r="F591" s="26" t="s">
        <v>2286</v>
      </c>
      <c r="G591" s="19"/>
      <c r="H591" s="19" t="s">
        <v>44</v>
      </c>
      <c r="I591" s="19" t="s">
        <v>78</v>
      </c>
      <c r="J591" s="19" t="s">
        <v>45</v>
      </c>
      <c r="K591" s="19" t="s">
        <v>46</v>
      </c>
      <c r="L591" s="19"/>
      <c r="M591" s="19" t="s">
        <v>66</v>
      </c>
      <c r="N591" s="19" t="s">
        <v>1157</v>
      </c>
      <c r="O591" s="19"/>
      <c r="P591" s="19"/>
      <c r="Q591" s="19"/>
      <c r="R591" s="19" t="s">
        <v>2640</v>
      </c>
      <c r="S591" s="19"/>
      <c r="T591" s="19" t="s">
        <v>53</v>
      </c>
      <c r="U591" s="19" t="s">
        <v>116</v>
      </c>
      <c r="V591" s="19" t="s">
        <v>55</v>
      </c>
      <c r="W591" s="19" t="s">
        <v>117</v>
      </c>
      <c r="X591" s="19"/>
      <c r="Y591" s="19"/>
      <c r="Z591" s="19"/>
      <c r="AA591" s="19"/>
      <c r="AB591" s="19"/>
      <c r="AC591" s="19" t="s">
        <v>233</v>
      </c>
      <c r="AD591" s="19"/>
      <c r="AE591" s="19"/>
      <c r="AF591" s="19"/>
    </row>
    <row r="592" spans="1:34">
      <c r="A592" s="19">
        <v>584</v>
      </c>
      <c r="B592" s="19" t="s">
        <v>1564</v>
      </c>
      <c r="C592" s="19" t="s">
        <v>2367</v>
      </c>
      <c r="D592" s="19" t="str">
        <f>HYPERLINK("http://henontech.com/fieldsafety/harzard/harzard_show.php?rid=28316&amp;url=harzardrecs.php","巡环水泵房现场电缆杂乱，若巡检人员巡检到此被电缆拌到，手部着地造成手部擦伤，送医务室简单包扎继续工作。")</f>
        <v>巡环水泵房现场电缆杂乱，若巡检人员巡检到此被电缆拌到，手部着地造成手部擦伤，送医务室简单包扎继续工作。</v>
      </c>
      <c r="E592" s="19" t="s">
        <v>2641</v>
      </c>
      <c r="F592" s="20" t="s">
        <v>42</v>
      </c>
      <c r="G592" s="21" t="s">
        <v>43</v>
      </c>
      <c r="H592" s="19" t="s">
        <v>44</v>
      </c>
      <c r="I592" s="19" t="s">
        <v>78</v>
      </c>
      <c r="J592" s="19" t="s">
        <v>64</v>
      </c>
      <c r="K592" s="19" t="s">
        <v>88</v>
      </c>
      <c r="L592" s="19"/>
      <c r="M592" s="19" t="s">
        <v>49</v>
      </c>
      <c r="N592" s="19" t="s">
        <v>1315</v>
      </c>
      <c r="O592" s="19" t="s">
        <v>49</v>
      </c>
      <c r="P592" s="19" t="s">
        <v>1344</v>
      </c>
      <c r="Q592" s="19" t="s">
        <v>2350</v>
      </c>
      <c r="R592" s="19" t="s">
        <v>2564</v>
      </c>
      <c r="S592" s="19" t="s">
        <v>2476</v>
      </c>
      <c r="T592" s="19" t="s">
        <v>53</v>
      </c>
      <c r="U592" s="19" t="s">
        <v>71</v>
      </c>
      <c r="V592" s="19" t="s">
        <v>55</v>
      </c>
      <c r="W592" s="19" t="s">
        <v>72</v>
      </c>
      <c r="X592" s="19" t="s">
        <v>150</v>
      </c>
      <c r="Y592" s="19"/>
      <c r="Z592" s="19" t="s">
        <v>2477</v>
      </c>
      <c r="AA592" s="19">
        <v>1</v>
      </c>
      <c r="AB592" s="19">
        <v>1</v>
      </c>
      <c r="AC592" s="19" t="s">
        <v>59</v>
      </c>
      <c r="AD592" s="19" t="s">
        <v>1344</v>
      </c>
      <c r="AE592" s="19" t="s">
        <v>2024</v>
      </c>
      <c r="AF592" s="19"/>
    </row>
    <row r="593" spans="1:34" customHeight="1" ht="42">
      <c r="A593" s="19">
        <v>585</v>
      </c>
      <c r="B593" s="19" t="s">
        <v>1564</v>
      </c>
      <c r="C593" s="19" t="s">
        <v>934</v>
      </c>
      <c r="D593" s="19" t="str">
        <f>HYPERLINK("http://henontech.com/fieldsafety/harzard/harzard_show.php?rid=28324&amp;url=harzardrecs.php","东四配料秤下方挡煤板螺丝脱落导致损坏，容易造成配料秤皮带划伤，影响生产。")</f>
        <v>东四配料秤下方挡煤板螺丝脱落导致损坏，容易造成配料秤皮带划伤，影响生产。</v>
      </c>
      <c r="E593" s="19" t="s">
        <v>2642</v>
      </c>
      <c r="F593" s="20" t="s">
        <v>42</v>
      </c>
      <c r="G593" s="21" t="s">
        <v>43</v>
      </c>
      <c r="H593" s="19" t="s">
        <v>44</v>
      </c>
      <c r="I593" s="19" t="s">
        <v>129</v>
      </c>
      <c r="J593" s="19" t="s">
        <v>64</v>
      </c>
      <c r="K593" s="19" t="s">
        <v>79</v>
      </c>
      <c r="L593" s="19" t="s">
        <v>65</v>
      </c>
      <c r="M593" s="19" t="s">
        <v>633</v>
      </c>
      <c r="N593" s="19" t="s">
        <v>2643</v>
      </c>
      <c r="O593" s="19" t="s">
        <v>633</v>
      </c>
      <c r="P593" s="19" t="s">
        <v>924</v>
      </c>
      <c r="Q593" s="19" t="s">
        <v>1414</v>
      </c>
      <c r="R593" s="19" t="s">
        <v>2644</v>
      </c>
      <c r="S593" s="19"/>
      <c r="T593" s="19" t="s">
        <v>104</v>
      </c>
      <c r="U593" s="19" t="s">
        <v>94</v>
      </c>
      <c r="V593" s="19" t="s">
        <v>105</v>
      </c>
      <c r="W593" s="19" t="s">
        <v>96</v>
      </c>
      <c r="X593" s="19" t="s">
        <v>141</v>
      </c>
      <c r="Y593" s="19" t="s">
        <v>141</v>
      </c>
      <c r="Z593" s="19" t="s">
        <v>2645</v>
      </c>
      <c r="AA593" s="19">
        <v>2</v>
      </c>
      <c r="AB593" s="19">
        <v>2</v>
      </c>
      <c r="AC593" s="19" t="s">
        <v>59</v>
      </c>
      <c r="AD593" s="19" t="s">
        <v>924</v>
      </c>
      <c r="AE593" s="19" t="s">
        <v>1552</v>
      </c>
      <c r="AF593" s="19"/>
    </row>
    <row r="594" spans="1:34">
      <c r="A594" s="19">
        <v>586</v>
      </c>
      <c r="B594" s="19" t="s">
        <v>1564</v>
      </c>
      <c r="C594" s="19" t="s">
        <v>1707</v>
      </c>
      <c r="D594" s="19" t="str">
        <f>HYPERLINK("http://henontech.com/fieldsafety/harzard/harzard_show.php?rid=28349&amp;url=harzardrecs.php","南脱硫上下楼梯施工用电缆线杂乱，如果一名操作人员在上下爬梯时会不小心让电缆线绊倒，腿部轻微擦伤，简单处理后正常上班。")</f>
        <v>南脱硫上下楼梯施工用电缆线杂乱，如果一名操作人员在上下爬梯时会不小心让电缆线绊倒，腿部轻微擦伤，简单处理后正常上班。</v>
      </c>
      <c r="E594" s="19" t="s">
        <v>2646</v>
      </c>
      <c r="F594" s="25" t="s">
        <v>1784</v>
      </c>
      <c r="G594" s="21" t="s">
        <v>43</v>
      </c>
      <c r="H594" s="19" t="s">
        <v>44</v>
      </c>
      <c r="I594" s="19" t="s">
        <v>78</v>
      </c>
      <c r="J594" s="19" t="s">
        <v>87</v>
      </c>
      <c r="K594" s="19" t="s">
        <v>88</v>
      </c>
      <c r="L594" s="19" t="s">
        <v>65</v>
      </c>
      <c r="M594" s="19" t="s">
        <v>66</v>
      </c>
      <c r="N594" s="19" t="s">
        <v>260</v>
      </c>
      <c r="O594" s="19" t="s">
        <v>66</v>
      </c>
      <c r="P594" s="19" t="s">
        <v>68</v>
      </c>
      <c r="Q594" s="19" t="s">
        <v>2176</v>
      </c>
      <c r="R594" s="19" t="s">
        <v>365</v>
      </c>
      <c r="S594" s="19"/>
      <c r="T594" s="19" t="s">
        <v>53</v>
      </c>
      <c r="U594" s="19" t="s">
        <v>71</v>
      </c>
      <c r="V594" s="19" t="s">
        <v>193</v>
      </c>
      <c r="W594" s="19" t="s">
        <v>96</v>
      </c>
      <c r="X594" s="19"/>
      <c r="Y594" s="19"/>
      <c r="Z594" s="19" t="s">
        <v>2647</v>
      </c>
      <c r="AA594" s="19">
        <v>1</v>
      </c>
      <c r="AB594" s="19"/>
      <c r="AC594" s="19" t="s">
        <v>233</v>
      </c>
      <c r="AD594" s="19"/>
      <c r="AE594" s="19"/>
      <c r="AF594" s="19"/>
    </row>
    <row r="595" spans="1:34">
      <c r="A595" s="19">
        <v>587</v>
      </c>
      <c r="B595" s="19" t="s">
        <v>1564</v>
      </c>
      <c r="C595" s="19" t="s">
        <v>135</v>
      </c>
      <c r="D595" s="19" t="str">
        <f>HYPERLINK("http://henontech.com/fieldsafety/harzard/harzard_show.php?rid=28350&amp;url=harzardrecs.php","锅炉六层楼梯与顶部距离小约为1.2米，若巡检人员巡检完下楼梯时，为躲避顶部身体前倾，脚下打滑造成左脚脚踝骨折，送医治疗在家休养100天。")</f>
        <v>锅炉六层楼梯与顶部距离小约为1.2米，若巡检人员巡检完下楼梯时，为躲避顶部身体前倾，脚下打滑造成左脚脚踝骨折，送医治疗在家休养100天。</v>
      </c>
      <c r="E595" s="19" t="s">
        <v>2648</v>
      </c>
      <c r="F595" s="20" t="s">
        <v>42</v>
      </c>
      <c r="G595" s="21" t="s">
        <v>43</v>
      </c>
      <c r="H595" s="19" t="s">
        <v>44</v>
      </c>
      <c r="I595" s="19" t="s">
        <v>78</v>
      </c>
      <c r="J595" s="19" t="s">
        <v>64</v>
      </c>
      <c r="K595" s="19" t="s">
        <v>46</v>
      </c>
      <c r="L595" s="19"/>
      <c r="M595" s="19" t="s">
        <v>49</v>
      </c>
      <c r="N595" s="19" t="s">
        <v>596</v>
      </c>
      <c r="O595" s="19" t="s">
        <v>49</v>
      </c>
      <c r="P595" s="19" t="s">
        <v>1344</v>
      </c>
      <c r="Q595" s="19" t="s">
        <v>2350</v>
      </c>
      <c r="R595" s="19" t="s">
        <v>2649</v>
      </c>
      <c r="S595" s="19" t="s">
        <v>2650</v>
      </c>
      <c r="T595" s="19" t="s">
        <v>53</v>
      </c>
      <c r="U595" s="19" t="s">
        <v>54</v>
      </c>
      <c r="V595" s="19" t="s">
        <v>105</v>
      </c>
      <c r="W595" s="19" t="s">
        <v>72</v>
      </c>
      <c r="X595" s="19" t="s">
        <v>57</v>
      </c>
      <c r="Y595" s="19"/>
      <c r="Z595" s="19" t="s">
        <v>2651</v>
      </c>
      <c r="AA595" s="19">
        <v>1</v>
      </c>
      <c r="AB595" s="19">
        <v>1</v>
      </c>
      <c r="AC595" s="19" t="s">
        <v>59</v>
      </c>
      <c r="AD595" s="19" t="s">
        <v>1344</v>
      </c>
      <c r="AE595" s="19" t="s">
        <v>2024</v>
      </c>
      <c r="AF595" s="19"/>
    </row>
    <row r="596" spans="1:34">
      <c r="A596" s="19">
        <v>588</v>
      </c>
      <c r="B596" s="19" t="s">
        <v>1564</v>
      </c>
      <c r="C596" s="19" t="s">
        <v>229</v>
      </c>
      <c r="D596" s="19" t="str">
        <f>HYPERLINK("http://henontech.com/fieldsafety/harzard/harzard_show.php?rid=28366&amp;url=harzardrecs.php","热力车间东区配电室抄表的椅子坏了，上去踩着抄表的时候椅子容易散架")</f>
        <v>热力车间东区配电室抄表的椅子坏了，上去踩着抄表的时候椅子容易散架</v>
      </c>
      <c r="E596" s="19" t="s">
        <v>2652</v>
      </c>
      <c r="F596" s="23" t="s">
        <v>227</v>
      </c>
      <c r="G596" s="21" t="s">
        <v>43</v>
      </c>
      <c r="H596" s="19" t="s">
        <v>44</v>
      </c>
      <c r="I596" s="19"/>
      <c r="J596" s="19" t="s">
        <v>64</v>
      </c>
      <c r="K596" s="19" t="s">
        <v>466</v>
      </c>
      <c r="L596" s="19"/>
      <c r="M596" s="19" t="s">
        <v>229</v>
      </c>
      <c r="N596" s="19" t="s">
        <v>724</v>
      </c>
      <c r="O596" s="19"/>
      <c r="P596" s="19"/>
      <c r="Q596" s="19"/>
      <c r="R596" s="19" t="s">
        <v>1246</v>
      </c>
      <c r="S596" s="19" t="s">
        <v>1775</v>
      </c>
      <c r="T596" s="19" t="s">
        <v>53</v>
      </c>
      <c r="U596" s="19" t="s">
        <v>71</v>
      </c>
      <c r="V596" s="19" t="s">
        <v>193</v>
      </c>
      <c r="W596" s="19" t="s">
        <v>96</v>
      </c>
      <c r="X596" s="19"/>
      <c r="Y596" s="19"/>
      <c r="Z596" s="19"/>
      <c r="AA596" s="19">
        <v>0</v>
      </c>
      <c r="AB596" s="19"/>
      <c r="AC596" s="19" t="s">
        <v>233</v>
      </c>
      <c r="AD596" s="19"/>
      <c r="AE596" s="19"/>
      <c r="AF596" s="19"/>
    </row>
    <row r="597" spans="1:34" customHeight="1" ht="42">
      <c r="A597" s="19">
        <v>589</v>
      </c>
      <c r="B597" s="19" t="s">
        <v>1564</v>
      </c>
      <c r="C597" s="19" t="s">
        <v>656</v>
      </c>
      <c r="D597" s="19" t="str">
        <f>HYPERLINK("http://henontech.com/fieldsafety/harzard/harzard_show.php?rid=28431&amp;url=harzardrecs.php","西二托辊轴承损坏，一旦操作工巡检未及时发现，造成皮带偏带撕裂")</f>
        <v>西二托辊轴承损坏，一旦操作工巡检未及时发现，造成皮带偏带撕裂</v>
      </c>
      <c r="E597" s="19" t="s">
        <v>1933</v>
      </c>
      <c r="F597" s="20" t="s">
        <v>42</v>
      </c>
      <c r="G597" s="21" t="s">
        <v>43</v>
      </c>
      <c r="H597" s="19" t="s">
        <v>44</v>
      </c>
      <c r="I597" s="19" t="s">
        <v>1566</v>
      </c>
      <c r="J597" s="19" t="s">
        <v>64</v>
      </c>
      <c r="K597" s="19"/>
      <c r="L597" s="19"/>
      <c r="M597" s="19" t="s">
        <v>633</v>
      </c>
      <c r="N597" s="19" t="s">
        <v>2653</v>
      </c>
      <c r="O597" s="19" t="s">
        <v>633</v>
      </c>
      <c r="P597" s="19" t="s">
        <v>924</v>
      </c>
      <c r="Q597" s="19" t="s">
        <v>1414</v>
      </c>
      <c r="R597" s="19" t="s">
        <v>2045</v>
      </c>
      <c r="S597" s="19"/>
      <c r="T597" s="19" t="s">
        <v>104</v>
      </c>
      <c r="U597" s="19" t="s">
        <v>71</v>
      </c>
      <c r="V597" s="19" t="s">
        <v>105</v>
      </c>
      <c r="W597" s="19" t="s">
        <v>96</v>
      </c>
      <c r="X597" s="19" t="s">
        <v>141</v>
      </c>
      <c r="Y597" s="19" t="s">
        <v>141</v>
      </c>
      <c r="Z597" s="19" t="s">
        <v>2577</v>
      </c>
      <c r="AA597" s="19">
        <v>2</v>
      </c>
      <c r="AB597" s="19">
        <v>2</v>
      </c>
      <c r="AC597" s="19" t="s">
        <v>59</v>
      </c>
      <c r="AD597" s="19" t="s">
        <v>924</v>
      </c>
      <c r="AE597" s="19" t="s">
        <v>1552</v>
      </c>
      <c r="AF597" s="19"/>
    </row>
    <row r="598" spans="1:34" customHeight="1" ht="42">
      <c r="A598" s="19">
        <v>590</v>
      </c>
      <c r="B598" s="19" t="s">
        <v>1564</v>
      </c>
      <c r="C598" s="19" t="s">
        <v>934</v>
      </c>
      <c r="D598" s="19" t="str">
        <f>HYPERLINK("http://henontech.com/fieldsafety/harzard/harzard_show.php?rid=28432&amp;url=harzardrecs.php","东一一号给料机北侧有一托辊损坏，一旦操作工巡检未及时发现，皮带在运行中易造成皮带偏带、撕裂")</f>
        <v>东一一号给料机北侧有一托辊损坏，一旦操作工巡检未及时发现，皮带在运行中易造成皮带偏带、撕裂</v>
      </c>
      <c r="E598" s="19" t="s">
        <v>1933</v>
      </c>
      <c r="F598" s="20" t="s">
        <v>42</v>
      </c>
      <c r="G598" s="21" t="s">
        <v>43</v>
      </c>
      <c r="H598" s="19" t="s">
        <v>44</v>
      </c>
      <c r="I598" s="19" t="s">
        <v>1566</v>
      </c>
      <c r="J598" s="19" t="s">
        <v>64</v>
      </c>
      <c r="K598" s="19"/>
      <c r="L598" s="19"/>
      <c r="M598" s="19" t="s">
        <v>633</v>
      </c>
      <c r="N598" s="19" t="s">
        <v>2654</v>
      </c>
      <c r="O598" s="19" t="s">
        <v>633</v>
      </c>
      <c r="P598" s="19" t="s">
        <v>924</v>
      </c>
      <c r="Q598" s="19" t="s">
        <v>1414</v>
      </c>
      <c r="R598" s="19" t="s">
        <v>2655</v>
      </c>
      <c r="S598" s="19"/>
      <c r="T598" s="19" t="s">
        <v>104</v>
      </c>
      <c r="U598" s="19" t="s">
        <v>71</v>
      </c>
      <c r="V598" s="19" t="s">
        <v>105</v>
      </c>
      <c r="W598" s="19" t="s">
        <v>96</v>
      </c>
      <c r="X598" s="19" t="s">
        <v>141</v>
      </c>
      <c r="Y598" s="19" t="s">
        <v>141</v>
      </c>
      <c r="Z598" s="19" t="s">
        <v>2577</v>
      </c>
      <c r="AA598" s="19">
        <v>2</v>
      </c>
      <c r="AB598" s="19">
        <v>2</v>
      </c>
      <c r="AC598" s="19" t="s">
        <v>59</v>
      </c>
      <c r="AD598" s="19" t="s">
        <v>924</v>
      </c>
      <c r="AE598" s="19" t="s">
        <v>1552</v>
      </c>
      <c r="AF598" s="19"/>
    </row>
    <row r="599" spans="1:34">
      <c r="A599" s="19">
        <v>591</v>
      </c>
      <c r="B599" s="19" t="s">
        <v>1564</v>
      </c>
      <c r="C599" s="19" t="s">
        <v>1915</v>
      </c>
      <c r="D599" s="19" t="str">
        <f>HYPERLINK("http://henontech.com/fieldsafety/harzard/harzard_show.php?rid=28433&amp;url=harzardrecs.php","煤八机头吊装门销子退出，若发现不及时，销子掉下来发生危险事故")</f>
        <v>煤八机头吊装门销子退出，若发现不及时，销子掉下来发生危险事故</v>
      </c>
      <c r="E599" s="19" t="s">
        <v>2656</v>
      </c>
      <c r="F599" s="20" t="s">
        <v>42</v>
      </c>
      <c r="G599" s="22" t="s">
        <v>111</v>
      </c>
      <c r="H599" s="19" t="s">
        <v>44</v>
      </c>
      <c r="I599" s="19" t="s">
        <v>129</v>
      </c>
      <c r="J599" s="19" t="s">
        <v>64</v>
      </c>
      <c r="K599" s="19" t="s">
        <v>88</v>
      </c>
      <c r="L599" s="19" t="s">
        <v>65</v>
      </c>
      <c r="M599" s="19" t="s">
        <v>633</v>
      </c>
      <c r="N599" s="19" t="s">
        <v>2657</v>
      </c>
      <c r="O599" s="19" t="s">
        <v>633</v>
      </c>
      <c r="P599" s="19" t="s">
        <v>1268</v>
      </c>
      <c r="Q599" s="19" t="s">
        <v>2481</v>
      </c>
      <c r="R599" s="19" t="s">
        <v>2166</v>
      </c>
      <c r="S599" s="19"/>
      <c r="T599" s="19" t="s">
        <v>104</v>
      </c>
      <c r="U599" s="19" t="s">
        <v>94</v>
      </c>
      <c r="V599" s="19" t="s">
        <v>105</v>
      </c>
      <c r="W599" s="19" t="s">
        <v>96</v>
      </c>
      <c r="X599" s="19"/>
      <c r="Y599" s="19"/>
      <c r="Z599" s="19" t="s">
        <v>2658</v>
      </c>
      <c r="AA599" s="19">
        <v>1</v>
      </c>
      <c r="AB599" s="19">
        <v>1</v>
      </c>
      <c r="AC599" s="19" t="s">
        <v>59</v>
      </c>
      <c r="AD599" s="19" t="s">
        <v>1268</v>
      </c>
      <c r="AE599" s="19" t="s">
        <v>1552</v>
      </c>
      <c r="AF599" s="19"/>
    </row>
    <row r="600" spans="1:34" customHeight="1" ht="42">
      <c r="A600" s="19">
        <v>592</v>
      </c>
      <c r="B600" s="19" t="s">
        <v>1564</v>
      </c>
      <c r="C600" s="19" t="s">
        <v>656</v>
      </c>
      <c r="D600" s="19" t="str">
        <f>HYPERLINK("http://henontech.com/fieldsafety/harzard/harzard_show.php?rid=28451&amp;url=harzardrecs.php","西五皮带机分料器缺失一托辊，皮带运行过程中很容易完成皮带划伤或撕裂")</f>
        <v>西五皮带机分料器缺失一托辊，皮带运行过程中很容易完成皮带划伤或撕裂</v>
      </c>
      <c r="E600" s="19" t="s">
        <v>2659</v>
      </c>
      <c r="F600" s="20" t="s">
        <v>42</v>
      </c>
      <c r="G600" s="21" t="s">
        <v>43</v>
      </c>
      <c r="H600" s="19" t="s">
        <v>44</v>
      </c>
      <c r="I600" s="19" t="s">
        <v>78</v>
      </c>
      <c r="J600" s="19" t="s">
        <v>64</v>
      </c>
      <c r="K600" s="19"/>
      <c r="L600" s="19" t="s">
        <v>65</v>
      </c>
      <c r="M600" s="19" t="s">
        <v>633</v>
      </c>
      <c r="N600" s="19" t="s">
        <v>2660</v>
      </c>
      <c r="O600" s="19" t="s">
        <v>633</v>
      </c>
      <c r="P600" s="19" t="s">
        <v>924</v>
      </c>
      <c r="Q600" s="19" t="s">
        <v>1414</v>
      </c>
      <c r="R600" s="19" t="s">
        <v>2288</v>
      </c>
      <c r="S600" s="19"/>
      <c r="T600" s="19" t="s">
        <v>104</v>
      </c>
      <c r="U600" s="19" t="s">
        <v>71</v>
      </c>
      <c r="V600" s="19" t="s">
        <v>55</v>
      </c>
      <c r="W600" s="19" t="s">
        <v>72</v>
      </c>
      <c r="X600" s="19" t="s">
        <v>141</v>
      </c>
      <c r="Y600" s="19" t="s">
        <v>141</v>
      </c>
      <c r="Z600" s="19" t="s">
        <v>2661</v>
      </c>
      <c r="AA600" s="19">
        <v>2</v>
      </c>
      <c r="AB600" s="19">
        <v>2</v>
      </c>
      <c r="AC600" s="19" t="s">
        <v>59</v>
      </c>
      <c r="AD600" s="19" t="s">
        <v>924</v>
      </c>
      <c r="AE600" s="19" t="s">
        <v>1552</v>
      </c>
      <c r="AF600" s="19"/>
    </row>
    <row r="601" spans="1:34">
      <c r="A601" s="19">
        <v>593</v>
      </c>
      <c r="B601" s="19" t="s">
        <v>1564</v>
      </c>
      <c r="C601" s="19" t="s">
        <v>1102</v>
      </c>
      <c r="D601" s="19" t="str">
        <f>HYPERLINK("http://henontech.com/fieldsafety/harzard/harzard_show.php?rid=28455&amp;url=harzardrecs.php","两盐北大门地沟盖板严重破损，操作工在经过此处时，踩空坠落，造成腿部擦伤，休息片刻后继续工作。")</f>
        <v>两盐北大门地沟盖板严重破损，操作工在经过此处时，踩空坠落，造成腿部擦伤，休息片刻后继续工作。</v>
      </c>
      <c r="E601" s="19" t="s">
        <v>2662</v>
      </c>
      <c r="F601" s="25" t="s">
        <v>1784</v>
      </c>
      <c r="G601" s="21" t="s">
        <v>43</v>
      </c>
      <c r="H601" s="19" t="s">
        <v>44</v>
      </c>
      <c r="I601" s="19" t="s">
        <v>78</v>
      </c>
      <c r="J601" s="19" t="s">
        <v>64</v>
      </c>
      <c r="K601" s="19" t="s">
        <v>79</v>
      </c>
      <c r="L601" s="19" t="s">
        <v>65</v>
      </c>
      <c r="M601" s="19" t="s">
        <v>66</v>
      </c>
      <c r="N601" s="19" t="s">
        <v>2663</v>
      </c>
      <c r="O601" s="19" t="s">
        <v>66</v>
      </c>
      <c r="P601" s="19" t="s">
        <v>68</v>
      </c>
      <c r="Q601" s="19" t="s">
        <v>2176</v>
      </c>
      <c r="R601" s="19" t="s">
        <v>2664</v>
      </c>
      <c r="S601" s="19"/>
      <c r="T601" s="19" t="s">
        <v>53</v>
      </c>
      <c r="U601" s="19" t="s">
        <v>71</v>
      </c>
      <c r="V601" s="19" t="s">
        <v>55</v>
      </c>
      <c r="W601" s="19" t="s">
        <v>72</v>
      </c>
      <c r="X601" s="19"/>
      <c r="Y601" s="19"/>
      <c r="Z601" s="19" t="s">
        <v>2665</v>
      </c>
      <c r="AA601" s="19">
        <v>1</v>
      </c>
      <c r="AB601" s="19"/>
      <c r="AC601" s="19" t="s">
        <v>233</v>
      </c>
      <c r="AD601" s="19"/>
      <c r="AE601" s="19"/>
      <c r="AF601" s="19"/>
    </row>
    <row r="602" spans="1:34">
      <c r="A602" s="19">
        <v>594</v>
      </c>
      <c r="B602" s="19" t="s">
        <v>1564</v>
      </c>
      <c r="C602" s="19" t="s">
        <v>2565</v>
      </c>
      <c r="D602" s="19" t="str">
        <f>HYPERLINK("http://henontech.com/fieldsafety/harzard/harzard_show.php?rid=28457&amp;url=harzardrecs.php","冷凝液泵电机防护罩螺丝缺失，长期震动防护罩移动，造成电机磨损，缩短使用寿命。")</f>
        <v>冷凝液泵电机防护罩螺丝缺失，长期震动防护罩移动，造成电机磨损，缩短使用寿命。</v>
      </c>
      <c r="E602" s="19" t="s">
        <v>2666</v>
      </c>
      <c r="F602" s="25" t="s">
        <v>1784</v>
      </c>
      <c r="G602" s="21" t="s">
        <v>43</v>
      </c>
      <c r="H602" s="19" t="s">
        <v>44</v>
      </c>
      <c r="I602" s="19" t="s">
        <v>78</v>
      </c>
      <c r="J602" s="19" t="s">
        <v>64</v>
      </c>
      <c r="K602" s="19" t="s">
        <v>79</v>
      </c>
      <c r="L602" s="19" t="s">
        <v>65</v>
      </c>
      <c r="M602" s="19" t="s">
        <v>66</v>
      </c>
      <c r="N602" s="19" t="s">
        <v>407</v>
      </c>
      <c r="O602" s="19" t="s">
        <v>66</v>
      </c>
      <c r="P602" s="19" t="s">
        <v>68</v>
      </c>
      <c r="Q602" s="19" t="s">
        <v>2176</v>
      </c>
      <c r="R602" s="19" t="s">
        <v>2667</v>
      </c>
      <c r="S602" s="19"/>
      <c r="T602" s="19" t="s">
        <v>104</v>
      </c>
      <c r="U602" s="19" t="s">
        <v>94</v>
      </c>
      <c r="V602" s="19" t="s">
        <v>55</v>
      </c>
      <c r="W602" s="19" t="s">
        <v>96</v>
      </c>
      <c r="X602" s="19"/>
      <c r="Y602" s="19"/>
      <c r="Z602" s="19" t="s">
        <v>2668</v>
      </c>
      <c r="AA602" s="19">
        <v>1</v>
      </c>
      <c r="AB602" s="19"/>
      <c r="AC602" s="19" t="s">
        <v>233</v>
      </c>
      <c r="AD602" s="19"/>
      <c r="AE602" s="19"/>
      <c r="AF602" s="19"/>
    </row>
    <row r="603" spans="1:34">
      <c r="A603" s="19">
        <v>595</v>
      </c>
      <c r="B603" s="19" t="s">
        <v>1564</v>
      </c>
      <c r="C603" s="19" t="s">
        <v>1925</v>
      </c>
      <c r="D603" s="19" t="str">
        <f>HYPERLINK("http://henontech.com/fieldsafety/harzard/harzard_show.php?rid=28459&amp;url=harzardrecs.php","1618破碎机下料筒爬梯防护栏开焊，因开焊部位起不到防护作用，一旦岗位人员上爬梯时手扶护栏造成身体倾斜滑落地面，导致左腿擦伤，送医务室敷药后继续工作。")</f>
        <v>1618破碎机下料筒爬梯防护栏开焊，因开焊部位起不到防护作用，一旦岗位人员上爬梯时手扶护栏造成身体倾斜滑落地面，导致左腿擦伤，送医务室敷药后继续工作。</v>
      </c>
      <c r="E603" s="19" t="s">
        <v>2669</v>
      </c>
      <c r="F603" s="20" t="s">
        <v>42</v>
      </c>
      <c r="G603" s="21" t="s">
        <v>43</v>
      </c>
      <c r="H603" s="19" t="s">
        <v>44</v>
      </c>
      <c r="I603" s="19" t="s">
        <v>78</v>
      </c>
      <c r="J603" s="19"/>
      <c r="K603" s="19"/>
      <c r="L603" s="19" t="s">
        <v>65</v>
      </c>
      <c r="M603" s="19" t="s">
        <v>633</v>
      </c>
      <c r="N603" s="19" t="s">
        <v>2670</v>
      </c>
      <c r="O603" s="19" t="s">
        <v>633</v>
      </c>
      <c r="P603" s="19" t="s">
        <v>1268</v>
      </c>
      <c r="Q603" s="19" t="s">
        <v>2481</v>
      </c>
      <c r="R603" s="19" t="s">
        <v>2671</v>
      </c>
      <c r="S603" s="19"/>
      <c r="T603" s="19" t="s">
        <v>53</v>
      </c>
      <c r="U603" s="19" t="s">
        <v>71</v>
      </c>
      <c r="V603" s="19" t="s">
        <v>55</v>
      </c>
      <c r="W603" s="19" t="s">
        <v>72</v>
      </c>
      <c r="X603" s="19"/>
      <c r="Y603" s="19"/>
      <c r="Z603" s="19" t="s">
        <v>2672</v>
      </c>
      <c r="AA603" s="19">
        <v>1</v>
      </c>
      <c r="AB603" s="19">
        <v>1</v>
      </c>
      <c r="AC603" s="19" t="s">
        <v>59</v>
      </c>
      <c r="AD603" s="19" t="s">
        <v>1268</v>
      </c>
      <c r="AE603" s="19" t="s">
        <v>1552</v>
      </c>
      <c r="AF603" s="19"/>
    </row>
    <row r="604" spans="1:34">
      <c r="A604" s="19">
        <v>596</v>
      </c>
      <c r="B604" s="19" t="s">
        <v>1564</v>
      </c>
      <c r="C604" s="19" t="s">
        <v>656</v>
      </c>
      <c r="D604" s="19" t="str">
        <f>HYPERLINK("http://henontech.com/fieldsafety/harzard/harzard_show.php?rid=28461&amp;url=harzardrecs.php","煤棚周边一块盖板破碎，一旦职工踩踏，将会陷入沟中造成职工左小腿擦伤，消毒处理后继续继续工作")</f>
        <v>煤棚周边一块盖板破碎，一旦职工踩踏，将会陷入沟中造成职工左小腿擦伤，消毒处理后继续继续工作</v>
      </c>
      <c r="E604" s="19" t="s">
        <v>2673</v>
      </c>
      <c r="F604" s="20" t="s">
        <v>42</v>
      </c>
      <c r="G604" s="22" t="s">
        <v>111</v>
      </c>
      <c r="H604" s="19" t="s">
        <v>44</v>
      </c>
      <c r="I604" s="19" t="s">
        <v>78</v>
      </c>
      <c r="J604" s="19"/>
      <c r="K604" s="19"/>
      <c r="L604" s="19"/>
      <c r="M604" s="19" t="s">
        <v>633</v>
      </c>
      <c r="N604" s="19" t="s">
        <v>2674</v>
      </c>
      <c r="O604" s="19" t="s">
        <v>633</v>
      </c>
      <c r="P604" s="19" t="s">
        <v>1268</v>
      </c>
      <c r="Q604" s="19" t="s">
        <v>2539</v>
      </c>
      <c r="R604" s="19" t="s">
        <v>2675</v>
      </c>
      <c r="S604" s="19"/>
      <c r="T604" s="19" t="s">
        <v>53</v>
      </c>
      <c r="U604" s="19" t="s">
        <v>71</v>
      </c>
      <c r="V604" s="19" t="s">
        <v>55</v>
      </c>
      <c r="W604" s="19" t="s">
        <v>72</v>
      </c>
      <c r="X604" s="19"/>
      <c r="Y604" s="19"/>
      <c r="Z604" s="19" t="s">
        <v>2676</v>
      </c>
      <c r="AA604" s="19">
        <v>1</v>
      </c>
      <c r="AB604" s="19">
        <v>1</v>
      </c>
      <c r="AC604" s="19" t="s">
        <v>59</v>
      </c>
      <c r="AD604" s="19" t="s">
        <v>1268</v>
      </c>
      <c r="AE604" s="19" t="s">
        <v>1564</v>
      </c>
      <c r="AF604" s="19"/>
    </row>
    <row r="605" spans="1:34">
      <c r="A605" s="19">
        <v>597</v>
      </c>
      <c r="B605" s="19" t="s">
        <v>1564</v>
      </c>
      <c r="C605" s="19" t="s">
        <v>1915</v>
      </c>
      <c r="D605" s="19" t="str">
        <f>HYPERLINK("http://henontech.com/fieldsafety/harzard/harzard_show.php?rid=28470&amp;url=harzardrecs.php","给料机连杆销螺母脱落，在运行中连杆销脱落，停机半小时更换后复工生产，")</f>
        <v>给料机连杆销螺母脱落，在运行中连杆销脱落，停机半小时更换后复工生产，</v>
      </c>
      <c r="E605" s="19" t="s">
        <v>2677</v>
      </c>
      <c r="F605" s="20" t="s">
        <v>42</v>
      </c>
      <c r="G605" s="21" t="s">
        <v>43</v>
      </c>
      <c r="H605" s="19" t="s">
        <v>44</v>
      </c>
      <c r="I605" s="19" t="s">
        <v>129</v>
      </c>
      <c r="J605" s="19" t="s">
        <v>64</v>
      </c>
      <c r="K605" s="19" t="s">
        <v>79</v>
      </c>
      <c r="L605" s="19" t="s">
        <v>65</v>
      </c>
      <c r="M605" s="19" t="s">
        <v>633</v>
      </c>
      <c r="N605" s="19" t="s">
        <v>2678</v>
      </c>
      <c r="O605" s="19" t="s">
        <v>633</v>
      </c>
      <c r="P605" s="19" t="s">
        <v>1268</v>
      </c>
      <c r="Q605" s="19" t="s">
        <v>2481</v>
      </c>
      <c r="R605" s="19" t="s">
        <v>2273</v>
      </c>
      <c r="S605" s="19"/>
      <c r="T605" s="19" t="s">
        <v>104</v>
      </c>
      <c r="U605" s="19" t="s">
        <v>94</v>
      </c>
      <c r="V605" s="19" t="s">
        <v>95</v>
      </c>
      <c r="W605" s="19" t="s">
        <v>96</v>
      </c>
      <c r="X605" s="19"/>
      <c r="Y605" s="19"/>
      <c r="Z605" s="19" t="s">
        <v>2679</v>
      </c>
      <c r="AA605" s="19">
        <v>1</v>
      </c>
      <c r="AB605" s="19">
        <v>1</v>
      </c>
      <c r="AC605" s="19" t="s">
        <v>59</v>
      </c>
      <c r="AD605" s="19" t="s">
        <v>1268</v>
      </c>
      <c r="AE605" s="19" t="s">
        <v>1552</v>
      </c>
      <c r="AF605" s="19"/>
    </row>
    <row r="606" spans="1:34">
      <c r="A606" s="19">
        <v>598</v>
      </c>
      <c r="B606" s="19" t="s">
        <v>1552</v>
      </c>
      <c r="C606" s="19" t="s">
        <v>2314</v>
      </c>
      <c r="D606" s="19" t="str">
        <f>HYPERLINK("http://henontech.com/fieldsafety/harzard/harzard_show.php?rid=28474&amp;url=harzardrecs.php","南脱硫熔硫釜改造现场铁件废料混乱存放，一名操作工夜班在此巡检时，因夜间光线不好有可能被混乱放置的铁件拌倒摔伤，造成右手腕骨折，送医治疗十天休息三月上班一")</f>
        <v>南脱硫熔硫釜改造现场铁件废料混乱存放，一名操作工夜班在此巡检时，因夜间光线不好有可能被混乱放置的铁件拌倒摔伤，造成右手腕骨折，送医治疗十天休息三月上班一</v>
      </c>
      <c r="E606" s="19" t="s">
        <v>2680</v>
      </c>
      <c r="F606" s="25" t="s">
        <v>1784</v>
      </c>
      <c r="G606" s="21" t="s">
        <v>43</v>
      </c>
      <c r="H606" s="19" t="s">
        <v>44</v>
      </c>
      <c r="I606" s="19" t="s">
        <v>78</v>
      </c>
      <c r="J606" s="19" t="s">
        <v>45</v>
      </c>
      <c r="K606" s="19" t="s">
        <v>46</v>
      </c>
      <c r="L606" s="19" t="s">
        <v>65</v>
      </c>
      <c r="M606" s="19" t="s">
        <v>66</v>
      </c>
      <c r="N606" s="19" t="s">
        <v>680</v>
      </c>
      <c r="O606" s="19" t="s">
        <v>66</v>
      </c>
      <c r="P606" s="19" t="s">
        <v>68</v>
      </c>
      <c r="Q606" s="19" t="s">
        <v>2176</v>
      </c>
      <c r="R606" s="19" t="s">
        <v>2681</v>
      </c>
      <c r="S606" s="19"/>
      <c r="T606" s="19" t="s">
        <v>53</v>
      </c>
      <c r="U606" s="19" t="s">
        <v>54</v>
      </c>
      <c r="V606" s="19" t="s">
        <v>55</v>
      </c>
      <c r="W606" s="19" t="s">
        <v>56</v>
      </c>
      <c r="X606" s="19"/>
      <c r="Y606" s="19"/>
      <c r="Z606" s="19" t="s">
        <v>2682</v>
      </c>
      <c r="AA606" s="19">
        <v>1</v>
      </c>
      <c r="AB606" s="19"/>
      <c r="AC606" s="19" t="s">
        <v>233</v>
      </c>
      <c r="AD606" s="19"/>
      <c r="AE606" s="19"/>
      <c r="AF606" s="19"/>
    </row>
    <row r="607" spans="1:34" customHeight="1" ht="42">
      <c r="A607" s="19">
        <v>599</v>
      </c>
      <c r="B607" s="19" t="s">
        <v>1552</v>
      </c>
      <c r="C607" s="19" t="s">
        <v>1571</v>
      </c>
      <c r="D607" s="19" t="str">
        <f>HYPERLINK("http://henontech.com/fieldsafety/harzard/harzard_show.php?rid=28497&amp;url=harzardrecs.php","泵房排水沟盖板未盖好，一名巡检工巡检时不慎踩入")</f>
        <v>泵房排水沟盖板未盖好，一名巡检工巡检时不慎踩入</v>
      </c>
      <c r="E607" s="19" t="s">
        <v>2683</v>
      </c>
      <c r="F607" s="25" t="s">
        <v>1784</v>
      </c>
      <c r="G607" s="21" t="s">
        <v>43</v>
      </c>
      <c r="H607" s="19" t="s">
        <v>44</v>
      </c>
      <c r="I607" s="19" t="s">
        <v>129</v>
      </c>
      <c r="J607" s="19" t="s">
        <v>64</v>
      </c>
      <c r="K607" s="19"/>
      <c r="L607" s="19" t="s">
        <v>65</v>
      </c>
      <c r="M607" s="19" t="s">
        <v>229</v>
      </c>
      <c r="N607" s="19" t="s">
        <v>357</v>
      </c>
      <c r="O607" s="19" t="s">
        <v>229</v>
      </c>
      <c r="P607" s="19" t="s">
        <v>2684</v>
      </c>
      <c r="Q607" s="19" t="s">
        <v>2028</v>
      </c>
      <c r="R607" s="19" t="s">
        <v>2685</v>
      </c>
      <c r="S607" s="19"/>
      <c r="T607" s="19" t="s">
        <v>53</v>
      </c>
      <c r="U607" s="19" t="s">
        <v>54</v>
      </c>
      <c r="V607" s="19" t="s">
        <v>55</v>
      </c>
      <c r="W607" s="19" t="s">
        <v>56</v>
      </c>
      <c r="X607" s="19" t="s">
        <v>57</v>
      </c>
      <c r="Y607" s="19"/>
      <c r="Z607" s="19" t="s">
        <v>2686</v>
      </c>
      <c r="AA607" s="19">
        <v>2</v>
      </c>
      <c r="AB607" s="19"/>
      <c r="AC607" s="19" t="s">
        <v>233</v>
      </c>
      <c r="AD607" s="19"/>
      <c r="AE607" s="19"/>
      <c r="AF607" s="19"/>
    </row>
    <row r="608" spans="1:34">
      <c r="A608" s="19">
        <v>600</v>
      </c>
      <c r="B608" s="19" t="s">
        <v>1552</v>
      </c>
      <c r="C608" s="19" t="s">
        <v>2687</v>
      </c>
      <c r="D608" s="19" t="str">
        <f>HYPERLINK("http://henontech.com/fieldsafety/harzard/harzard_show.php?rid=28532&amp;url=harzardrecs.php","化学水工业泵房楼梯口处盖板翘起，一名操作工巡检时，不慎被翘起的盖板绊倒，造成右前臂骨折，送医院治疗。")</f>
        <v>化学水工业泵房楼梯口处盖板翘起，一名操作工巡检时，不慎被翘起的盖板绊倒，造成右前臂骨折，送医院治疗。</v>
      </c>
      <c r="E608" s="19" t="s">
        <v>2688</v>
      </c>
      <c r="F608" s="23" t="s">
        <v>227</v>
      </c>
      <c r="G608" s="21" t="s">
        <v>43</v>
      </c>
      <c r="H608" s="19" t="s">
        <v>44</v>
      </c>
      <c r="I608" s="19" t="s">
        <v>78</v>
      </c>
      <c r="J608" s="19" t="s">
        <v>64</v>
      </c>
      <c r="K608" s="19" t="s">
        <v>88</v>
      </c>
      <c r="L608" s="19"/>
      <c r="M608" s="19" t="s">
        <v>229</v>
      </c>
      <c r="N608" s="19" t="s">
        <v>2689</v>
      </c>
      <c r="O608" s="19"/>
      <c r="P608" s="19"/>
      <c r="Q608" s="19"/>
      <c r="R608" s="19" t="s">
        <v>2690</v>
      </c>
      <c r="S608" s="19" t="s">
        <v>1775</v>
      </c>
      <c r="T608" s="19" t="s">
        <v>53</v>
      </c>
      <c r="U608" s="19" t="s">
        <v>54</v>
      </c>
      <c r="V608" s="19" t="s">
        <v>55</v>
      </c>
      <c r="W608" s="19" t="s">
        <v>56</v>
      </c>
      <c r="X608" s="19"/>
      <c r="Y608" s="19"/>
      <c r="Z608" s="19"/>
      <c r="AA608" s="19">
        <v>0</v>
      </c>
      <c r="AB608" s="19"/>
      <c r="AC608" s="19" t="s">
        <v>233</v>
      </c>
      <c r="AD608" s="19"/>
      <c r="AE608" s="19"/>
      <c r="AF608" s="19"/>
    </row>
    <row r="609" spans="1:34" customHeight="1" ht="42">
      <c r="A609" s="19">
        <v>601</v>
      </c>
      <c r="B609" s="19" t="s">
        <v>1552</v>
      </c>
      <c r="C609" s="19" t="s">
        <v>1472</v>
      </c>
      <c r="D609" s="19" t="str">
        <f>HYPERLINK("http://henontech.com/fieldsafety/harzard/harzard_show.php?rid=28557&amp;url=harzardrecs.php","一名操作工在锅炉底部巡检时不慎掉入水沟，造成右小腿骨折。")</f>
        <v>一名操作工在锅炉底部巡检时不慎掉入水沟，造成右小腿骨折。</v>
      </c>
      <c r="E609" s="19" t="s">
        <v>2691</v>
      </c>
      <c r="F609" s="25" t="s">
        <v>1784</v>
      </c>
      <c r="G609" s="21" t="s">
        <v>43</v>
      </c>
      <c r="H609" s="19" t="s">
        <v>44</v>
      </c>
      <c r="I609" s="19" t="s">
        <v>78</v>
      </c>
      <c r="J609" s="19" t="s">
        <v>64</v>
      </c>
      <c r="K609" s="19" t="s">
        <v>88</v>
      </c>
      <c r="L609" s="19"/>
      <c r="M609" s="19" t="s">
        <v>229</v>
      </c>
      <c r="N609" s="19" t="s">
        <v>1542</v>
      </c>
      <c r="O609" s="19" t="s">
        <v>229</v>
      </c>
      <c r="P609" s="19" t="s">
        <v>668</v>
      </c>
      <c r="Q609" s="19" t="s">
        <v>2028</v>
      </c>
      <c r="R609" s="19" t="s">
        <v>2253</v>
      </c>
      <c r="S609" s="19"/>
      <c r="T609" s="19" t="s">
        <v>53</v>
      </c>
      <c r="U609" s="19" t="s">
        <v>54</v>
      </c>
      <c r="V609" s="19" t="s">
        <v>55</v>
      </c>
      <c r="W609" s="19" t="s">
        <v>56</v>
      </c>
      <c r="X609" s="19" t="s">
        <v>57</v>
      </c>
      <c r="Y609" s="19"/>
      <c r="Z609" s="19" t="s">
        <v>2686</v>
      </c>
      <c r="AA609" s="19">
        <v>2</v>
      </c>
      <c r="AB609" s="19"/>
      <c r="AC609" s="19" t="s">
        <v>233</v>
      </c>
      <c r="AD609" s="19"/>
      <c r="AE609" s="19"/>
      <c r="AF609" s="19"/>
    </row>
    <row r="610" spans="1:34" customHeight="1" ht="42">
      <c r="A610" s="19">
        <v>602</v>
      </c>
      <c r="B610" s="19" t="s">
        <v>1552</v>
      </c>
      <c r="C610" s="19" t="s">
        <v>1915</v>
      </c>
      <c r="D610" s="19" t="str">
        <f>HYPERLINK("http://henontech.com/fieldsafety/harzard/harzard_show.php?rid=28572&amp;url=harzardrecs.php","东三卸料车未按装安全档，一名工人在操作时，一旦经过卸料车，造成一人受伤，送医院检查，右腿骨折，休养3个月")</f>
        <v>东三卸料车未按装安全档，一名工人在操作时，一旦经过卸料车，造成一人受伤，送医院检查，右腿骨折，休养3个月</v>
      </c>
      <c r="E610" s="19" t="s">
        <v>2692</v>
      </c>
      <c r="F610" s="20" t="s">
        <v>42</v>
      </c>
      <c r="G610" s="21" t="s">
        <v>43</v>
      </c>
      <c r="H610" s="19" t="s">
        <v>44</v>
      </c>
      <c r="I610" s="19" t="s">
        <v>205</v>
      </c>
      <c r="J610" s="19" t="s">
        <v>87</v>
      </c>
      <c r="K610" s="19" t="s">
        <v>88</v>
      </c>
      <c r="L610" s="19" t="s">
        <v>65</v>
      </c>
      <c r="M610" s="19" t="s">
        <v>633</v>
      </c>
      <c r="N610" s="19" t="s">
        <v>1144</v>
      </c>
      <c r="O610" s="19" t="s">
        <v>633</v>
      </c>
      <c r="P610" s="19" t="s">
        <v>924</v>
      </c>
      <c r="Q610" s="19" t="s">
        <v>1414</v>
      </c>
      <c r="R610" s="19" t="s">
        <v>1918</v>
      </c>
      <c r="S610" s="19" t="s">
        <v>2693</v>
      </c>
      <c r="T610" s="19" t="s">
        <v>53</v>
      </c>
      <c r="U610" s="19" t="s">
        <v>71</v>
      </c>
      <c r="V610" s="19" t="s">
        <v>105</v>
      </c>
      <c r="W610" s="19" t="s">
        <v>96</v>
      </c>
      <c r="X610" s="19" t="s">
        <v>141</v>
      </c>
      <c r="Y610" s="19" t="s">
        <v>141</v>
      </c>
      <c r="Z610" s="19" t="s">
        <v>2694</v>
      </c>
      <c r="AA610" s="19">
        <v>2</v>
      </c>
      <c r="AB610" s="19">
        <v>2</v>
      </c>
      <c r="AC610" s="19" t="s">
        <v>59</v>
      </c>
      <c r="AD610" s="19" t="s">
        <v>924</v>
      </c>
      <c r="AE610" s="19" t="s">
        <v>1552</v>
      </c>
      <c r="AF610" s="19"/>
    </row>
    <row r="611" spans="1:34" customHeight="1" ht="42">
      <c r="A611" s="19">
        <v>603</v>
      </c>
      <c r="B611" s="19" t="s">
        <v>1552</v>
      </c>
      <c r="C611" s="19" t="s">
        <v>2004</v>
      </c>
      <c r="D611" s="19" t="str">
        <f>HYPERLINK("http://henontech.com/fieldsafety/harzard/harzard_show.php?rid=28576&amp;url=harzardrecs.php","挡风网卡销腐烂严重脱落，一人员经过时被掉落的挡风网砸伤肩部，造成肩部外伤，经包扎后继续工作。")</f>
        <v>挡风网卡销腐烂严重脱落，一人员经过时被掉落的挡风网砸伤肩部，造成肩部外伤，经包扎后继续工作。</v>
      </c>
      <c r="E611" s="19" t="s">
        <v>1985</v>
      </c>
      <c r="F611" s="20" t="s">
        <v>42</v>
      </c>
      <c r="G611" s="21" t="s">
        <v>43</v>
      </c>
      <c r="H611" s="19" t="s">
        <v>44</v>
      </c>
      <c r="I611" s="19" t="s">
        <v>129</v>
      </c>
      <c r="J611" s="19" t="s">
        <v>64</v>
      </c>
      <c r="K611" s="19" t="s">
        <v>302</v>
      </c>
      <c r="L611" s="19" t="s">
        <v>65</v>
      </c>
      <c r="M611" s="19" t="s">
        <v>633</v>
      </c>
      <c r="N611" s="19" t="s">
        <v>2695</v>
      </c>
      <c r="O611" s="19" t="s">
        <v>633</v>
      </c>
      <c r="P611" s="19" t="s">
        <v>924</v>
      </c>
      <c r="Q611" s="19" t="s">
        <v>1414</v>
      </c>
      <c r="R611" s="19" t="s">
        <v>2696</v>
      </c>
      <c r="S611" s="19"/>
      <c r="T611" s="19" t="s">
        <v>53</v>
      </c>
      <c r="U611" s="19" t="s">
        <v>71</v>
      </c>
      <c r="V611" s="19" t="s">
        <v>105</v>
      </c>
      <c r="W611" s="19" t="s">
        <v>96</v>
      </c>
      <c r="X611" s="19" t="s">
        <v>141</v>
      </c>
      <c r="Y611" s="19" t="s">
        <v>141</v>
      </c>
      <c r="Z611" s="19" t="s">
        <v>2697</v>
      </c>
      <c r="AA611" s="19">
        <v>2</v>
      </c>
      <c r="AB611" s="19">
        <v>2</v>
      </c>
      <c r="AC611" s="19" t="s">
        <v>59</v>
      </c>
      <c r="AD611" s="19" t="s">
        <v>924</v>
      </c>
      <c r="AE611" s="19" t="s">
        <v>2248</v>
      </c>
      <c r="AF611" s="19"/>
    </row>
    <row r="612" spans="1:34" customHeight="1" ht="42">
      <c r="A612" s="19">
        <v>604</v>
      </c>
      <c r="B612" s="19" t="s">
        <v>1552</v>
      </c>
      <c r="C612" s="19" t="s">
        <v>2004</v>
      </c>
      <c r="D612" s="19" t="str">
        <f>HYPERLINK("http://henontech.com/fieldsafety/harzard/harzard_show.php?rid=28582&amp;url=harzardrecs.php","煤棚西南角水沟盖板缺失，一名操作工在夜间巡查过程中不慎掉落到缺失盖板的水沟内，导致小腿骨折。")</f>
        <v>煤棚西南角水沟盖板缺失，一名操作工在夜间巡查过程中不慎掉落到缺失盖板的水沟内，导致小腿骨折。</v>
      </c>
      <c r="E612" s="19" t="s">
        <v>2698</v>
      </c>
      <c r="F612" s="20" t="s">
        <v>42</v>
      </c>
      <c r="G612" s="21" t="s">
        <v>43</v>
      </c>
      <c r="H612" s="19" t="s">
        <v>44</v>
      </c>
      <c r="I612" s="19" t="s">
        <v>129</v>
      </c>
      <c r="J612" s="19" t="s">
        <v>64</v>
      </c>
      <c r="K612" s="19" t="s">
        <v>79</v>
      </c>
      <c r="L612" s="19" t="s">
        <v>65</v>
      </c>
      <c r="M612" s="19" t="s">
        <v>633</v>
      </c>
      <c r="N612" s="19" t="s">
        <v>2699</v>
      </c>
      <c r="O612" s="19" t="s">
        <v>633</v>
      </c>
      <c r="P612" s="19" t="s">
        <v>924</v>
      </c>
      <c r="Q612" s="19" t="s">
        <v>1414</v>
      </c>
      <c r="R612" s="19" t="s">
        <v>2700</v>
      </c>
      <c r="S612" s="19"/>
      <c r="T612" s="19" t="s">
        <v>53</v>
      </c>
      <c r="U612" s="19" t="s">
        <v>54</v>
      </c>
      <c r="V612" s="19" t="s">
        <v>105</v>
      </c>
      <c r="W612" s="19" t="s">
        <v>72</v>
      </c>
      <c r="X612" s="19" t="s">
        <v>141</v>
      </c>
      <c r="Y612" s="19" t="s">
        <v>141</v>
      </c>
      <c r="Z612" s="19" t="s">
        <v>2701</v>
      </c>
      <c r="AA612" s="19">
        <v>2</v>
      </c>
      <c r="AB612" s="19">
        <v>2</v>
      </c>
      <c r="AC612" s="19" t="s">
        <v>59</v>
      </c>
      <c r="AD612" s="19" t="s">
        <v>924</v>
      </c>
      <c r="AE612" s="19" t="s">
        <v>2248</v>
      </c>
      <c r="AF612" s="19"/>
    </row>
    <row r="613" spans="1:34">
      <c r="A613" s="19">
        <v>605</v>
      </c>
      <c r="B613" s="19" t="s">
        <v>1552</v>
      </c>
      <c r="C613" s="19" t="s">
        <v>1280</v>
      </c>
      <c r="D613" s="19" t="str">
        <f>HYPERLINK("http://henontech.com/fieldsafety/harzard/harzard_show.php?rid=28585&amp;url=harzardrecs.php","干熄焦提升机走行限位保护薄膜破损，一次雨雪天气，该处限位连电导致提升机走行出现故障，影响正常生产。")</f>
        <v>干熄焦提升机走行限位保护薄膜破损，一次雨雪天气，该处限位连电导致提升机走行出现故障，影响正常生产。</v>
      </c>
      <c r="E613" s="19" t="s">
        <v>2702</v>
      </c>
      <c r="F613" s="20" t="s">
        <v>42</v>
      </c>
      <c r="G613" s="21" t="s">
        <v>43</v>
      </c>
      <c r="H613" s="19" t="s">
        <v>44</v>
      </c>
      <c r="I613" s="19"/>
      <c r="J613" s="19" t="s">
        <v>64</v>
      </c>
      <c r="K613" s="19" t="s">
        <v>46</v>
      </c>
      <c r="L613" s="19"/>
      <c r="M613" s="19" t="s">
        <v>49</v>
      </c>
      <c r="N613" s="19" t="s">
        <v>2703</v>
      </c>
      <c r="O613" s="19" t="s">
        <v>49</v>
      </c>
      <c r="P613" s="19" t="s">
        <v>460</v>
      </c>
      <c r="Q613" s="19" t="s">
        <v>2350</v>
      </c>
      <c r="R613" s="19" t="s">
        <v>2704</v>
      </c>
      <c r="S613" s="19" t="s">
        <v>2705</v>
      </c>
      <c r="T613" s="19" t="s">
        <v>104</v>
      </c>
      <c r="U613" s="19" t="s">
        <v>94</v>
      </c>
      <c r="V613" s="19" t="s">
        <v>55</v>
      </c>
      <c r="W613" s="19" t="s">
        <v>96</v>
      </c>
      <c r="X613" s="19" t="s">
        <v>57</v>
      </c>
      <c r="Y613" s="19"/>
      <c r="Z613" s="19" t="s">
        <v>2706</v>
      </c>
      <c r="AA613" s="19">
        <v>1</v>
      </c>
      <c r="AB613" s="19">
        <v>1</v>
      </c>
      <c r="AC613" s="19" t="s">
        <v>59</v>
      </c>
      <c r="AD613" s="19" t="s">
        <v>460</v>
      </c>
      <c r="AE613" s="19" t="s">
        <v>1414</v>
      </c>
      <c r="AF613" s="19"/>
    </row>
    <row r="614" spans="1:34" customHeight="1" ht="42">
      <c r="A614" s="19">
        <v>606</v>
      </c>
      <c r="B614" s="19" t="s">
        <v>1552</v>
      </c>
      <c r="C614" s="19" t="s">
        <v>229</v>
      </c>
      <c r="D614" s="19" t="str">
        <f>HYPERLINK("http://henontech.com/fieldsafety/harzard/harzard_show.php?rid=28591&amp;url=harzardrecs.php","捣煤仓的铁杆用完未按要求摆放")</f>
        <v>捣煤仓的铁杆用完未按要求摆放</v>
      </c>
      <c r="E614" s="19" t="s">
        <v>2707</v>
      </c>
      <c r="F614" s="25" t="s">
        <v>1784</v>
      </c>
      <c r="G614" s="21" t="s">
        <v>43</v>
      </c>
      <c r="H614" s="19" t="s">
        <v>44</v>
      </c>
      <c r="I614" s="19"/>
      <c r="J614" s="19" t="s">
        <v>64</v>
      </c>
      <c r="K614" s="19"/>
      <c r="L614" s="19" t="s">
        <v>662</v>
      </c>
      <c r="M614" s="19" t="s">
        <v>229</v>
      </c>
      <c r="N614" s="19" t="s">
        <v>1778</v>
      </c>
      <c r="O614" s="19" t="s">
        <v>229</v>
      </c>
      <c r="P614" s="19" t="s">
        <v>668</v>
      </c>
      <c r="Q614" s="19" t="s">
        <v>2028</v>
      </c>
      <c r="R614" s="19" t="s">
        <v>2708</v>
      </c>
      <c r="S614" s="19"/>
      <c r="T614" s="19" t="s">
        <v>53</v>
      </c>
      <c r="U614" s="19" t="s">
        <v>71</v>
      </c>
      <c r="V614" s="19" t="s">
        <v>105</v>
      </c>
      <c r="W614" s="19" t="s">
        <v>96</v>
      </c>
      <c r="X614" s="19" t="s">
        <v>57</v>
      </c>
      <c r="Y614" s="19"/>
      <c r="Z614" s="19" t="s">
        <v>2709</v>
      </c>
      <c r="AA614" s="19">
        <v>2</v>
      </c>
      <c r="AB614" s="19"/>
      <c r="AC614" s="19" t="s">
        <v>233</v>
      </c>
      <c r="AD614" s="19"/>
      <c r="AE614" s="19"/>
      <c r="AF614" s="19"/>
    </row>
    <row r="615" spans="1:34">
      <c r="A615" s="19">
        <v>607</v>
      </c>
      <c r="B615" s="19" t="s">
        <v>1552</v>
      </c>
      <c r="C615" s="19" t="s">
        <v>2710</v>
      </c>
      <c r="D615" s="19" t="str">
        <f>HYPERLINK("http://henontech.com/fieldsafety/harzard/harzard_show.php?rid=28592&amp;url=harzardrecs.php","汽轮机滤油机旁电缆未规范敷设，一操作人员在巡检过程中被电缆绊倒，右膝盖着地导致粉粹性骨折，住院治疗一个月，在家休养半年。")</f>
        <v>汽轮机滤油机旁电缆未规范敷设，一操作人员在巡检过程中被电缆绊倒，右膝盖着地导致粉粹性骨折，住院治疗一个月，在家休养半年。</v>
      </c>
      <c r="E615" s="19" t="s">
        <v>2711</v>
      </c>
      <c r="F615" s="20" t="s">
        <v>42</v>
      </c>
      <c r="G615" s="21" t="s">
        <v>43</v>
      </c>
      <c r="H615" s="19" t="s">
        <v>44</v>
      </c>
      <c r="I615" s="19" t="s">
        <v>78</v>
      </c>
      <c r="J615" s="19" t="s">
        <v>64</v>
      </c>
      <c r="K615" s="19" t="s">
        <v>88</v>
      </c>
      <c r="L615" s="19"/>
      <c r="M615" s="19" t="s">
        <v>49</v>
      </c>
      <c r="N615" s="19" t="s">
        <v>2712</v>
      </c>
      <c r="O615" s="19" t="s">
        <v>49</v>
      </c>
      <c r="P615" s="19" t="s">
        <v>460</v>
      </c>
      <c r="Q615" s="19" t="s">
        <v>2350</v>
      </c>
      <c r="R615" s="19" t="s">
        <v>2713</v>
      </c>
      <c r="S615" s="19" t="s">
        <v>2714</v>
      </c>
      <c r="T615" s="19" t="s">
        <v>53</v>
      </c>
      <c r="U615" s="19" t="s">
        <v>54</v>
      </c>
      <c r="V615" s="19" t="s">
        <v>55</v>
      </c>
      <c r="W615" s="19" t="s">
        <v>56</v>
      </c>
      <c r="X615" s="19" t="s">
        <v>141</v>
      </c>
      <c r="Y615" s="19"/>
      <c r="Z615" s="19" t="s">
        <v>2715</v>
      </c>
      <c r="AA615" s="19">
        <v>1</v>
      </c>
      <c r="AB615" s="19">
        <v>1</v>
      </c>
      <c r="AC615" s="19" t="s">
        <v>59</v>
      </c>
      <c r="AD615" s="19" t="s">
        <v>460</v>
      </c>
      <c r="AE615" s="19" t="s">
        <v>1414</v>
      </c>
      <c r="AF615" s="19"/>
    </row>
    <row r="616" spans="1:34">
      <c r="A616" s="19">
        <v>608</v>
      </c>
      <c r="B616" s="19" t="s">
        <v>1552</v>
      </c>
      <c r="C616" s="19" t="s">
        <v>49</v>
      </c>
      <c r="D616" s="19" t="str">
        <f>HYPERLINK("http://henontech.com/fieldsafety/harzard/harzard_show.php?rid=28593&amp;url=harzardrecs.php","环境除尘减速机电机护罩腐烂破损，起不到安全防护作用。如巡检人员疏忽触碰到旋转的叶片，易造成手指挤伤，造成一人损工事故。")</f>
        <v>环境除尘减速机电机护罩腐烂破损，起不到安全防护作用。如巡检人员疏忽触碰到旋转的叶片，易造成手指挤伤，造成一人损工事故。</v>
      </c>
      <c r="E616" s="19" t="s">
        <v>315</v>
      </c>
      <c r="F616" s="20" t="s">
        <v>42</v>
      </c>
      <c r="G616" s="21" t="s">
        <v>43</v>
      </c>
      <c r="H616" s="19" t="s">
        <v>44</v>
      </c>
      <c r="I616" s="19"/>
      <c r="J616" s="19" t="s">
        <v>64</v>
      </c>
      <c r="K616" s="19"/>
      <c r="L616" s="19"/>
      <c r="M616" s="19" t="s">
        <v>49</v>
      </c>
      <c r="N616" s="19" t="s">
        <v>1553</v>
      </c>
      <c r="O616" s="19" t="s">
        <v>49</v>
      </c>
      <c r="P616" s="19" t="s">
        <v>460</v>
      </c>
      <c r="Q616" s="19" t="s">
        <v>2716</v>
      </c>
      <c r="R616" s="19" t="s">
        <v>2717</v>
      </c>
      <c r="S616" s="19" t="s">
        <v>1816</v>
      </c>
      <c r="T616" s="19" t="s">
        <v>53</v>
      </c>
      <c r="U616" s="19" t="s">
        <v>54</v>
      </c>
      <c r="V616" s="19" t="s">
        <v>55</v>
      </c>
      <c r="W616" s="19" t="s">
        <v>56</v>
      </c>
      <c r="X616" s="19" t="s">
        <v>150</v>
      </c>
      <c r="Y616" s="19" t="s">
        <v>150</v>
      </c>
      <c r="Z616" s="19" t="s">
        <v>2718</v>
      </c>
      <c r="AA616" s="19">
        <v>1</v>
      </c>
      <c r="AB616" s="19">
        <v>1</v>
      </c>
      <c r="AC616" s="19" t="s">
        <v>59</v>
      </c>
      <c r="AD616" s="19" t="s">
        <v>460</v>
      </c>
      <c r="AE616" s="19" t="s">
        <v>2719</v>
      </c>
      <c r="AF616" s="19"/>
    </row>
    <row r="617" spans="1:34">
      <c r="A617" s="19">
        <v>609</v>
      </c>
      <c r="B617" s="19" t="s">
        <v>1552</v>
      </c>
      <c r="C617" s="19" t="s">
        <v>1546</v>
      </c>
      <c r="D617" s="19" t="str">
        <f>HYPERLINK("http://henontech.com/fieldsafety/harzard/harzard_show.php?rid=28595&amp;url=harzardrecs.php","干熄焦环境除尘三层西侧踏板锈蚀破损，离地高约10米，未设防护措施，假如一巡检人员经过，踏板断裂，造成一人员高处坠落，送医抢救无效死亡。")</f>
        <v>干熄焦环境除尘三层西侧踏板锈蚀破损，离地高约10米，未设防护措施，假如一巡检人员经过，踏板断裂，造成一人员高处坠落，送医抢救无效死亡。</v>
      </c>
      <c r="E617" s="19" t="s">
        <v>1547</v>
      </c>
      <c r="F617" s="20" t="s">
        <v>42</v>
      </c>
      <c r="G617" s="21" t="s">
        <v>43</v>
      </c>
      <c r="H617" s="19" t="s">
        <v>44</v>
      </c>
      <c r="I617" s="19"/>
      <c r="J617" s="19" t="s">
        <v>64</v>
      </c>
      <c r="K617" s="19"/>
      <c r="L617" s="19"/>
      <c r="M617" s="19" t="s">
        <v>49</v>
      </c>
      <c r="N617" s="19" t="s">
        <v>1548</v>
      </c>
      <c r="O617" s="19" t="s">
        <v>49</v>
      </c>
      <c r="P617" s="19" t="s">
        <v>460</v>
      </c>
      <c r="Q617" s="19" t="s">
        <v>2350</v>
      </c>
      <c r="R617" s="19" t="s">
        <v>2720</v>
      </c>
      <c r="S617" s="19" t="s">
        <v>2721</v>
      </c>
      <c r="T617" s="19" t="s">
        <v>53</v>
      </c>
      <c r="U617" s="19" t="s">
        <v>116</v>
      </c>
      <c r="V617" s="19" t="s">
        <v>55</v>
      </c>
      <c r="W617" s="19" t="s">
        <v>117</v>
      </c>
      <c r="X617" s="19" t="s">
        <v>57</v>
      </c>
      <c r="Y617" s="19"/>
      <c r="Z617" s="19" t="s">
        <v>1563</v>
      </c>
      <c r="AA617" s="19">
        <v>1</v>
      </c>
      <c r="AB617" s="19">
        <v>1</v>
      </c>
      <c r="AC617" s="19" t="s">
        <v>59</v>
      </c>
      <c r="AD617" s="19" t="s">
        <v>460</v>
      </c>
      <c r="AE617" s="19" t="s">
        <v>1949</v>
      </c>
      <c r="AF617" s="19"/>
    </row>
    <row r="618" spans="1:34">
      <c r="A618" s="19">
        <v>610</v>
      </c>
      <c r="B618" s="19" t="s">
        <v>1552</v>
      </c>
      <c r="C618" s="19" t="s">
        <v>2710</v>
      </c>
      <c r="D618" s="19" t="str">
        <f>HYPERLINK("http://henontech.com/fieldsafety/harzard/harzard_show.php?rid=28603&amp;url=harzardrecs.php","炼焦车间汽轮机一层滤油机处滤油电机无接地线，操作人员在滤油时，触碰到电机，因电机漏电导致人员触电造成电伤害，经现场紧急抢救后送医院治疗")</f>
        <v>炼焦车间汽轮机一层滤油机处滤油电机无接地线，操作人员在滤油时，触碰到电机，因电机漏电导致人员触电造成电伤害，经现场紧急抢救后送医院治疗</v>
      </c>
      <c r="E618" s="19" t="s">
        <v>2722</v>
      </c>
      <c r="F618" s="20" t="s">
        <v>42</v>
      </c>
      <c r="G618" s="21" t="s">
        <v>43</v>
      </c>
      <c r="H618" s="19" t="s">
        <v>44</v>
      </c>
      <c r="I618" s="19" t="s">
        <v>78</v>
      </c>
      <c r="J618" s="19" t="s">
        <v>45</v>
      </c>
      <c r="K618" s="19" t="s">
        <v>88</v>
      </c>
      <c r="L618" s="19"/>
      <c r="M618" s="19" t="s">
        <v>49</v>
      </c>
      <c r="N618" s="19" t="s">
        <v>2723</v>
      </c>
      <c r="O618" s="19" t="s">
        <v>49</v>
      </c>
      <c r="P618" s="19" t="s">
        <v>460</v>
      </c>
      <c r="Q618" s="19" t="s">
        <v>2350</v>
      </c>
      <c r="R618" s="19" t="s">
        <v>2724</v>
      </c>
      <c r="S618" s="19" t="s">
        <v>2725</v>
      </c>
      <c r="T618" s="19" t="s">
        <v>53</v>
      </c>
      <c r="U618" s="19" t="s">
        <v>54</v>
      </c>
      <c r="V618" s="19" t="s">
        <v>55</v>
      </c>
      <c r="W618" s="19" t="s">
        <v>56</v>
      </c>
      <c r="X618" s="19" t="s">
        <v>141</v>
      </c>
      <c r="Y618" s="19"/>
      <c r="Z618" s="19" t="s">
        <v>2726</v>
      </c>
      <c r="AA618" s="19">
        <v>1</v>
      </c>
      <c r="AB618" s="19">
        <v>1</v>
      </c>
      <c r="AC618" s="19" t="s">
        <v>59</v>
      </c>
      <c r="AD618" s="19" t="s">
        <v>460</v>
      </c>
      <c r="AE618" s="19" t="s">
        <v>1814</v>
      </c>
      <c r="AF618" s="19"/>
    </row>
    <row r="619" spans="1:34" customHeight="1" ht="42">
      <c r="A619" s="19">
        <v>611</v>
      </c>
      <c r="B619" s="19" t="s">
        <v>1552</v>
      </c>
      <c r="C619" s="19" t="s">
        <v>457</v>
      </c>
      <c r="D619" s="19" t="str">
        <f>HYPERLINK("http://henontech.com/fieldsafety/harzard/harzard_show.php?rid=28617&amp;url=harzardrecs.php","5.5米焦炉炉顶南侧一蒸汽阀门有裂缝，导致蒸汽泄露，烫伤巡检人员腿部，送医治疗，休养7天后复工。")</f>
        <v>5.5米焦炉炉顶南侧一蒸汽阀门有裂缝，导致蒸汽泄露，烫伤巡检人员腿部，送医治疗，休养7天后复工。</v>
      </c>
      <c r="E619" s="19" t="s">
        <v>2727</v>
      </c>
      <c r="F619" s="20" t="s">
        <v>42</v>
      </c>
      <c r="G619" s="21" t="s">
        <v>43</v>
      </c>
      <c r="H619" s="19" t="s">
        <v>44</v>
      </c>
      <c r="I619" s="19" t="s">
        <v>78</v>
      </c>
      <c r="J619" s="19" t="s">
        <v>165</v>
      </c>
      <c r="K619" s="19" t="s">
        <v>79</v>
      </c>
      <c r="L619" s="19" t="s">
        <v>65</v>
      </c>
      <c r="M619" s="19" t="s">
        <v>49</v>
      </c>
      <c r="N619" s="19" t="s">
        <v>316</v>
      </c>
      <c r="O619" s="19" t="s">
        <v>49</v>
      </c>
      <c r="P619" s="19" t="s">
        <v>460</v>
      </c>
      <c r="Q619" s="19" t="s">
        <v>2481</v>
      </c>
      <c r="R619" s="19" t="s">
        <v>2728</v>
      </c>
      <c r="S619" s="19"/>
      <c r="T619" s="19" t="s">
        <v>53</v>
      </c>
      <c r="U619" s="19" t="s">
        <v>54</v>
      </c>
      <c r="V619" s="19" t="s">
        <v>55</v>
      </c>
      <c r="W619" s="19" t="s">
        <v>56</v>
      </c>
      <c r="X619" s="19" t="s">
        <v>57</v>
      </c>
      <c r="Y619" s="19"/>
      <c r="Z619" s="19" t="s">
        <v>2729</v>
      </c>
      <c r="AA619" s="19">
        <v>2</v>
      </c>
      <c r="AB619" s="19">
        <v>2</v>
      </c>
      <c r="AC619" s="19" t="s">
        <v>59</v>
      </c>
      <c r="AD619" s="19" t="s">
        <v>460</v>
      </c>
      <c r="AE619" s="19" t="s">
        <v>1785</v>
      </c>
      <c r="AF619" s="19"/>
    </row>
    <row r="620" spans="1:34" customHeight="1" ht="42">
      <c r="A620" s="19">
        <v>612</v>
      </c>
      <c r="B620" s="19" t="s">
        <v>1552</v>
      </c>
      <c r="C620" s="19" t="s">
        <v>639</v>
      </c>
      <c r="D620" s="19" t="str">
        <f>HYPERLINK("http://henontech.com/fieldsafety/harzard/harzard_show.php?rid=28636&amp;url=harzardrecs.php","脱硫塔护栏在检修时打开，完工后未恢复，一操作工在巡查时，不慎自护栏断开处，掉到地上，摔伤腰部，住院二月，损工半年！")</f>
        <v>脱硫塔护栏在检修时打开，完工后未恢复，一操作工在巡查时，不慎自护栏断开处，掉到地上，摔伤腰部，住院二月，损工半年！</v>
      </c>
      <c r="E620" s="19" t="s">
        <v>2730</v>
      </c>
      <c r="F620" s="25" t="s">
        <v>1784</v>
      </c>
      <c r="G620" s="21" t="s">
        <v>43</v>
      </c>
      <c r="H620" s="19" t="s">
        <v>44</v>
      </c>
      <c r="I620" s="19" t="s">
        <v>205</v>
      </c>
      <c r="J620" s="19"/>
      <c r="K620" s="19" t="s">
        <v>466</v>
      </c>
      <c r="L620" s="19"/>
      <c r="M620" s="19" t="s">
        <v>229</v>
      </c>
      <c r="N620" s="19" t="s">
        <v>961</v>
      </c>
      <c r="O620" s="19" t="s">
        <v>229</v>
      </c>
      <c r="P620" s="19" t="s">
        <v>669</v>
      </c>
      <c r="Q620" s="19" t="s">
        <v>2028</v>
      </c>
      <c r="R620" s="19" t="s">
        <v>639</v>
      </c>
      <c r="S620" s="19"/>
      <c r="T620" s="19" t="s">
        <v>53</v>
      </c>
      <c r="U620" s="19" t="s">
        <v>54</v>
      </c>
      <c r="V620" s="19" t="s">
        <v>105</v>
      </c>
      <c r="W620" s="19" t="s">
        <v>72</v>
      </c>
      <c r="X620" s="19" t="s">
        <v>57</v>
      </c>
      <c r="Y620" s="19"/>
      <c r="Z620" s="19" t="s">
        <v>2731</v>
      </c>
      <c r="AA620" s="19">
        <v>2</v>
      </c>
      <c r="AB620" s="19"/>
      <c r="AC620" s="19" t="s">
        <v>233</v>
      </c>
      <c r="AD620" s="19"/>
      <c r="AE620" s="19"/>
      <c r="AF620" s="19"/>
    </row>
    <row r="621" spans="1:34" customHeight="1" ht="42">
      <c r="A621" s="19">
        <v>613</v>
      </c>
      <c r="B621" s="19" t="s">
        <v>1552</v>
      </c>
      <c r="C621" s="19" t="s">
        <v>489</v>
      </c>
      <c r="D621" s="19" t="str">
        <f>HYPERLINK("http://henontech.com/fieldsafety/harzard/harzard_show.php?rid=28680&amp;url=harzardrecs.php","5.5米焦炉筛焦除尘烟囱出现裂痕，一旦裂痕扩大可能造成上部的烟囱掉落，损坏筛焦除尘气缸及反吹系统，造成财产损失及环境污染事件。")</f>
        <v>5.5米焦炉筛焦除尘烟囱出现裂痕，一旦裂痕扩大可能造成上部的烟囱掉落，损坏筛焦除尘气缸及反吹系统，造成财产损失及环境污染事件。</v>
      </c>
      <c r="E621" s="19" t="s">
        <v>2732</v>
      </c>
      <c r="F621" s="20" t="s">
        <v>42</v>
      </c>
      <c r="G621" s="21" t="s">
        <v>43</v>
      </c>
      <c r="H621" s="19" t="s">
        <v>44</v>
      </c>
      <c r="I621" s="19"/>
      <c r="J621" s="19" t="s">
        <v>64</v>
      </c>
      <c r="K621" s="19" t="s">
        <v>302</v>
      </c>
      <c r="L621" s="19"/>
      <c r="M621" s="19" t="s">
        <v>49</v>
      </c>
      <c r="N621" s="19" t="s">
        <v>2733</v>
      </c>
      <c r="O621" s="19" t="s">
        <v>49</v>
      </c>
      <c r="P621" s="19" t="s">
        <v>460</v>
      </c>
      <c r="Q621" s="19" t="s">
        <v>2481</v>
      </c>
      <c r="R621" s="19" t="s">
        <v>2734</v>
      </c>
      <c r="S621" s="19"/>
      <c r="T621" s="19" t="s">
        <v>104</v>
      </c>
      <c r="U621" s="19" t="s">
        <v>71</v>
      </c>
      <c r="V621" s="19" t="s">
        <v>95</v>
      </c>
      <c r="W621" s="19" t="s">
        <v>56</v>
      </c>
      <c r="X621" s="19" t="s">
        <v>57</v>
      </c>
      <c r="Y621" s="19"/>
      <c r="Z621" s="19" t="s">
        <v>2735</v>
      </c>
      <c r="AA621" s="19">
        <v>2</v>
      </c>
      <c r="AB621" s="19">
        <v>2</v>
      </c>
      <c r="AC621" s="19" t="s">
        <v>59</v>
      </c>
      <c r="AD621" s="19" t="s">
        <v>460</v>
      </c>
      <c r="AE621" s="19" t="s">
        <v>1414</v>
      </c>
      <c r="AF621" s="19"/>
    </row>
    <row r="622" spans="1:34" customHeight="1" ht="42">
      <c r="A622" s="19">
        <v>614</v>
      </c>
      <c r="B622" s="19" t="s">
        <v>1552</v>
      </c>
      <c r="C622" s="19" t="s">
        <v>1580</v>
      </c>
      <c r="D622" s="19" t="str">
        <f>HYPERLINK("http://henontech.com/fieldsafety/harzard/harzard_show.php?rid=28699&amp;url=harzardrecs.php","配电室内漏水，一旦水滴落在电气设备上造成短路导致引起火灾，烧损电缆，送煤车无法正常运行，5.5米焦炉停止出焦。")</f>
        <v>配电室内漏水，一旦水滴落在电气设备上造成短路导致引起火灾，烧损电缆，送煤车无法正常运行，5.5米焦炉停止出焦。</v>
      </c>
      <c r="E622" s="19" t="s">
        <v>2736</v>
      </c>
      <c r="F622" s="20" t="s">
        <v>42</v>
      </c>
      <c r="G622" s="21" t="s">
        <v>43</v>
      </c>
      <c r="H622" s="19" t="s">
        <v>44</v>
      </c>
      <c r="I622" s="19"/>
      <c r="J622" s="19" t="s">
        <v>64</v>
      </c>
      <c r="K622" s="19"/>
      <c r="L622" s="19"/>
      <c r="M622" s="19" t="s">
        <v>49</v>
      </c>
      <c r="N622" s="19" t="s">
        <v>1395</v>
      </c>
      <c r="O622" s="19" t="s">
        <v>49</v>
      </c>
      <c r="P622" s="19" t="s">
        <v>460</v>
      </c>
      <c r="Q622" s="19" t="s">
        <v>2481</v>
      </c>
      <c r="R622" s="19" t="s">
        <v>2737</v>
      </c>
      <c r="S622" s="19"/>
      <c r="T622" s="19" t="s">
        <v>104</v>
      </c>
      <c r="U622" s="19" t="s">
        <v>71</v>
      </c>
      <c r="V622" s="19" t="s">
        <v>55</v>
      </c>
      <c r="W622" s="19" t="s">
        <v>72</v>
      </c>
      <c r="X622" s="19" t="s">
        <v>57</v>
      </c>
      <c r="Y622" s="19"/>
      <c r="Z622" s="19" t="s">
        <v>2738</v>
      </c>
      <c r="AA622" s="19">
        <v>2</v>
      </c>
      <c r="AB622" s="19">
        <v>2</v>
      </c>
      <c r="AC622" s="19" t="s">
        <v>59</v>
      </c>
      <c r="AD622" s="19" t="s">
        <v>460</v>
      </c>
      <c r="AE622" s="19" t="s">
        <v>1814</v>
      </c>
      <c r="AF622" s="19"/>
    </row>
    <row r="623" spans="1:34">
      <c r="A623" s="19">
        <v>615</v>
      </c>
      <c r="B623" s="19" t="s">
        <v>1552</v>
      </c>
      <c r="C623" s="19" t="s">
        <v>934</v>
      </c>
      <c r="D623" s="19" t="str">
        <f>HYPERLINK("http://henontech.com/fieldsafety/harzard/harzard_show.php?rid=28729&amp;url=harzardrecs.php","东一3#给料机电机接地线在使用中脱落，如电机在使用中出现漏电，易造成烧毁电机等设备损坏。")</f>
        <v>东一3#给料机电机接地线在使用中脱落，如电机在使用中出现漏电，易造成烧毁电机等设备损坏。</v>
      </c>
      <c r="E623" s="19" t="s">
        <v>2739</v>
      </c>
      <c r="F623" s="20" t="s">
        <v>42</v>
      </c>
      <c r="G623" s="21" t="s">
        <v>43</v>
      </c>
      <c r="H623" s="19" t="s">
        <v>44</v>
      </c>
      <c r="I623" s="19" t="s">
        <v>205</v>
      </c>
      <c r="J623" s="19" t="s">
        <v>112</v>
      </c>
      <c r="K623" s="19" t="s">
        <v>88</v>
      </c>
      <c r="L623" s="19"/>
      <c r="M623" s="19" t="s">
        <v>633</v>
      </c>
      <c r="N623" s="19" t="s">
        <v>1124</v>
      </c>
      <c r="O623" s="19" t="s">
        <v>633</v>
      </c>
      <c r="P623" s="19" t="s">
        <v>1268</v>
      </c>
      <c r="Q623" s="19" t="s">
        <v>2481</v>
      </c>
      <c r="R623" s="19" t="s">
        <v>2273</v>
      </c>
      <c r="S623" s="19"/>
      <c r="T623" s="19" t="s">
        <v>104</v>
      </c>
      <c r="U623" s="19" t="s">
        <v>94</v>
      </c>
      <c r="V623" s="19" t="s">
        <v>55</v>
      </c>
      <c r="W623" s="19" t="s">
        <v>96</v>
      </c>
      <c r="X623" s="19"/>
      <c r="Y623" s="19"/>
      <c r="Z623" s="19" t="s">
        <v>2740</v>
      </c>
      <c r="AA623" s="19">
        <v>1</v>
      </c>
      <c r="AB623" s="19">
        <v>1</v>
      </c>
      <c r="AC623" s="19" t="s">
        <v>59</v>
      </c>
      <c r="AD623" s="19" t="s">
        <v>1268</v>
      </c>
      <c r="AE623" s="19" t="s">
        <v>1552</v>
      </c>
      <c r="AF623" s="19"/>
    </row>
    <row r="624" spans="1:34">
      <c r="A624" s="19">
        <v>616</v>
      </c>
      <c r="B624" s="19" t="s">
        <v>1552</v>
      </c>
      <c r="C624" s="19" t="s">
        <v>934</v>
      </c>
      <c r="D624" s="19" t="str">
        <f>HYPERLINK("http://henontech.com/fieldsafety/harzard/harzard_show.php?rid=28736&amp;url=harzardrecs.php","2#煤场2#料口基础钢筋外漏，操作工一旦不注意在操作时易绊倒磕伤！")</f>
        <v>2#煤场2#料口基础钢筋外漏，操作工一旦不注意在操作时易绊倒磕伤！</v>
      </c>
      <c r="E624" s="19" t="s">
        <v>2741</v>
      </c>
      <c r="F624" s="20" t="s">
        <v>42</v>
      </c>
      <c r="G624" s="21" t="s">
        <v>43</v>
      </c>
      <c r="H624" s="19" t="s">
        <v>44</v>
      </c>
      <c r="I624" s="19" t="s">
        <v>78</v>
      </c>
      <c r="J624" s="19" t="s">
        <v>45</v>
      </c>
      <c r="K624" s="19" t="s">
        <v>79</v>
      </c>
      <c r="L624" s="19" t="s">
        <v>65</v>
      </c>
      <c r="M624" s="19" t="s">
        <v>633</v>
      </c>
      <c r="N624" s="19" t="s">
        <v>2742</v>
      </c>
      <c r="O624" s="19" t="s">
        <v>633</v>
      </c>
      <c r="P624" s="19" t="s">
        <v>1268</v>
      </c>
      <c r="Q624" s="19" t="s">
        <v>2481</v>
      </c>
      <c r="R624" s="19" t="s">
        <v>2743</v>
      </c>
      <c r="S624" s="19"/>
      <c r="T624" s="19" t="s">
        <v>53</v>
      </c>
      <c r="U624" s="19" t="s">
        <v>71</v>
      </c>
      <c r="V624" s="19" t="s">
        <v>105</v>
      </c>
      <c r="W624" s="19" t="s">
        <v>96</v>
      </c>
      <c r="X624" s="19"/>
      <c r="Y624" s="19"/>
      <c r="Z624" s="19" t="s">
        <v>2744</v>
      </c>
      <c r="AA624" s="19">
        <v>1</v>
      </c>
      <c r="AB624" s="19">
        <v>1</v>
      </c>
      <c r="AC624" s="19" t="s">
        <v>59</v>
      </c>
      <c r="AD624" s="19" t="s">
        <v>1268</v>
      </c>
      <c r="AE624" s="19" t="s">
        <v>1552</v>
      </c>
      <c r="AF624" s="19"/>
    </row>
    <row r="625" spans="1:34">
      <c r="A625" s="19">
        <v>617</v>
      </c>
      <c r="B625" s="19" t="s">
        <v>1552</v>
      </c>
      <c r="C625" s="19" t="s">
        <v>229</v>
      </c>
      <c r="D625" s="19" t="str">
        <f>HYPERLINK("http://henontech.com/fieldsafety/harzard/harzard_show.php?rid=28771&amp;url=harzardrecs.php","一操作工巡检时不慎踩破盖板，跌入地沟，小腿骨折")</f>
        <v>一操作工巡检时不慎踩破盖板，跌入地沟，小腿骨折</v>
      </c>
      <c r="E625" s="19" t="s">
        <v>2745</v>
      </c>
      <c r="F625" s="23" t="s">
        <v>227</v>
      </c>
      <c r="G625" s="21" t="s">
        <v>43</v>
      </c>
      <c r="H625" s="19" t="s">
        <v>44</v>
      </c>
      <c r="I625" s="19"/>
      <c r="J625" s="19" t="s">
        <v>45</v>
      </c>
      <c r="K625" s="19" t="s">
        <v>302</v>
      </c>
      <c r="L625" s="19"/>
      <c r="M625" s="19" t="s">
        <v>229</v>
      </c>
      <c r="N625" s="19" t="s">
        <v>1780</v>
      </c>
      <c r="O625" s="19"/>
      <c r="P625" s="19"/>
      <c r="Q625" s="19"/>
      <c r="R625" s="19" t="s">
        <v>2746</v>
      </c>
      <c r="S625" s="19" t="s">
        <v>2747</v>
      </c>
      <c r="T625" s="19" t="s">
        <v>53</v>
      </c>
      <c r="U625" s="19" t="s">
        <v>71</v>
      </c>
      <c r="V625" s="19" t="s">
        <v>105</v>
      </c>
      <c r="W625" s="19" t="s">
        <v>96</v>
      </c>
      <c r="X625" s="19"/>
      <c r="Y625" s="19"/>
      <c r="Z625" s="19"/>
      <c r="AA625" s="19">
        <v>0</v>
      </c>
      <c r="AB625" s="19"/>
      <c r="AC625" s="19" t="s">
        <v>233</v>
      </c>
      <c r="AD625" s="19"/>
      <c r="AE625" s="19"/>
      <c r="AF625" s="19"/>
    </row>
    <row r="626" spans="1:34">
      <c r="A626" s="19">
        <v>618</v>
      </c>
      <c r="B626" s="19" t="s">
        <v>1552</v>
      </c>
      <c r="C626" s="19" t="s">
        <v>2748</v>
      </c>
      <c r="D626" s="19" t="str">
        <f>HYPERLINK("http://henontech.com/fieldsafety/harzard/harzard_show.php?rid=28778&amp;url=harzardrecs.php","两盐门前地沟盖板缺失")</f>
        <v>两盐门前地沟盖板缺失</v>
      </c>
      <c r="E626" s="19" t="s">
        <v>2749</v>
      </c>
      <c r="F626" s="26" t="s">
        <v>2286</v>
      </c>
      <c r="G626" s="19"/>
      <c r="H626" s="19" t="s">
        <v>44</v>
      </c>
      <c r="I626" s="19" t="s">
        <v>78</v>
      </c>
      <c r="J626" s="19" t="s">
        <v>64</v>
      </c>
      <c r="K626" s="19"/>
      <c r="L626" s="19" t="s">
        <v>65</v>
      </c>
      <c r="M626" s="19" t="s">
        <v>66</v>
      </c>
      <c r="N626" s="19" t="s">
        <v>2750</v>
      </c>
      <c r="O626" s="19"/>
      <c r="P626" s="19"/>
      <c r="Q626" s="19"/>
      <c r="R626" s="19" t="s">
        <v>2751</v>
      </c>
      <c r="S626" s="19"/>
      <c r="T626" s="19" t="s">
        <v>53</v>
      </c>
      <c r="U626" s="19" t="s">
        <v>71</v>
      </c>
      <c r="V626" s="19" t="s">
        <v>105</v>
      </c>
      <c r="W626" s="19" t="s">
        <v>96</v>
      </c>
      <c r="X626" s="19"/>
      <c r="Y626" s="19"/>
      <c r="Z626" s="19"/>
      <c r="AA626" s="19"/>
      <c r="AB626" s="19"/>
      <c r="AC626" s="19" t="s">
        <v>233</v>
      </c>
      <c r="AD626" s="19"/>
      <c r="AE626" s="19"/>
      <c r="AF626" s="19"/>
    </row>
    <row r="627" spans="1:34">
      <c r="A627" s="19">
        <v>619</v>
      </c>
      <c r="B627" s="19" t="s">
        <v>2248</v>
      </c>
      <c r="C627" s="19" t="s">
        <v>256</v>
      </c>
      <c r="D627" s="19" t="str">
        <f>HYPERLINK("http://henontech.com/fieldsafety/harzard/harzard_show.php?rid=28789&amp;url=harzardrecs.php","西硫铵1＃满流槽顶部加酸管道，因长年使用造成加酸管道弯头焊口处腐蚀严重并泄露硫酸，如果一名操作工巡检满流槽时，正好被弯头焊口处喷溅出来硫酸，喷溅到脸上造成人员脸部大面积灼伤，送医治疗三个月后康复。")</f>
        <v>西硫铵1＃满流槽顶部加酸管道，因长年使用造成加酸管道弯头焊口处腐蚀严重并泄露硫酸，如果一名操作工巡检满流槽时，正好被弯头焊口处喷溅出来硫酸，喷溅到脸上造成人员脸部大面积灼伤，送医治疗三个月后康复。</v>
      </c>
      <c r="E627" s="19" t="s">
        <v>2752</v>
      </c>
      <c r="F627" s="25" t="s">
        <v>1784</v>
      </c>
      <c r="G627" s="21" t="s">
        <v>43</v>
      </c>
      <c r="H627" s="19" t="s">
        <v>44</v>
      </c>
      <c r="I627" s="19" t="s">
        <v>129</v>
      </c>
      <c r="J627" s="19" t="s">
        <v>650</v>
      </c>
      <c r="K627" s="19" t="s">
        <v>79</v>
      </c>
      <c r="L627" s="19" t="s">
        <v>65</v>
      </c>
      <c r="M627" s="19" t="s">
        <v>66</v>
      </c>
      <c r="N627" s="19" t="s">
        <v>1046</v>
      </c>
      <c r="O627" s="19" t="s">
        <v>66</v>
      </c>
      <c r="P627" s="19" t="s">
        <v>68</v>
      </c>
      <c r="Q627" s="19" t="s">
        <v>2176</v>
      </c>
      <c r="R627" s="19" t="s">
        <v>2753</v>
      </c>
      <c r="S627" s="19"/>
      <c r="T627" s="19" t="s">
        <v>53</v>
      </c>
      <c r="U627" s="19" t="s">
        <v>54</v>
      </c>
      <c r="V627" s="19" t="s">
        <v>105</v>
      </c>
      <c r="W627" s="19" t="s">
        <v>72</v>
      </c>
      <c r="X627" s="19"/>
      <c r="Y627" s="19"/>
      <c r="Z627" s="19" t="s">
        <v>2754</v>
      </c>
      <c r="AA627" s="19">
        <v>1</v>
      </c>
      <c r="AB627" s="19"/>
      <c r="AC627" s="19" t="s">
        <v>233</v>
      </c>
      <c r="AD627" s="19"/>
      <c r="AE627" s="19"/>
      <c r="AF627" s="19"/>
    </row>
    <row r="628" spans="1:34">
      <c r="A628" s="19">
        <v>620</v>
      </c>
      <c r="B628" s="19" t="s">
        <v>2248</v>
      </c>
      <c r="C628" s="19" t="s">
        <v>656</v>
      </c>
      <c r="D628" s="19" t="str">
        <f>HYPERLINK("http://henontech.com/fieldsafety/harzard/harzard_show.php?rid=28797&amp;url=harzardrecs.php","西三一备用滚筒存放未固定，职工途经时，一旦滚筒因振动移动位置，会造成职工脚部轻微擦伤，到医务室敷药后继续上岗作业。")</f>
        <v>西三一备用滚筒存放未固定，职工途经时，一旦滚筒因振动移动位置，会造成职工脚部轻微擦伤，到医务室敷药后继续上岗作业。</v>
      </c>
      <c r="E628" s="19" t="s">
        <v>2755</v>
      </c>
      <c r="F628" s="20" t="s">
        <v>42</v>
      </c>
      <c r="G628" s="21" t="s">
        <v>43</v>
      </c>
      <c r="H628" s="19" t="s">
        <v>44</v>
      </c>
      <c r="I628" s="19" t="s">
        <v>78</v>
      </c>
      <c r="J628" s="19" t="s">
        <v>45</v>
      </c>
      <c r="K628" s="19" t="s">
        <v>88</v>
      </c>
      <c r="L628" s="19" t="s">
        <v>662</v>
      </c>
      <c r="M628" s="19" t="s">
        <v>633</v>
      </c>
      <c r="N628" s="19" t="s">
        <v>2756</v>
      </c>
      <c r="O628" s="19" t="s">
        <v>633</v>
      </c>
      <c r="P628" s="19" t="s">
        <v>634</v>
      </c>
      <c r="Q628" s="19" t="s">
        <v>1795</v>
      </c>
      <c r="R628" s="19" t="s">
        <v>2137</v>
      </c>
      <c r="S628" s="19"/>
      <c r="T628" s="19" t="s">
        <v>53</v>
      </c>
      <c r="U628" s="19" t="s">
        <v>71</v>
      </c>
      <c r="V628" s="19" t="s">
        <v>55</v>
      </c>
      <c r="W628" s="19" t="s">
        <v>72</v>
      </c>
      <c r="X628" s="19"/>
      <c r="Y628" s="19"/>
      <c r="Z628" s="19" t="s">
        <v>2757</v>
      </c>
      <c r="AA628" s="19">
        <v>1</v>
      </c>
      <c r="AB628" s="19">
        <v>1</v>
      </c>
      <c r="AC628" s="19" t="s">
        <v>59</v>
      </c>
      <c r="AD628" s="19" t="s">
        <v>634</v>
      </c>
      <c r="AE628" s="19" t="s">
        <v>1795</v>
      </c>
      <c r="AF628" s="19"/>
    </row>
    <row r="629" spans="1:34">
      <c r="A629" s="19">
        <v>621</v>
      </c>
      <c r="B629" s="19" t="s">
        <v>2248</v>
      </c>
      <c r="C629" s="19" t="s">
        <v>2758</v>
      </c>
      <c r="D629" s="19" t="str">
        <f>HYPERLINK("http://henontech.com/fieldsafety/harzard/harzard_show.php?rid=28902&amp;url=harzardrecs.php","2020年11月27日早上7点30分东风机拆除现场一施工人员未系安全带爬到框架顶进行高空施工，框架下废材摆放杂乱存在很大的安全隐患，人员一但踩空或框架倒塌将会造成伤亡事故。发现后及时制止并对其批评教育")</f>
        <v>2020年11月27日早上7点30分东风机拆除现场一施工人员未系安全带爬到框架顶进行高空施工，框架下废材摆放杂乱存在很大的安全隐患，人员一但踩空或框架倒塌将会造成伤亡事故。发现后及时制止并对其批评教育</v>
      </c>
      <c r="E629" s="19" t="s">
        <v>2759</v>
      </c>
      <c r="F629" s="25" t="s">
        <v>1784</v>
      </c>
      <c r="G629" s="21" t="s">
        <v>43</v>
      </c>
      <c r="H629" s="19" t="s">
        <v>44</v>
      </c>
      <c r="I629" s="19" t="s">
        <v>78</v>
      </c>
      <c r="J629" s="19" t="s">
        <v>45</v>
      </c>
      <c r="K629" s="19" t="s">
        <v>466</v>
      </c>
      <c r="L629" s="19" t="s">
        <v>65</v>
      </c>
      <c r="M629" s="19" t="s">
        <v>66</v>
      </c>
      <c r="N629" s="19" t="s">
        <v>2760</v>
      </c>
      <c r="O629" s="19" t="s">
        <v>66</v>
      </c>
      <c r="P629" s="19" t="s">
        <v>68</v>
      </c>
      <c r="Q629" s="19" t="s">
        <v>2176</v>
      </c>
      <c r="R629" s="19" t="s">
        <v>2761</v>
      </c>
      <c r="S629" s="19"/>
      <c r="T629" s="19" t="s">
        <v>53</v>
      </c>
      <c r="U629" s="19" t="s">
        <v>94</v>
      </c>
      <c r="V629" s="19" t="s">
        <v>105</v>
      </c>
      <c r="W629" s="19" t="s">
        <v>96</v>
      </c>
      <c r="X629" s="19"/>
      <c r="Y629" s="19"/>
      <c r="Z629" s="19" t="s">
        <v>2762</v>
      </c>
      <c r="AA629" s="19">
        <v>1</v>
      </c>
      <c r="AB629" s="19"/>
      <c r="AC629" s="19" t="s">
        <v>233</v>
      </c>
      <c r="AD629" s="19"/>
      <c r="AE629" s="19"/>
      <c r="AF629" s="19"/>
    </row>
    <row r="630" spans="1:34">
      <c r="A630" s="19">
        <v>622</v>
      </c>
      <c r="B630" s="19" t="s">
        <v>2248</v>
      </c>
      <c r="C630" s="19" t="s">
        <v>2763</v>
      </c>
      <c r="D630" s="19" t="str">
        <f>HYPERLINK("http://henontech.com/fieldsafety/harzard/harzard_show.php?rid=28976&amp;url=harzardrecs.php","中控室墙边一电线接头破损，一职工经过时误触接头，由于摆脱及时，造成左腿短时间麻痹，休息一会后，继续工作")</f>
        <v>中控室墙边一电线接头破损，一职工经过时误触接头，由于摆脱及时，造成左腿短时间麻痹，休息一会后，继续工作</v>
      </c>
      <c r="E630" s="19" t="s">
        <v>2764</v>
      </c>
      <c r="F630" s="20" t="s">
        <v>42</v>
      </c>
      <c r="G630" s="24" t="s">
        <v>534</v>
      </c>
      <c r="H630" s="19" t="s">
        <v>44</v>
      </c>
      <c r="I630" s="19" t="s">
        <v>78</v>
      </c>
      <c r="J630" s="19" t="s">
        <v>64</v>
      </c>
      <c r="K630" s="19"/>
      <c r="L630" s="19"/>
      <c r="M630" s="19" t="s">
        <v>633</v>
      </c>
      <c r="N630" s="19" t="s">
        <v>2765</v>
      </c>
      <c r="O630" s="19" t="s">
        <v>633</v>
      </c>
      <c r="P630" s="19" t="s">
        <v>1268</v>
      </c>
      <c r="Q630" s="19" t="s">
        <v>2350</v>
      </c>
      <c r="R630" s="19" t="s">
        <v>2766</v>
      </c>
      <c r="S630" s="19"/>
      <c r="T630" s="19" t="s">
        <v>53</v>
      </c>
      <c r="U630" s="19" t="s">
        <v>71</v>
      </c>
      <c r="V630" s="19" t="s">
        <v>55</v>
      </c>
      <c r="W630" s="19" t="s">
        <v>72</v>
      </c>
      <c r="X630" s="19"/>
      <c r="Y630" s="19"/>
      <c r="Z630" s="19" t="s">
        <v>2767</v>
      </c>
      <c r="AA630" s="19">
        <v>1</v>
      </c>
      <c r="AB630" s="19">
        <v>1</v>
      </c>
      <c r="AC630" s="19" t="s">
        <v>59</v>
      </c>
      <c r="AD630" s="19" t="s">
        <v>1268</v>
      </c>
      <c r="AE630" s="19" t="s">
        <v>2248</v>
      </c>
      <c r="AF630" s="19"/>
    </row>
    <row r="631" spans="1:34">
      <c r="A631" s="19">
        <v>623</v>
      </c>
      <c r="B631" s="19" t="s">
        <v>2248</v>
      </c>
      <c r="C631" s="19" t="s">
        <v>2004</v>
      </c>
      <c r="D631" s="19" t="str">
        <f>HYPERLINK("http://henontech.com/fieldsafety/harzard/harzard_show.php?rid=29170&amp;url=harzardrecs.php","清理卫生的拖把未定置摆放，放在皮带机护栏上，一旦掉在皮带上，造成皮带划伤。")</f>
        <v>清理卫生的拖把未定置摆放，放在皮带机护栏上，一旦掉在皮带上，造成皮带划伤。</v>
      </c>
      <c r="E631" s="19" t="s">
        <v>2574</v>
      </c>
      <c r="F631" s="20" t="s">
        <v>42</v>
      </c>
      <c r="G631" s="21" t="s">
        <v>43</v>
      </c>
      <c r="H631" s="19" t="s">
        <v>44</v>
      </c>
      <c r="I631" s="19" t="s">
        <v>78</v>
      </c>
      <c r="J631" s="19"/>
      <c r="K631" s="19"/>
      <c r="L631" s="19" t="s">
        <v>65</v>
      </c>
      <c r="M631" s="19" t="s">
        <v>633</v>
      </c>
      <c r="N631" s="19" t="s">
        <v>2768</v>
      </c>
      <c r="O631" s="19" t="s">
        <v>633</v>
      </c>
      <c r="P631" s="19" t="s">
        <v>1268</v>
      </c>
      <c r="Q631" s="19" t="s">
        <v>2769</v>
      </c>
      <c r="R631" s="19" t="s">
        <v>2384</v>
      </c>
      <c r="S631" s="19"/>
      <c r="T631" s="19" t="s">
        <v>104</v>
      </c>
      <c r="U631" s="19" t="s">
        <v>94</v>
      </c>
      <c r="V631" s="19" t="s">
        <v>55</v>
      </c>
      <c r="W631" s="19" t="s">
        <v>96</v>
      </c>
      <c r="X631" s="19"/>
      <c r="Y631" s="19"/>
      <c r="Z631" s="19" t="s">
        <v>2770</v>
      </c>
      <c r="AA631" s="19">
        <v>1</v>
      </c>
      <c r="AB631" s="19">
        <v>1</v>
      </c>
      <c r="AC631" s="19" t="s">
        <v>59</v>
      </c>
      <c r="AD631" s="19" t="s">
        <v>1268</v>
      </c>
      <c r="AE631" s="19" t="s">
        <v>1799</v>
      </c>
      <c r="AF631" s="19"/>
    </row>
    <row r="632" spans="1:34">
      <c r="A632" s="19">
        <v>624</v>
      </c>
      <c r="B632" s="19" t="s">
        <v>2248</v>
      </c>
      <c r="C632" s="19" t="s">
        <v>2004</v>
      </c>
      <c r="D632" s="19" t="str">
        <f>HYPERLINK("http://henontech.com/fieldsafety/harzard/harzard_show.php?rid=29172&amp;url=harzardrecs.php","校正工具未按规定放置，人员路过工具倾倒时，对人员造成伤害，")</f>
        <v>校正工具未按规定放置，人员路过工具倾倒时，对人员造成伤害，</v>
      </c>
      <c r="E632" s="19" t="s">
        <v>53</v>
      </c>
      <c r="F632" s="20" t="s">
        <v>42</v>
      </c>
      <c r="G632" s="21" t="s">
        <v>43</v>
      </c>
      <c r="H632" s="19" t="s">
        <v>44</v>
      </c>
      <c r="I632" s="19" t="s">
        <v>78</v>
      </c>
      <c r="J632" s="19" t="s">
        <v>64</v>
      </c>
      <c r="K632" s="19" t="s">
        <v>88</v>
      </c>
      <c r="L632" s="19" t="s">
        <v>65</v>
      </c>
      <c r="M632" s="19" t="s">
        <v>633</v>
      </c>
      <c r="N632" s="19" t="s">
        <v>2771</v>
      </c>
      <c r="O632" s="19" t="s">
        <v>633</v>
      </c>
      <c r="P632" s="19" t="s">
        <v>1268</v>
      </c>
      <c r="Q632" s="19" t="s">
        <v>2769</v>
      </c>
      <c r="R632" s="19" t="s">
        <v>2384</v>
      </c>
      <c r="S632" s="19"/>
      <c r="T632" s="19" t="s">
        <v>53</v>
      </c>
      <c r="U632" s="19" t="s">
        <v>71</v>
      </c>
      <c r="V632" s="19" t="s">
        <v>105</v>
      </c>
      <c r="W632" s="19" t="s">
        <v>96</v>
      </c>
      <c r="X632" s="19"/>
      <c r="Y632" s="19"/>
      <c r="Z632" s="19" t="s">
        <v>2772</v>
      </c>
      <c r="AA632" s="19">
        <v>1</v>
      </c>
      <c r="AB632" s="19">
        <v>1</v>
      </c>
      <c r="AC632" s="19" t="s">
        <v>59</v>
      </c>
      <c r="AD632" s="19" t="s">
        <v>1268</v>
      </c>
      <c r="AE632" s="19" t="s">
        <v>1799</v>
      </c>
      <c r="AF632" s="19"/>
    </row>
    <row r="633" spans="1:34">
      <c r="A633" s="19">
        <v>625</v>
      </c>
      <c r="B633" s="19" t="s">
        <v>2248</v>
      </c>
      <c r="C633" s="19" t="s">
        <v>1915</v>
      </c>
      <c r="D633" s="19" t="str">
        <f>HYPERLINK("http://henontech.com/fieldsafety/harzard/harzard_show.php?rid=29212&amp;url=harzardrecs.php","东五卸料器底部的托辊轴承损坏，一旦损坏的托辊受压脱落两侧的卡槽，托辊卷入机尾滚筒中，会造成皮带划伤，停车检修")</f>
        <v>东五卸料器底部的托辊轴承损坏，一旦损坏的托辊受压脱落两侧的卡槽，托辊卷入机尾滚筒中，会造成皮带划伤，停车检修</v>
      </c>
      <c r="E633" s="19" t="s">
        <v>2773</v>
      </c>
      <c r="F633" s="20" t="s">
        <v>42</v>
      </c>
      <c r="G633" s="21" t="s">
        <v>43</v>
      </c>
      <c r="H633" s="19" t="s">
        <v>44</v>
      </c>
      <c r="I633" s="19" t="s">
        <v>78</v>
      </c>
      <c r="J633" s="19"/>
      <c r="K633" s="19"/>
      <c r="L633" s="19" t="s">
        <v>65</v>
      </c>
      <c r="M633" s="19" t="s">
        <v>633</v>
      </c>
      <c r="N633" s="19" t="s">
        <v>2774</v>
      </c>
      <c r="O633" s="19" t="s">
        <v>633</v>
      </c>
      <c r="P633" s="19" t="s">
        <v>1268</v>
      </c>
      <c r="Q633" s="19" t="s">
        <v>2769</v>
      </c>
      <c r="R633" s="19" t="s">
        <v>1935</v>
      </c>
      <c r="S633" s="19"/>
      <c r="T633" s="19" t="s">
        <v>104</v>
      </c>
      <c r="U633" s="19" t="s">
        <v>94</v>
      </c>
      <c r="V633" s="19" t="s">
        <v>55</v>
      </c>
      <c r="W633" s="19" t="s">
        <v>96</v>
      </c>
      <c r="X633" s="19"/>
      <c r="Y633" s="19"/>
      <c r="Z633" s="19" t="s">
        <v>2775</v>
      </c>
      <c r="AA633" s="19">
        <v>1</v>
      </c>
      <c r="AB633" s="19">
        <v>1</v>
      </c>
      <c r="AC633" s="19" t="s">
        <v>59</v>
      </c>
      <c r="AD633" s="19" t="s">
        <v>1268</v>
      </c>
      <c r="AE633" s="19" t="s">
        <v>1799</v>
      </c>
      <c r="AF633" s="19"/>
    </row>
    <row r="634" spans="1:34">
      <c r="A634" s="19">
        <v>626</v>
      </c>
      <c r="B634" s="19" t="s">
        <v>2248</v>
      </c>
      <c r="C634" s="19" t="s">
        <v>229</v>
      </c>
      <c r="D634" s="19" t="str">
        <f>HYPERLINK("http://henontech.com/fieldsafety/harzard/harzard_show.php?rid=29245&amp;url=harzardrecs.php","巡检时发现污水反渗透ORP探头接头处漏水")</f>
        <v>巡检时发现污水反渗透ORP探头接头处漏水</v>
      </c>
      <c r="E634" s="19" t="s">
        <v>2776</v>
      </c>
      <c r="F634" s="23" t="s">
        <v>227</v>
      </c>
      <c r="G634" s="21" t="s">
        <v>43</v>
      </c>
      <c r="H634" s="19" t="s">
        <v>44</v>
      </c>
      <c r="I634" s="19" t="s">
        <v>78</v>
      </c>
      <c r="J634" s="19" t="s">
        <v>64</v>
      </c>
      <c r="K634" s="19"/>
      <c r="L634" s="19"/>
      <c r="M634" s="19" t="s">
        <v>229</v>
      </c>
      <c r="N634" s="19" t="s">
        <v>1248</v>
      </c>
      <c r="O634" s="19"/>
      <c r="P634" s="19"/>
      <c r="Q634" s="19"/>
      <c r="R634" s="19" t="s">
        <v>2777</v>
      </c>
      <c r="S634" s="19" t="s">
        <v>2778</v>
      </c>
      <c r="T634" s="19" t="s">
        <v>53</v>
      </c>
      <c r="U634" s="19" t="s">
        <v>71</v>
      </c>
      <c r="V634" s="19" t="s">
        <v>105</v>
      </c>
      <c r="W634" s="19" t="s">
        <v>96</v>
      </c>
      <c r="X634" s="19"/>
      <c r="Y634" s="19"/>
      <c r="Z634" s="19"/>
      <c r="AA634" s="19">
        <v>0</v>
      </c>
      <c r="AB634" s="19"/>
      <c r="AC634" s="19" t="s">
        <v>233</v>
      </c>
      <c r="AD634" s="19"/>
      <c r="AE634" s="19"/>
      <c r="AF634" s="19"/>
    </row>
    <row r="635" spans="1:34" customHeight="1" ht="42">
      <c r="A635" s="19">
        <v>627</v>
      </c>
      <c r="B635" s="19" t="s">
        <v>2248</v>
      </c>
      <c r="C635" s="19" t="s">
        <v>2687</v>
      </c>
      <c r="D635" s="19" t="str">
        <f>HYPERLINK("http://henontech.com/fieldsafety/harzard/harzard_show.php?rid=29247&amp;url=harzardrecs.php","操作人员在综合泵房巡检时左小腿不小心碰到横放爬梯，左小腿外伤流血")</f>
        <v>操作人员在综合泵房巡检时左小腿不小心碰到横放爬梯，左小腿外伤流血</v>
      </c>
      <c r="E635" s="19" t="s">
        <v>2779</v>
      </c>
      <c r="F635" s="25" t="s">
        <v>1784</v>
      </c>
      <c r="G635" s="21" t="s">
        <v>43</v>
      </c>
      <c r="H635" s="19" t="s">
        <v>44</v>
      </c>
      <c r="I635" s="19" t="s">
        <v>78</v>
      </c>
      <c r="J635" s="19" t="s">
        <v>308</v>
      </c>
      <c r="K635" s="19" t="s">
        <v>466</v>
      </c>
      <c r="L635" s="19"/>
      <c r="M635" s="19" t="s">
        <v>229</v>
      </c>
      <c r="N635" s="19" t="s">
        <v>1790</v>
      </c>
      <c r="O635" s="19" t="s">
        <v>229</v>
      </c>
      <c r="P635" s="19" t="s">
        <v>1493</v>
      </c>
      <c r="Q635" s="19" t="s">
        <v>2028</v>
      </c>
      <c r="R635" s="19" t="s">
        <v>2780</v>
      </c>
      <c r="S635" s="19"/>
      <c r="T635" s="19" t="s">
        <v>53</v>
      </c>
      <c r="U635" s="19" t="s">
        <v>71</v>
      </c>
      <c r="V635" s="19" t="s">
        <v>105</v>
      </c>
      <c r="W635" s="19" t="s">
        <v>96</v>
      </c>
      <c r="X635" s="19" t="s">
        <v>57</v>
      </c>
      <c r="Y635" s="19"/>
      <c r="Z635" s="19" t="s">
        <v>2781</v>
      </c>
      <c r="AA635" s="19">
        <v>2</v>
      </c>
      <c r="AB635" s="19"/>
      <c r="AC635" s="19" t="s">
        <v>233</v>
      </c>
      <c r="AD635" s="19"/>
      <c r="AE635" s="19"/>
      <c r="AF635" s="19"/>
    </row>
    <row r="636" spans="1:34">
      <c r="A636" s="19">
        <v>628</v>
      </c>
      <c r="B636" s="19" t="s">
        <v>1799</v>
      </c>
      <c r="C636" s="19" t="s">
        <v>934</v>
      </c>
      <c r="D636" s="19" t="str">
        <f>HYPERLINK("http://henontech.com/fieldsafety/harzard/harzard_show.php?rid=29272&amp;url=harzardrecs.php","东一 1#给料机连杆销固定螺栓缺失，如果继续使用，就会造成连接装置损坏，停车检修一小时，经济损失500元。")</f>
        <v>东一 1#给料机连杆销固定螺栓缺失，如果继续使用，就会造成连接装置损坏，停车检修一小时，经济损失500元。</v>
      </c>
      <c r="E636" s="19" t="s">
        <v>2782</v>
      </c>
      <c r="F636" s="20" t="s">
        <v>42</v>
      </c>
      <c r="G636" s="22" t="s">
        <v>111</v>
      </c>
      <c r="H636" s="19" t="s">
        <v>44</v>
      </c>
      <c r="I636" s="19" t="s">
        <v>129</v>
      </c>
      <c r="J636" s="19" t="s">
        <v>308</v>
      </c>
      <c r="K636" s="19" t="s">
        <v>79</v>
      </c>
      <c r="L636" s="19" t="s">
        <v>65</v>
      </c>
      <c r="M636" s="19" t="s">
        <v>633</v>
      </c>
      <c r="N636" s="19" t="s">
        <v>2783</v>
      </c>
      <c r="O636" s="19" t="s">
        <v>633</v>
      </c>
      <c r="P636" s="19" t="s">
        <v>634</v>
      </c>
      <c r="Q636" s="19" t="s">
        <v>1795</v>
      </c>
      <c r="R636" s="19" t="s">
        <v>2784</v>
      </c>
      <c r="S636" s="19"/>
      <c r="T636" s="19" t="s">
        <v>104</v>
      </c>
      <c r="U636" s="19" t="s">
        <v>94</v>
      </c>
      <c r="V636" s="19" t="s">
        <v>105</v>
      </c>
      <c r="W636" s="19" t="s">
        <v>96</v>
      </c>
      <c r="X636" s="19"/>
      <c r="Y636" s="19"/>
      <c r="Z636" s="19" t="s">
        <v>2785</v>
      </c>
      <c r="AA636" s="19">
        <v>1</v>
      </c>
      <c r="AB636" s="19">
        <v>1</v>
      </c>
      <c r="AC636" s="19" t="s">
        <v>59</v>
      </c>
      <c r="AD636" s="19" t="s">
        <v>634</v>
      </c>
      <c r="AE636" s="19" t="s">
        <v>1795</v>
      </c>
      <c r="AF636" s="19"/>
    </row>
    <row r="637" spans="1:34">
      <c r="A637" s="19">
        <v>629</v>
      </c>
      <c r="B637" s="19" t="s">
        <v>1799</v>
      </c>
      <c r="C637" s="19" t="s">
        <v>2786</v>
      </c>
      <c r="D637" s="19" t="str">
        <f>HYPERLINK("http://henontech.com/fieldsafety/harzard/harzard_show.php?rid=29312&amp;url=harzardrecs.php","线路断口无防护措施，如果一名操作人员在作业时不小心碰到。就可能导致操作人员触电死亡。")</f>
        <v>线路断口无防护措施，如果一名操作人员在作业时不小心碰到。就可能导致操作人员触电死亡。</v>
      </c>
      <c r="E637" s="19" t="s">
        <v>2787</v>
      </c>
      <c r="F637" s="26" t="s">
        <v>2286</v>
      </c>
      <c r="G637" s="19"/>
      <c r="H637" s="19" t="s">
        <v>44</v>
      </c>
      <c r="I637" s="19" t="s">
        <v>78</v>
      </c>
      <c r="J637" s="19" t="s">
        <v>64</v>
      </c>
      <c r="K637" s="19" t="s">
        <v>88</v>
      </c>
      <c r="L637" s="19" t="s">
        <v>65</v>
      </c>
      <c r="M637" s="19" t="s">
        <v>66</v>
      </c>
      <c r="N637" s="19" t="s">
        <v>1839</v>
      </c>
      <c r="O637" s="19"/>
      <c r="P637" s="19"/>
      <c r="Q637" s="19"/>
      <c r="R637" s="19" t="s">
        <v>2788</v>
      </c>
      <c r="S637" s="19"/>
      <c r="T637" s="19" t="s">
        <v>53</v>
      </c>
      <c r="U637" s="19" t="s">
        <v>116</v>
      </c>
      <c r="V637" s="19" t="s">
        <v>55</v>
      </c>
      <c r="W637" s="19" t="s">
        <v>117</v>
      </c>
      <c r="X637" s="19"/>
      <c r="Y637" s="19"/>
      <c r="Z637" s="19"/>
      <c r="AA637" s="19"/>
      <c r="AB637" s="19"/>
      <c r="AC637" s="19" t="s">
        <v>233</v>
      </c>
      <c r="AD637" s="19"/>
      <c r="AE637" s="19"/>
      <c r="AF637" s="19"/>
    </row>
    <row r="638" spans="1:34">
      <c r="A638" s="19">
        <v>630</v>
      </c>
      <c r="B638" s="19" t="s">
        <v>1799</v>
      </c>
      <c r="C638" s="19" t="s">
        <v>2373</v>
      </c>
      <c r="D638" s="19" t="str">
        <f>HYPERLINK("http://henontech.com/fieldsafety/harzard/harzard_show.php?rid=29332&amp;url=harzardrecs.php","管道架上方支撑腐蚀断裂，如果支撑掉落，砸伤右臂休息三天")</f>
        <v>管道架上方支撑腐蚀断裂，如果支撑掉落，砸伤右臂休息三天</v>
      </c>
      <c r="E638" s="19" t="s">
        <v>2789</v>
      </c>
      <c r="F638" s="25" t="s">
        <v>1784</v>
      </c>
      <c r="G638" s="21" t="s">
        <v>43</v>
      </c>
      <c r="H638" s="19" t="s">
        <v>44</v>
      </c>
      <c r="I638" s="19" t="s">
        <v>129</v>
      </c>
      <c r="J638" s="19" t="s">
        <v>64</v>
      </c>
      <c r="K638" s="19" t="s">
        <v>46</v>
      </c>
      <c r="L638" s="19" t="s">
        <v>65</v>
      </c>
      <c r="M638" s="19" t="s">
        <v>66</v>
      </c>
      <c r="N638" s="19" t="s">
        <v>443</v>
      </c>
      <c r="O638" s="19" t="s">
        <v>66</v>
      </c>
      <c r="P638" s="19" t="s">
        <v>68</v>
      </c>
      <c r="Q638" s="19" t="s">
        <v>2176</v>
      </c>
      <c r="R638" s="19" t="s">
        <v>2790</v>
      </c>
      <c r="S638" s="19"/>
      <c r="T638" s="19" t="s">
        <v>53</v>
      </c>
      <c r="U638" s="19" t="s">
        <v>54</v>
      </c>
      <c r="V638" s="19" t="s">
        <v>105</v>
      </c>
      <c r="W638" s="19" t="s">
        <v>72</v>
      </c>
      <c r="X638" s="19"/>
      <c r="Y638" s="19"/>
      <c r="Z638" s="19" t="s">
        <v>2791</v>
      </c>
      <c r="AA638" s="19">
        <v>1</v>
      </c>
      <c r="AB638" s="19"/>
      <c r="AC638" s="19" t="s">
        <v>233</v>
      </c>
      <c r="AD638" s="19"/>
      <c r="AE638" s="19"/>
      <c r="AF638" s="19"/>
    </row>
    <row r="639" spans="1:34">
      <c r="A639" s="19">
        <v>631</v>
      </c>
      <c r="B639" s="19" t="s">
        <v>1799</v>
      </c>
      <c r="C639" s="19" t="s">
        <v>934</v>
      </c>
      <c r="D639" s="19" t="str">
        <f>HYPERLINK("http://henontech.com/fieldsafety/harzard/harzard_show.php?rid=29412&amp;url=harzardrecs.php","东二钎子在料仓横放，工作中掉落砸伤操作工脚面休息三天后上班。")</f>
        <v>东二钎子在料仓横放，工作中掉落砸伤操作工脚面休息三天后上班。</v>
      </c>
      <c r="E639" s="19" t="s">
        <v>2792</v>
      </c>
      <c r="F639" s="20" t="s">
        <v>42</v>
      </c>
      <c r="G639" s="21" t="s">
        <v>43</v>
      </c>
      <c r="H639" s="19" t="s">
        <v>44</v>
      </c>
      <c r="I639" s="19"/>
      <c r="J639" s="19" t="s">
        <v>521</v>
      </c>
      <c r="K639" s="19" t="s">
        <v>88</v>
      </c>
      <c r="L639" s="19"/>
      <c r="M639" s="19" t="s">
        <v>633</v>
      </c>
      <c r="N639" s="19" t="s">
        <v>2793</v>
      </c>
      <c r="O639" s="19" t="s">
        <v>633</v>
      </c>
      <c r="P639" s="19" t="s">
        <v>1268</v>
      </c>
      <c r="Q639" s="19" t="s">
        <v>2769</v>
      </c>
      <c r="R639" s="19" t="s">
        <v>2794</v>
      </c>
      <c r="S639" s="19"/>
      <c r="T639" s="19" t="s">
        <v>53</v>
      </c>
      <c r="U639" s="19" t="s">
        <v>71</v>
      </c>
      <c r="V639" s="19" t="s">
        <v>105</v>
      </c>
      <c r="W639" s="19" t="s">
        <v>96</v>
      </c>
      <c r="X639" s="19"/>
      <c r="Y639" s="19"/>
      <c r="Z639" s="19" t="s">
        <v>2795</v>
      </c>
      <c r="AA639" s="19">
        <v>1</v>
      </c>
      <c r="AB639" s="19">
        <v>1</v>
      </c>
      <c r="AC639" s="19" t="s">
        <v>59</v>
      </c>
      <c r="AD639" s="19" t="s">
        <v>1268</v>
      </c>
      <c r="AE639" s="19" t="s">
        <v>1795</v>
      </c>
      <c r="AF639" s="19"/>
    </row>
    <row r="640" spans="1:34">
      <c r="A640" s="19">
        <v>632</v>
      </c>
      <c r="B640" s="19" t="s">
        <v>1799</v>
      </c>
      <c r="C640" s="19" t="s">
        <v>1878</v>
      </c>
      <c r="D640" s="19" t="str">
        <f>HYPERLINK("http://henontech.com/fieldsafety/harzard/harzard_show.php?rid=29413&amp;url=harzardrecs.php","满流槽加酸管道腐蚀漏酸，假如一名操作工到满流槽捞焦油时，一时不注意被漏出的浓硫酸蹭到腿部，因穿防酸碱工作服，用清水冲洗后只造成腿部皮肤轻微灼伤，简单处理后继续上班，无损工。")</f>
        <v>满流槽加酸管道腐蚀漏酸，假如一名操作工到满流槽捞焦油时，一时不注意被漏出的浓硫酸蹭到腿部，因穿防酸碱工作服，用清水冲洗后只造成腿部皮肤轻微灼伤，简单处理后继续上班，无损工。</v>
      </c>
      <c r="E640" s="19" t="s">
        <v>2796</v>
      </c>
      <c r="F640" s="25" t="s">
        <v>1784</v>
      </c>
      <c r="G640" s="21" t="s">
        <v>43</v>
      </c>
      <c r="H640" s="19" t="s">
        <v>44</v>
      </c>
      <c r="I640" s="19" t="s">
        <v>205</v>
      </c>
      <c r="J640" s="19" t="s">
        <v>64</v>
      </c>
      <c r="K640" s="19" t="s">
        <v>46</v>
      </c>
      <c r="L640" s="19" t="s">
        <v>65</v>
      </c>
      <c r="M640" s="19" t="s">
        <v>66</v>
      </c>
      <c r="N640" s="19" t="s">
        <v>395</v>
      </c>
      <c r="O640" s="19" t="s">
        <v>66</v>
      </c>
      <c r="P640" s="19" t="s">
        <v>68</v>
      </c>
      <c r="Q640" s="19" t="s">
        <v>2176</v>
      </c>
      <c r="R640" s="19" t="s">
        <v>2797</v>
      </c>
      <c r="S640" s="19"/>
      <c r="T640" s="19" t="s">
        <v>53</v>
      </c>
      <c r="U640" s="19" t="s">
        <v>71</v>
      </c>
      <c r="V640" s="19" t="s">
        <v>105</v>
      </c>
      <c r="W640" s="19" t="s">
        <v>96</v>
      </c>
      <c r="X640" s="19"/>
      <c r="Y640" s="19"/>
      <c r="Z640" s="19" t="s">
        <v>2798</v>
      </c>
      <c r="AA640" s="19">
        <v>1</v>
      </c>
      <c r="AB640" s="19"/>
      <c r="AC640" s="19" t="s">
        <v>233</v>
      </c>
      <c r="AD640" s="19"/>
      <c r="AE640" s="19"/>
      <c r="AF640" s="19"/>
    </row>
    <row r="641" spans="1:34">
      <c r="A641" s="19">
        <v>633</v>
      </c>
      <c r="B641" s="19" t="s">
        <v>1799</v>
      </c>
      <c r="C641" s="19" t="s">
        <v>2799</v>
      </c>
      <c r="D641" s="19" t="str">
        <f>HYPERLINK("http://henontech.com/fieldsafety/harzard/harzard_show.php?rid=29415&amp;url=harzardrecs.php","水井潜水泵维修时，水井井盖未及时关靠，操作工不小心掉落")</f>
        <v>水井潜水泵维修时，水井井盖未及时关靠，操作工不小心掉落</v>
      </c>
      <c r="E641" s="19" t="s">
        <v>2800</v>
      </c>
      <c r="F641" s="26" t="s">
        <v>2286</v>
      </c>
      <c r="G641" s="19"/>
      <c r="H641" s="19" t="s">
        <v>44</v>
      </c>
      <c r="I641" s="19" t="s">
        <v>297</v>
      </c>
      <c r="J641" s="19" t="s">
        <v>45</v>
      </c>
      <c r="K641" s="19" t="s">
        <v>88</v>
      </c>
      <c r="L641" s="19"/>
      <c r="M641" s="19" t="s">
        <v>89</v>
      </c>
      <c r="N641" s="19" t="s">
        <v>1825</v>
      </c>
      <c r="O641" s="19"/>
      <c r="P641" s="19"/>
      <c r="Q641" s="19"/>
      <c r="R641" s="19" t="s">
        <v>2801</v>
      </c>
      <c r="S641" s="19"/>
      <c r="T641" s="19" t="s">
        <v>53</v>
      </c>
      <c r="U641" s="19" t="s">
        <v>71</v>
      </c>
      <c r="V641" s="19" t="s">
        <v>105</v>
      </c>
      <c r="W641" s="19" t="s">
        <v>96</v>
      </c>
      <c r="X641" s="19"/>
      <c r="Y641" s="19"/>
      <c r="Z641" s="19"/>
      <c r="AA641" s="19"/>
      <c r="AB641" s="19"/>
      <c r="AC641" s="19" t="s">
        <v>233</v>
      </c>
      <c r="AD641" s="19"/>
      <c r="AE641" s="19"/>
      <c r="AF641" s="19"/>
    </row>
    <row r="642" spans="1:34">
      <c r="A642" s="19">
        <v>634</v>
      </c>
      <c r="B642" s="19" t="s">
        <v>1799</v>
      </c>
      <c r="C642" s="19" t="s">
        <v>656</v>
      </c>
      <c r="D642" s="19" t="str">
        <f>HYPERLINK("http://henontech.com/fieldsafety/harzard/harzard_show.php?rid=29449&amp;url=harzardrecs.php","3#煤场地面钢筋外露，一旦职工路过，将会被绊倒，造成手掌擦伤，消毒处理后继续工作")</f>
        <v>3#煤场地面钢筋外露，一旦职工路过，将会被绊倒，造成手掌擦伤，消毒处理后继续工作</v>
      </c>
      <c r="E642" s="19" t="s">
        <v>2802</v>
      </c>
      <c r="F642" s="20" t="s">
        <v>42</v>
      </c>
      <c r="G642" s="22" t="s">
        <v>111</v>
      </c>
      <c r="H642" s="19" t="s">
        <v>44</v>
      </c>
      <c r="I642" s="19" t="s">
        <v>78</v>
      </c>
      <c r="J642" s="19"/>
      <c r="K642" s="19"/>
      <c r="L642" s="19"/>
      <c r="M642" s="19" t="s">
        <v>633</v>
      </c>
      <c r="N642" s="19" t="s">
        <v>2803</v>
      </c>
      <c r="O642" s="19" t="s">
        <v>633</v>
      </c>
      <c r="P642" s="19" t="s">
        <v>1268</v>
      </c>
      <c r="Q642" s="19" t="s">
        <v>2769</v>
      </c>
      <c r="R642" s="19" t="s">
        <v>2097</v>
      </c>
      <c r="S642" s="19"/>
      <c r="T642" s="19" t="s">
        <v>53</v>
      </c>
      <c r="U642" s="19" t="s">
        <v>71</v>
      </c>
      <c r="V642" s="19" t="s">
        <v>55</v>
      </c>
      <c r="W642" s="19" t="s">
        <v>72</v>
      </c>
      <c r="X642" s="19"/>
      <c r="Y642" s="19"/>
      <c r="Z642" s="19" t="s">
        <v>2804</v>
      </c>
      <c r="AA642" s="19">
        <v>1</v>
      </c>
      <c r="AB642" s="19">
        <v>1</v>
      </c>
      <c r="AC642" s="19" t="s">
        <v>59</v>
      </c>
      <c r="AD642" s="19" t="s">
        <v>1268</v>
      </c>
      <c r="AE642" s="19" t="s">
        <v>1799</v>
      </c>
      <c r="AF642" s="19"/>
    </row>
    <row r="643" spans="1:34">
      <c r="A643" s="19">
        <v>635</v>
      </c>
      <c r="B643" s="19" t="s">
        <v>1799</v>
      </c>
      <c r="C643" s="19" t="s">
        <v>934</v>
      </c>
      <c r="D643" s="19" t="str">
        <f>HYPERLINK("http://henontech.com/fieldsafety/harzard/harzard_show.php?rid=29452&amp;url=harzardrecs.php","因挡风网锁扣腐烂脱落，挡风网片无法固定，一旦网片脱落，造成行人颈部轻微擦伤，消毒处理后继续工作。")</f>
        <v>因挡风网锁扣腐烂脱落，挡风网片无法固定，一旦网片脱落，造成行人颈部轻微擦伤，消毒处理后继续工作。</v>
      </c>
      <c r="E643" s="19" t="s">
        <v>2805</v>
      </c>
      <c r="F643" s="20" t="s">
        <v>42</v>
      </c>
      <c r="G643" s="22" t="s">
        <v>111</v>
      </c>
      <c r="H643" s="19" t="s">
        <v>44</v>
      </c>
      <c r="I643" s="19" t="s">
        <v>78</v>
      </c>
      <c r="J643" s="19" t="s">
        <v>64</v>
      </c>
      <c r="K643" s="19"/>
      <c r="L643" s="19"/>
      <c r="M643" s="19" t="s">
        <v>633</v>
      </c>
      <c r="N643" s="19" t="s">
        <v>2806</v>
      </c>
      <c r="O643" s="19" t="s">
        <v>633</v>
      </c>
      <c r="P643" s="19" t="s">
        <v>1268</v>
      </c>
      <c r="Q643" s="19" t="s">
        <v>2769</v>
      </c>
      <c r="R643" s="19" t="s">
        <v>2743</v>
      </c>
      <c r="S643" s="19"/>
      <c r="T643" s="19" t="s">
        <v>53</v>
      </c>
      <c r="U643" s="19" t="s">
        <v>71</v>
      </c>
      <c r="V643" s="19" t="s">
        <v>55</v>
      </c>
      <c r="W643" s="19" t="s">
        <v>72</v>
      </c>
      <c r="X643" s="19"/>
      <c r="Y643" s="19"/>
      <c r="Z643" s="19" t="s">
        <v>2807</v>
      </c>
      <c r="AA643" s="19">
        <v>1</v>
      </c>
      <c r="AB643" s="19">
        <v>1</v>
      </c>
      <c r="AC643" s="19" t="s">
        <v>59</v>
      </c>
      <c r="AD643" s="19" t="s">
        <v>1268</v>
      </c>
      <c r="AE643" s="19" t="s">
        <v>1799</v>
      </c>
      <c r="AF643" s="19"/>
    </row>
    <row r="644" spans="1:34">
      <c r="A644" s="19">
        <v>636</v>
      </c>
      <c r="B644" s="19" t="s">
        <v>1799</v>
      </c>
      <c r="C644" s="19" t="s">
        <v>2763</v>
      </c>
      <c r="D644" s="19" t="str">
        <f>HYPERLINK("http://henontech.com/fieldsafety/harzard/harzard_show.php?rid=29463&amp;url=harzardrecs.php","有一挂梯挂在暖气管道上，有一人经过被挂梯拌倒摔伤，经去医院检查胳膊骨折，住院3条，在家修养3")</f>
        <v>有一挂梯挂在暖气管道上，有一人经过被挂梯拌倒摔伤，经去医院检查胳膊骨折，住院3条，在家修养3</v>
      </c>
      <c r="E644" s="19" t="s">
        <v>53</v>
      </c>
      <c r="F644" s="20" t="s">
        <v>42</v>
      </c>
      <c r="G644" s="21" t="s">
        <v>43</v>
      </c>
      <c r="H644" s="19" t="s">
        <v>44</v>
      </c>
      <c r="I644" s="19"/>
      <c r="J644" s="19" t="s">
        <v>45</v>
      </c>
      <c r="K644" s="19" t="s">
        <v>466</v>
      </c>
      <c r="L644" s="19"/>
      <c r="M644" s="19" t="s">
        <v>633</v>
      </c>
      <c r="N644" s="19" t="s">
        <v>2808</v>
      </c>
      <c r="O644" s="19" t="s">
        <v>633</v>
      </c>
      <c r="P644" s="19" t="s">
        <v>1268</v>
      </c>
      <c r="Q644" s="19" t="s">
        <v>2809</v>
      </c>
      <c r="R644" s="19" t="s">
        <v>2810</v>
      </c>
      <c r="S644" s="19"/>
      <c r="T644" s="19" t="s">
        <v>53</v>
      </c>
      <c r="U644" s="19" t="s">
        <v>54</v>
      </c>
      <c r="V644" s="19" t="s">
        <v>55</v>
      </c>
      <c r="W644" s="19" t="s">
        <v>56</v>
      </c>
      <c r="X644" s="19"/>
      <c r="Y644" s="19"/>
      <c r="Z644" s="19" t="s">
        <v>2811</v>
      </c>
      <c r="AA644" s="19">
        <v>1</v>
      </c>
      <c r="AB644" s="19">
        <v>1</v>
      </c>
      <c r="AC644" s="19" t="s">
        <v>59</v>
      </c>
      <c r="AD644" s="19" t="s">
        <v>1268</v>
      </c>
      <c r="AE644" s="19" t="s">
        <v>1795</v>
      </c>
      <c r="AF644" s="19"/>
    </row>
    <row r="645" spans="1:34">
      <c r="A645" s="19">
        <v>637</v>
      </c>
      <c r="B645" s="19" t="s">
        <v>1799</v>
      </c>
      <c r="C645" s="19" t="s">
        <v>2203</v>
      </c>
      <c r="D645" s="19" t="str">
        <f>HYPERLINK("http://henontech.com/fieldsafety/harzard/harzard_show.php?rid=29464&amp;url=harzardrecs.php","北加药间半面罩损坏，一操作工打液碱过程中，由于半面罩起不到防护作用，液碱溅到脸上，灼伤面部送医就诊后确诊面部轻微烧伤，住院三天后复工。")</f>
        <v>北加药间半面罩损坏，一操作工打液碱过程中，由于半面罩起不到防护作用，液碱溅到脸上，灼伤面部送医就诊后确诊面部轻微烧伤，住院三天后复工。</v>
      </c>
      <c r="E645" s="19" t="s">
        <v>2812</v>
      </c>
      <c r="F645" s="26" t="s">
        <v>2286</v>
      </c>
      <c r="G645" s="19"/>
      <c r="H645" s="19" t="s">
        <v>44</v>
      </c>
      <c r="I645" s="19" t="s">
        <v>78</v>
      </c>
      <c r="J645" s="19" t="s">
        <v>64</v>
      </c>
      <c r="K645" s="19" t="s">
        <v>88</v>
      </c>
      <c r="L645" s="19"/>
      <c r="M645" s="19" t="s">
        <v>89</v>
      </c>
      <c r="N645" s="19" t="s">
        <v>1535</v>
      </c>
      <c r="O645" s="19"/>
      <c r="P645" s="19"/>
      <c r="Q645" s="19"/>
      <c r="R645" s="19" t="s">
        <v>93</v>
      </c>
      <c r="S645" s="19"/>
      <c r="T645" s="19" t="s">
        <v>53</v>
      </c>
      <c r="U645" s="19" t="s">
        <v>71</v>
      </c>
      <c r="V645" s="19" t="s">
        <v>55</v>
      </c>
      <c r="W645" s="19" t="s">
        <v>72</v>
      </c>
      <c r="X645" s="19"/>
      <c r="Y645" s="19"/>
      <c r="Z645" s="19"/>
      <c r="AA645" s="19"/>
      <c r="AB645" s="19"/>
      <c r="AC645" s="19" t="s">
        <v>233</v>
      </c>
      <c r="AD645" s="19"/>
      <c r="AE645" s="19"/>
      <c r="AF645" s="19"/>
    </row>
    <row r="646" spans="1:34" customHeight="1" ht="42">
      <c r="A646" s="19">
        <v>638</v>
      </c>
      <c r="B646" s="19" t="s">
        <v>1795</v>
      </c>
      <c r="C646" s="19" t="s">
        <v>1837</v>
      </c>
      <c r="D646" s="19" t="str">
        <f>HYPERLINK("http://henontech.com/fieldsafety/harzard/harzard_show.php?rid=29481&amp;url=harzardrecs.php","南脱硫溶液泵西侧护栏开焊倾倒在地，此处光线查，操作工在夜间巡检时不慎绊倒导致左腿擦伤，送医务室敷药继续工作。")</f>
        <v>南脱硫溶液泵西侧护栏开焊倾倒在地，此处光线查，操作工在夜间巡检时不慎绊倒导致左腿擦伤，送医务室敷药继续工作。</v>
      </c>
      <c r="E646" s="19" t="s">
        <v>2813</v>
      </c>
      <c r="F646" s="25" t="s">
        <v>1784</v>
      </c>
      <c r="G646" s="21" t="s">
        <v>43</v>
      </c>
      <c r="H646" s="19" t="s">
        <v>44</v>
      </c>
      <c r="I646" s="19"/>
      <c r="J646" s="19" t="s">
        <v>87</v>
      </c>
      <c r="K646" s="19" t="s">
        <v>46</v>
      </c>
      <c r="L646" s="19" t="s">
        <v>65</v>
      </c>
      <c r="M646" s="19" t="s">
        <v>66</v>
      </c>
      <c r="N646" s="19" t="s">
        <v>367</v>
      </c>
      <c r="O646" s="19" t="s">
        <v>66</v>
      </c>
      <c r="P646" s="19" t="s">
        <v>68</v>
      </c>
      <c r="Q646" s="19" t="s">
        <v>2176</v>
      </c>
      <c r="R646" s="19" t="s">
        <v>2814</v>
      </c>
      <c r="S646" s="19"/>
      <c r="T646" s="19" t="s">
        <v>53</v>
      </c>
      <c r="U646" s="19" t="s">
        <v>71</v>
      </c>
      <c r="V646" s="19" t="s">
        <v>55</v>
      </c>
      <c r="W646" s="19" t="s">
        <v>72</v>
      </c>
      <c r="X646" s="19"/>
      <c r="Y646" s="19"/>
      <c r="Z646" s="19" t="s">
        <v>2815</v>
      </c>
      <c r="AA646" s="19">
        <v>2</v>
      </c>
      <c r="AB646" s="19"/>
      <c r="AC646" s="19" t="s">
        <v>233</v>
      </c>
      <c r="AD646" s="19"/>
      <c r="AE646" s="19"/>
      <c r="AF646" s="19"/>
    </row>
    <row r="647" spans="1:34">
      <c r="A647" s="19">
        <v>639</v>
      </c>
      <c r="B647" s="19" t="s">
        <v>1795</v>
      </c>
      <c r="C647" s="19" t="s">
        <v>2004</v>
      </c>
      <c r="D647" s="19" t="str">
        <f>HYPERLINK("http://henontech.com/fieldsafety/harzard/harzard_show.php?rid=29554&amp;url=harzardrecs.php","西四小井使用完后篦子未复位，职工巡检经过时，左脚陷入小井，造成左腿膝盖磕伤，消毒处理后继续工作")</f>
        <v>西四小井使用完后篦子未复位，职工巡检经过时，左脚陷入小井，造成左腿膝盖磕伤，消毒处理后继续工作</v>
      </c>
      <c r="E647" s="19" t="s">
        <v>2816</v>
      </c>
      <c r="F647" s="20" t="s">
        <v>42</v>
      </c>
      <c r="G647" s="22" t="s">
        <v>111</v>
      </c>
      <c r="H647" s="19" t="s">
        <v>44</v>
      </c>
      <c r="I647" s="19" t="s">
        <v>78</v>
      </c>
      <c r="J647" s="19"/>
      <c r="K647" s="19"/>
      <c r="L647" s="19"/>
      <c r="M647" s="19" t="s">
        <v>633</v>
      </c>
      <c r="N647" s="19" t="s">
        <v>2817</v>
      </c>
      <c r="O647" s="19" t="s">
        <v>633</v>
      </c>
      <c r="P647" s="19" t="s">
        <v>1268</v>
      </c>
      <c r="Q647" s="19" t="s">
        <v>2809</v>
      </c>
      <c r="R647" s="19" t="s">
        <v>2384</v>
      </c>
      <c r="S647" s="19"/>
      <c r="T647" s="19" t="s">
        <v>53</v>
      </c>
      <c r="U647" s="19" t="s">
        <v>71</v>
      </c>
      <c r="V647" s="19" t="s">
        <v>55</v>
      </c>
      <c r="W647" s="19" t="s">
        <v>72</v>
      </c>
      <c r="X647" s="19"/>
      <c r="Y647" s="19"/>
      <c r="Z647" s="19" t="s">
        <v>2818</v>
      </c>
      <c r="AA647" s="19">
        <v>1</v>
      </c>
      <c r="AB647" s="19">
        <v>1</v>
      </c>
      <c r="AC647" s="19" t="s">
        <v>59</v>
      </c>
      <c r="AD647" s="19" t="s">
        <v>1268</v>
      </c>
      <c r="AE647" s="19" t="s">
        <v>1795</v>
      </c>
      <c r="AF647" s="19"/>
    </row>
    <row r="648" spans="1:34">
      <c r="A648" s="19">
        <v>640</v>
      </c>
      <c r="B648" s="19" t="s">
        <v>1795</v>
      </c>
      <c r="C648" s="19" t="s">
        <v>2004</v>
      </c>
      <c r="D648" s="19" t="str">
        <f>HYPERLINK("http://henontech.com/fieldsafety/harzard/harzard_show.php?rid=29575&amp;url=harzardrecs.php","钎子工具使用时未按要求放置，操作人员经过时拌倒造成手部受伤")</f>
        <v>钎子工具使用时未按要求放置，操作人员经过时拌倒造成手部受伤</v>
      </c>
      <c r="E648" s="19" t="s">
        <v>2819</v>
      </c>
      <c r="F648" s="20" t="s">
        <v>42</v>
      </c>
      <c r="G648" s="21" t="s">
        <v>43</v>
      </c>
      <c r="H648" s="19" t="s">
        <v>44</v>
      </c>
      <c r="I648" s="19" t="s">
        <v>78</v>
      </c>
      <c r="J648" s="19" t="s">
        <v>64</v>
      </c>
      <c r="K648" s="19" t="s">
        <v>88</v>
      </c>
      <c r="L648" s="19" t="s">
        <v>65</v>
      </c>
      <c r="M648" s="19" t="s">
        <v>633</v>
      </c>
      <c r="N648" s="19" t="s">
        <v>2820</v>
      </c>
      <c r="O648" s="19" t="s">
        <v>633</v>
      </c>
      <c r="P648" s="19" t="s">
        <v>1268</v>
      </c>
      <c r="Q648" s="19" t="s">
        <v>2809</v>
      </c>
      <c r="R648" s="19" t="s">
        <v>2288</v>
      </c>
      <c r="S648" s="19"/>
      <c r="T648" s="19" t="s">
        <v>53</v>
      </c>
      <c r="U648" s="19" t="s">
        <v>71</v>
      </c>
      <c r="V648" s="19" t="s">
        <v>105</v>
      </c>
      <c r="W648" s="19" t="s">
        <v>96</v>
      </c>
      <c r="X648" s="19"/>
      <c r="Y648" s="19"/>
      <c r="Z648" s="19" t="s">
        <v>2821</v>
      </c>
      <c r="AA648" s="19">
        <v>1</v>
      </c>
      <c r="AB648" s="19">
        <v>1</v>
      </c>
      <c r="AC648" s="19" t="s">
        <v>59</v>
      </c>
      <c r="AD648" s="19" t="s">
        <v>1268</v>
      </c>
      <c r="AE648" s="19" t="s">
        <v>1795</v>
      </c>
      <c r="AF648" s="19"/>
    </row>
    <row r="649" spans="1:34" customHeight="1" ht="42">
      <c r="A649" s="19">
        <v>641</v>
      </c>
      <c r="B649" s="19" t="s">
        <v>1795</v>
      </c>
      <c r="C649" s="19" t="s">
        <v>2345</v>
      </c>
      <c r="D649" s="19" t="str">
        <f>HYPERLINK("http://henontech.com/fieldsafety/harzard/harzard_show.php?rid=29588&amp;url=harzardrecs.php","回转筛电机进油")</f>
        <v>回转筛电机进油</v>
      </c>
      <c r="E649" s="19" t="s">
        <v>2822</v>
      </c>
      <c r="F649" s="25" t="s">
        <v>1784</v>
      </c>
      <c r="G649" s="21" t="s">
        <v>43</v>
      </c>
      <c r="H649" s="19" t="s">
        <v>44</v>
      </c>
      <c r="I649" s="19" t="s">
        <v>761</v>
      </c>
      <c r="J649" s="19" t="s">
        <v>45</v>
      </c>
      <c r="K649" s="19" t="s">
        <v>79</v>
      </c>
      <c r="L649" s="19" t="s">
        <v>65</v>
      </c>
      <c r="M649" s="19" t="s">
        <v>229</v>
      </c>
      <c r="N649" s="19" t="s">
        <v>1410</v>
      </c>
      <c r="O649" s="19" t="s">
        <v>229</v>
      </c>
      <c r="P649" s="19" t="s">
        <v>1410</v>
      </c>
      <c r="Q649" s="19" t="s">
        <v>2028</v>
      </c>
      <c r="R649" s="19" t="s">
        <v>2823</v>
      </c>
      <c r="S649" s="19"/>
      <c r="T649" s="19" t="s">
        <v>53</v>
      </c>
      <c r="U649" s="19" t="s">
        <v>116</v>
      </c>
      <c r="V649" s="19" t="s">
        <v>105</v>
      </c>
      <c r="W649" s="19" t="s">
        <v>56</v>
      </c>
      <c r="X649" s="19" t="s">
        <v>57</v>
      </c>
      <c r="Y649" s="19"/>
      <c r="Z649" s="19" t="s">
        <v>2824</v>
      </c>
      <c r="AA649" s="19">
        <v>2</v>
      </c>
      <c r="AB649" s="19"/>
      <c r="AC649" s="19" t="s">
        <v>233</v>
      </c>
      <c r="AD649" s="19"/>
      <c r="AE649" s="19"/>
      <c r="AF649" s="19"/>
    </row>
    <row r="650" spans="1:34">
      <c r="A650" s="19">
        <v>642</v>
      </c>
      <c r="B650" s="19" t="s">
        <v>1414</v>
      </c>
      <c r="C650" s="19" t="s">
        <v>1377</v>
      </c>
      <c r="D650" s="19" t="str">
        <f>HYPERLINK("http://henontech.com/fieldsafety/harzard/harzard_show.php?rid=29614&amp;url=harzardrecs.php","南冷凝废水池处有废铁管杂物，夜班一名巡检人员视线不清可能会绊倒，去医务室处理后正常上班。")</f>
        <v>南冷凝废水池处有废铁管杂物，夜班一名巡检人员视线不清可能会绊倒，去医务室处理后正常上班。</v>
      </c>
      <c r="E650" s="19" t="s">
        <v>1723</v>
      </c>
      <c r="F650" s="26" t="s">
        <v>2286</v>
      </c>
      <c r="G650" s="19"/>
      <c r="H650" s="19" t="s">
        <v>44</v>
      </c>
      <c r="I650" s="19"/>
      <c r="J650" s="19" t="s">
        <v>64</v>
      </c>
      <c r="K650" s="19" t="s">
        <v>46</v>
      </c>
      <c r="L650" s="19"/>
      <c r="M650" s="19" t="s">
        <v>66</v>
      </c>
      <c r="N650" s="19" t="s">
        <v>2825</v>
      </c>
      <c r="O650" s="19"/>
      <c r="P650" s="19"/>
      <c r="Q650" s="19"/>
      <c r="R650" s="19" t="s">
        <v>2826</v>
      </c>
      <c r="S650" s="19"/>
      <c r="T650" s="19" t="s">
        <v>53</v>
      </c>
      <c r="U650" s="19" t="s">
        <v>71</v>
      </c>
      <c r="V650" s="19" t="s">
        <v>105</v>
      </c>
      <c r="W650" s="19" t="s">
        <v>96</v>
      </c>
      <c r="X650" s="19"/>
      <c r="Y650" s="19"/>
      <c r="Z650" s="19"/>
      <c r="AA650" s="19"/>
      <c r="AB650" s="19"/>
      <c r="AC650" s="19" t="s">
        <v>233</v>
      </c>
      <c r="AD650" s="19"/>
      <c r="AE650" s="19"/>
      <c r="AF650" s="19"/>
    </row>
    <row r="651" spans="1:34">
      <c r="A651" s="19">
        <v>643</v>
      </c>
      <c r="B651" s="19" t="s">
        <v>1795</v>
      </c>
      <c r="C651" s="19" t="s">
        <v>631</v>
      </c>
      <c r="D651" s="19" t="str">
        <f>HYPERLINK("http://henontech.com/fieldsafety/harzard/harzard_show.php?rid=29628&amp;url=harzardrecs.php","皮带内侧有积煤，致使皮带跑偏后磨损，造成经济损失1000元。")</f>
        <v>皮带内侧有积煤，致使皮带跑偏后磨损，造成经济损失1000元。</v>
      </c>
      <c r="E651" s="19" t="s">
        <v>2827</v>
      </c>
      <c r="F651" s="20" t="s">
        <v>42</v>
      </c>
      <c r="G651" s="22" t="s">
        <v>111</v>
      </c>
      <c r="H651" s="19" t="s">
        <v>44</v>
      </c>
      <c r="I651" s="19" t="s">
        <v>78</v>
      </c>
      <c r="J651" s="19" t="s">
        <v>308</v>
      </c>
      <c r="K651" s="19" t="s">
        <v>79</v>
      </c>
      <c r="L651" s="19" t="s">
        <v>662</v>
      </c>
      <c r="M651" s="19" t="s">
        <v>633</v>
      </c>
      <c r="N651" s="19" t="s">
        <v>2828</v>
      </c>
      <c r="O651" s="19" t="s">
        <v>633</v>
      </c>
      <c r="P651" s="19" t="s">
        <v>634</v>
      </c>
      <c r="Q651" s="19" t="s">
        <v>1414</v>
      </c>
      <c r="R651" s="19" t="s">
        <v>2829</v>
      </c>
      <c r="S651" s="19"/>
      <c r="T651" s="19" t="s">
        <v>104</v>
      </c>
      <c r="U651" s="19" t="s">
        <v>94</v>
      </c>
      <c r="V651" s="19" t="s">
        <v>193</v>
      </c>
      <c r="W651" s="19" t="s">
        <v>96</v>
      </c>
      <c r="X651" s="19"/>
      <c r="Y651" s="19"/>
      <c r="Z651" s="19" t="s">
        <v>2830</v>
      </c>
      <c r="AA651" s="19">
        <v>1</v>
      </c>
      <c r="AB651" s="19">
        <v>1</v>
      </c>
      <c r="AC651" s="19" t="s">
        <v>59</v>
      </c>
      <c r="AD651" s="19" t="s">
        <v>634</v>
      </c>
      <c r="AE651" s="19" t="s">
        <v>1414</v>
      </c>
      <c r="AF651" s="19"/>
    </row>
    <row r="652" spans="1:34">
      <c r="A652" s="19">
        <v>644</v>
      </c>
      <c r="B652" s="19" t="s">
        <v>1795</v>
      </c>
      <c r="C652" s="19" t="s">
        <v>531</v>
      </c>
      <c r="D652" s="19" t="str">
        <f>HYPERLINK("http://henontech.com/fieldsafety/harzard/harzard_show.php?rid=29676&amp;url=harzardrecs.php","苯回流槽安装废气回收管道过程中一跳板遗落现场，离地高约10米，假如一名巡检工经过，跳板腐烂掉落砸中一人员，送医抢救无效死亡。")</f>
        <v>苯回流槽安装废气回收管道过程中一跳板遗落现场，离地高约10米，假如一名巡检工经过，跳板腐烂掉落砸中一人员，送医抢救无效死亡。</v>
      </c>
      <c r="E652" s="19" t="s">
        <v>2831</v>
      </c>
      <c r="F652" s="25" t="s">
        <v>1784</v>
      </c>
      <c r="G652" s="21" t="s">
        <v>43</v>
      </c>
      <c r="H652" s="19" t="s">
        <v>44</v>
      </c>
      <c r="I652" s="19" t="s">
        <v>78</v>
      </c>
      <c r="J652" s="19" t="s">
        <v>64</v>
      </c>
      <c r="K652" s="19" t="s">
        <v>466</v>
      </c>
      <c r="L652" s="19"/>
      <c r="M652" s="19" t="s">
        <v>66</v>
      </c>
      <c r="N652" s="19" t="s">
        <v>992</v>
      </c>
      <c r="O652" s="19" t="s">
        <v>66</v>
      </c>
      <c r="P652" s="19" t="s">
        <v>68</v>
      </c>
      <c r="Q652" s="19" t="s">
        <v>2176</v>
      </c>
      <c r="R652" s="19" t="s">
        <v>2832</v>
      </c>
      <c r="S652" s="19"/>
      <c r="T652" s="19" t="s">
        <v>53</v>
      </c>
      <c r="U652" s="19" t="s">
        <v>116</v>
      </c>
      <c r="V652" s="19" t="s">
        <v>105</v>
      </c>
      <c r="W652" s="19" t="s">
        <v>56</v>
      </c>
      <c r="X652" s="19"/>
      <c r="Y652" s="19"/>
      <c r="Z652" s="19" t="s">
        <v>2833</v>
      </c>
      <c r="AA652" s="19">
        <v>1</v>
      </c>
      <c r="AB652" s="19"/>
      <c r="AC652" s="19" t="s">
        <v>233</v>
      </c>
      <c r="AD652" s="19"/>
      <c r="AE652" s="19"/>
      <c r="AF652" s="19"/>
    </row>
    <row r="653" spans="1:34" customHeight="1" ht="42">
      <c r="A653" s="19">
        <v>645</v>
      </c>
      <c r="B653" s="19" t="s">
        <v>1414</v>
      </c>
      <c r="C653" s="19" t="s">
        <v>229</v>
      </c>
      <c r="D653" s="19" t="str">
        <f>HYPERLINK("http://henontech.com/fieldsafety/harzard/harzard_show.php?rid=29697&amp;url=harzardrecs.php","巡检人员巡检到35吨锅炉分气缸处时，被地面的输水管道绊倒，手部着地，造成手部轻微擦伤。")</f>
        <v>巡检人员巡检到35吨锅炉分气缸处时，被地面的输水管道绊倒，手部着地，造成手部轻微擦伤。</v>
      </c>
      <c r="E653" s="19" t="s">
        <v>2559</v>
      </c>
      <c r="F653" s="25" t="s">
        <v>1784</v>
      </c>
      <c r="G653" s="21" t="s">
        <v>43</v>
      </c>
      <c r="H653" s="19" t="s">
        <v>44</v>
      </c>
      <c r="I653" s="19" t="s">
        <v>129</v>
      </c>
      <c r="J653" s="19" t="s">
        <v>87</v>
      </c>
      <c r="K653" s="19" t="s">
        <v>79</v>
      </c>
      <c r="L653" s="19" t="s">
        <v>65</v>
      </c>
      <c r="M653" s="19" t="s">
        <v>229</v>
      </c>
      <c r="N653" s="19" t="s">
        <v>1809</v>
      </c>
      <c r="O653" s="19" t="s">
        <v>229</v>
      </c>
      <c r="P653" s="19" t="s">
        <v>1410</v>
      </c>
      <c r="Q653" s="19" t="s">
        <v>2028</v>
      </c>
      <c r="R653" s="19" t="s">
        <v>2834</v>
      </c>
      <c r="S653" s="19"/>
      <c r="T653" s="19" t="s">
        <v>53</v>
      </c>
      <c r="U653" s="19" t="s">
        <v>71</v>
      </c>
      <c r="V653" s="19" t="s">
        <v>55</v>
      </c>
      <c r="W653" s="19" t="s">
        <v>72</v>
      </c>
      <c r="X653" s="19" t="s">
        <v>57</v>
      </c>
      <c r="Y653" s="19"/>
      <c r="Z653" s="19" t="s">
        <v>2835</v>
      </c>
      <c r="AA653" s="19">
        <v>2</v>
      </c>
      <c r="AB653" s="19"/>
      <c r="AC653" s="19" t="s">
        <v>233</v>
      </c>
      <c r="AD653" s="19"/>
      <c r="AE653" s="19"/>
      <c r="AF653" s="19"/>
    </row>
    <row r="654" spans="1:34">
      <c r="A654" s="19">
        <v>646</v>
      </c>
      <c r="B654" s="19" t="s">
        <v>1414</v>
      </c>
      <c r="C654" s="19" t="s">
        <v>1102</v>
      </c>
      <c r="D654" s="19" t="str">
        <f>HYPERLINK("http://henontech.com/fieldsafety/harzard/harzard_show.php?rid=29716&amp;url=harzardrecs.php","两盐门前地沟盖板破损，夜班操作工经过此处时不慎坠入，造成小腿轻微擦伤，未影响正常工作。")</f>
        <v>两盐门前地沟盖板破损，夜班操作工经过此处时不慎坠入，造成小腿轻微擦伤，未影响正常工作。</v>
      </c>
      <c r="E654" s="19" t="s">
        <v>2836</v>
      </c>
      <c r="F654" s="25" t="s">
        <v>1784</v>
      </c>
      <c r="G654" s="21" t="s">
        <v>43</v>
      </c>
      <c r="H654" s="19" t="s">
        <v>44</v>
      </c>
      <c r="I654" s="19" t="s">
        <v>78</v>
      </c>
      <c r="J654" s="19" t="s">
        <v>64</v>
      </c>
      <c r="K654" s="19" t="s">
        <v>79</v>
      </c>
      <c r="L654" s="19" t="s">
        <v>65</v>
      </c>
      <c r="M654" s="19" t="s">
        <v>66</v>
      </c>
      <c r="N654" s="19" t="s">
        <v>448</v>
      </c>
      <c r="O654" s="19" t="s">
        <v>66</v>
      </c>
      <c r="P654" s="19" t="s">
        <v>68</v>
      </c>
      <c r="Q654" s="19" t="s">
        <v>2176</v>
      </c>
      <c r="R654" s="19" t="s">
        <v>2837</v>
      </c>
      <c r="S654" s="19"/>
      <c r="T654" s="19" t="s">
        <v>53</v>
      </c>
      <c r="U654" s="19" t="s">
        <v>71</v>
      </c>
      <c r="V654" s="19" t="s">
        <v>55</v>
      </c>
      <c r="W654" s="19" t="s">
        <v>72</v>
      </c>
      <c r="X654" s="19"/>
      <c r="Y654" s="19"/>
      <c r="Z654" s="19" t="s">
        <v>2838</v>
      </c>
      <c r="AA654" s="19">
        <v>1</v>
      </c>
      <c r="AB654" s="19"/>
      <c r="AC654" s="19" t="s">
        <v>233</v>
      </c>
      <c r="AD654" s="19"/>
      <c r="AE654" s="19"/>
      <c r="AF654" s="19"/>
    </row>
    <row r="655" spans="1:34">
      <c r="A655" s="19">
        <v>647</v>
      </c>
      <c r="B655" s="19" t="s">
        <v>1414</v>
      </c>
      <c r="C655" s="19" t="s">
        <v>1803</v>
      </c>
      <c r="D655" s="19" t="str">
        <f>HYPERLINK("http://henontech.com/fieldsafety/harzard/harzard_show.php?rid=29748&amp;url=harzardrecs.php","小母液泵泵头垫子因母液腐蚀，导致垫子坏往外渗液，如果不及时处理，母液会大量冒出造成环保事故。")</f>
        <v>小母液泵泵头垫子因母液腐蚀，导致垫子坏往外渗液，如果不及时处理，母液会大量冒出造成环保事故。</v>
      </c>
      <c r="E655" s="19" t="s">
        <v>2839</v>
      </c>
      <c r="F655" s="25" t="s">
        <v>1784</v>
      </c>
      <c r="G655" s="21" t="s">
        <v>43</v>
      </c>
      <c r="H655" s="19" t="s">
        <v>44</v>
      </c>
      <c r="I655" s="19" t="s">
        <v>129</v>
      </c>
      <c r="J655" s="19" t="s">
        <v>64</v>
      </c>
      <c r="K655" s="19" t="s">
        <v>46</v>
      </c>
      <c r="L655" s="19" t="s">
        <v>65</v>
      </c>
      <c r="M655" s="19" t="s">
        <v>66</v>
      </c>
      <c r="N655" s="19" t="s">
        <v>254</v>
      </c>
      <c r="O655" s="19" t="s">
        <v>66</v>
      </c>
      <c r="P655" s="19" t="s">
        <v>68</v>
      </c>
      <c r="Q655" s="19" t="s">
        <v>2176</v>
      </c>
      <c r="R655" s="19" t="s">
        <v>2840</v>
      </c>
      <c r="S655" s="19"/>
      <c r="T655" s="19" t="s">
        <v>392</v>
      </c>
      <c r="U655" s="19" t="s">
        <v>94</v>
      </c>
      <c r="V655" s="19" t="s">
        <v>105</v>
      </c>
      <c r="W655" s="19" t="s">
        <v>96</v>
      </c>
      <c r="X655" s="19"/>
      <c r="Y655" s="19"/>
      <c r="Z655" s="19" t="s">
        <v>2841</v>
      </c>
      <c r="AA655" s="19">
        <v>1</v>
      </c>
      <c r="AB655" s="19"/>
      <c r="AC655" s="19" t="s">
        <v>233</v>
      </c>
      <c r="AD655" s="19"/>
      <c r="AE655" s="19"/>
      <c r="AF655" s="19"/>
    </row>
    <row r="656" spans="1:34">
      <c r="A656" s="19">
        <v>648</v>
      </c>
      <c r="B656" s="19" t="s">
        <v>1414</v>
      </c>
      <c r="C656" s="19" t="s">
        <v>2842</v>
      </c>
      <c r="D656" s="19" t="str">
        <f>HYPERLINK("http://henontech.com/fieldsafety/harzard/harzard_show.php?rid=29768&amp;url=harzardrecs.php","南风机风机房西侧风机机后下液管处有漏点，如果未能及时发现，可能造成一名巡检经过此处的操作人员轻微煤气中毒，送医治疗后在家休息3天复工。")</f>
        <v>南风机风机房西侧风机机后下液管处有漏点，如果未能及时发现，可能造成一名巡检经过此处的操作人员轻微煤气中毒，送医治疗后在家休息3天复工。</v>
      </c>
      <c r="E656" s="19" t="s">
        <v>2843</v>
      </c>
      <c r="F656" s="25" t="s">
        <v>1784</v>
      </c>
      <c r="G656" s="21" t="s">
        <v>43</v>
      </c>
      <c r="H656" s="19" t="s">
        <v>44</v>
      </c>
      <c r="I656" s="19" t="s">
        <v>129</v>
      </c>
      <c r="J656" s="19" t="s">
        <v>64</v>
      </c>
      <c r="K656" s="19" t="s">
        <v>46</v>
      </c>
      <c r="L656" s="19"/>
      <c r="M656" s="19" t="s">
        <v>66</v>
      </c>
      <c r="N656" s="19" t="s">
        <v>2844</v>
      </c>
      <c r="O656" s="19" t="s">
        <v>66</v>
      </c>
      <c r="P656" s="19" t="s">
        <v>68</v>
      </c>
      <c r="Q656" s="19" t="s">
        <v>2176</v>
      </c>
      <c r="R656" s="19" t="s">
        <v>2845</v>
      </c>
      <c r="S656" s="19"/>
      <c r="T656" s="19" t="s">
        <v>53</v>
      </c>
      <c r="U656" s="19" t="s">
        <v>54</v>
      </c>
      <c r="V656" s="19" t="s">
        <v>105</v>
      </c>
      <c r="W656" s="19" t="s">
        <v>72</v>
      </c>
      <c r="X656" s="19"/>
      <c r="Y656" s="19"/>
      <c r="Z656" s="19" t="s">
        <v>2846</v>
      </c>
      <c r="AA656" s="19">
        <v>1</v>
      </c>
      <c r="AB656" s="19"/>
      <c r="AC656" s="19" t="s">
        <v>233</v>
      </c>
      <c r="AD656" s="19"/>
      <c r="AE656" s="19"/>
      <c r="AF656" s="19"/>
    </row>
    <row r="657" spans="1:34">
      <c r="A657" s="19">
        <v>649</v>
      </c>
      <c r="B657" s="19" t="s">
        <v>1414</v>
      </c>
      <c r="C657" s="19" t="s">
        <v>2847</v>
      </c>
      <c r="D657" s="19" t="str">
        <f>HYPERLINK("http://henontech.com/fieldsafety/harzard/harzard_show.php?rid=29769&amp;url=harzardrecs.php","深度脱硫塔三层平台处有电焊机线，未清理，当大风天气，电焊机线被大风吹落，砸在此处干活的操作工，造成右手砸肿，去医务室包扎后回家休养2天后复工。")</f>
        <v>深度脱硫塔三层平台处有电焊机线，未清理，当大风天气，电焊机线被大风吹落，砸在此处干活的操作工，造成右手砸肿，去医务室包扎后回家休养2天后复工。</v>
      </c>
      <c r="E657" s="19" t="s">
        <v>2848</v>
      </c>
      <c r="F657" s="25" t="s">
        <v>1784</v>
      </c>
      <c r="G657" s="21" t="s">
        <v>43</v>
      </c>
      <c r="H657" s="19" t="s">
        <v>44</v>
      </c>
      <c r="I657" s="19" t="s">
        <v>78</v>
      </c>
      <c r="J657" s="19" t="s">
        <v>45</v>
      </c>
      <c r="K657" s="19" t="s">
        <v>46</v>
      </c>
      <c r="L657" s="19" t="s">
        <v>65</v>
      </c>
      <c r="M657" s="19" t="s">
        <v>66</v>
      </c>
      <c r="N657" s="19" t="s">
        <v>1843</v>
      </c>
      <c r="O657" s="19" t="s">
        <v>66</v>
      </c>
      <c r="P657" s="19" t="s">
        <v>68</v>
      </c>
      <c r="Q657" s="19" t="s">
        <v>2176</v>
      </c>
      <c r="R657" s="19" t="s">
        <v>2849</v>
      </c>
      <c r="S657" s="19"/>
      <c r="T657" s="19" t="s">
        <v>53</v>
      </c>
      <c r="U657" s="19" t="s">
        <v>54</v>
      </c>
      <c r="V657" s="19" t="s">
        <v>55</v>
      </c>
      <c r="W657" s="19" t="s">
        <v>56</v>
      </c>
      <c r="X657" s="19"/>
      <c r="Y657" s="19"/>
      <c r="Z657" s="19" t="s">
        <v>2850</v>
      </c>
      <c r="AA657" s="19">
        <v>1</v>
      </c>
      <c r="AB657" s="19"/>
      <c r="AC657" s="19" t="s">
        <v>233</v>
      </c>
      <c r="AD657" s="19"/>
      <c r="AE657" s="19"/>
      <c r="AF657" s="19"/>
    </row>
    <row r="658" spans="1:34" customHeight="1" ht="42">
      <c r="A658" s="19">
        <v>650</v>
      </c>
      <c r="B658" s="19" t="s">
        <v>1414</v>
      </c>
      <c r="C658" s="19" t="s">
        <v>246</v>
      </c>
      <c r="D658" s="19" t="str">
        <f>HYPERLINK("http://henontech.com/fieldsafety/harzard/harzard_show.php?rid=29793&amp;url=harzardrecs.php","一名操作工夜间巡查时，氨水制备器出口法兰漏液，贱入操作工眼中，送往医院救治，住院一周，在家休息十五天")</f>
        <v>一名操作工夜间巡查时，氨水制备器出口法兰漏液，贱入操作工眼中，送往医院救治，住院一周，在家休息十五天</v>
      </c>
      <c r="E658" s="19" t="s">
        <v>2851</v>
      </c>
      <c r="F658" s="25" t="s">
        <v>1784</v>
      </c>
      <c r="G658" s="21" t="s">
        <v>43</v>
      </c>
      <c r="H658" s="19" t="s">
        <v>44</v>
      </c>
      <c r="I658" s="19" t="s">
        <v>78</v>
      </c>
      <c r="J658" s="19" t="s">
        <v>64</v>
      </c>
      <c r="K658" s="19" t="s">
        <v>46</v>
      </c>
      <c r="L658" s="19" t="s">
        <v>65</v>
      </c>
      <c r="M658" s="19" t="s">
        <v>146</v>
      </c>
      <c r="N658" s="19" t="s">
        <v>965</v>
      </c>
      <c r="O658" s="19" t="s">
        <v>146</v>
      </c>
      <c r="P658" s="19" t="s">
        <v>2262</v>
      </c>
      <c r="Q658" s="19" t="s">
        <v>2716</v>
      </c>
      <c r="R658" s="19" t="s">
        <v>2852</v>
      </c>
      <c r="S658" s="19"/>
      <c r="T658" s="19" t="s">
        <v>53</v>
      </c>
      <c r="U658" s="19" t="s">
        <v>54</v>
      </c>
      <c r="V658" s="19" t="s">
        <v>55</v>
      </c>
      <c r="W658" s="19" t="s">
        <v>56</v>
      </c>
      <c r="X658" s="19" t="s">
        <v>825</v>
      </c>
      <c r="Y658" s="19" t="s">
        <v>57</v>
      </c>
      <c r="Z658" s="19" t="s">
        <v>2853</v>
      </c>
      <c r="AA658" s="19">
        <v>2</v>
      </c>
      <c r="AB658" s="19"/>
      <c r="AC658" s="19" t="s">
        <v>233</v>
      </c>
      <c r="AD658" s="19"/>
      <c r="AE658" s="19"/>
      <c r="AF658" s="19"/>
    </row>
    <row r="659" spans="1:34">
      <c r="A659" s="19">
        <v>651</v>
      </c>
      <c r="B659" s="19" t="s">
        <v>1414</v>
      </c>
      <c r="C659" s="19" t="s">
        <v>109</v>
      </c>
      <c r="D659" s="19" t="str">
        <f>HYPERLINK("http://henontech.com/fieldsafety/harzard/harzard_show.php?rid=29907&amp;url=harzardrecs.php","粗苯南系统框架上有一保温铝皮破裂，如果在大风天气，一名操作工巡检经过此处有可能被大风吹落的铝皮划伤脸部，造成轻微伤，医务室简单处理后复工。")</f>
        <v>粗苯南系统框架上有一保温铝皮破裂，如果在大风天气，一名操作工巡检经过此处有可能被大风吹落的铝皮划伤脸部，造成轻微伤，医务室简单处理后复工。</v>
      </c>
      <c r="E659" s="19" t="s">
        <v>2854</v>
      </c>
      <c r="F659" s="26" t="s">
        <v>2286</v>
      </c>
      <c r="G659" s="19"/>
      <c r="H659" s="19" t="s">
        <v>44</v>
      </c>
      <c r="I659" s="19" t="s">
        <v>78</v>
      </c>
      <c r="J659" s="19" t="s">
        <v>45</v>
      </c>
      <c r="K659" s="19" t="s">
        <v>79</v>
      </c>
      <c r="L659" s="19" t="s">
        <v>65</v>
      </c>
      <c r="M659" s="19" t="s">
        <v>66</v>
      </c>
      <c r="N659" s="19" t="s">
        <v>2855</v>
      </c>
      <c r="O659" s="19"/>
      <c r="P659" s="19"/>
      <c r="Q659" s="19"/>
      <c r="R659" s="19" t="s">
        <v>2856</v>
      </c>
      <c r="S659" s="19"/>
      <c r="T659" s="19" t="s">
        <v>53</v>
      </c>
      <c r="U659" s="19" t="s">
        <v>71</v>
      </c>
      <c r="V659" s="19" t="s">
        <v>105</v>
      </c>
      <c r="W659" s="19" t="s">
        <v>96</v>
      </c>
      <c r="X659" s="19"/>
      <c r="Y659" s="19"/>
      <c r="Z659" s="19"/>
      <c r="AA659" s="19"/>
      <c r="AB659" s="19"/>
      <c r="AC659" s="19" t="s">
        <v>233</v>
      </c>
      <c r="AD659" s="19"/>
      <c r="AE659" s="19"/>
      <c r="AF659" s="19"/>
    </row>
    <row r="660" spans="1:34">
      <c r="A660" s="19">
        <v>652</v>
      </c>
      <c r="B660" s="19" t="s">
        <v>1414</v>
      </c>
      <c r="C660" s="19" t="s">
        <v>2033</v>
      </c>
      <c r="D660" s="19" t="str">
        <f>HYPERLINK("http://henontech.com/fieldsafety/harzard/harzard_show.php?rid=29908&amp;url=harzardrecs.php","终冷塔管架一块保温材料脱落，一巡检工路过此地不慎被保温材料砸中右肩，导致肩部轻微砸伤，休息一会后继续工作")</f>
        <v>终冷塔管架一块保温材料脱落，一巡检工路过此地不慎被保温材料砸中右肩，导致肩部轻微砸伤，休息一会后继续工作</v>
      </c>
      <c r="E660" s="19" t="s">
        <v>2857</v>
      </c>
      <c r="F660" s="26" t="s">
        <v>2286</v>
      </c>
      <c r="G660" s="19"/>
      <c r="H660" s="19" t="s">
        <v>44</v>
      </c>
      <c r="I660" s="19" t="s">
        <v>78</v>
      </c>
      <c r="J660" s="19" t="s">
        <v>45</v>
      </c>
      <c r="K660" s="19" t="s">
        <v>79</v>
      </c>
      <c r="L660" s="19" t="s">
        <v>65</v>
      </c>
      <c r="M660" s="19" t="s">
        <v>66</v>
      </c>
      <c r="N660" s="19" t="s">
        <v>283</v>
      </c>
      <c r="O660" s="19"/>
      <c r="P660" s="19"/>
      <c r="Q660" s="19"/>
      <c r="R660" s="19" t="s">
        <v>2858</v>
      </c>
      <c r="S660" s="19"/>
      <c r="T660" s="19" t="s">
        <v>53</v>
      </c>
      <c r="U660" s="19" t="s">
        <v>71</v>
      </c>
      <c r="V660" s="19" t="s">
        <v>105</v>
      </c>
      <c r="W660" s="19" t="s">
        <v>96</v>
      </c>
      <c r="X660" s="19"/>
      <c r="Y660" s="19"/>
      <c r="Z660" s="19"/>
      <c r="AA660" s="19"/>
      <c r="AB660" s="19"/>
      <c r="AC660" s="19" t="s">
        <v>233</v>
      </c>
      <c r="AD660" s="19"/>
      <c r="AE660" s="19"/>
      <c r="AF660" s="19"/>
    </row>
    <row r="661" spans="1:34">
      <c r="A661" s="19">
        <v>653</v>
      </c>
      <c r="B661" s="19" t="s">
        <v>1414</v>
      </c>
      <c r="C661" s="19" t="s">
        <v>1882</v>
      </c>
      <c r="D661" s="19" t="str">
        <f>HYPERLINK("http://henontech.com/fieldsafety/harzard/harzard_show.php?rid=29910&amp;url=harzardrecs.php","南冷凝泵房内地沟盖板未盖好，假如一名巡检人员经过此处，踩到盖板，造成左脚踝扭伤，在家休养五天，康复上班。")</f>
        <v>南冷凝泵房内地沟盖板未盖好，假如一名巡检人员经过此处，踩到盖板，造成左脚踝扭伤，在家休养五天，康复上班。</v>
      </c>
      <c r="E661" s="19" t="s">
        <v>2859</v>
      </c>
      <c r="F661" s="26" t="s">
        <v>2286</v>
      </c>
      <c r="G661" s="19"/>
      <c r="H661" s="19" t="s">
        <v>44</v>
      </c>
      <c r="I661" s="19" t="s">
        <v>78</v>
      </c>
      <c r="J661" s="19" t="s">
        <v>45</v>
      </c>
      <c r="K661" s="19" t="s">
        <v>88</v>
      </c>
      <c r="L661" s="19" t="s">
        <v>65</v>
      </c>
      <c r="M661" s="19" t="s">
        <v>66</v>
      </c>
      <c r="N661" s="19" t="s">
        <v>1884</v>
      </c>
      <c r="O661" s="19"/>
      <c r="P661" s="19"/>
      <c r="Q661" s="19"/>
      <c r="R661" s="19" t="s">
        <v>622</v>
      </c>
      <c r="S661" s="19"/>
      <c r="T661" s="19" t="s">
        <v>53</v>
      </c>
      <c r="U661" s="19" t="s">
        <v>54</v>
      </c>
      <c r="V661" s="19" t="s">
        <v>55</v>
      </c>
      <c r="W661" s="19" t="s">
        <v>56</v>
      </c>
      <c r="X661" s="19"/>
      <c r="Y661" s="19"/>
      <c r="Z661" s="19"/>
      <c r="AA661" s="19"/>
      <c r="AB661" s="19"/>
      <c r="AC661" s="19" t="s">
        <v>233</v>
      </c>
      <c r="AD661" s="19"/>
      <c r="AE661" s="19"/>
      <c r="AF661" s="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1:M1"/>
    <mergeCell ref="E2:M2"/>
    <mergeCell ref="E3:M3"/>
    <mergeCell ref="A4:F4"/>
    <mergeCell ref="G4:S4"/>
    <mergeCell ref="T4:W4"/>
    <mergeCell ref="X4:Y4"/>
    <mergeCell ref="Z4:AF4"/>
    <mergeCell ref="A6:A6"/>
    <mergeCell ref="B6:B6"/>
    <mergeCell ref="C6:C6"/>
    <mergeCell ref="F6:F6"/>
    <mergeCell ref="G6:G6"/>
    <mergeCell ref="H6:H6"/>
    <mergeCell ref="M6:M6"/>
    <mergeCell ref="N6:N6"/>
    <mergeCell ref="O6:O6"/>
    <mergeCell ref="P6:P6"/>
    <mergeCell ref="Q6:Q6"/>
    <mergeCell ref="R6:R6"/>
    <mergeCell ref="S6:S6"/>
    <mergeCell ref="X6:X6"/>
    <mergeCell ref="Y6:Y6"/>
    <mergeCell ref="Z6:Z6"/>
    <mergeCell ref="AA6:AA6"/>
    <mergeCell ref="AB6:AB6"/>
    <mergeCell ref="AC6:AC6"/>
    <mergeCell ref="AD6:AD6"/>
    <mergeCell ref="AE6:AE6"/>
    <mergeCell ref="AF6:AF6"/>
    <mergeCell ref="A7:A7"/>
    <mergeCell ref="B7:B7"/>
    <mergeCell ref="C7:C7"/>
    <mergeCell ref="F7:F7"/>
    <mergeCell ref="G7:G7"/>
    <mergeCell ref="H7:H7"/>
    <mergeCell ref="M7:M7"/>
    <mergeCell ref="N7:N7"/>
    <mergeCell ref="O7:O7"/>
    <mergeCell ref="P7:P7"/>
    <mergeCell ref="Q7:Q7"/>
    <mergeCell ref="R7:R7"/>
    <mergeCell ref="S7:S7"/>
    <mergeCell ref="X7:X7"/>
    <mergeCell ref="Y7:Y7"/>
    <mergeCell ref="Z7:Z7"/>
    <mergeCell ref="AA7:AA7"/>
    <mergeCell ref="AB7:AB7"/>
    <mergeCell ref="AC7:AC7"/>
    <mergeCell ref="AD7:AD7"/>
    <mergeCell ref="AE7:AE7"/>
    <mergeCell ref="AF7:AF7"/>
    <mergeCell ref="A8:A8"/>
    <mergeCell ref="B8:B8"/>
    <mergeCell ref="C8:C8"/>
    <mergeCell ref="F8:F8"/>
    <mergeCell ref="G8:G8"/>
    <mergeCell ref="H8:H8"/>
    <mergeCell ref="M8:M8"/>
    <mergeCell ref="N8:N8"/>
    <mergeCell ref="O8:O8"/>
    <mergeCell ref="P8:P8"/>
    <mergeCell ref="Q8:Q8"/>
    <mergeCell ref="R8:R8"/>
    <mergeCell ref="S8:S8"/>
    <mergeCell ref="X8:X8"/>
    <mergeCell ref="Y8:Y8"/>
    <mergeCell ref="Z8:Z8"/>
    <mergeCell ref="AA8:AA8"/>
    <mergeCell ref="AB8:AB8"/>
    <mergeCell ref="AC8:AC8"/>
    <mergeCell ref="AD8:AD8"/>
    <mergeCell ref="AE8:AE8"/>
    <mergeCell ref="AF8:AF8"/>
    <mergeCell ref="A9:A9"/>
    <mergeCell ref="B9:B9"/>
    <mergeCell ref="C9:C9"/>
    <mergeCell ref="F9:F9"/>
    <mergeCell ref="G9:G9"/>
    <mergeCell ref="H9:H9"/>
    <mergeCell ref="M9:M9"/>
    <mergeCell ref="N9:N9"/>
    <mergeCell ref="O9:O9"/>
    <mergeCell ref="P9:P9"/>
    <mergeCell ref="Q9:Q9"/>
    <mergeCell ref="R9:R9"/>
    <mergeCell ref="S9:S9"/>
    <mergeCell ref="X9:X9"/>
    <mergeCell ref="Y9:Y9"/>
    <mergeCell ref="Z9:Z9"/>
    <mergeCell ref="AA9:AA9"/>
    <mergeCell ref="AB9:AB9"/>
    <mergeCell ref="AC9:AC9"/>
    <mergeCell ref="AD9:AD9"/>
    <mergeCell ref="AE9:AE9"/>
    <mergeCell ref="AF9:AF9"/>
    <mergeCell ref="A10:A10"/>
    <mergeCell ref="B10:B10"/>
    <mergeCell ref="C10:C10"/>
    <mergeCell ref="F10:F10"/>
    <mergeCell ref="G10:G10"/>
    <mergeCell ref="H10:H10"/>
    <mergeCell ref="M10:M10"/>
    <mergeCell ref="N10:N10"/>
    <mergeCell ref="O10:O10"/>
    <mergeCell ref="P10:P10"/>
    <mergeCell ref="Q10:Q10"/>
    <mergeCell ref="R10:R10"/>
    <mergeCell ref="S10:S10"/>
    <mergeCell ref="X10:X10"/>
    <mergeCell ref="Y10:Y10"/>
    <mergeCell ref="Z10:Z10"/>
    <mergeCell ref="AA10:AA10"/>
    <mergeCell ref="AB10:AB10"/>
    <mergeCell ref="AC10:AC10"/>
    <mergeCell ref="AD10:AD10"/>
    <mergeCell ref="AE10:AE10"/>
    <mergeCell ref="AF10:AF10"/>
    <mergeCell ref="A11:A11"/>
    <mergeCell ref="B11:B11"/>
    <mergeCell ref="C11:C11"/>
    <mergeCell ref="F11:F11"/>
    <mergeCell ref="G11:G11"/>
    <mergeCell ref="H11:H11"/>
    <mergeCell ref="M11:M11"/>
    <mergeCell ref="N11:N11"/>
    <mergeCell ref="O11:O11"/>
    <mergeCell ref="P11:P11"/>
    <mergeCell ref="Q11:Q11"/>
    <mergeCell ref="R11:R11"/>
    <mergeCell ref="S11:S11"/>
    <mergeCell ref="X11:X11"/>
    <mergeCell ref="Y11:Y11"/>
    <mergeCell ref="Z11:Z11"/>
    <mergeCell ref="AA11:AA11"/>
    <mergeCell ref="AB11:AB11"/>
    <mergeCell ref="AC11:AC11"/>
    <mergeCell ref="AD11:AD11"/>
    <mergeCell ref="AE11:AE11"/>
    <mergeCell ref="AF11:AF11"/>
    <mergeCell ref="A12:A12"/>
    <mergeCell ref="B12:B12"/>
    <mergeCell ref="C12:C12"/>
    <mergeCell ref="F12:F12"/>
    <mergeCell ref="G12:G12"/>
    <mergeCell ref="H12:H12"/>
    <mergeCell ref="M12:M12"/>
    <mergeCell ref="N12:N12"/>
    <mergeCell ref="O12:O12"/>
    <mergeCell ref="P12:P12"/>
    <mergeCell ref="Q12:Q12"/>
    <mergeCell ref="R12:R12"/>
    <mergeCell ref="S12:S12"/>
    <mergeCell ref="X12:X12"/>
    <mergeCell ref="Y12:Y12"/>
    <mergeCell ref="Z12:Z12"/>
    <mergeCell ref="AA12:AA12"/>
    <mergeCell ref="AB12:AB12"/>
    <mergeCell ref="AC12:AC12"/>
    <mergeCell ref="AD12:AD12"/>
    <mergeCell ref="AE12:AE12"/>
    <mergeCell ref="AF12:AF12"/>
    <mergeCell ref="A13:A13"/>
    <mergeCell ref="B13:B13"/>
    <mergeCell ref="C13:C13"/>
    <mergeCell ref="F13:F13"/>
    <mergeCell ref="G13:G13"/>
    <mergeCell ref="H13:H13"/>
    <mergeCell ref="M13:M13"/>
    <mergeCell ref="N13:N13"/>
    <mergeCell ref="O13:O13"/>
    <mergeCell ref="P13:P13"/>
    <mergeCell ref="Q13:Q13"/>
    <mergeCell ref="R13:R13"/>
    <mergeCell ref="S13:S13"/>
    <mergeCell ref="X13:X13"/>
    <mergeCell ref="Y13:Y13"/>
    <mergeCell ref="Z13:Z13"/>
    <mergeCell ref="AA13:AA13"/>
    <mergeCell ref="AB13:AB13"/>
    <mergeCell ref="AC13:AC13"/>
    <mergeCell ref="AD13:AD13"/>
    <mergeCell ref="AE13:AE13"/>
    <mergeCell ref="AF13:AF13"/>
    <mergeCell ref="A14:A14"/>
    <mergeCell ref="B14:B14"/>
    <mergeCell ref="C14:C14"/>
    <mergeCell ref="F14:F14"/>
    <mergeCell ref="G14:G14"/>
    <mergeCell ref="H14:H14"/>
    <mergeCell ref="M14:M14"/>
    <mergeCell ref="N14:N14"/>
    <mergeCell ref="O14:O14"/>
    <mergeCell ref="P14:P14"/>
    <mergeCell ref="Q14:Q14"/>
    <mergeCell ref="R14:R14"/>
    <mergeCell ref="S14:S14"/>
    <mergeCell ref="X14:X14"/>
    <mergeCell ref="Y14:Y14"/>
    <mergeCell ref="Z14:Z14"/>
    <mergeCell ref="AA14:AA14"/>
    <mergeCell ref="AB14:AB14"/>
    <mergeCell ref="AC14:AC14"/>
    <mergeCell ref="AD14:AD14"/>
    <mergeCell ref="AE14:AE14"/>
    <mergeCell ref="AF14:AF14"/>
    <mergeCell ref="A15:A15"/>
    <mergeCell ref="B15:B15"/>
    <mergeCell ref="C15:C15"/>
    <mergeCell ref="F15:F15"/>
    <mergeCell ref="G15:G15"/>
    <mergeCell ref="H15:H15"/>
    <mergeCell ref="M15:M15"/>
    <mergeCell ref="N15:N15"/>
    <mergeCell ref="O15:O15"/>
    <mergeCell ref="P15:P15"/>
    <mergeCell ref="Q15:Q15"/>
    <mergeCell ref="R15:R15"/>
    <mergeCell ref="S15:S15"/>
    <mergeCell ref="X15:X15"/>
    <mergeCell ref="Y15:Y15"/>
    <mergeCell ref="Z15:Z15"/>
    <mergeCell ref="AA15:AA15"/>
    <mergeCell ref="AB15:AB15"/>
    <mergeCell ref="AC15:AC15"/>
    <mergeCell ref="AD15:AD15"/>
    <mergeCell ref="AE15:AE15"/>
    <mergeCell ref="AF15:AF15"/>
    <mergeCell ref="A16:A16"/>
    <mergeCell ref="B16:B16"/>
    <mergeCell ref="C16:C16"/>
    <mergeCell ref="F16:F16"/>
    <mergeCell ref="G16:G16"/>
    <mergeCell ref="H16:H16"/>
    <mergeCell ref="M16:M16"/>
    <mergeCell ref="N16:N16"/>
    <mergeCell ref="O16:O16"/>
    <mergeCell ref="P16:P16"/>
    <mergeCell ref="Q16:Q16"/>
    <mergeCell ref="R16:R16"/>
    <mergeCell ref="S16:S16"/>
    <mergeCell ref="X16:X16"/>
    <mergeCell ref="Y16:Y16"/>
    <mergeCell ref="Z16:Z16"/>
    <mergeCell ref="AA16:AA16"/>
    <mergeCell ref="AB16:AB16"/>
    <mergeCell ref="AC16:AC16"/>
    <mergeCell ref="AD16:AD16"/>
    <mergeCell ref="AE16:AE16"/>
    <mergeCell ref="AF16:AF16"/>
    <mergeCell ref="A17:A17"/>
    <mergeCell ref="B17:B17"/>
    <mergeCell ref="C17:C17"/>
    <mergeCell ref="F17:F17"/>
    <mergeCell ref="G17:G17"/>
    <mergeCell ref="H17:H17"/>
    <mergeCell ref="M17:M17"/>
    <mergeCell ref="N17:N17"/>
    <mergeCell ref="O17:O17"/>
    <mergeCell ref="P17:P17"/>
    <mergeCell ref="Q17:Q17"/>
    <mergeCell ref="R17:R17"/>
    <mergeCell ref="S17:S17"/>
    <mergeCell ref="X17:X17"/>
    <mergeCell ref="Y17:Y17"/>
    <mergeCell ref="Z17:Z17"/>
    <mergeCell ref="AA17:AA17"/>
    <mergeCell ref="AB17:AB17"/>
    <mergeCell ref="AC17:AC17"/>
    <mergeCell ref="AD17:AD17"/>
    <mergeCell ref="AE17:AE17"/>
    <mergeCell ref="AF17:AF17"/>
    <mergeCell ref="A18:A18"/>
    <mergeCell ref="B18:B18"/>
    <mergeCell ref="C18:C18"/>
    <mergeCell ref="F18:F18"/>
    <mergeCell ref="G18:G18"/>
    <mergeCell ref="H18:H18"/>
    <mergeCell ref="M18:M18"/>
    <mergeCell ref="N18:N18"/>
    <mergeCell ref="O18:O18"/>
    <mergeCell ref="P18:P18"/>
    <mergeCell ref="Q18:Q18"/>
    <mergeCell ref="R18:R18"/>
    <mergeCell ref="S18:S18"/>
    <mergeCell ref="X18:X18"/>
    <mergeCell ref="Y18:Y18"/>
    <mergeCell ref="Z18:Z18"/>
    <mergeCell ref="AA18:AA18"/>
    <mergeCell ref="AB18:AB18"/>
    <mergeCell ref="AC18:AC18"/>
    <mergeCell ref="AD18:AD18"/>
    <mergeCell ref="AE18:AE18"/>
    <mergeCell ref="AF18:AF18"/>
    <mergeCell ref="A19:A19"/>
    <mergeCell ref="B19:B19"/>
    <mergeCell ref="C19:C19"/>
    <mergeCell ref="F19:F19"/>
    <mergeCell ref="G19:G19"/>
    <mergeCell ref="H19:H19"/>
    <mergeCell ref="M19:M19"/>
    <mergeCell ref="N19:N19"/>
    <mergeCell ref="O19:O19"/>
    <mergeCell ref="P19:P19"/>
    <mergeCell ref="Q19:Q19"/>
    <mergeCell ref="R19:R19"/>
    <mergeCell ref="S19:S19"/>
    <mergeCell ref="X19:X19"/>
    <mergeCell ref="Y19:Y19"/>
    <mergeCell ref="Z19:Z19"/>
    <mergeCell ref="AA19:AA19"/>
    <mergeCell ref="AB19:AB19"/>
    <mergeCell ref="AC19:AC19"/>
    <mergeCell ref="AD19:AD19"/>
    <mergeCell ref="AE19:AE19"/>
    <mergeCell ref="AF19:AF19"/>
    <mergeCell ref="A20:A20"/>
    <mergeCell ref="B20:B20"/>
    <mergeCell ref="C20:C20"/>
    <mergeCell ref="F20:F20"/>
    <mergeCell ref="G20:G20"/>
    <mergeCell ref="H20:H20"/>
    <mergeCell ref="M20:M20"/>
    <mergeCell ref="N20:N20"/>
    <mergeCell ref="O20:O20"/>
    <mergeCell ref="P20:P20"/>
    <mergeCell ref="Q20:Q20"/>
    <mergeCell ref="R20:R20"/>
    <mergeCell ref="S20:S20"/>
    <mergeCell ref="X20:X20"/>
    <mergeCell ref="Y20:Y20"/>
    <mergeCell ref="Z20:Z20"/>
    <mergeCell ref="AA20:AA20"/>
    <mergeCell ref="AB20:AB20"/>
    <mergeCell ref="AC20:AC20"/>
    <mergeCell ref="AD20:AD20"/>
    <mergeCell ref="AE20:AE20"/>
    <mergeCell ref="AF20:AF20"/>
    <mergeCell ref="A21:A21"/>
    <mergeCell ref="B21:B21"/>
    <mergeCell ref="C21:C21"/>
    <mergeCell ref="F21:F21"/>
    <mergeCell ref="G21:G21"/>
    <mergeCell ref="H21:H21"/>
    <mergeCell ref="M21:M21"/>
    <mergeCell ref="N21:N21"/>
    <mergeCell ref="O21:O21"/>
    <mergeCell ref="P21:P21"/>
    <mergeCell ref="Q21:Q21"/>
    <mergeCell ref="R21:R21"/>
    <mergeCell ref="S21:S21"/>
    <mergeCell ref="X21:X21"/>
    <mergeCell ref="Y21:Y21"/>
    <mergeCell ref="Z21:Z21"/>
    <mergeCell ref="AA21:AA21"/>
    <mergeCell ref="AB21:AB21"/>
    <mergeCell ref="AC21:AC21"/>
    <mergeCell ref="AD21:AD21"/>
    <mergeCell ref="AE21:AE21"/>
    <mergeCell ref="AF21:AF21"/>
    <mergeCell ref="A22:A22"/>
    <mergeCell ref="B22:B22"/>
    <mergeCell ref="C22:C22"/>
    <mergeCell ref="F22:F22"/>
    <mergeCell ref="G22:G22"/>
    <mergeCell ref="H22:H22"/>
    <mergeCell ref="M22:M22"/>
    <mergeCell ref="N22:N22"/>
    <mergeCell ref="O22:O22"/>
    <mergeCell ref="P22:P22"/>
    <mergeCell ref="Q22:Q22"/>
    <mergeCell ref="R22:R22"/>
    <mergeCell ref="S22:S22"/>
    <mergeCell ref="X22:X22"/>
    <mergeCell ref="Y22:Y22"/>
    <mergeCell ref="Z22:Z22"/>
    <mergeCell ref="AA22:AA22"/>
    <mergeCell ref="AB22:AB22"/>
    <mergeCell ref="AC22:AC22"/>
    <mergeCell ref="AD22:AD22"/>
    <mergeCell ref="AE22:AE22"/>
    <mergeCell ref="AF22:AF22"/>
    <mergeCell ref="A23:A23"/>
    <mergeCell ref="B23:B23"/>
    <mergeCell ref="C23:C23"/>
    <mergeCell ref="F23:F23"/>
    <mergeCell ref="G23:G23"/>
    <mergeCell ref="H23:H23"/>
    <mergeCell ref="M23:M23"/>
    <mergeCell ref="N23:N23"/>
    <mergeCell ref="O23:O23"/>
    <mergeCell ref="P23:P23"/>
    <mergeCell ref="Q23:Q23"/>
    <mergeCell ref="R23:R23"/>
    <mergeCell ref="S23:S23"/>
    <mergeCell ref="X23:X23"/>
    <mergeCell ref="Y23:Y23"/>
    <mergeCell ref="Z23:Z23"/>
    <mergeCell ref="AA23:AA23"/>
    <mergeCell ref="AB23:AB23"/>
    <mergeCell ref="AC23:AC23"/>
    <mergeCell ref="AD23:AD23"/>
    <mergeCell ref="AE23:AE23"/>
    <mergeCell ref="AF23:AF23"/>
    <mergeCell ref="A24:A24"/>
    <mergeCell ref="B24:B24"/>
    <mergeCell ref="C24:C24"/>
    <mergeCell ref="F24:F24"/>
    <mergeCell ref="G24:G24"/>
    <mergeCell ref="H24:H24"/>
    <mergeCell ref="M24:M24"/>
    <mergeCell ref="N24:N24"/>
    <mergeCell ref="O24:O24"/>
    <mergeCell ref="P24:P24"/>
    <mergeCell ref="Q24:Q24"/>
    <mergeCell ref="R24:R24"/>
    <mergeCell ref="S24:S24"/>
    <mergeCell ref="X24:X24"/>
    <mergeCell ref="Y24:Y24"/>
    <mergeCell ref="Z24:Z24"/>
    <mergeCell ref="AA24:AA24"/>
    <mergeCell ref="AB24:AB24"/>
    <mergeCell ref="AC24:AC24"/>
    <mergeCell ref="AD24:AD24"/>
    <mergeCell ref="AE24:AE24"/>
    <mergeCell ref="AF24:AF24"/>
    <mergeCell ref="A25:A25"/>
    <mergeCell ref="B25:B25"/>
    <mergeCell ref="C25:C25"/>
    <mergeCell ref="F25:F25"/>
    <mergeCell ref="G25:G25"/>
    <mergeCell ref="H25:H25"/>
    <mergeCell ref="M25:M25"/>
    <mergeCell ref="N25:N25"/>
    <mergeCell ref="O25:O25"/>
    <mergeCell ref="P25:P25"/>
    <mergeCell ref="Q25:Q25"/>
    <mergeCell ref="R25:R25"/>
    <mergeCell ref="S25:S25"/>
    <mergeCell ref="X25:X25"/>
    <mergeCell ref="Y25:Y25"/>
    <mergeCell ref="Z25:Z25"/>
    <mergeCell ref="AA25:AA25"/>
    <mergeCell ref="AB25:AB25"/>
    <mergeCell ref="AC25:AC25"/>
    <mergeCell ref="AD25:AD25"/>
    <mergeCell ref="AE25:AE25"/>
    <mergeCell ref="AF25:AF25"/>
    <mergeCell ref="A26:A26"/>
    <mergeCell ref="B26:B26"/>
    <mergeCell ref="C26:C26"/>
    <mergeCell ref="F26:F26"/>
    <mergeCell ref="G26:G26"/>
    <mergeCell ref="H26:H26"/>
    <mergeCell ref="M26:M26"/>
    <mergeCell ref="N26:N26"/>
    <mergeCell ref="O26:O26"/>
    <mergeCell ref="P26:P26"/>
    <mergeCell ref="Q26:Q26"/>
    <mergeCell ref="R26:R26"/>
    <mergeCell ref="S26:S26"/>
    <mergeCell ref="X26:X26"/>
    <mergeCell ref="Y26:Y26"/>
    <mergeCell ref="Z26:Z26"/>
    <mergeCell ref="AA26:AA26"/>
    <mergeCell ref="AB26:AB26"/>
    <mergeCell ref="AC26:AC26"/>
    <mergeCell ref="AD26:AD26"/>
    <mergeCell ref="AE26:AE26"/>
    <mergeCell ref="AF26:AF26"/>
    <mergeCell ref="A27:A27"/>
    <mergeCell ref="B27:B27"/>
    <mergeCell ref="C27:C27"/>
    <mergeCell ref="F27:F27"/>
    <mergeCell ref="G27:G27"/>
    <mergeCell ref="H27:H27"/>
    <mergeCell ref="M27:M27"/>
    <mergeCell ref="N27:N27"/>
    <mergeCell ref="O27:O27"/>
    <mergeCell ref="P27:P27"/>
    <mergeCell ref="Q27:Q27"/>
    <mergeCell ref="R27:R27"/>
    <mergeCell ref="S27:S27"/>
    <mergeCell ref="X27:X27"/>
    <mergeCell ref="Y27:Y27"/>
    <mergeCell ref="Z27:Z27"/>
    <mergeCell ref="AA27:AA27"/>
    <mergeCell ref="AB27:AB27"/>
    <mergeCell ref="AC27:AC27"/>
    <mergeCell ref="AD27:AD27"/>
    <mergeCell ref="AE27:AE27"/>
    <mergeCell ref="AF27:AF27"/>
    <mergeCell ref="A28:A28"/>
    <mergeCell ref="B28:B28"/>
    <mergeCell ref="C28:C28"/>
    <mergeCell ref="F28:F28"/>
    <mergeCell ref="G28:G28"/>
    <mergeCell ref="H28:H28"/>
    <mergeCell ref="M28:M28"/>
    <mergeCell ref="N28:N28"/>
    <mergeCell ref="O28:O28"/>
    <mergeCell ref="P28:P28"/>
    <mergeCell ref="Q28:Q28"/>
    <mergeCell ref="R28:R28"/>
    <mergeCell ref="S28:S28"/>
    <mergeCell ref="X28:X28"/>
    <mergeCell ref="Y28:Y28"/>
    <mergeCell ref="Z28:Z28"/>
    <mergeCell ref="AA28:AA28"/>
    <mergeCell ref="AB28:AB28"/>
    <mergeCell ref="AC28:AC28"/>
    <mergeCell ref="AD28:AD28"/>
    <mergeCell ref="AE28:AE28"/>
    <mergeCell ref="AF28:AF28"/>
    <mergeCell ref="A29:A29"/>
    <mergeCell ref="B29:B29"/>
    <mergeCell ref="C29:C29"/>
    <mergeCell ref="F29:F29"/>
    <mergeCell ref="G29:G29"/>
    <mergeCell ref="H29:H29"/>
    <mergeCell ref="M29:M29"/>
    <mergeCell ref="N29:N29"/>
    <mergeCell ref="O29:O29"/>
    <mergeCell ref="P29:P29"/>
    <mergeCell ref="Q29:Q29"/>
    <mergeCell ref="R29:R29"/>
    <mergeCell ref="S29:S29"/>
    <mergeCell ref="X29:X29"/>
    <mergeCell ref="Y29:Y29"/>
    <mergeCell ref="Z29:Z29"/>
    <mergeCell ref="AA29:AA29"/>
    <mergeCell ref="AB29:AB29"/>
    <mergeCell ref="AC29:AC29"/>
    <mergeCell ref="AD29:AD29"/>
    <mergeCell ref="AE29:AE29"/>
    <mergeCell ref="AF29:AF29"/>
    <mergeCell ref="A30:A30"/>
    <mergeCell ref="B30:B30"/>
    <mergeCell ref="C30:C30"/>
    <mergeCell ref="F30:F30"/>
    <mergeCell ref="G30:G30"/>
    <mergeCell ref="H30:H30"/>
    <mergeCell ref="M30:M30"/>
    <mergeCell ref="N30:N30"/>
    <mergeCell ref="O30:O30"/>
    <mergeCell ref="P30:P30"/>
    <mergeCell ref="Q30:Q30"/>
    <mergeCell ref="R30:R30"/>
    <mergeCell ref="S30:S30"/>
    <mergeCell ref="X30:X30"/>
    <mergeCell ref="Y30:Y30"/>
    <mergeCell ref="Z30:Z30"/>
    <mergeCell ref="AA30:AA30"/>
    <mergeCell ref="AB30:AB30"/>
    <mergeCell ref="AC30:AC30"/>
    <mergeCell ref="AD30:AD30"/>
    <mergeCell ref="AE30:AE30"/>
    <mergeCell ref="AF30:AF30"/>
    <mergeCell ref="A31:A31"/>
    <mergeCell ref="B31:B31"/>
    <mergeCell ref="C31:C31"/>
    <mergeCell ref="F31:F31"/>
    <mergeCell ref="G31:G31"/>
    <mergeCell ref="H31:H31"/>
    <mergeCell ref="M31:M31"/>
    <mergeCell ref="N31:N31"/>
    <mergeCell ref="O31:O31"/>
    <mergeCell ref="P31:P31"/>
    <mergeCell ref="Q31:Q31"/>
    <mergeCell ref="R31:R31"/>
    <mergeCell ref="S31:S31"/>
    <mergeCell ref="X31:X31"/>
    <mergeCell ref="Y31:Y31"/>
    <mergeCell ref="Z31:Z31"/>
    <mergeCell ref="AA31:AA31"/>
    <mergeCell ref="AB31:AB31"/>
    <mergeCell ref="AC31:AC31"/>
    <mergeCell ref="AD31:AD31"/>
    <mergeCell ref="AE31:AE31"/>
    <mergeCell ref="AF31:AF31"/>
    <mergeCell ref="A32:A32"/>
    <mergeCell ref="B32:B32"/>
    <mergeCell ref="C32:C32"/>
    <mergeCell ref="F32:F32"/>
    <mergeCell ref="G32:G32"/>
    <mergeCell ref="H32:H32"/>
    <mergeCell ref="M32:M32"/>
    <mergeCell ref="N32:N32"/>
    <mergeCell ref="O32:O32"/>
    <mergeCell ref="P32:P32"/>
    <mergeCell ref="Q32:Q32"/>
    <mergeCell ref="R32:R32"/>
    <mergeCell ref="S32:S32"/>
    <mergeCell ref="X32:X32"/>
    <mergeCell ref="Y32:Y32"/>
    <mergeCell ref="Z32:Z32"/>
    <mergeCell ref="AA32:AA32"/>
    <mergeCell ref="AB32:AB32"/>
    <mergeCell ref="AC32:AC32"/>
    <mergeCell ref="AD32:AD32"/>
    <mergeCell ref="AE32:AE32"/>
    <mergeCell ref="AF32:AF32"/>
    <mergeCell ref="A33:A33"/>
    <mergeCell ref="B33:B33"/>
    <mergeCell ref="C33:C33"/>
    <mergeCell ref="F33:F33"/>
    <mergeCell ref="G33:G33"/>
    <mergeCell ref="H33:H33"/>
    <mergeCell ref="M33:M33"/>
    <mergeCell ref="N33:N33"/>
    <mergeCell ref="O33:O33"/>
    <mergeCell ref="P33:P33"/>
    <mergeCell ref="Q33:Q33"/>
    <mergeCell ref="R33:R33"/>
    <mergeCell ref="S33:S33"/>
    <mergeCell ref="X33:X33"/>
    <mergeCell ref="Y33:Y33"/>
    <mergeCell ref="Z33:Z33"/>
    <mergeCell ref="AA33:AA33"/>
    <mergeCell ref="AB33:AB33"/>
    <mergeCell ref="AC33:AC33"/>
    <mergeCell ref="AD33:AD33"/>
    <mergeCell ref="AE33:AE33"/>
    <mergeCell ref="AF33:AF33"/>
    <mergeCell ref="A34:A34"/>
    <mergeCell ref="B34:B34"/>
    <mergeCell ref="C34:C34"/>
    <mergeCell ref="F34:F34"/>
    <mergeCell ref="G34:G34"/>
    <mergeCell ref="H34:H34"/>
    <mergeCell ref="M34:M34"/>
    <mergeCell ref="N34:N34"/>
    <mergeCell ref="O34:O34"/>
    <mergeCell ref="P34:P34"/>
    <mergeCell ref="Q34:Q34"/>
    <mergeCell ref="R34:R34"/>
    <mergeCell ref="S34:S34"/>
    <mergeCell ref="X34:X34"/>
    <mergeCell ref="Y34:Y34"/>
    <mergeCell ref="Z34:Z34"/>
    <mergeCell ref="AA34:AA34"/>
    <mergeCell ref="AB34:AB34"/>
    <mergeCell ref="AC34:AC34"/>
    <mergeCell ref="AD34:AD34"/>
    <mergeCell ref="AE34:AE34"/>
    <mergeCell ref="AF34:AF34"/>
    <mergeCell ref="A35:A35"/>
    <mergeCell ref="B35:B35"/>
    <mergeCell ref="C35:C35"/>
    <mergeCell ref="F35:F35"/>
    <mergeCell ref="G35:G35"/>
    <mergeCell ref="H35:H35"/>
    <mergeCell ref="M35:M35"/>
    <mergeCell ref="N35:N35"/>
    <mergeCell ref="O35:O35"/>
    <mergeCell ref="P35:P35"/>
    <mergeCell ref="Q35:Q35"/>
    <mergeCell ref="R35:R35"/>
    <mergeCell ref="S35:S35"/>
    <mergeCell ref="X35:X35"/>
    <mergeCell ref="Y35:Y35"/>
    <mergeCell ref="Z35:Z35"/>
    <mergeCell ref="AA35:AA35"/>
    <mergeCell ref="AB35:AB35"/>
    <mergeCell ref="AC35:AC35"/>
    <mergeCell ref="AD35:AD35"/>
    <mergeCell ref="AE35:AE35"/>
    <mergeCell ref="AF35:AF35"/>
    <mergeCell ref="A36:A36"/>
    <mergeCell ref="B36:B36"/>
    <mergeCell ref="C36:C36"/>
    <mergeCell ref="F36:F36"/>
    <mergeCell ref="G36:G36"/>
    <mergeCell ref="H36:H36"/>
    <mergeCell ref="M36:M36"/>
    <mergeCell ref="N36:N36"/>
    <mergeCell ref="O36:O36"/>
    <mergeCell ref="P36:P36"/>
    <mergeCell ref="Q36:Q36"/>
    <mergeCell ref="R36:R36"/>
    <mergeCell ref="S36:S36"/>
    <mergeCell ref="X36:X36"/>
    <mergeCell ref="Y36:Y36"/>
    <mergeCell ref="Z36:Z36"/>
    <mergeCell ref="AA36:AA36"/>
    <mergeCell ref="AB36:AB36"/>
    <mergeCell ref="AC36:AC36"/>
    <mergeCell ref="AD36:AD36"/>
    <mergeCell ref="AE36:AE36"/>
    <mergeCell ref="AF36:AF36"/>
    <mergeCell ref="A37:A37"/>
    <mergeCell ref="B37:B37"/>
    <mergeCell ref="C37:C37"/>
    <mergeCell ref="F37:F37"/>
    <mergeCell ref="G37:G37"/>
    <mergeCell ref="H37:H37"/>
    <mergeCell ref="M37:M37"/>
    <mergeCell ref="N37:N37"/>
    <mergeCell ref="O37:O37"/>
    <mergeCell ref="P37:P37"/>
    <mergeCell ref="Q37:Q37"/>
    <mergeCell ref="R37:R37"/>
    <mergeCell ref="S37:S37"/>
    <mergeCell ref="X37:X37"/>
    <mergeCell ref="Y37:Y37"/>
    <mergeCell ref="Z37:Z37"/>
    <mergeCell ref="AA37:AA37"/>
    <mergeCell ref="AB37:AB37"/>
    <mergeCell ref="AC37:AC37"/>
    <mergeCell ref="AD37:AD37"/>
    <mergeCell ref="AE37:AE37"/>
    <mergeCell ref="AF37:AF37"/>
    <mergeCell ref="A38:A38"/>
    <mergeCell ref="B38:B38"/>
    <mergeCell ref="C38:C38"/>
    <mergeCell ref="F38:F38"/>
    <mergeCell ref="G38:G38"/>
    <mergeCell ref="H38:H38"/>
    <mergeCell ref="M38:M38"/>
    <mergeCell ref="N38:N38"/>
    <mergeCell ref="O38:O38"/>
    <mergeCell ref="P38:P38"/>
    <mergeCell ref="Q38:Q38"/>
    <mergeCell ref="R38:R38"/>
    <mergeCell ref="S38:S38"/>
    <mergeCell ref="X38:X38"/>
    <mergeCell ref="Y38:Y38"/>
    <mergeCell ref="Z38:Z38"/>
    <mergeCell ref="AA38:AA38"/>
    <mergeCell ref="AB38:AB38"/>
    <mergeCell ref="AC38:AC38"/>
    <mergeCell ref="AD38:AD38"/>
    <mergeCell ref="AE38:AE38"/>
    <mergeCell ref="AF38:AF38"/>
    <mergeCell ref="A39:A39"/>
    <mergeCell ref="B39:B39"/>
    <mergeCell ref="C39:C39"/>
    <mergeCell ref="F39:F39"/>
    <mergeCell ref="G39:G39"/>
    <mergeCell ref="H39:H39"/>
    <mergeCell ref="M39:M39"/>
    <mergeCell ref="N39:N39"/>
    <mergeCell ref="O39:O39"/>
    <mergeCell ref="P39:P39"/>
    <mergeCell ref="Q39:Q39"/>
    <mergeCell ref="R39:R39"/>
    <mergeCell ref="S39:S39"/>
    <mergeCell ref="X39:X39"/>
    <mergeCell ref="Y39:Y39"/>
    <mergeCell ref="Z39:Z39"/>
    <mergeCell ref="AA39:AA39"/>
    <mergeCell ref="AB39:AB39"/>
    <mergeCell ref="AC39:AC39"/>
    <mergeCell ref="AD39:AD39"/>
    <mergeCell ref="AE39:AE39"/>
    <mergeCell ref="AF39:AF39"/>
    <mergeCell ref="A40:A40"/>
    <mergeCell ref="B40:B40"/>
    <mergeCell ref="C40:C40"/>
    <mergeCell ref="F40:F40"/>
    <mergeCell ref="G40:G40"/>
    <mergeCell ref="H40:H40"/>
    <mergeCell ref="M40:M40"/>
    <mergeCell ref="N40:N40"/>
    <mergeCell ref="O40:O40"/>
    <mergeCell ref="P40:P40"/>
    <mergeCell ref="Q40:Q40"/>
    <mergeCell ref="R40:R40"/>
    <mergeCell ref="S40:S40"/>
    <mergeCell ref="X40:X40"/>
    <mergeCell ref="Y40:Y40"/>
    <mergeCell ref="Z40:Z40"/>
    <mergeCell ref="AA40:AA40"/>
    <mergeCell ref="AB40:AB40"/>
    <mergeCell ref="AC40:AC40"/>
    <mergeCell ref="AD40:AD40"/>
    <mergeCell ref="AE40:AE40"/>
    <mergeCell ref="AF40:AF40"/>
    <mergeCell ref="A41:A41"/>
    <mergeCell ref="B41:B41"/>
    <mergeCell ref="C41:C41"/>
    <mergeCell ref="F41:F41"/>
    <mergeCell ref="G41:G41"/>
    <mergeCell ref="H41:H41"/>
    <mergeCell ref="M41:M41"/>
    <mergeCell ref="N41:N41"/>
    <mergeCell ref="O41:O41"/>
    <mergeCell ref="P41:P41"/>
    <mergeCell ref="Q41:Q41"/>
    <mergeCell ref="R41:R41"/>
    <mergeCell ref="S41:S41"/>
    <mergeCell ref="X41:X41"/>
    <mergeCell ref="Y41:Y41"/>
    <mergeCell ref="Z41:Z41"/>
    <mergeCell ref="AA41:AA41"/>
    <mergeCell ref="AB41:AB41"/>
    <mergeCell ref="AC41:AC41"/>
    <mergeCell ref="AD41:AD41"/>
    <mergeCell ref="AE41:AE41"/>
    <mergeCell ref="AF41:AF41"/>
    <mergeCell ref="A42:A42"/>
    <mergeCell ref="B42:B42"/>
    <mergeCell ref="C42:C42"/>
    <mergeCell ref="F42:F42"/>
    <mergeCell ref="G42:G42"/>
    <mergeCell ref="H42:H42"/>
    <mergeCell ref="M42:M42"/>
    <mergeCell ref="N42:N42"/>
    <mergeCell ref="O42:O42"/>
    <mergeCell ref="P42:P42"/>
    <mergeCell ref="Q42:Q42"/>
    <mergeCell ref="R42:R42"/>
    <mergeCell ref="S42:S42"/>
    <mergeCell ref="X42:X42"/>
    <mergeCell ref="Y42:Y42"/>
    <mergeCell ref="Z42:Z42"/>
    <mergeCell ref="AA42:AA42"/>
    <mergeCell ref="AB42:AB42"/>
    <mergeCell ref="AC42:AC42"/>
    <mergeCell ref="AD42:AD42"/>
    <mergeCell ref="AE42:AE42"/>
    <mergeCell ref="AF42:AF42"/>
    <mergeCell ref="A43:A43"/>
    <mergeCell ref="B43:B43"/>
    <mergeCell ref="C43:C43"/>
    <mergeCell ref="F43:F43"/>
    <mergeCell ref="G43:G43"/>
    <mergeCell ref="H43:H43"/>
    <mergeCell ref="M43:M43"/>
    <mergeCell ref="N43:N43"/>
    <mergeCell ref="O43:O43"/>
    <mergeCell ref="P43:P43"/>
    <mergeCell ref="Q43:Q43"/>
    <mergeCell ref="R43:R43"/>
    <mergeCell ref="S43:S43"/>
    <mergeCell ref="X43:X43"/>
    <mergeCell ref="Y43:Y43"/>
    <mergeCell ref="Z43:Z43"/>
    <mergeCell ref="AA43:AA43"/>
    <mergeCell ref="AB43:AB43"/>
    <mergeCell ref="AC43:AC43"/>
    <mergeCell ref="AD43:AD43"/>
    <mergeCell ref="AE43:AE43"/>
    <mergeCell ref="AF43:AF43"/>
    <mergeCell ref="A44:A44"/>
    <mergeCell ref="B44:B44"/>
    <mergeCell ref="C44:C44"/>
    <mergeCell ref="F44:F44"/>
    <mergeCell ref="G44:G44"/>
    <mergeCell ref="H44:H44"/>
    <mergeCell ref="M44:M44"/>
    <mergeCell ref="N44:N44"/>
    <mergeCell ref="O44:O44"/>
    <mergeCell ref="P44:P44"/>
    <mergeCell ref="Q44:Q44"/>
    <mergeCell ref="R44:R44"/>
    <mergeCell ref="S44:S44"/>
    <mergeCell ref="X44:X44"/>
    <mergeCell ref="Y44:Y44"/>
    <mergeCell ref="Z44:Z44"/>
    <mergeCell ref="AA44:AA44"/>
    <mergeCell ref="AB44:AB44"/>
    <mergeCell ref="AC44:AC44"/>
    <mergeCell ref="AD44:AD44"/>
    <mergeCell ref="AE44:AE44"/>
    <mergeCell ref="AF44:AF44"/>
    <mergeCell ref="A45:A45"/>
    <mergeCell ref="B45:B45"/>
    <mergeCell ref="C45:C45"/>
    <mergeCell ref="F45:F45"/>
    <mergeCell ref="G45:G45"/>
    <mergeCell ref="H45:H45"/>
    <mergeCell ref="M45:M45"/>
    <mergeCell ref="N45:N45"/>
    <mergeCell ref="O45:O45"/>
    <mergeCell ref="P45:P45"/>
    <mergeCell ref="Q45:Q45"/>
    <mergeCell ref="R45:R45"/>
    <mergeCell ref="S45:S45"/>
    <mergeCell ref="X45:X45"/>
    <mergeCell ref="Y45:Y45"/>
    <mergeCell ref="Z45:Z45"/>
    <mergeCell ref="AA45:AA45"/>
    <mergeCell ref="AB45:AB45"/>
    <mergeCell ref="AC45:AC45"/>
    <mergeCell ref="AD45:AD45"/>
    <mergeCell ref="AE45:AE45"/>
    <mergeCell ref="AF45:AF45"/>
    <mergeCell ref="A46:A46"/>
    <mergeCell ref="B46:B46"/>
    <mergeCell ref="C46:C46"/>
    <mergeCell ref="F46:F46"/>
    <mergeCell ref="G46:G46"/>
    <mergeCell ref="H46:H46"/>
    <mergeCell ref="M46:M46"/>
    <mergeCell ref="N46:N46"/>
    <mergeCell ref="O46:O46"/>
    <mergeCell ref="P46:P46"/>
    <mergeCell ref="Q46:Q46"/>
    <mergeCell ref="R46:R46"/>
    <mergeCell ref="S46:S46"/>
    <mergeCell ref="X46:X46"/>
    <mergeCell ref="Y46:Y46"/>
    <mergeCell ref="Z46:Z46"/>
    <mergeCell ref="AA46:AA46"/>
    <mergeCell ref="AB46:AB46"/>
    <mergeCell ref="AC46:AC46"/>
    <mergeCell ref="AD46:AD46"/>
    <mergeCell ref="AE46:AE46"/>
    <mergeCell ref="AF46:AF46"/>
    <mergeCell ref="A47:A47"/>
    <mergeCell ref="B47:B47"/>
    <mergeCell ref="C47:C47"/>
    <mergeCell ref="F47:F47"/>
    <mergeCell ref="G47:G47"/>
    <mergeCell ref="H47:H47"/>
    <mergeCell ref="M47:M47"/>
    <mergeCell ref="N47:N47"/>
    <mergeCell ref="O47:O47"/>
    <mergeCell ref="P47:P47"/>
    <mergeCell ref="Q47:Q47"/>
    <mergeCell ref="R47:R47"/>
    <mergeCell ref="S47:S47"/>
    <mergeCell ref="X47:X47"/>
    <mergeCell ref="Y47:Y47"/>
    <mergeCell ref="Z47:Z47"/>
    <mergeCell ref="AA47:AA47"/>
    <mergeCell ref="AB47:AB47"/>
    <mergeCell ref="AC47:AC47"/>
    <mergeCell ref="AD47:AD47"/>
    <mergeCell ref="AE47:AE47"/>
    <mergeCell ref="AF47:AF47"/>
    <mergeCell ref="A48:A48"/>
    <mergeCell ref="B48:B48"/>
    <mergeCell ref="C48:C48"/>
    <mergeCell ref="F48:F48"/>
    <mergeCell ref="G48:G48"/>
    <mergeCell ref="H48:H48"/>
    <mergeCell ref="M48:M48"/>
    <mergeCell ref="N48:N48"/>
    <mergeCell ref="O48:O48"/>
    <mergeCell ref="P48:P48"/>
    <mergeCell ref="Q48:Q48"/>
    <mergeCell ref="R48:R48"/>
    <mergeCell ref="S48:S48"/>
    <mergeCell ref="X48:X48"/>
    <mergeCell ref="Y48:Y48"/>
    <mergeCell ref="Z48:Z48"/>
    <mergeCell ref="AA48:AA48"/>
    <mergeCell ref="AB48:AB48"/>
    <mergeCell ref="AC48:AC48"/>
    <mergeCell ref="AD48:AD48"/>
    <mergeCell ref="AE48:AE48"/>
    <mergeCell ref="AF48:AF48"/>
    <mergeCell ref="A49:A49"/>
    <mergeCell ref="B49:B49"/>
    <mergeCell ref="C49:C49"/>
    <mergeCell ref="F49:F49"/>
    <mergeCell ref="G49:G49"/>
    <mergeCell ref="H49:H49"/>
    <mergeCell ref="M49:M49"/>
    <mergeCell ref="N49:N49"/>
    <mergeCell ref="O49:O49"/>
    <mergeCell ref="P49:P49"/>
    <mergeCell ref="Q49:Q49"/>
    <mergeCell ref="R49:R49"/>
    <mergeCell ref="S49:S49"/>
    <mergeCell ref="X49:X49"/>
    <mergeCell ref="Y49:Y49"/>
    <mergeCell ref="Z49:Z49"/>
    <mergeCell ref="AA49:AA49"/>
    <mergeCell ref="AB49:AB49"/>
    <mergeCell ref="AC49:AC49"/>
    <mergeCell ref="AD49:AD49"/>
    <mergeCell ref="AE49:AE49"/>
    <mergeCell ref="AF49:AF49"/>
    <mergeCell ref="A50:A50"/>
    <mergeCell ref="B50:B50"/>
    <mergeCell ref="C50:C50"/>
    <mergeCell ref="F50:F50"/>
    <mergeCell ref="G50:G50"/>
    <mergeCell ref="H50:H50"/>
    <mergeCell ref="M50:M50"/>
    <mergeCell ref="N50:N50"/>
    <mergeCell ref="O50:O50"/>
    <mergeCell ref="P50:P50"/>
    <mergeCell ref="Q50:Q50"/>
    <mergeCell ref="R50:R50"/>
    <mergeCell ref="S50:S50"/>
    <mergeCell ref="X50:X50"/>
    <mergeCell ref="Y50:Y50"/>
    <mergeCell ref="Z50:Z50"/>
    <mergeCell ref="AA50:AA50"/>
    <mergeCell ref="AB50:AB50"/>
    <mergeCell ref="AC50:AC50"/>
    <mergeCell ref="AD50:AD50"/>
    <mergeCell ref="AE50:AE50"/>
    <mergeCell ref="AF50:AF50"/>
    <mergeCell ref="A51:A51"/>
    <mergeCell ref="B51:B51"/>
    <mergeCell ref="C51:C51"/>
    <mergeCell ref="F51:F51"/>
    <mergeCell ref="G51:G51"/>
    <mergeCell ref="H51:H51"/>
    <mergeCell ref="M51:M51"/>
    <mergeCell ref="N51:N51"/>
    <mergeCell ref="O51:O51"/>
    <mergeCell ref="P51:P51"/>
    <mergeCell ref="Q51:Q51"/>
    <mergeCell ref="R51:R51"/>
    <mergeCell ref="S51:S51"/>
    <mergeCell ref="X51:X51"/>
    <mergeCell ref="Y51:Y51"/>
    <mergeCell ref="Z51:Z51"/>
    <mergeCell ref="AA51:AA51"/>
    <mergeCell ref="AB51:AB51"/>
    <mergeCell ref="AC51:AC51"/>
    <mergeCell ref="AD51:AD51"/>
    <mergeCell ref="AE51:AE51"/>
    <mergeCell ref="AF51:AF51"/>
    <mergeCell ref="A52:A52"/>
    <mergeCell ref="B52:B52"/>
    <mergeCell ref="C52:C52"/>
    <mergeCell ref="F52:F52"/>
    <mergeCell ref="G52:G52"/>
    <mergeCell ref="H52:H52"/>
    <mergeCell ref="M52:M52"/>
    <mergeCell ref="N52:N52"/>
    <mergeCell ref="O52:O52"/>
    <mergeCell ref="P52:P52"/>
    <mergeCell ref="Q52:Q52"/>
    <mergeCell ref="R52:R52"/>
    <mergeCell ref="S52:S52"/>
    <mergeCell ref="X52:X52"/>
    <mergeCell ref="Y52:Y52"/>
    <mergeCell ref="Z52:Z52"/>
    <mergeCell ref="AA52:AA52"/>
    <mergeCell ref="AB52:AB52"/>
    <mergeCell ref="AC52:AC52"/>
    <mergeCell ref="AD52:AD52"/>
    <mergeCell ref="AE52:AE52"/>
    <mergeCell ref="AF52:AF52"/>
    <mergeCell ref="A53:A53"/>
    <mergeCell ref="B53:B53"/>
    <mergeCell ref="C53:C53"/>
    <mergeCell ref="F53:F53"/>
    <mergeCell ref="G53:G53"/>
    <mergeCell ref="H53:H53"/>
    <mergeCell ref="M53:M53"/>
    <mergeCell ref="N53:N53"/>
    <mergeCell ref="O53:O53"/>
    <mergeCell ref="P53:P53"/>
    <mergeCell ref="Q53:Q53"/>
    <mergeCell ref="R53:R53"/>
    <mergeCell ref="S53:S53"/>
    <mergeCell ref="X53:X53"/>
    <mergeCell ref="Y53:Y53"/>
    <mergeCell ref="Z53:Z53"/>
    <mergeCell ref="AA53:AA53"/>
    <mergeCell ref="AB53:AB53"/>
    <mergeCell ref="AC53:AC53"/>
    <mergeCell ref="AD53:AD53"/>
    <mergeCell ref="AE53:AE53"/>
    <mergeCell ref="AF53:AF53"/>
    <mergeCell ref="A54:A54"/>
    <mergeCell ref="B54:B54"/>
    <mergeCell ref="C54:C54"/>
    <mergeCell ref="F54:F54"/>
    <mergeCell ref="G54:G54"/>
    <mergeCell ref="H54:H54"/>
    <mergeCell ref="M54:M54"/>
    <mergeCell ref="N54:N54"/>
    <mergeCell ref="O54:O54"/>
    <mergeCell ref="P54:P54"/>
    <mergeCell ref="Q54:Q54"/>
    <mergeCell ref="R54:R54"/>
    <mergeCell ref="S54:S54"/>
    <mergeCell ref="X54:X54"/>
    <mergeCell ref="Y54:Y54"/>
    <mergeCell ref="Z54:Z54"/>
    <mergeCell ref="AA54:AA54"/>
    <mergeCell ref="AB54:AB54"/>
    <mergeCell ref="AC54:AC54"/>
    <mergeCell ref="AD54:AD54"/>
    <mergeCell ref="AE54:AE54"/>
    <mergeCell ref="AF54:AF54"/>
    <mergeCell ref="A55:A55"/>
    <mergeCell ref="B55:B55"/>
    <mergeCell ref="C55:C55"/>
    <mergeCell ref="F55:F55"/>
    <mergeCell ref="G55:G55"/>
    <mergeCell ref="H55:H55"/>
    <mergeCell ref="M55:M55"/>
    <mergeCell ref="N55:N55"/>
    <mergeCell ref="O55:O55"/>
    <mergeCell ref="P55:P55"/>
    <mergeCell ref="Q55:Q55"/>
    <mergeCell ref="R55:R55"/>
    <mergeCell ref="S55:S55"/>
    <mergeCell ref="X55:X55"/>
    <mergeCell ref="Y55:Y55"/>
    <mergeCell ref="Z55:Z55"/>
    <mergeCell ref="AA55:AA55"/>
    <mergeCell ref="AB55:AB55"/>
    <mergeCell ref="AC55:AC55"/>
    <mergeCell ref="AD55:AD55"/>
    <mergeCell ref="AE55:AE55"/>
    <mergeCell ref="AF55:AF55"/>
    <mergeCell ref="A56:A56"/>
    <mergeCell ref="B56:B56"/>
    <mergeCell ref="C56:C56"/>
    <mergeCell ref="F56:F56"/>
    <mergeCell ref="G56:G56"/>
    <mergeCell ref="H56:H56"/>
    <mergeCell ref="M56:M56"/>
    <mergeCell ref="N56:N56"/>
    <mergeCell ref="O56:O56"/>
    <mergeCell ref="P56:P56"/>
    <mergeCell ref="Q56:Q56"/>
    <mergeCell ref="R56:R56"/>
    <mergeCell ref="S56:S56"/>
    <mergeCell ref="X56:X56"/>
    <mergeCell ref="Y56:Y56"/>
    <mergeCell ref="Z56:Z56"/>
    <mergeCell ref="AA56:AA56"/>
    <mergeCell ref="AB56:AB56"/>
    <mergeCell ref="AC56:AC56"/>
    <mergeCell ref="AD56:AD56"/>
    <mergeCell ref="AE56:AE56"/>
    <mergeCell ref="AF56:AF56"/>
    <mergeCell ref="A57:A57"/>
    <mergeCell ref="B57:B57"/>
    <mergeCell ref="C57:C57"/>
    <mergeCell ref="F57:F57"/>
    <mergeCell ref="G57:G57"/>
    <mergeCell ref="H57:H57"/>
    <mergeCell ref="M57:M57"/>
    <mergeCell ref="N57:N57"/>
    <mergeCell ref="O57:O57"/>
    <mergeCell ref="P57:P57"/>
    <mergeCell ref="Q57:Q57"/>
    <mergeCell ref="R57:R57"/>
    <mergeCell ref="S57:S57"/>
    <mergeCell ref="X57:X57"/>
    <mergeCell ref="Y57:Y57"/>
    <mergeCell ref="Z57:Z57"/>
    <mergeCell ref="AA57:AA57"/>
    <mergeCell ref="AB57:AB57"/>
    <mergeCell ref="AC57:AC57"/>
    <mergeCell ref="AD57:AD57"/>
    <mergeCell ref="AE57:AE57"/>
    <mergeCell ref="AF57:AF57"/>
    <mergeCell ref="A58:A58"/>
    <mergeCell ref="B58:B58"/>
    <mergeCell ref="C58:C58"/>
    <mergeCell ref="F58:F58"/>
    <mergeCell ref="G58:G58"/>
    <mergeCell ref="H58:H58"/>
    <mergeCell ref="M58:M58"/>
    <mergeCell ref="N58:N58"/>
    <mergeCell ref="O58:O58"/>
    <mergeCell ref="P58:P58"/>
    <mergeCell ref="Q58:Q58"/>
    <mergeCell ref="R58:R58"/>
    <mergeCell ref="S58:S58"/>
    <mergeCell ref="X58:X58"/>
    <mergeCell ref="Y58:Y58"/>
    <mergeCell ref="Z58:Z58"/>
    <mergeCell ref="AA58:AA58"/>
    <mergeCell ref="AB58:AB58"/>
    <mergeCell ref="AC58:AC58"/>
    <mergeCell ref="AD58:AD58"/>
    <mergeCell ref="AE58:AE58"/>
    <mergeCell ref="AF58:AF58"/>
    <mergeCell ref="A59:A59"/>
    <mergeCell ref="B59:B59"/>
    <mergeCell ref="C59:C59"/>
    <mergeCell ref="F59:F59"/>
    <mergeCell ref="G59:G59"/>
    <mergeCell ref="H59:H59"/>
    <mergeCell ref="M59:M59"/>
    <mergeCell ref="N59:N59"/>
    <mergeCell ref="O59:O59"/>
    <mergeCell ref="P59:P59"/>
    <mergeCell ref="Q59:Q59"/>
    <mergeCell ref="R59:R59"/>
    <mergeCell ref="S59:S59"/>
    <mergeCell ref="X59:X59"/>
    <mergeCell ref="Y59:Y59"/>
    <mergeCell ref="Z59:Z59"/>
    <mergeCell ref="AA59:AA59"/>
    <mergeCell ref="AB59:AB59"/>
    <mergeCell ref="AC59:AC59"/>
    <mergeCell ref="AD59:AD59"/>
    <mergeCell ref="AE59:AE59"/>
    <mergeCell ref="AF59:AF59"/>
    <mergeCell ref="A60:A60"/>
    <mergeCell ref="B60:B60"/>
    <mergeCell ref="C60:C60"/>
    <mergeCell ref="F60:F60"/>
    <mergeCell ref="G60:G60"/>
    <mergeCell ref="H60:H60"/>
    <mergeCell ref="M60:M60"/>
    <mergeCell ref="N60:N60"/>
    <mergeCell ref="O60:O60"/>
    <mergeCell ref="P60:P60"/>
    <mergeCell ref="Q60:Q60"/>
    <mergeCell ref="R60:R60"/>
    <mergeCell ref="S60:S60"/>
    <mergeCell ref="X60:X60"/>
    <mergeCell ref="Y60:Y60"/>
    <mergeCell ref="Z60:Z60"/>
    <mergeCell ref="AA60:AA60"/>
    <mergeCell ref="AB60:AB60"/>
    <mergeCell ref="AC60:AC60"/>
    <mergeCell ref="AD60:AD60"/>
    <mergeCell ref="AE60:AE60"/>
    <mergeCell ref="AF60:AF60"/>
    <mergeCell ref="A61:A61"/>
    <mergeCell ref="B61:B61"/>
    <mergeCell ref="C61:C61"/>
    <mergeCell ref="F61:F61"/>
    <mergeCell ref="G61:G61"/>
    <mergeCell ref="H61:H61"/>
    <mergeCell ref="M61:M61"/>
    <mergeCell ref="N61:N61"/>
    <mergeCell ref="O61:O61"/>
    <mergeCell ref="P61:P61"/>
    <mergeCell ref="Q61:Q61"/>
    <mergeCell ref="R61:R61"/>
    <mergeCell ref="S61:S61"/>
    <mergeCell ref="X61:X61"/>
    <mergeCell ref="Y61:Y61"/>
    <mergeCell ref="Z61:Z61"/>
    <mergeCell ref="AA61:AA61"/>
    <mergeCell ref="AB61:AB61"/>
    <mergeCell ref="AC61:AC61"/>
    <mergeCell ref="AD61:AD61"/>
    <mergeCell ref="AE61:AE61"/>
    <mergeCell ref="AF61:AF61"/>
    <mergeCell ref="A62:A62"/>
    <mergeCell ref="B62:B62"/>
    <mergeCell ref="C62:C62"/>
    <mergeCell ref="F62:F62"/>
    <mergeCell ref="G62:G62"/>
    <mergeCell ref="H62:H62"/>
    <mergeCell ref="M62:M62"/>
    <mergeCell ref="N62:N62"/>
    <mergeCell ref="O62:O62"/>
    <mergeCell ref="P62:P62"/>
    <mergeCell ref="Q62:Q62"/>
    <mergeCell ref="R62:R62"/>
    <mergeCell ref="S62:S62"/>
    <mergeCell ref="X62:X62"/>
    <mergeCell ref="Y62:Y62"/>
    <mergeCell ref="Z62:Z62"/>
    <mergeCell ref="AA62:AA62"/>
    <mergeCell ref="AB62:AB62"/>
    <mergeCell ref="AC62:AC62"/>
    <mergeCell ref="AD62:AD62"/>
    <mergeCell ref="AE62:AE62"/>
    <mergeCell ref="AF62:AF62"/>
    <mergeCell ref="A63:A63"/>
    <mergeCell ref="B63:B63"/>
    <mergeCell ref="C63:C63"/>
    <mergeCell ref="F63:F63"/>
    <mergeCell ref="G63:G63"/>
    <mergeCell ref="H63:H63"/>
    <mergeCell ref="M63:M63"/>
    <mergeCell ref="N63:N63"/>
    <mergeCell ref="O63:O63"/>
    <mergeCell ref="P63:P63"/>
    <mergeCell ref="Q63:Q63"/>
    <mergeCell ref="R63:R63"/>
    <mergeCell ref="S63:S63"/>
    <mergeCell ref="X63:X63"/>
    <mergeCell ref="Y63:Y63"/>
    <mergeCell ref="Z63:Z63"/>
    <mergeCell ref="AA63:AA63"/>
    <mergeCell ref="AB63:AB63"/>
    <mergeCell ref="AC63:AC63"/>
    <mergeCell ref="AD63:AD63"/>
    <mergeCell ref="AE63:AE63"/>
    <mergeCell ref="AF63:AF63"/>
    <mergeCell ref="A64:A64"/>
    <mergeCell ref="B64:B64"/>
    <mergeCell ref="C64:C64"/>
    <mergeCell ref="F64:F64"/>
    <mergeCell ref="G64:G64"/>
    <mergeCell ref="H64:H64"/>
    <mergeCell ref="M64:M64"/>
    <mergeCell ref="N64:N64"/>
    <mergeCell ref="O64:O64"/>
    <mergeCell ref="P64:P64"/>
    <mergeCell ref="Q64:Q64"/>
    <mergeCell ref="R64:R64"/>
    <mergeCell ref="S64:S64"/>
    <mergeCell ref="X64:X64"/>
    <mergeCell ref="Y64:Y64"/>
    <mergeCell ref="Z64:Z64"/>
    <mergeCell ref="AA64:AA64"/>
    <mergeCell ref="AB64:AB64"/>
    <mergeCell ref="AC64:AC64"/>
    <mergeCell ref="AD64:AD64"/>
    <mergeCell ref="AE64:AE64"/>
    <mergeCell ref="AF64:AF64"/>
    <mergeCell ref="A65:A65"/>
    <mergeCell ref="B65:B65"/>
    <mergeCell ref="C65:C65"/>
    <mergeCell ref="F65:F65"/>
    <mergeCell ref="G65:G65"/>
    <mergeCell ref="H65:H65"/>
    <mergeCell ref="M65:M65"/>
    <mergeCell ref="N65:N65"/>
    <mergeCell ref="O65:O65"/>
    <mergeCell ref="P65:P65"/>
    <mergeCell ref="Q65:Q65"/>
    <mergeCell ref="R65:R65"/>
    <mergeCell ref="S65:S65"/>
    <mergeCell ref="X65:X65"/>
    <mergeCell ref="Y65:Y65"/>
    <mergeCell ref="Z65:Z65"/>
    <mergeCell ref="AA65:AA65"/>
    <mergeCell ref="AB65:AB65"/>
    <mergeCell ref="AC65:AC65"/>
    <mergeCell ref="AD65:AD65"/>
    <mergeCell ref="AE65:AE65"/>
    <mergeCell ref="AF65:AF65"/>
    <mergeCell ref="A66:A66"/>
    <mergeCell ref="B66:B66"/>
    <mergeCell ref="C66:C66"/>
    <mergeCell ref="F66:F66"/>
    <mergeCell ref="G66:G66"/>
    <mergeCell ref="H66:H66"/>
    <mergeCell ref="M66:M66"/>
    <mergeCell ref="N66:N66"/>
    <mergeCell ref="O66:O66"/>
    <mergeCell ref="P66:P66"/>
    <mergeCell ref="Q66:Q66"/>
    <mergeCell ref="R66:R66"/>
    <mergeCell ref="S66:S66"/>
    <mergeCell ref="X66:X66"/>
    <mergeCell ref="Y66:Y66"/>
    <mergeCell ref="Z66:Z66"/>
    <mergeCell ref="AA66:AA66"/>
    <mergeCell ref="AB66:AB66"/>
    <mergeCell ref="AC66:AC66"/>
    <mergeCell ref="AD66:AD66"/>
    <mergeCell ref="AE66:AE66"/>
    <mergeCell ref="AF66:AF66"/>
    <mergeCell ref="A67:A67"/>
    <mergeCell ref="B67:B67"/>
    <mergeCell ref="C67:C67"/>
    <mergeCell ref="F67:F67"/>
    <mergeCell ref="G67:G67"/>
    <mergeCell ref="H67:H67"/>
    <mergeCell ref="M67:M67"/>
    <mergeCell ref="N67:N67"/>
    <mergeCell ref="O67:O67"/>
    <mergeCell ref="P67:P67"/>
    <mergeCell ref="Q67:Q67"/>
    <mergeCell ref="R67:R67"/>
    <mergeCell ref="S67:S67"/>
    <mergeCell ref="X67:X67"/>
    <mergeCell ref="Y67:Y67"/>
    <mergeCell ref="Z67:Z67"/>
    <mergeCell ref="AA67:AA67"/>
    <mergeCell ref="AB67:AB67"/>
    <mergeCell ref="AC67:AC67"/>
    <mergeCell ref="AD67:AD67"/>
    <mergeCell ref="AE67:AE67"/>
    <mergeCell ref="AF67:AF67"/>
    <mergeCell ref="A68:A68"/>
    <mergeCell ref="B68:B68"/>
    <mergeCell ref="C68:C68"/>
    <mergeCell ref="F68:F68"/>
    <mergeCell ref="G68:G68"/>
    <mergeCell ref="H68:H68"/>
    <mergeCell ref="M68:M68"/>
    <mergeCell ref="N68:N68"/>
    <mergeCell ref="O68:O68"/>
    <mergeCell ref="P68:P68"/>
    <mergeCell ref="Q68:Q68"/>
    <mergeCell ref="R68:R68"/>
    <mergeCell ref="S68:S68"/>
    <mergeCell ref="X68:X68"/>
    <mergeCell ref="Y68:Y68"/>
    <mergeCell ref="Z68:Z68"/>
    <mergeCell ref="AA68:AA68"/>
    <mergeCell ref="AB68:AB68"/>
    <mergeCell ref="AC68:AC68"/>
    <mergeCell ref="AD68:AD68"/>
    <mergeCell ref="AE68:AE68"/>
    <mergeCell ref="AF68:AF68"/>
    <mergeCell ref="A69:A69"/>
    <mergeCell ref="B69:B69"/>
    <mergeCell ref="C69:C69"/>
    <mergeCell ref="F69:F69"/>
    <mergeCell ref="G69:G69"/>
    <mergeCell ref="H69:H69"/>
    <mergeCell ref="M69:M69"/>
    <mergeCell ref="N69:N69"/>
    <mergeCell ref="O69:O69"/>
    <mergeCell ref="P69:P69"/>
    <mergeCell ref="Q69:Q69"/>
    <mergeCell ref="R69:R69"/>
    <mergeCell ref="S69:S69"/>
    <mergeCell ref="X69:X69"/>
    <mergeCell ref="Y69:Y69"/>
    <mergeCell ref="Z69:Z69"/>
    <mergeCell ref="AA69:AA69"/>
    <mergeCell ref="AB69:AB69"/>
    <mergeCell ref="AC69:AC69"/>
    <mergeCell ref="AD69:AD69"/>
    <mergeCell ref="AE69:AE69"/>
    <mergeCell ref="AF69:AF69"/>
    <mergeCell ref="A70:A70"/>
    <mergeCell ref="B70:B70"/>
    <mergeCell ref="C70:C70"/>
    <mergeCell ref="F70:F70"/>
    <mergeCell ref="G70:G70"/>
    <mergeCell ref="H70:H70"/>
    <mergeCell ref="M70:M70"/>
    <mergeCell ref="N70:N70"/>
    <mergeCell ref="O70:O70"/>
    <mergeCell ref="P70:P70"/>
    <mergeCell ref="Q70:Q70"/>
    <mergeCell ref="R70:R70"/>
    <mergeCell ref="S70:S70"/>
    <mergeCell ref="X70:X70"/>
    <mergeCell ref="Y70:Y70"/>
    <mergeCell ref="Z70:Z70"/>
    <mergeCell ref="AA70:AA70"/>
    <mergeCell ref="AB70:AB70"/>
    <mergeCell ref="AC70:AC70"/>
    <mergeCell ref="AD70:AD70"/>
    <mergeCell ref="AE70:AE70"/>
    <mergeCell ref="AF70:AF70"/>
    <mergeCell ref="A71:A71"/>
    <mergeCell ref="B71:B71"/>
    <mergeCell ref="C71:C71"/>
    <mergeCell ref="F71:F71"/>
    <mergeCell ref="G71:G71"/>
    <mergeCell ref="H71:H71"/>
    <mergeCell ref="M71:M71"/>
    <mergeCell ref="N71:N71"/>
    <mergeCell ref="O71:O71"/>
    <mergeCell ref="P71:P71"/>
    <mergeCell ref="Q71:Q71"/>
    <mergeCell ref="R71:R71"/>
    <mergeCell ref="S71:S71"/>
    <mergeCell ref="X71:X71"/>
    <mergeCell ref="Y71:Y71"/>
    <mergeCell ref="Z71:Z71"/>
    <mergeCell ref="AA71:AA71"/>
    <mergeCell ref="AB71:AB71"/>
    <mergeCell ref="AC71:AC71"/>
    <mergeCell ref="AD71:AD71"/>
    <mergeCell ref="AE71:AE71"/>
    <mergeCell ref="AF71:AF71"/>
    <mergeCell ref="A72:A72"/>
    <mergeCell ref="B72:B72"/>
    <mergeCell ref="C72:C72"/>
    <mergeCell ref="F72:F72"/>
    <mergeCell ref="G72:G72"/>
    <mergeCell ref="H72:H72"/>
    <mergeCell ref="M72:M72"/>
    <mergeCell ref="N72:N72"/>
    <mergeCell ref="O72:O72"/>
    <mergeCell ref="P72:P72"/>
    <mergeCell ref="Q72:Q72"/>
    <mergeCell ref="R72:R72"/>
    <mergeCell ref="S72:S72"/>
    <mergeCell ref="X72:X72"/>
    <mergeCell ref="Y72:Y72"/>
    <mergeCell ref="Z72:Z72"/>
    <mergeCell ref="AA72:AA72"/>
    <mergeCell ref="AB72:AB72"/>
    <mergeCell ref="AC72:AC72"/>
    <mergeCell ref="AD72:AD72"/>
    <mergeCell ref="AE72:AE72"/>
    <mergeCell ref="AF72:AF72"/>
    <mergeCell ref="A73:A73"/>
    <mergeCell ref="B73:B73"/>
    <mergeCell ref="C73:C73"/>
    <mergeCell ref="F73:F73"/>
    <mergeCell ref="G73:G73"/>
    <mergeCell ref="H73:H73"/>
    <mergeCell ref="M73:M73"/>
    <mergeCell ref="N73:N73"/>
    <mergeCell ref="O73:O73"/>
    <mergeCell ref="P73:P73"/>
    <mergeCell ref="Q73:Q73"/>
    <mergeCell ref="R73:R73"/>
    <mergeCell ref="S73:S73"/>
    <mergeCell ref="X73:X73"/>
    <mergeCell ref="Y73:Y73"/>
    <mergeCell ref="Z73:Z73"/>
    <mergeCell ref="AA73:AA73"/>
    <mergeCell ref="AB73:AB73"/>
    <mergeCell ref="AC73:AC73"/>
    <mergeCell ref="AD73:AD73"/>
    <mergeCell ref="AE73:AE73"/>
    <mergeCell ref="AF73:AF73"/>
    <mergeCell ref="A74:A74"/>
    <mergeCell ref="B74:B74"/>
    <mergeCell ref="C74:C74"/>
    <mergeCell ref="F74:F74"/>
    <mergeCell ref="G74:G74"/>
    <mergeCell ref="H74:H74"/>
    <mergeCell ref="M74:M74"/>
    <mergeCell ref="N74:N74"/>
    <mergeCell ref="O74:O74"/>
    <mergeCell ref="P74:P74"/>
    <mergeCell ref="Q74:Q74"/>
    <mergeCell ref="R74:R74"/>
    <mergeCell ref="S74:S74"/>
    <mergeCell ref="X74:X74"/>
    <mergeCell ref="Y74:Y74"/>
    <mergeCell ref="Z74:Z74"/>
    <mergeCell ref="AA74:AA74"/>
    <mergeCell ref="AB74:AB74"/>
    <mergeCell ref="AC74:AC74"/>
    <mergeCell ref="AD74:AD74"/>
    <mergeCell ref="AE74:AE74"/>
    <mergeCell ref="AF74:AF74"/>
    <mergeCell ref="A75:A75"/>
    <mergeCell ref="B75:B75"/>
    <mergeCell ref="C75:C75"/>
    <mergeCell ref="F75:F75"/>
    <mergeCell ref="G75:G75"/>
    <mergeCell ref="H75:H75"/>
    <mergeCell ref="M75:M75"/>
    <mergeCell ref="N75:N75"/>
    <mergeCell ref="O75:O75"/>
    <mergeCell ref="P75:P75"/>
    <mergeCell ref="Q75:Q75"/>
    <mergeCell ref="R75:R75"/>
    <mergeCell ref="S75:S75"/>
    <mergeCell ref="X75:X75"/>
    <mergeCell ref="Y75:Y75"/>
    <mergeCell ref="Z75:Z75"/>
    <mergeCell ref="AA75:AA75"/>
    <mergeCell ref="AB75:AB75"/>
    <mergeCell ref="AC75:AC75"/>
    <mergeCell ref="AD75:AD75"/>
    <mergeCell ref="AE75:AE75"/>
    <mergeCell ref="AF75:AF75"/>
    <mergeCell ref="A76:A76"/>
    <mergeCell ref="B76:B76"/>
    <mergeCell ref="C76:C76"/>
    <mergeCell ref="F76:F76"/>
    <mergeCell ref="G76:G76"/>
    <mergeCell ref="H76:H76"/>
    <mergeCell ref="M76:M76"/>
    <mergeCell ref="N76:N76"/>
    <mergeCell ref="O76:O76"/>
    <mergeCell ref="P76:P76"/>
    <mergeCell ref="Q76:Q76"/>
    <mergeCell ref="R76:R76"/>
    <mergeCell ref="S76:S76"/>
    <mergeCell ref="X76:X76"/>
    <mergeCell ref="Y76:Y76"/>
    <mergeCell ref="Z76:Z76"/>
    <mergeCell ref="AA76:AA76"/>
    <mergeCell ref="AB76:AB76"/>
    <mergeCell ref="AC76:AC76"/>
    <mergeCell ref="AD76:AD76"/>
    <mergeCell ref="AE76:AE76"/>
    <mergeCell ref="AF76:AF76"/>
    <mergeCell ref="A77:A77"/>
    <mergeCell ref="B77:B77"/>
    <mergeCell ref="C77:C77"/>
    <mergeCell ref="F77:F77"/>
    <mergeCell ref="G77:G77"/>
    <mergeCell ref="H77:H77"/>
    <mergeCell ref="M77:M77"/>
    <mergeCell ref="N77:N77"/>
    <mergeCell ref="O77:O77"/>
    <mergeCell ref="P77:P77"/>
    <mergeCell ref="Q77:Q77"/>
    <mergeCell ref="R77:R77"/>
    <mergeCell ref="S77:S77"/>
    <mergeCell ref="X77:X77"/>
    <mergeCell ref="Y77:Y77"/>
    <mergeCell ref="Z77:Z77"/>
    <mergeCell ref="AA77:AA77"/>
    <mergeCell ref="AB77:AB77"/>
    <mergeCell ref="AC77:AC77"/>
    <mergeCell ref="AD77:AD77"/>
    <mergeCell ref="AE77:AE77"/>
    <mergeCell ref="AF77:AF77"/>
    <mergeCell ref="A78:A78"/>
    <mergeCell ref="B78:B78"/>
    <mergeCell ref="C78:C78"/>
    <mergeCell ref="F78:F78"/>
    <mergeCell ref="G78:G78"/>
    <mergeCell ref="H78:H78"/>
    <mergeCell ref="M78:M78"/>
    <mergeCell ref="N78:N78"/>
    <mergeCell ref="O78:O78"/>
    <mergeCell ref="P78:P78"/>
    <mergeCell ref="Q78:Q78"/>
    <mergeCell ref="R78:R78"/>
    <mergeCell ref="S78:S78"/>
    <mergeCell ref="X78:X78"/>
    <mergeCell ref="Y78:Y78"/>
    <mergeCell ref="Z78:Z78"/>
    <mergeCell ref="AA78:AA78"/>
    <mergeCell ref="AB78:AB78"/>
    <mergeCell ref="AC78:AC78"/>
    <mergeCell ref="AD78:AD78"/>
    <mergeCell ref="AE78:AE78"/>
    <mergeCell ref="AF78:AF78"/>
    <mergeCell ref="A79:A79"/>
    <mergeCell ref="B79:B79"/>
    <mergeCell ref="C79:C79"/>
    <mergeCell ref="F79:F79"/>
    <mergeCell ref="G79:G79"/>
    <mergeCell ref="H79:H79"/>
    <mergeCell ref="M79:M79"/>
    <mergeCell ref="N79:N79"/>
    <mergeCell ref="O79:O79"/>
    <mergeCell ref="P79:P79"/>
    <mergeCell ref="Q79:Q79"/>
    <mergeCell ref="R79:R79"/>
    <mergeCell ref="S79:S79"/>
    <mergeCell ref="X79:X79"/>
    <mergeCell ref="Y79:Y79"/>
    <mergeCell ref="Z79:Z79"/>
    <mergeCell ref="AA79:AA79"/>
    <mergeCell ref="AB79:AB79"/>
    <mergeCell ref="AC79:AC79"/>
    <mergeCell ref="AD79:AD79"/>
    <mergeCell ref="AE79:AE79"/>
    <mergeCell ref="AF79:AF79"/>
    <mergeCell ref="A80:A80"/>
    <mergeCell ref="B80:B80"/>
    <mergeCell ref="C80:C80"/>
    <mergeCell ref="F80:F80"/>
    <mergeCell ref="G80:G80"/>
    <mergeCell ref="H80:H80"/>
    <mergeCell ref="M80:M80"/>
    <mergeCell ref="N80:N80"/>
    <mergeCell ref="O80:O80"/>
    <mergeCell ref="P80:P80"/>
    <mergeCell ref="Q80:Q80"/>
    <mergeCell ref="R80:R80"/>
    <mergeCell ref="S80:S80"/>
    <mergeCell ref="X80:X80"/>
    <mergeCell ref="Y80:Y80"/>
    <mergeCell ref="Z80:Z80"/>
    <mergeCell ref="AA80:AA80"/>
    <mergeCell ref="AB80:AB80"/>
    <mergeCell ref="AC80:AC80"/>
    <mergeCell ref="AD80:AD80"/>
    <mergeCell ref="AE80:AE80"/>
    <mergeCell ref="AF80:AF80"/>
    <mergeCell ref="A81:A81"/>
    <mergeCell ref="B81:B81"/>
    <mergeCell ref="C81:C81"/>
    <mergeCell ref="F81:F81"/>
    <mergeCell ref="G81:G81"/>
    <mergeCell ref="H81:H81"/>
    <mergeCell ref="M81:M81"/>
    <mergeCell ref="N81:N81"/>
    <mergeCell ref="O81:O81"/>
    <mergeCell ref="P81:P81"/>
    <mergeCell ref="Q81:Q81"/>
    <mergeCell ref="R81:R81"/>
    <mergeCell ref="S81:S81"/>
    <mergeCell ref="X81:X81"/>
    <mergeCell ref="Y81:Y81"/>
    <mergeCell ref="Z81:Z81"/>
    <mergeCell ref="AA81:AA81"/>
    <mergeCell ref="AB81:AB81"/>
    <mergeCell ref="AC81:AC81"/>
    <mergeCell ref="AD81:AD81"/>
    <mergeCell ref="AE81:AE81"/>
    <mergeCell ref="AF81:AF81"/>
    <mergeCell ref="A82:A82"/>
    <mergeCell ref="B82:B82"/>
    <mergeCell ref="C82:C82"/>
    <mergeCell ref="F82:F82"/>
    <mergeCell ref="G82:G82"/>
    <mergeCell ref="H82:H82"/>
    <mergeCell ref="M82:M82"/>
    <mergeCell ref="N82:N82"/>
    <mergeCell ref="O82:O82"/>
    <mergeCell ref="P82:P82"/>
    <mergeCell ref="Q82:Q82"/>
    <mergeCell ref="R82:R82"/>
    <mergeCell ref="S82:S82"/>
    <mergeCell ref="X82:X82"/>
    <mergeCell ref="Y82:Y82"/>
    <mergeCell ref="Z82:Z82"/>
    <mergeCell ref="AA82:AA82"/>
    <mergeCell ref="AB82:AB82"/>
    <mergeCell ref="AC82:AC82"/>
    <mergeCell ref="AD82:AD82"/>
    <mergeCell ref="AE82:AE82"/>
    <mergeCell ref="AF82:AF82"/>
    <mergeCell ref="A83:A83"/>
    <mergeCell ref="B83:B83"/>
    <mergeCell ref="C83:C83"/>
    <mergeCell ref="F83:F83"/>
    <mergeCell ref="G83:G83"/>
    <mergeCell ref="H83:H83"/>
    <mergeCell ref="M83:M83"/>
    <mergeCell ref="N83:N83"/>
    <mergeCell ref="O83:O83"/>
    <mergeCell ref="P83:P83"/>
    <mergeCell ref="Q83:Q83"/>
    <mergeCell ref="R83:R83"/>
    <mergeCell ref="S83:S83"/>
    <mergeCell ref="X83:X83"/>
    <mergeCell ref="Y83:Y83"/>
    <mergeCell ref="Z83:Z83"/>
    <mergeCell ref="AA83:AA83"/>
    <mergeCell ref="AB83:AB83"/>
    <mergeCell ref="AC83:AC83"/>
    <mergeCell ref="AD83:AD83"/>
    <mergeCell ref="AE83:AE83"/>
    <mergeCell ref="AF83:AF83"/>
    <mergeCell ref="A84:A84"/>
    <mergeCell ref="B84:B84"/>
    <mergeCell ref="C84:C84"/>
    <mergeCell ref="F84:F84"/>
    <mergeCell ref="G84:G84"/>
    <mergeCell ref="H84:H84"/>
    <mergeCell ref="M84:M84"/>
    <mergeCell ref="N84:N84"/>
    <mergeCell ref="O84:O84"/>
    <mergeCell ref="P84:P84"/>
    <mergeCell ref="Q84:Q84"/>
    <mergeCell ref="R84:R84"/>
    <mergeCell ref="S84:S84"/>
    <mergeCell ref="X84:X84"/>
    <mergeCell ref="Y84:Y84"/>
    <mergeCell ref="Z84:Z84"/>
    <mergeCell ref="AA84:AA84"/>
    <mergeCell ref="AB84:AB84"/>
    <mergeCell ref="AC84:AC84"/>
    <mergeCell ref="AD84:AD84"/>
    <mergeCell ref="AE84:AE84"/>
    <mergeCell ref="AF84:AF84"/>
    <mergeCell ref="A85:A85"/>
    <mergeCell ref="B85:B85"/>
    <mergeCell ref="C85:C85"/>
    <mergeCell ref="F85:F85"/>
    <mergeCell ref="G85:G85"/>
    <mergeCell ref="H85:H85"/>
    <mergeCell ref="M85:M85"/>
    <mergeCell ref="N85:N85"/>
    <mergeCell ref="O85:O85"/>
    <mergeCell ref="P85:P85"/>
    <mergeCell ref="Q85:Q85"/>
    <mergeCell ref="R85:R85"/>
    <mergeCell ref="S85:S85"/>
    <mergeCell ref="X85:X85"/>
    <mergeCell ref="Y85:Y85"/>
    <mergeCell ref="Z85:Z85"/>
    <mergeCell ref="AA85:AA85"/>
    <mergeCell ref="AB85:AB85"/>
    <mergeCell ref="AC85:AC85"/>
    <mergeCell ref="AD85:AD85"/>
    <mergeCell ref="AE85:AE85"/>
    <mergeCell ref="AF85:AF85"/>
    <mergeCell ref="A86:A86"/>
    <mergeCell ref="B86:B86"/>
    <mergeCell ref="C86:C86"/>
    <mergeCell ref="F86:F86"/>
    <mergeCell ref="G86:G86"/>
    <mergeCell ref="H86:H86"/>
    <mergeCell ref="M86:M86"/>
    <mergeCell ref="N86:N86"/>
    <mergeCell ref="O86:O86"/>
    <mergeCell ref="P86:P86"/>
    <mergeCell ref="Q86:Q86"/>
    <mergeCell ref="R86:R86"/>
    <mergeCell ref="S86:S86"/>
    <mergeCell ref="X86:X86"/>
    <mergeCell ref="Y86:Y86"/>
    <mergeCell ref="Z86:Z86"/>
    <mergeCell ref="AA86:AA86"/>
    <mergeCell ref="AB86:AB86"/>
    <mergeCell ref="AC86:AC86"/>
    <mergeCell ref="AD86:AD86"/>
    <mergeCell ref="AE86:AE86"/>
    <mergeCell ref="AF86:AF86"/>
    <mergeCell ref="A87:A87"/>
    <mergeCell ref="B87:B87"/>
    <mergeCell ref="C87:C87"/>
    <mergeCell ref="F87:F87"/>
    <mergeCell ref="G87:G87"/>
    <mergeCell ref="H87:H87"/>
    <mergeCell ref="M87:M87"/>
    <mergeCell ref="N87:N87"/>
    <mergeCell ref="O87:O87"/>
    <mergeCell ref="P87:P87"/>
    <mergeCell ref="Q87:Q87"/>
    <mergeCell ref="R87:R87"/>
    <mergeCell ref="S87:S87"/>
    <mergeCell ref="X87:X87"/>
    <mergeCell ref="Y87:Y87"/>
    <mergeCell ref="Z87:Z87"/>
    <mergeCell ref="AA87:AA87"/>
    <mergeCell ref="AB87:AB87"/>
    <mergeCell ref="AC87:AC87"/>
    <mergeCell ref="AD87:AD87"/>
    <mergeCell ref="AE87:AE87"/>
    <mergeCell ref="AF87:AF87"/>
    <mergeCell ref="A88:A88"/>
    <mergeCell ref="B88:B88"/>
    <mergeCell ref="C88:C88"/>
    <mergeCell ref="F88:F88"/>
    <mergeCell ref="G88:G88"/>
    <mergeCell ref="H88:H88"/>
    <mergeCell ref="M88:M88"/>
    <mergeCell ref="N88:N88"/>
    <mergeCell ref="O88:O88"/>
    <mergeCell ref="P88:P88"/>
    <mergeCell ref="Q88:Q88"/>
    <mergeCell ref="R88:R88"/>
    <mergeCell ref="S88:S88"/>
    <mergeCell ref="X88:X88"/>
    <mergeCell ref="Y88:Y88"/>
    <mergeCell ref="Z88:Z88"/>
    <mergeCell ref="AA88:AA88"/>
    <mergeCell ref="AB88:AB88"/>
    <mergeCell ref="AC88:AC88"/>
    <mergeCell ref="AD88:AD88"/>
    <mergeCell ref="AE88:AE88"/>
    <mergeCell ref="AF88:AF88"/>
    <mergeCell ref="A89:A89"/>
    <mergeCell ref="B89:B89"/>
    <mergeCell ref="C89:C89"/>
    <mergeCell ref="F89:F89"/>
    <mergeCell ref="G89:G89"/>
    <mergeCell ref="H89:H89"/>
    <mergeCell ref="M89:M89"/>
    <mergeCell ref="N89:N89"/>
    <mergeCell ref="O89:O89"/>
    <mergeCell ref="P89:P89"/>
    <mergeCell ref="Q89:Q89"/>
    <mergeCell ref="R89:R89"/>
    <mergeCell ref="S89:S89"/>
    <mergeCell ref="X89:X89"/>
    <mergeCell ref="Y89:Y89"/>
    <mergeCell ref="Z89:Z89"/>
    <mergeCell ref="AA89:AA89"/>
    <mergeCell ref="AB89:AB89"/>
    <mergeCell ref="AC89:AC89"/>
    <mergeCell ref="AD89:AD89"/>
    <mergeCell ref="AE89:AE89"/>
    <mergeCell ref="AF89:AF89"/>
    <mergeCell ref="A90:A90"/>
    <mergeCell ref="B90:B90"/>
    <mergeCell ref="C90:C90"/>
    <mergeCell ref="F90:F90"/>
    <mergeCell ref="G90:G90"/>
    <mergeCell ref="H90:H90"/>
    <mergeCell ref="M90:M90"/>
    <mergeCell ref="N90:N90"/>
    <mergeCell ref="O90:O90"/>
    <mergeCell ref="P90:P90"/>
    <mergeCell ref="Q90:Q90"/>
    <mergeCell ref="R90:R90"/>
    <mergeCell ref="S90:S90"/>
    <mergeCell ref="X90:X90"/>
    <mergeCell ref="Y90:Y90"/>
    <mergeCell ref="Z90:Z90"/>
    <mergeCell ref="AA90:AA90"/>
    <mergeCell ref="AB90:AB90"/>
    <mergeCell ref="AC90:AC90"/>
    <mergeCell ref="AD90:AD90"/>
    <mergeCell ref="AE90:AE90"/>
    <mergeCell ref="AF90:AF90"/>
    <mergeCell ref="A91:A91"/>
    <mergeCell ref="B91:B91"/>
    <mergeCell ref="C91:C91"/>
    <mergeCell ref="F91:F91"/>
    <mergeCell ref="G91:G91"/>
    <mergeCell ref="H91:H91"/>
    <mergeCell ref="M91:M91"/>
    <mergeCell ref="N91:N91"/>
    <mergeCell ref="O91:O91"/>
    <mergeCell ref="P91:P91"/>
    <mergeCell ref="Q91:Q91"/>
    <mergeCell ref="R91:R91"/>
    <mergeCell ref="S91:S91"/>
    <mergeCell ref="X91:X91"/>
    <mergeCell ref="Y91:Y91"/>
    <mergeCell ref="Z91:Z91"/>
    <mergeCell ref="AA91:AA91"/>
    <mergeCell ref="AB91:AB91"/>
    <mergeCell ref="AC91:AC91"/>
    <mergeCell ref="AD91:AD91"/>
    <mergeCell ref="AE91:AE91"/>
    <mergeCell ref="AF91:AF91"/>
    <mergeCell ref="A92:A92"/>
    <mergeCell ref="B92:B92"/>
    <mergeCell ref="C92:C92"/>
    <mergeCell ref="F92:F92"/>
    <mergeCell ref="G92:G92"/>
    <mergeCell ref="H92:H92"/>
    <mergeCell ref="M92:M92"/>
    <mergeCell ref="N92:N92"/>
    <mergeCell ref="O92:O92"/>
    <mergeCell ref="P92:P92"/>
    <mergeCell ref="Q92:Q92"/>
    <mergeCell ref="R92:R92"/>
    <mergeCell ref="S92:S92"/>
    <mergeCell ref="X92:X92"/>
    <mergeCell ref="Y92:Y92"/>
    <mergeCell ref="Z92:Z92"/>
    <mergeCell ref="AA92:AA92"/>
    <mergeCell ref="AB92:AB92"/>
    <mergeCell ref="AC92:AC92"/>
    <mergeCell ref="AD92:AD92"/>
    <mergeCell ref="AE92:AE92"/>
    <mergeCell ref="AF92:AF92"/>
    <mergeCell ref="A93:A93"/>
    <mergeCell ref="B93:B93"/>
    <mergeCell ref="C93:C93"/>
    <mergeCell ref="F93:F93"/>
    <mergeCell ref="G93:G93"/>
    <mergeCell ref="H93:H93"/>
    <mergeCell ref="M93:M93"/>
    <mergeCell ref="N93:N93"/>
    <mergeCell ref="O93:O93"/>
    <mergeCell ref="P93:P93"/>
    <mergeCell ref="Q93:Q93"/>
    <mergeCell ref="R93:R93"/>
    <mergeCell ref="S93:S93"/>
    <mergeCell ref="X93:X93"/>
    <mergeCell ref="Y93:Y93"/>
    <mergeCell ref="Z93:Z93"/>
    <mergeCell ref="AA93:AA93"/>
    <mergeCell ref="AB93:AB93"/>
    <mergeCell ref="AC93:AC93"/>
    <mergeCell ref="AD93:AD93"/>
    <mergeCell ref="AE93:AE93"/>
    <mergeCell ref="AF93:AF93"/>
    <mergeCell ref="A94:A94"/>
    <mergeCell ref="B94:B94"/>
    <mergeCell ref="C94:C94"/>
    <mergeCell ref="F94:F94"/>
    <mergeCell ref="G94:G94"/>
    <mergeCell ref="H94:H94"/>
    <mergeCell ref="M94:M94"/>
    <mergeCell ref="N94:N94"/>
    <mergeCell ref="O94:O94"/>
    <mergeCell ref="P94:P94"/>
    <mergeCell ref="Q94:Q94"/>
    <mergeCell ref="R94:R94"/>
    <mergeCell ref="S94:S94"/>
    <mergeCell ref="X94:X94"/>
    <mergeCell ref="Y94:Y94"/>
    <mergeCell ref="Z94:Z94"/>
    <mergeCell ref="AA94:AA94"/>
    <mergeCell ref="AB94:AB94"/>
    <mergeCell ref="AC94:AC94"/>
    <mergeCell ref="AD94:AD94"/>
    <mergeCell ref="AE94:AE94"/>
    <mergeCell ref="AF94:AF94"/>
    <mergeCell ref="A95:A95"/>
    <mergeCell ref="B95:B95"/>
    <mergeCell ref="C95:C95"/>
    <mergeCell ref="F95:F95"/>
    <mergeCell ref="G95:G95"/>
    <mergeCell ref="H95:H95"/>
    <mergeCell ref="M95:M95"/>
    <mergeCell ref="N95:N95"/>
    <mergeCell ref="O95:O95"/>
    <mergeCell ref="P95:P95"/>
    <mergeCell ref="Q95:Q95"/>
    <mergeCell ref="R95:R95"/>
    <mergeCell ref="S95:S95"/>
    <mergeCell ref="X95:X95"/>
    <mergeCell ref="Y95:Y95"/>
    <mergeCell ref="Z95:Z95"/>
    <mergeCell ref="AA95:AA95"/>
    <mergeCell ref="AB95:AB95"/>
    <mergeCell ref="AC95:AC95"/>
    <mergeCell ref="AD95:AD95"/>
    <mergeCell ref="AE95:AE95"/>
    <mergeCell ref="AF95:AF95"/>
    <mergeCell ref="A96:A96"/>
    <mergeCell ref="B96:B96"/>
    <mergeCell ref="C96:C96"/>
    <mergeCell ref="F96:F96"/>
    <mergeCell ref="G96:G96"/>
    <mergeCell ref="H96:H96"/>
    <mergeCell ref="M96:M96"/>
    <mergeCell ref="N96:N96"/>
    <mergeCell ref="O96:O96"/>
    <mergeCell ref="P96:P96"/>
    <mergeCell ref="Q96:Q96"/>
    <mergeCell ref="R96:R96"/>
    <mergeCell ref="S96:S96"/>
    <mergeCell ref="X96:X96"/>
    <mergeCell ref="Y96:Y96"/>
    <mergeCell ref="Z96:Z96"/>
    <mergeCell ref="AA96:AA96"/>
    <mergeCell ref="AB96:AB96"/>
    <mergeCell ref="AC96:AC96"/>
    <mergeCell ref="AD96:AD96"/>
    <mergeCell ref="AE96:AE96"/>
    <mergeCell ref="AF96:AF96"/>
    <mergeCell ref="A97:A97"/>
    <mergeCell ref="B97:B97"/>
    <mergeCell ref="C97:C97"/>
    <mergeCell ref="F97:F97"/>
    <mergeCell ref="G97:G97"/>
    <mergeCell ref="H97:H97"/>
    <mergeCell ref="M97:M97"/>
    <mergeCell ref="N97:N97"/>
    <mergeCell ref="O97:O97"/>
    <mergeCell ref="P97:P97"/>
    <mergeCell ref="Q97:Q97"/>
    <mergeCell ref="R97:R97"/>
    <mergeCell ref="S97:S97"/>
    <mergeCell ref="X97:X97"/>
    <mergeCell ref="Y97:Y97"/>
    <mergeCell ref="Z97:Z97"/>
    <mergeCell ref="AA97:AA97"/>
    <mergeCell ref="AB97:AB97"/>
    <mergeCell ref="AC97:AC97"/>
    <mergeCell ref="AD97:AD97"/>
    <mergeCell ref="AE97:AE97"/>
    <mergeCell ref="AF97:AF97"/>
    <mergeCell ref="A98:A98"/>
    <mergeCell ref="B98:B98"/>
    <mergeCell ref="C98:C98"/>
    <mergeCell ref="F98:F98"/>
    <mergeCell ref="G98:G98"/>
    <mergeCell ref="H98:H98"/>
    <mergeCell ref="M98:M98"/>
    <mergeCell ref="N98:N98"/>
    <mergeCell ref="O98:O98"/>
    <mergeCell ref="P98:P98"/>
    <mergeCell ref="Q98:Q98"/>
    <mergeCell ref="R98:R98"/>
    <mergeCell ref="S98:S98"/>
    <mergeCell ref="X98:X98"/>
    <mergeCell ref="Y98:Y98"/>
    <mergeCell ref="Z98:Z98"/>
    <mergeCell ref="AA98:AA98"/>
    <mergeCell ref="AB98:AB98"/>
    <mergeCell ref="AC98:AC98"/>
    <mergeCell ref="AD98:AD98"/>
    <mergeCell ref="AE98:AE98"/>
    <mergeCell ref="AF98:AF98"/>
    <mergeCell ref="A99:A99"/>
    <mergeCell ref="B99:B99"/>
    <mergeCell ref="C99:C99"/>
    <mergeCell ref="F99:F99"/>
    <mergeCell ref="G99:G99"/>
    <mergeCell ref="H99:H99"/>
    <mergeCell ref="M99:M99"/>
    <mergeCell ref="N99:N99"/>
    <mergeCell ref="O99:O99"/>
    <mergeCell ref="P99:P99"/>
    <mergeCell ref="Q99:Q99"/>
    <mergeCell ref="R99:R99"/>
    <mergeCell ref="S99:S99"/>
    <mergeCell ref="X99:X99"/>
    <mergeCell ref="Y99:Y99"/>
    <mergeCell ref="Z99:Z99"/>
    <mergeCell ref="AA99:AA99"/>
    <mergeCell ref="AB99:AB99"/>
    <mergeCell ref="AC99:AC99"/>
    <mergeCell ref="AD99:AD99"/>
    <mergeCell ref="AE99:AE99"/>
    <mergeCell ref="AF99:AF99"/>
    <mergeCell ref="A100:A100"/>
    <mergeCell ref="B100:B100"/>
    <mergeCell ref="C100:C100"/>
    <mergeCell ref="F100:F100"/>
    <mergeCell ref="G100:G100"/>
    <mergeCell ref="H100:H100"/>
    <mergeCell ref="M100:M100"/>
    <mergeCell ref="N100:N100"/>
    <mergeCell ref="O100:O100"/>
    <mergeCell ref="P100:P100"/>
    <mergeCell ref="Q100:Q100"/>
    <mergeCell ref="R100:R100"/>
    <mergeCell ref="S100:S100"/>
    <mergeCell ref="X100:X100"/>
    <mergeCell ref="Y100:Y100"/>
    <mergeCell ref="Z100:Z100"/>
    <mergeCell ref="AA100:AA100"/>
    <mergeCell ref="AB100:AB100"/>
    <mergeCell ref="AC100:AC100"/>
    <mergeCell ref="AD100:AD100"/>
    <mergeCell ref="AE100:AE100"/>
    <mergeCell ref="AF100:AF100"/>
    <mergeCell ref="A101:A101"/>
    <mergeCell ref="B101:B101"/>
    <mergeCell ref="C101:C101"/>
    <mergeCell ref="F101:F101"/>
    <mergeCell ref="G101:G101"/>
    <mergeCell ref="H101:H101"/>
    <mergeCell ref="M101:M101"/>
    <mergeCell ref="N101:N101"/>
    <mergeCell ref="O101:O101"/>
    <mergeCell ref="P101:P101"/>
    <mergeCell ref="Q101:Q101"/>
    <mergeCell ref="R101:R101"/>
    <mergeCell ref="S101:S101"/>
    <mergeCell ref="X101:X101"/>
    <mergeCell ref="Y101:Y101"/>
    <mergeCell ref="Z101:Z101"/>
    <mergeCell ref="AA101:AA101"/>
    <mergeCell ref="AB101:AB101"/>
    <mergeCell ref="AC101:AC101"/>
    <mergeCell ref="AD101:AD101"/>
    <mergeCell ref="AE101:AE101"/>
    <mergeCell ref="AF101:AF101"/>
    <mergeCell ref="A102:A102"/>
    <mergeCell ref="B102:B102"/>
    <mergeCell ref="C102:C102"/>
    <mergeCell ref="F102:F102"/>
    <mergeCell ref="G102:G102"/>
    <mergeCell ref="H102:H102"/>
    <mergeCell ref="M102:M102"/>
    <mergeCell ref="N102:N102"/>
    <mergeCell ref="O102:O102"/>
    <mergeCell ref="P102:P102"/>
    <mergeCell ref="Q102:Q102"/>
    <mergeCell ref="R102:R102"/>
    <mergeCell ref="S102:S102"/>
    <mergeCell ref="X102:X102"/>
    <mergeCell ref="Y102:Y102"/>
    <mergeCell ref="Z102:Z102"/>
    <mergeCell ref="AA102:AA102"/>
    <mergeCell ref="AB102:AB102"/>
    <mergeCell ref="AC102:AC102"/>
    <mergeCell ref="AD102:AD102"/>
    <mergeCell ref="AE102:AE102"/>
    <mergeCell ref="AF102:AF102"/>
    <mergeCell ref="A103:A103"/>
    <mergeCell ref="B103:B103"/>
    <mergeCell ref="C103:C103"/>
    <mergeCell ref="F103:F103"/>
    <mergeCell ref="G103:G103"/>
    <mergeCell ref="H103:H103"/>
    <mergeCell ref="M103:M103"/>
    <mergeCell ref="N103:N103"/>
    <mergeCell ref="O103:O103"/>
    <mergeCell ref="P103:P103"/>
    <mergeCell ref="Q103:Q103"/>
    <mergeCell ref="R103:R103"/>
    <mergeCell ref="S103:S103"/>
    <mergeCell ref="X103:X103"/>
    <mergeCell ref="Y103:Y103"/>
    <mergeCell ref="Z103:Z103"/>
    <mergeCell ref="AA103:AA103"/>
    <mergeCell ref="AB103:AB103"/>
    <mergeCell ref="AC103:AC103"/>
    <mergeCell ref="AD103:AD103"/>
    <mergeCell ref="AE103:AE103"/>
    <mergeCell ref="AF103:AF103"/>
    <mergeCell ref="A104:A104"/>
    <mergeCell ref="B104:B104"/>
    <mergeCell ref="C104:C104"/>
    <mergeCell ref="F104:F104"/>
    <mergeCell ref="G104:G104"/>
    <mergeCell ref="H104:H104"/>
    <mergeCell ref="M104:M104"/>
    <mergeCell ref="N104:N104"/>
    <mergeCell ref="O104:O104"/>
    <mergeCell ref="P104:P104"/>
    <mergeCell ref="Q104:Q104"/>
    <mergeCell ref="R104:R104"/>
    <mergeCell ref="S104:S104"/>
    <mergeCell ref="X104:X104"/>
    <mergeCell ref="Y104:Y104"/>
    <mergeCell ref="Z104:Z104"/>
    <mergeCell ref="AA104:AA104"/>
    <mergeCell ref="AB104:AB104"/>
    <mergeCell ref="AC104:AC104"/>
    <mergeCell ref="AD104:AD104"/>
    <mergeCell ref="AE104:AE104"/>
    <mergeCell ref="AF104:AF104"/>
    <mergeCell ref="A105:A105"/>
    <mergeCell ref="B105:B105"/>
    <mergeCell ref="C105:C105"/>
    <mergeCell ref="F105:F105"/>
    <mergeCell ref="G105:G105"/>
    <mergeCell ref="H105:H105"/>
    <mergeCell ref="M105:M105"/>
    <mergeCell ref="N105:N105"/>
    <mergeCell ref="O105:O105"/>
    <mergeCell ref="P105:P105"/>
    <mergeCell ref="Q105:Q105"/>
    <mergeCell ref="R105:R105"/>
    <mergeCell ref="S105:S105"/>
    <mergeCell ref="X105:X105"/>
    <mergeCell ref="Y105:Y105"/>
    <mergeCell ref="Z105:Z105"/>
    <mergeCell ref="AA105:AA105"/>
    <mergeCell ref="AB105:AB105"/>
    <mergeCell ref="AC105:AC105"/>
    <mergeCell ref="AD105:AD105"/>
    <mergeCell ref="AE105:AE105"/>
    <mergeCell ref="AF105:AF105"/>
    <mergeCell ref="A106:A106"/>
    <mergeCell ref="B106:B106"/>
    <mergeCell ref="C106:C106"/>
    <mergeCell ref="F106:F106"/>
    <mergeCell ref="G106:G106"/>
    <mergeCell ref="H106:H106"/>
    <mergeCell ref="M106:M106"/>
    <mergeCell ref="N106:N106"/>
    <mergeCell ref="O106:O106"/>
    <mergeCell ref="P106:P106"/>
    <mergeCell ref="Q106:Q106"/>
    <mergeCell ref="R106:R106"/>
    <mergeCell ref="S106:S106"/>
    <mergeCell ref="X106:X106"/>
    <mergeCell ref="Y106:Y106"/>
    <mergeCell ref="Z106:Z106"/>
    <mergeCell ref="AA106:AA106"/>
    <mergeCell ref="AB106:AB106"/>
    <mergeCell ref="AC106:AC106"/>
    <mergeCell ref="AD106:AD106"/>
    <mergeCell ref="AE106:AE106"/>
    <mergeCell ref="AF106:AF106"/>
    <mergeCell ref="A107:A107"/>
    <mergeCell ref="B107:B107"/>
    <mergeCell ref="C107:C107"/>
    <mergeCell ref="F107:F107"/>
    <mergeCell ref="G107:G107"/>
    <mergeCell ref="H107:H107"/>
    <mergeCell ref="M107:M107"/>
    <mergeCell ref="N107:N107"/>
    <mergeCell ref="O107:O107"/>
    <mergeCell ref="P107:P107"/>
    <mergeCell ref="Q107:Q107"/>
    <mergeCell ref="R107:R107"/>
    <mergeCell ref="S107:S107"/>
    <mergeCell ref="X107:X107"/>
    <mergeCell ref="Y107:Y107"/>
    <mergeCell ref="Z107:Z107"/>
    <mergeCell ref="AA107:AA107"/>
    <mergeCell ref="AB107:AB107"/>
    <mergeCell ref="AC107:AC107"/>
    <mergeCell ref="AD107:AD107"/>
    <mergeCell ref="AE107:AE107"/>
    <mergeCell ref="AF107:AF107"/>
    <mergeCell ref="A108:A108"/>
    <mergeCell ref="B108:B108"/>
    <mergeCell ref="C108:C108"/>
    <mergeCell ref="F108:F108"/>
    <mergeCell ref="G108:G108"/>
    <mergeCell ref="H108:H108"/>
    <mergeCell ref="M108:M108"/>
    <mergeCell ref="N108:N108"/>
    <mergeCell ref="O108:O108"/>
    <mergeCell ref="P108:P108"/>
    <mergeCell ref="Q108:Q108"/>
    <mergeCell ref="R108:R108"/>
    <mergeCell ref="S108:S108"/>
    <mergeCell ref="X108:X108"/>
    <mergeCell ref="Y108:Y108"/>
    <mergeCell ref="Z108:Z108"/>
    <mergeCell ref="AA108:AA108"/>
    <mergeCell ref="AB108:AB108"/>
    <mergeCell ref="AC108:AC108"/>
    <mergeCell ref="AD108:AD108"/>
    <mergeCell ref="AE108:AE108"/>
    <mergeCell ref="AF108:AF108"/>
    <mergeCell ref="A109:A109"/>
    <mergeCell ref="B109:B109"/>
    <mergeCell ref="C109:C109"/>
    <mergeCell ref="F109:F109"/>
    <mergeCell ref="G109:G109"/>
    <mergeCell ref="H109:H109"/>
    <mergeCell ref="M109:M109"/>
    <mergeCell ref="N109:N109"/>
    <mergeCell ref="O109:O109"/>
    <mergeCell ref="P109:P109"/>
    <mergeCell ref="Q109:Q109"/>
    <mergeCell ref="R109:R109"/>
    <mergeCell ref="S109:S109"/>
    <mergeCell ref="X109:X109"/>
    <mergeCell ref="Y109:Y109"/>
    <mergeCell ref="Z109:Z109"/>
    <mergeCell ref="AA109:AA109"/>
    <mergeCell ref="AB109:AB109"/>
    <mergeCell ref="AC109:AC109"/>
    <mergeCell ref="AD109:AD109"/>
    <mergeCell ref="AE109:AE109"/>
    <mergeCell ref="AF109:AF109"/>
    <mergeCell ref="A110:A110"/>
    <mergeCell ref="B110:B110"/>
    <mergeCell ref="C110:C110"/>
    <mergeCell ref="F110:F110"/>
    <mergeCell ref="G110:G110"/>
    <mergeCell ref="H110:H110"/>
    <mergeCell ref="M110:M110"/>
    <mergeCell ref="N110:N110"/>
    <mergeCell ref="O110:O110"/>
    <mergeCell ref="P110:P110"/>
    <mergeCell ref="Q110:Q110"/>
    <mergeCell ref="R110:R110"/>
    <mergeCell ref="S110:S110"/>
    <mergeCell ref="X110:X110"/>
    <mergeCell ref="Y110:Y110"/>
    <mergeCell ref="Z110:Z110"/>
    <mergeCell ref="AA110:AA110"/>
    <mergeCell ref="AB110:AB110"/>
    <mergeCell ref="AC110:AC110"/>
    <mergeCell ref="AD110:AD110"/>
    <mergeCell ref="AE110:AE110"/>
    <mergeCell ref="AF110:AF110"/>
    <mergeCell ref="A111:A111"/>
    <mergeCell ref="B111:B111"/>
    <mergeCell ref="C111:C111"/>
    <mergeCell ref="F111:F111"/>
    <mergeCell ref="G111:G111"/>
    <mergeCell ref="H111:H111"/>
    <mergeCell ref="M111:M111"/>
    <mergeCell ref="N111:N111"/>
    <mergeCell ref="O111:O111"/>
    <mergeCell ref="P111:P111"/>
    <mergeCell ref="Q111:Q111"/>
    <mergeCell ref="R111:R111"/>
    <mergeCell ref="S111:S111"/>
    <mergeCell ref="X111:X111"/>
    <mergeCell ref="Y111:Y111"/>
    <mergeCell ref="Z111:Z111"/>
    <mergeCell ref="AA111:AA111"/>
    <mergeCell ref="AB111:AB111"/>
    <mergeCell ref="AC111:AC111"/>
    <mergeCell ref="AD111:AD111"/>
    <mergeCell ref="AE111:AE111"/>
    <mergeCell ref="AF111:AF111"/>
    <mergeCell ref="A112:A112"/>
    <mergeCell ref="B112:B112"/>
    <mergeCell ref="C112:C112"/>
    <mergeCell ref="F112:F112"/>
    <mergeCell ref="G112:G112"/>
    <mergeCell ref="H112:H112"/>
    <mergeCell ref="M112:M112"/>
    <mergeCell ref="N112:N112"/>
    <mergeCell ref="O112:O112"/>
    <mergeCell ref="P112:P112"/>
    <mergeCell ref="Q112:Q112"/>
    <mergeCell ref="R112:R112"/>
    <mergeCell ref="S112:S112"/>
    <mergeCell ref="X112:X112"/>
    <mergeCell ref="Y112:Y112"/>
    <mergeCell ref="Z112:Z112"/>
    <mergeCell ref="AA112:AA112"/>
    <mergeCell ref="AB112:AB112"/>
    <mergeCell ref="AC112:AC112"/>
    <mergeCell ref="AD112:AD112"/>
    <mergeCell ref="AE112:AE112"/>
    <mergeCell ref="AF112:AF112"/>
    <mergeCell ref="A113:A113"/>
    <mergeCell ref="B113:B113"/>
    <mergeCell ref="C113:C113"/>
    <mergeCell ref="F113:F113"/>
    <mergeCell ref="G113:G113"/>
    <mergeCell ref="H113:H113"/>
    <mergeCell ref="M113:M113"/>
    <mergeCell ref="N113:N113"/>
    <mergeCell ref="O113:O113"/>
    <mergeCell ref="P113:P113"/>
    <mergeCell ref="Q113:Q113"/>
    <mergeCell ref="R113:R113"/>
    <mergeCell ref="S113:S113"/>
    <mergeCell ref="X113:X113"/>
    <mergeCell ref="Y113:Y113"/>
    <mergeCell ref="Z113:Z113"/>
    <mergeCell ref="AA113:AA113"/>
    <mergeCell ref="AB113:AB113"/>
    <mergeCell ref="AC113:AC113"/>
    <mergeCell ref="AD113:AD113"/>
    <mergeCell ref="AE113:AE113"/>
    <mergeCell ref="AF113:AF113"/>
    <mergeCell ref="A114:A114"/>
    <mergeCell ref="B114:B114"/>
    <mergeCell ref="C114:C114"/>
    <mergeCell ref="F114:F114"/>
    <mergeCell ref="G114:G114"/>
    <mergeCell ref="H114:H114"/>
    <mergeCell ref="M114:M114"/>
    <mergeCell ref="N114:N114"/>
    <mergeCell ref="O114:O114"/>
    <mergeCell ref="P114:P114"/>
    <mergeCell ref="Q114:Q114"/>
    <mergeCell ref="R114:R114"/>
    <mergeCell ref="S114:S114"/>
    <mergeCell ref="X114:X114"/>
    <mergeCell ref="Y114:Y114"/>
    <mergeCell ref="Z114:Z114"/>
    <mergeCell ref="AA114:AA114"/>
    <mergeCell ref="AB114:AB114"/>
    <mergeCell ref="AC114:AC114"/>
    <mergeCell ref="AD114:AD114"/>
    <mergeCell ref="AE114:AE114"/>
    <mergeCell ref="AF114:AF114"/>
    <mergeCell ref="A115:A115"/>
    <mergeCell ref="B115:B115"/>
    <mergeCell ref="C115:C115"/>
    <mergeCell ref="F115:F115"/>
    <mergeCell ref="G115:G115"/>
    <mergeCell ref="H115:H115"/>
    <mergeCell ref="M115:M115"/>
    <mergeCell ref="N115:N115"/>
    <mergeCell ref="O115:O115"/>
    <mergeCell ref="P115:P115"/>
    <mergeCell ref="Q115:Q115"/>
    <mergeCell ref="R115:R115"/>
    <mergeCell ref="S115:S115"/>
    <mergeCell ref="X115:X115"/>
    <mergeCell ref="Y115:Y115"/>
    <mergeCell ref="Z115:Z115"/>
    <mergeCell ref="AA115:AA115"/>
    <mergeCell ref="AB115:AB115"/>
    <mergeCell ref="AC115:AC115"/>
    <mergeCell ref="AD115:AD115"/>
    <mergeCell ref="AE115:AE115"/>
    <mergeCell ref="AF115:AF115"/>
    <mergeCell ref="A116:A116"/>
    <mergeCell ref="B116:B116"/>
    <mergeCell ref="C116:C116"/>
    <mergeCell ref="F116:F116"/>
    <mergeCell ref="G116:G116"/>
    <mergeCell ref="H116:H116"/>
    <mergeCell ref="M116:M116"/>
    <mergeCell ref="N116:N116"/>
    <mergeCell ref="O116:O116"/>
    <mergeCell ref="P116:P116"/>
    <mergeCell ref="Q116:Q116"/>
    <mergeCell ref="R116:R116"/>
    <mergeCell ref="S116:S116"/>
    <mergeCell ref="X116:X116"/>
    <mergeCell ref="Y116:Y116"/>
    <mergeCell ref="Z116:Z116"/>
    <mergeCell ref="AA116:AA116"/>
    <mergeCell ref="AB116:AB116"/>
    <mergeCell ref="AC116:AC116"/>
    <mergeCell ref="AD116:AD116"/>
    <mergeCell ref="AE116:AE116"/>
    <mergeCell ref="AF116:AF116"/>
    <mergeCell ref="A117:A117"/>
    <mergeCell ref="B117:B117"/>
    <mergeCell ref="C117:C117"/>
    <mergeCell ref="F117:F117"/>
    <mergeCell ref="G117:G117"/>
    <mergeCell ref="H117:H117"/>
    <mergeCell ref="M117:M117"/>
    <mergeCell ref="N117:N117"/>
    <mergeCell ref="O117:O117"/>
    <mergeCell ref="P117:P117"/>
    <mergeCell ref="Q117:Q117"/>
    <mergeCell ref="R117:R117"/>
    <mergeCell ref="S117:S117"/>
    <mergeCell ref="X117:X117"/>
    <mergeCell ref="Y117:Y117"/>
    <mergeCell ref="Z117:Z117"/>
    <mergeCell ref="AA117:AA117"/>
    <mergeCell ref="AB117:AB117"/>
    <mergeCell ref="AC117:AC117"/>
    <mergeCell ref="AD117:AD117"/>
    <mergeCell ref="AE117:AE117"/>
    <mergeCell ref="AF117:AF117"/>
    <mergeCell ref="A118:A118"/>
    <mergeCell ref="B118:B118"/>
    <mergeCell ref="C118:C118"/>
    <mergeCell ref="F118:F118"/>
    <mergeCell ref="G118:G118"/>
    <mergeCell ref="H118:H118"/>
    <mergeCell ref="M118:M118"/>
    <mergeCell ref="N118:N118"/>
    <mergeCell ref="O118:O118"/>
    <mergeCell ref="P118:P118"/>
    <mergeCell ref="Q118:Q118"/>
    <mergeCell ref="R118:R118"/>
    <mergeCell ref="S118:S118"/>
    <mergeCell ref="X118:X118"/>
    <mergeCell ref="Y118:Y118"/>
    <mergeCell ref="Z118:Z118"/>
    <mergeCell ref="AA118:AA118"/>
    <mergeCell ref="AB118:AB118"/>
    <mergeCell ref="AC118:AC118"/>
    <mergeCell ref="AD118:AD118"/>
    <mergeCell ref="AE118:AE118"/>
    <mergeCell ref="AF118:AF118"/>
    <mergeCell ref="A119:A119"/>
    <mergeCell ref="B119:B119"/>
    <mergeCell ref="C119:C119"/>
    <mergeCell ref="F119:F119"/>
    <mergeCell ref="G119:G119"/>
    <mergeCell ref="H119:H119"/>
    <mergeCell ref="M119:M119"/>
    <mergeCell ref="N119:N119"/>
    <mergeCell ref="O119:O119"/>
    <mergeCell ref="P119:P119"/>
    <mergeCell ref="Q119:Q119"/>
    <mergeCell ref="R119:R119"/>
    <mergeCell ref="S119:S119"/>
    <mergeCell ref="X119:X119"/>
    <mergeCell ref="Y119:Y119"/>
    <mergeCell ref="Z119:Z119"/>
    <mergeCell ref="AA119:AA119"/>
    <mergeCell ref="AB119:AB119"/>
    <mergeCell ref="AC119:AC119"/>
    <mergeCell ref="AD119:AD119"/>
    <mergeCell ref="AE119:AE119"/>
    <mergeCell ref="AF119:AF119"/>
    <mergeCell ref="A120:A120"/>
    <mergeCell ref="B120:B120"/>
    <mergeCell ref="C120:C120"/>
    <mergeCell ref="F120:F120"/>
    <mergeCell ref="G120:G120"/>
    <mergeCell ref="H120:H120"/>
    <mergeCell ref="M120:M120"/>
    <mergeCell ref="N120:N120"/>
    <mergeCell ref="O120:O120"/>
    <mergeCell ref="P120:P120"/>
    <mergeCell ref="Q120:Q120"/>
    <mergeCell ref="R120:R120"/>
    <mergeCell ref="S120:S120"/>
    <mergeCell ref="X120:X120"/>
    <mergeCell ref="Y120:Y120"/>
    <mergeCell ref="Z120:Z120"/>
    <mergeCell ref="AA120:AA120"/>
    <mergeCell ref="AB120:AB120"/>
    <mergeCell ref="AC120:AC120"/>
    <mergeCell ref="AD120:AD120"/>
    <mergeCell ref="AE120:AE120"/>
    <mergeCell ref="AF120:AF120"/>
    <mergeCell ref="A121:A121"/>
    <mergeCell ref="B121:B121"/>
    <mergeCell ref="C121:C121"/>
    <mergeCell ref="F121:F121"/>
    <mergeCell ref="G121:G121"/>
    <mergeCell ref="H121:H121"/>
    <mergeCell ref="M121:M121"/>
    <mergeCell ref="N121:N121"/>
    <mergeCell ref="O121:O121"/>
    <mergeCell ref="P121:P121"/>
    <mergeCell ref="Q121:Q121"/>
    <mergeCell ref="R121:R121"/>
    <mergeCell ref="S121:S121"/>
    <mergeCell ref="X121:X121"/>
    <mergeCell ref="Y121:Y121"/>
    <mergeCell ref="Z121:Z121"/>
    <mergeCell ref="AA121:AA121"/>
    <mergeCell ref="AB121:AB121"/>
    <mergeCell ref="AC121:AC121"/>
    <mergeCell ref="AD121:AD121"/>
    <mergeCell ref="AE121:AE121"/>
    <mergeCell ref="AF121:AF121"/>
    <mergeCell ref="A122:A122"/>
    <mergeCell ref="B122:B122"/>
    <mergeCell ref="C122:C122"/>
    <mergeCell ref="F122:F122"/>
    <mergeCell ref="G122:G122"/>
    <mergeCell ref="H122:H122"/>
    <mergeCell ref="M122:M122"/>
    <mergeCell ref="N122:N122"/>
    <mergeCell ref="O122:O122"/>
    <mergeCell ref="P122:P122"/>
    <mergeCell ref="Q122:Q122"/>
    <mergeCell ref="R122:R122"/>
    <mergeCell ref="S122:S122"/>
    <mergeCell ref="X122:X122"/>
    <mergeCell ref="Y122:Y122"/>
    <mergeCell ref="Z122:Z122"/>
    <mergeCell ref="AA122:AA122"/>
    <mergeCell ref="AB122:AB122"/>
    <mergeCell ref="AC122:AC122"/>
    <mergeCell ref="AD122:AD122"/>
    <mergeCell ref="AE122:AE122"/>
    <mergeCell ref="AF122:AF122"/>
    <mergeCell ref="A123:A124"/>
    <mergeCell ref="B123:B124"/>
    <mergeCell ref="C123:C124"/>
    <mergeCell ref="F123:F124"/>
    <mergeCell ref="G123:G124"/>
    <mergeCell ref="H123:H124"/>
    <mergeCell ref="M123:M124"/>
    <mergeCell ref="N123:N124"/>
    <mergeCell ref="O123:O124"/>
    <mergeCell ref="P123:P124"/>
    <mergeCell ref="Q123:Q124"/>
    <mergeCell ref="R123:R124"/>
    <mergeCell ref="S123:S124"/>
    <mergeCell ref="X123:X124"/>
    <mergeCell ref="Y123:Y124"/>
    <mergeCell ref="Z123:Z124"/>
    <mergeCell ref="AA123:AA124"/>
    <mergeCell ref="AB123:AB124"/>
    <mergeCell ref="AC123:AC124"/>
    <mergeCell ref="AD123:AD124"/>
    <mergeCell ref="AE123:AE124"/>
    <mergeCell ref="AF123:AF124"/>
    <mergeCell ref="A125:A125"/>
    <mergeCell ref="B125:B125"/>
    <mergeCell ref="C125:C125"/>
    <mergeCell ref="F125:F125"/>
    <mergeCell ref="G125:G125"/>
    <mergeCell ref="H125:H125"/>
    <mergeCell ref="M125:M125"/>
    <mergeCell ref="N125:N125"/>
    <mergeCell ref="O125:O125"/>
    <mergeCell ref="P125:P125"/>
    <mergeCell ref="Q125:Q125"/>
    <mergeCell ref="R125:R125"/>
    <mergeCell ref="S125:S125"/>
    <mergeCell ref="X125:X125"/>
    <mergeCell ref="Y125:Y125"/>
    <mergeCell ref="Z125:Z125"/>
    <mergeCell ref="AA125:AA125"/>
    <mergeCell ref="AB125:AB125"/>
    <mergeCell ref="AC125:AC125"/>
    <mergeCell ref="AD125:AD125"/>
    <mergeCell ref="AE125:AE125"/>
    <mergeCell ref="AF125:AF125"/>
    <mergeCell ref="A126:A126"/>
    <mergeCell ref="B126:B126"/>
    <mergeCell ref="C126:C126"/>
    <mergeCell ref="F126:F126"/>
    <mergeCell ref="G126:G126"/>
    <mergeCell ref="H126:H126"/>
    <mergeCell ref="M126:M126"/>
    <mergeCell ref="N126:N126"/>
    <mergeCell ref="O126:O126"/>
    <mergeCell ref="P126:P126"/>
    <mergeCell ref="Q126:Q126"/>
    <mergeCell ref="R126:R126"/>
    <mergeCell ref="S126:S126"/>
    <mergeCell ref="X126:X126"/>
    <mergeCell ref="Y126:Y126"/>
    <mergeCell ref="Z126:Z126"/>
    <mergeCell ref="AA126:AA126"/>
    <mergeCell ref="AB126:AB126"/>
    <mergeCell ref="AC126:AC126"/>
    <mergeCell ref="AD126:AD126"/>
    <mergeCell ref="AE126:AE126"/>
    <mergeCell ref="AF126:AF126"/>
    <mergeCell ref="A127:A127"/>
    <mergeCell ref="B127:B127"/>
    <mergeCell ref="C127:C127"/>
    <mergeCell ref="F127:F127"/>
    <mergeCell ref="G127:G127"/>
    <mergeCell ref="H127:H127"/>
    <mergeCell ref="M127:M127"/>
    <mergeCell ref="N127:N127"/>
    <mergeCell ref="O127:O127"/>
    <mergeCell ref="P127:P127"/>
    <mergeCell ref="Q127:Q127"/>
    <mergeCell ref="R127:R127"/>
    <mergeCell ref="S127:S127"/>
    <mergeCell ref="X127:X127"/>
    <mergeCell ref="Y127:Y127"/>
    <mergeCell ref="Z127:Z127"/>
    <mergeCell ref="AA127:AA127"/>
    <mergeCell ref="AB127:AB127"/>
    <mergeCell ref="AC127:AC127"/>
    <mergeCell ref="AD127:AD127"/>
    <mergeCell ref="AE127:AE127"/>
    <mergeCell ref="AF127:AF127"/>
    <mergeCell ref="A128:A128"/>
    <mergeCell ref="B128:B128"/>
    <mergeCell ref="C128:C128"/>
    <mergeCell ref="F128:F128"/>
    <mergeCell ref="G128:G128"/>
    <mergeCell ref="H128:H128"/>
    <mergeCell ref="M128:M128"/>
    <mergeCell ref="N128:N128"/>
    <mergeCell ref="O128:O128"/>
    <mergeCell ref="P128:P128"/>
    <mergeCell ref="Q128:Q128"/>
    <mergeCell ref="R128:R128"/>
    <mergeCell ref="S128:S128"/>
    <mergeCell ref="X128:X128"/>
    <mergeCell ref="Y128:Y128"/>
    <mergeCell ref="Z128:Z128"/>
    <mergeCell ref="AA128:AA128"/>
    <mergeCell ref="AB128:AB128"/>
    <mergeCell ref="AC128:AC128"/>
    <mergeCell ref="AD128:AD128"/>
    <mergeCell ref="AE128:AE128"/>
    <mergeCell ref="AF128:AF128"/>
    <mergeCell ref="A129:A129"/>
    <mergeCell ref="B129:B129"/>
    <mergeCell ref="C129:C129"/>
    <mergeCell ref="F129:F129"/>
    <mergeCell ref="G129:G129"/>
    <mergeCell ref="H129:H129"/>
    <mergeCell ref="M129:M129"/>
    <mergeCell ref="N129:N129"/>
    <mergeCell ref="O129:O129"/>
    <mergeCell ref="P129:P129"/>
    <mergeCell ref="Q129:Q129"/>
    <mergeCell ref="R129:R129"/>
    <mergeCell ref="S129:S129"/>
    <mergeCell ref="X129:X129"/>
    <mergeCell ref="Y129:Y129"/>
    <mergeCell ref="Z129:Z129"/>
    <mergeCell ref="AA129:AA129"/>
    <mergeCell ref="AB129:AB129"/>
    <mergeCell ref="AC129:AC129"/>
    <mergeCell ref="AD129:AD129"/>
    <mergeCell ref="AE129:AE129"/>
    <mergeCell ref="AF129:AF129"/>
    <mergeCell ref="A130:A130"/>
    <mergeCell ref="B130:B130"/>
    <mergeCell ref="C130:C130"/>
    <mergeCell ref="F130:F130"/>
    <mergeCell ref="G130:G130"/>
    <mergeCell ref="H130:H130"/>
    <mergeCell ref="M130:M130"/>
    <mergeCell ref="N130:N130"/>
    <mergeCell ref="O130:O130"/>
    <mergeCell ref="P130:P130"/>
    <mergeCell ref="Q130:Q130"/>
    <mergeCell ref="R130:R130"/>
    <mergeCell ref="S130:S130"/>
    <mergeCell ref="X130:X130"/>
    <mergeCell ref="Y130:Y130"/>
    <mergeCell ref="Z130:Z130"/>
    <mergeCell ref="AA130:AA130"/>
    <mergeCell ref="AB130:AB130"/>
    <mergeCell ref="AC130:AC130"/>
    <mergeCell ref="AD130:AD130"/>
    <mergeCell ref="AE130:AE130"/>
    <mergeCell ref="AF130:AF130"/>
    <mergeCell ref="A131:A131"/>
    <mergeCell ref="B131:B131"/>
    <mergeCell ref="C131:C131"/>
    <mergeCell ref="F131:F131"/>
    <mergeCell ref="G131:G131"/>
    <mergeCell ref="H131:H131"/>
    <mergeCell ref="M131:M131"/>
    <mergeCell ref="N131:N131"/>
    <mergeCell ref="O131:O131"/>
    <mergeCell ref="P131:P131"/>
    <mergeCell ref="Q131:Q131"/>
    <mergeCell ref="R131:R131"/>
    <mergeCell ref="S131:S131"/>
    <mergeCell ref="X131:X131"/>
    <mergeCell ref="Y131:Y131"/>
    <mergeCell ref="Z131:Z131"/>
    <mergeCell ref="AA131:AA131"/>
    <mergeCell ref="AB131:AB131"/>
    <mergeCell ref="AC131:AC131"/>
    <mergeCell ref="AD131:AD131"/>
    <mergeCell ref="AE131:AE131"/>
    <mergeCell ref="AF131:AF131"/>
    <mergeCell ref="A132:A132"/>
    <mergeCell ref="B132:B132"/>
    <mergeCell ref="C132:C132"/>
    <mergeCell ref="F132:F132"/>
    <mergeCell ref="G132:G132"/>
    <mergeCell ref="H132:H132"/>
    <mergeCell ref="M132:M132"/>
    <mergeCell ref="N132:N132"/>
    <mergeCell ref="O132:O132"/>
    <mergeCell ref="P132:P132"/>
    <mergeCell ref="Q132:Q132"/>
    <mergeCell ref="R132:R132"/>
    <mergeCell ref="S132:S132"/>
    <mergeCell ref="X132:X132"/>
    <mergeCell ref="Y132:Y132"/>
    <mergeCell ref="Z132:Z132"/>
    <mergeCell ref="AA132:AA132"/>
    <mergeCell ref="AB132:AB132"/>
    <mergeCell ref="AC132:AC132"/>
    <mergeCell ref="AD132:AD132"/>
    <mergeCell ref="AE132:AE132"/>
    <mergeCell ref="AF132:AF132"/>
    <mergeCell ref="A133:A133"/>
    <mergeCell ref="B133:B133"/>
    <mergeCell ref="C133:C133"/>
    <mergeCell ref="F133:F133"/>
    <mergeCell ref="G133:G133"/>
    <mergeCell ref="H133:H133"/>
    <mergeCell ref="M133:M133"/>
    <mergeCell ref="N133:N133"/>
    <mergeCell ref="O133:O133"/>
    <mergeCell ref="P133:P133"/>
    <mergeCell ref="Q133:Q133"/>
    <mergeCell ref="R133:R133"/>
    <mergeCell ref="S133:S133"/>
    <mergeCell ref="X133:X133"/>
    <mergeCell ref="Y133:Y133"/>
    <mergeCell ref="Z133:Z133"/>
    <mergeCell ref="AA133:AA133"/>
    <mergeCell ref="AB133:AB133"/>
    <mergeCell ref="AC133:AC133"/>
    <mergeCell ref="AD133:AD133"/>
    <mergeCell ref="AE133:AE133"/>
    <mergeCell ref="AF133:AF133"/>
    <mergeCell ref="A134:A135"/>
    <mergeCell ref="B134:B135"/>
    <mergeCell ref="C134:C135"/>
    <mergeCell ref="F134:F135"/>
    <mergeCell ref="G134:G135"/>
    <mergeCell ref="H134:H135"/>
    <mergeCell ref="M134:M135"/>
    <mergeCell ref="N134:N135"/>
    <mergeCell ref="O134:O135"/>
    <mergeCell ref="P134:P135"/>
    <mergeCell ref="Q134:Q135"/>
    <mergeCell ref="R134:R135"/>
    <mergeCell ref="S134:S135"/>
    <mergeCell ref="X134:X135"/>
    <mergeCell ref="Y134:Y135"/>
    <mergeCell ref="Z134:Z135"/>
    <mergeCell ref="AA134:AA135"/>
    <mergeCell ref="AB134:AB135"/>
    <mergeCell ref="AC134:AC135"/>
    <mergeCell ref="AD134:AD135"/>
    <mergeCell ref="AE134:AE135"/>
    <mergeCell ref="AF134:AF135"/>
    <mergeCell ref="A136:A136"/>
    <mergeCell ref="B136:B136"/>
    <mergeCell ref="C136:C136"/>
    <mergeCell ref="F136:F136"/>
    <mergeCell ref="G136:G136"/>
    <mergeCell ref="H136:H136"/>
    <mergeCell ref="M136:M136"/>
    <mergeCell ref="N136:N136"/>
    <mergeCell ref="O136:O136"/>
    <mergeCell ref="P136:P136"/>
    <mergeCell ref="Q136:Q136"/>
    <mergeCell ref="R136:R136"/>
    <mergeCell ref="S136:S136"/>
    <mergeCell ref="X136:X136"/>
    <mergeCell ref="Y136:Y136"/>
    <mergeCell ref="Z136:Z136"/>
    <mergeCell ref="AA136:AA136"/>
    <mergeCell ref="AB136:AB136"/>
    <mergeCell ref="AC136:AC136"/>
    <mergeCell ref="AD136:AD136"/>
    <mergeCell ref="AE136:AE136"/>
    <mergeCell ref="AF136:AF136"/>
    <mergeCell ref="A137:A137"/>
    <mergeCell ref="B137:B137"/>
    <mergeCell ref="C137:C137"/>
    <mergeCell ref="F137:F137"/>
    <mergeCell ref="G137:G137"/>
    <mergeCell ref="H137:H137"/>
    <mergeCell ref="M137:M137"/>
    <mergeCell ref="N137:N137"/>
    <mergeCell ref="O137:O137"/>
    <mergeCell ref="P137:P137"/>
    <mergeCell ref="Q137:Q137"/>
    <mergeCell ref="R137:R137"/>
    <mergeCell ref="S137:S137"/>
    <mergeCell ref="X137:X137"/>
    <mergeCell ref="Y137:Y137"/>
    <mergeCell ref="Z137:Z137"/>
    <mergeCell ref="AA137:AA137"/>
    <mergeCell ref="AB137:AB137"/>
    <mergeCell ref="AC137:AC137"/>
    <mergeCell ref="AD137:AD137"/>
    <mergeCell ref="AE137:AE137"/>
    <mergeCell ref="AF137:AF137"/>
    <mergeCell ref="A138:A138"/>
    <mergeCell ref="B138:B138"/>
    <mergeCell ref="C138:C138"/>
    <mergeCell ref="F138:F138"/>
    <mergeCell ref="G138:G138"/>
    <mergeCell ref="H138:H138"/>
    <mergeCell ref="M138:M138"/>
    <mergeCell ref="N138:N138"/>
    <mergeCell ref="O138:O138"/>
    <mergeCell ref="P138:P138"/>
    <mergeCell ref="Q138:Q138"/>
    <mergeCell ref="R138:R138"/>
    <mergeCell ref="S138:S138"/>
    <mergeCell ref="X138:X138"/>
    <mergeCell ref="Y138:Y138"/>
    <mergeCell ref="Z138:Z138"/>
    <mergeCell ref="AA138:AA138"/>
    <mergeCell ref="AB138:AB138"/>
    <mergeCell ref="AC138:AC138"/>
    <mergeCell ref="AD138:AD138"/>
    <mergeCell ref="AE138:AE138"/>
    <mergeCell ref="AF138:AF138"/>
    <mergeCell ref="A139:A139"/>
    <mergeCell ref="B139:B139"/>
    <mergeCell ref="C139:C139"/>
    <mergeCell ref="F139:F139"/>
    <mergeCell ref="G139:G139"/>
    <mergeCell ref="H139:H139"/>
    <mergeCell ref="M139:M139"/>
    <mergeCell ref="N139:N139"/>
    <mergeCell ref="O139:O139"/>
    <mergeCell ref="P139:P139"/>
    <mergeCell ref="Q139:Q139"/>
    <mergeCell ref="R139:R139"/>
    <mergeCell ref="S139:S139"/>
    <mergeCell ref="X139:X139"/>
    <mergeCell ref="Y139:Y139"/>
    <mergeCell ref="Z139:Z139"/>
    <mergeCell ref="AA139:AA139"/>
    <mergeCell ref="AB139:AB139"/>
    <mergeCell ref="AC139:AC139"/>
    <mergeCell ref="AD139:AD139"/>
    <mergeCell ref="AE139:AE139"/>
    <mergeCell ref="AF139:AF139"/>
    <mergeCell ref="A140:A140"/>
    <mergeCell ref="B140:B140"/>
    <mergeCell ref="C140:C140"/>
    <mergeCell ref="F140:F140"/>
    <mergeCell ref="G140:G140"/>
    <mergeCell ref="H140:H140"/>
    <mergeCell ref="M140:M140"/>
    <mergeCell ref="N140:N140"/>
    <mergeCell ref="O140:O140"/>
    <mergeCell ref="P140:P140"/>
    <mergeCell ref="Q140:Q140"/>
    <mergeCell ref="R140:R140"/>
    <mergeCell ref="S140:S140"/>
    <mergeCell ref="X140:X140"/>
    <mergeCell ref="Y140:Y140"/>
    <mergeCell ref="Z140:Z140"/>
    <mergeCell ref="AA140:AA140"/>
    <mergeCell ref="AB140:AB140"/>
    <mergeCell ref="AC140:AC140"/>
    <mergeCell ref="AD140:AD140"/>
    <mergeCell ref="AE140:AE140"/>
    <mergeCell ref="AF140:AF140"/>
    <mergeCell ref="A141:A141"/>
    <mergeCell ref="B141:B141"/>
    <mergeCell ref="C141:C141"/>
    <mergeCell ref="F141:F141"/>
    <mergeCell ref="G141:G141"/>
    <mergeCell ref="H141:H141"/>
    <mergeCell ref="M141:M141"/>
    <mergeCell ref="N141:N141"/>
    <mergeCell ref="O141:O141"/>
    <mergeCell ref="P141:P141"/>
    <mergeCell ref="Q141:Q141"/>
    <mergeCell ref="R141:R141"/>
    <mergeCell ref="S141:S141"/>
    <mergeCell ref="X141:X141"/>
    <mergeCell ref="Y141:Y141"/>
    <mergeCell ref="Z141:Z141"/>
    <mergeCell ref="AA141:AA141"/>
    <mergeCell ref="AB141:AB141"/>
    <mergeCell ref="AC141:AC141"/>
    <mergeCell ref="AD141:AD141"/>
    <mergeCell ref="AE141:AE141"/>
    <mergeCell ref="AF141:AF141"/>
    <mergeCell ref="A142:A142"/>
    <mergeCell ref="B142:B142"/>
    <mergeCell ref="C142:C142"/>
    <mergeCell ref="F142:F142"/>
    <mergeCell ref="G142:G142"/>
    <mergeCell ref="H142:H142"/>
    <mergeCell ref="M142:M142"/>
    <mergeCell ref="N142:N142"/>
    <mergeCell ref="O142:O142"/>
    <mergeCell ref="P142:P142"/>
    <mergeCell ref="Q142:Q142"/>
    <mergeCell ref="R142:R142"/>
    <mergeCell ref="S142:S142"/>
    <mergeCell ref="X142:X142"/>
    <mergeCell ref="Y142:Y142"/>
    <mergeCell ref="Z142:Z142"/>
    <mergeCell ref="AA142:AA142"/>
    <mergeCell ref="AB142:AB142"/>
    <mergeCell ref="AC142:AC142"/>
    <mergeCell ref="AD142:AD142"/>
    <mergeCell ref="AE142:AE142"/>
    <mergeCell ref="AF142:AF142"/>
    <mergeCell ref="A143:A143"/>
    <mergeCell ref="B143:B143"/>
    <mergeCell ref="C143:C143"/>
    <mergeCell ref="F143:F143"/>
    <mergeCell ref="G143:G143"/>
    <mergeCell ref="H143:H143"/>
    <mergeCell ref="M143:M143"/>
    <mergeCell ref="N143:N143"/>
    <mergeCell ref="O143:O143"/>
    <mergeCell ref="P143:P143"/>
    <mergeCell ref="Q143:Q143"/>
    <mergeCell ref="R143:R143"/>
    <mergeCell ref="S143:S143"/>
    <mergeCell ref="X143:X143"/>
    <mergeCell ref="Y143:Y143"/>
    <mergeCell ref="Z143:Z143"/>
    <mergeCell ref="AA143:AA143"/>
    <mergeCell ref="AB143:AB143"/>
    <mergeCell ref="AC143:AC143"/>
    <mergeCell ref="AD143:AD143"/>
    <mergeCell ref="AE143:AE143"/>
    <mergeCell ref="AF143:AF143"/>
    <mergeCell ref="A144:A144"/>
    <mergeCell ref="B144:B144"/>
    <mergeCell ref="C144:C144"/>
    <mergeCell ref="F144:F144"/>
    <mergeCell ref="G144:G144"/>
    <mergeCell ref="H144:H144"/>
    <mergeCell ref="M144:M144"/>
    <mergeCell ref="N144:N144"/>
    <mergeCell ref="O144:O144"/>
    <mergeCell ref="P144:P144"/>
    <mergeCell ref="Q144:Q144"/>
    <mergeCell ref="R144:R144"/>
    <mergeCell ref="S144:S144"/>
    <mergeCell ref="X144:X144"/>
    <mergeCell ref="Y144:Y144"/>
    <mergeCell ref="Z144:Z144"/>
    <mergeCell ref="AA144:AA144"/>
    <mergeCell ref="AB144:AB144"/>
    <mergeCell ref="AC144:AC144"/>
    <mergeCell ref="AD144:AD144"/>
    <mergeCell ref="AE144:AE144"/>
    <mergeCell ref="AF144:AF144"/>
    <mergeCell ref="A145:A145"/>
    <mergeCell ref="B145:B145"/>
    <mergeCell ref="C145:C145"/>
    <mergeCell ref="F145:F145"/>
    <mergeCell ref="G145:G145"/>
    <mergeCell ref="H145:H145"/>
    <mergeCell ref="M145:M145"/>
    <mergeCell ref="N145:N145"/>
    <mergeCell ref="O145:O145"/>
    <mergeCell ref="P145:P145"/>
    <mergeCell ref="Q145:Q145"/>
    <mergeCell ref="R145:R145"/>
    <mergeCell ref="S145:S145"/>
    <mergeCell ref="X145:X145"/>
    <mergeCell ref="Y145:Y145"/>
    <mergeCell ref="Z145:Z145"/>
    <mergeCell ref="AA145:AA145"/>
    <mergeCell ref="AB145:AB145"/>
    <mergeCell ref="AC145:AC145"/>
    <mergeCell ref="AD145:AD145"/>
    <mergeCell ref="AE145:AE145"/>
    <mergeCell ref="AF145:AF145"/>
    <mergeCell ref="A146:A146"/>
    <mergeCell ref="B146:B146"/>
    <mergeCell ref="C146:C146"/>
    <mergeCell ref="F146:F146"/>
    <mergeCell ref="G146:G146"/>
    <mergeCell ref="H146:H146"/>
    <mergeCell ref="M146:M146"/>
    <mergeCell ref="N146:N146"/>
    <mergeCell ref="O146:O146"/>
    <mergeCell ref="P146:P146"/>
    <mergeCell ref="Q146:Q146"/>
    <mergeCell ref="R146:R146"/>
    <mergeCell ref="S146:S146"/>
    <mergeCell ref="X146:X146"/>
    <mergeCell ref="Y146:Y146"/>
    <mergeCell ref="Z146:Z146"/>
    <mergeCell ref="AA146:AA146"/>
    <mergeCell ref="AB146:AB146"/>
    <mergeCell ref="AC146:AC146"/>
    <mergeCell ref="AD146:AD146"/>
    <mergeCell ref="AE146:AE146"/>
    <mergeCell ref="AF146:AF146"/>
    <mergeCell ref="A147:A147"/>
    <mergeCell ref="B147:B147"/>
    <mergeCell ref="C147:C147"/>
    <mergeCell ref="F147:F147"/>
    <mergeCell ref="G147:G147"/>
    <mergeCell ref="H147:H147"/>
    <mergeCell ref="M147:M147"/>
    <mergeCell ref="N147:N147"/>
    <mergeCell ref="O147:O147"/>
    <mergeCell ref="P147:P147"/>
    <mergeCell ref="Q147:Q147"/>
    <mergeCell ref="R147:R147"/>
    <mergeCell ref="S147:S147"/>
    <mergeCell ref="X147:X147"/>
    <mergeCell ref="Y147:Y147"/>
    <mergeCell ref="Z147:Z147"/>
    <mergeCell ref="AA147:AA147"/>
    <mergeCell ref="AB147:AB147"/>
    <mergeCell ref="AC147:AC147"/>
    <mergeCell ref="AD147:AD147"/>
    <mergeCell ref="AE147:AE147"/>
    <mergeCell ref="AF147:AF147"/>
    <mergeCell ref="A148:A148"/>
    <mergeCell ref="B148:B148"/>
    <mergeCell ref="C148:C148"/>
    <mergeCell ref="F148:F148"/>
    <mergeCell ref="G148:G148"/>
    <mergeCell ref="H148:H148"/>
    <mergeCell ref="M148:M148"/>
    <mergeCell ref="N148:N148"/>
    <mergeCell ref="O148:O148"/>
    <mergeCell ref="P148:P148"/>
    <mergeCell ref="Q148:Q148"/>
    <mergeCell ref="R148:R148"/>
    <mergeCell ref="S148:S148"/>
    <mergeCell ref="X148:X148"/>
    <mergeCell ref="Y148:Y148"/>
    <mergeCell ref="Z148:Z148"/>
    <mergeCell ref="AA148:AA148"/>
    <mergeCell ref="AB148:AB148"/>
    <mergeCell ref="AC148:AC148"/>
    <mergeCell ref="AD148:AD148"/>
    <mergeCell ref="AE148:AE148"/>
    <mergeCell ref="AF148:AF148"/>
    <mergeCell ref="A149:A149"/>
    <mergeCell ref="B149:B149"/>
    <mergeCell ref="C149:C149"/>
    <mergeCell ref="F149:F149"/>
    <mergeCell ref="G149:G149"/>
    <mergeCell ref="H149:H149"/>
    <mergeCell ref="M149:M149"/>
    <mergeCell ref="N149:N149"/>
    <mergeCell ref="O149:O149"/>
    <mergeCell ref="P149:P149"/>
    <mergeCell ref="Q149:Q149"/>
    <mergeCell ref="R149:R149"/>
    <mergeCell ref="S149:S149"/>
    <mergeCell ref="X149:X149"/>
    <mergeCell ref="Y149:Y149"/>
    <mergeCell ref="Z149:Z149"/>
    <mergeCell ref="AA149:AA149"/>
    <mergeCell ref="AB149:AB149"/>
    <mergeCell ref="AC149:AC149"/>
    <mergeCell ref="AD149:AD149"/>
    <mergeCell ref="AE149:AE149"/>
    <mergeCell ref="AF149:AF149"/>
    <mergeCell ref="A150:A150"/>
    <mergeCell ref="B150:B150"/>
    <mergeCell ref="C150:C150"/>
    <mergeCell ref="F150:F150"/>
    <mergeCell ref="G150:G150"/>
    <mergeCell ref="H150:H150"/>
    <mergeCell ref="M150:M150"/>
    <mergeCell ref="N150:N150"/>
    <mergeCell ref="O150:O150"/>
    <mergeCell ref="P150:P150"/>
    <mergeCell ref="Q150:Q150"/>
    <mergeCell ref="R150:R150"/>
    <mergeCell ref="S150:S150"/>
    <mergeCell ref="X150:X150"/>
    <mergeCell ref="Y150:Y150"/>
    <mergeCell ref="Z150:Z150"/>
    <mergeCell ref="AA150:AA150"/>
    <mergeCell ref="AB150:AB150"/>
    <mergeCell ref="AC150:AC150"/>
    <mergeCell ref="AD150:AD150"/>
    <mergeCell ref="AE150:AE150"/>
    <mergeCell ref="AF150:AF150"/>
    <mergeCell ref="A151:A151"/>
    <mergeCell ref="B151:B151"/>
    <mergeCell ref="C151:C151"/>
    <mergeCell ref="F151:F151"/>
    <mergeCell ref="G151:G151"/>
    <mergeCell ref="H151:H151"/>
    <mergeCell ref="M151:M151"/>
    <mergeCell ref="N151:N151"/>
    <mergeCell ref="O151:O151"/>
    <mergeCell ref="P151:P151"/>
    <mergeCell ref="Q151:Q151"/>
    <mergeCell ref="R151:R151"/>
    <mergeCell ref="S151:S151"/>
    <mergeCell ref="X151:X151"/>
    <mergeCell ref="Y151:Y151"/>
    <mergeCell ref="Z151:Z151"/>
    <mergeCell ref="AA151:AA151"/>
    <mergeCell ref="AB151:AB151"/>
    <mergeCell ref="AC151:AC151"/>
    <mergeCell ref="AD151:AD151"/>
    <mergeCell ref="AE151:AE151"/>
    <mergeCell ref="AF151:AF151"/>
    <mergeCell ref="A152:A152"/>
    <mergeCell ref="B152:B152"/>
    <mergeCell ref="C152:C152"/>
    <mergeCell ref="F152:F152"/>
    <mergeCell ref="G152:G152"/>
    <mergeCell ref="H152:H152"/>
    <mergeCell ref="M152:M152"/>
    <mergeCell ref="N152:N152"/>
    <mergeCell ref="O152:O152"/>
    <mergeCell ref="P152:P152"/>
    <mergeCell ref="Q152:Q152"/>
    <mergeCell ref="R152:R152"/>
    <mergeCell ref="S152:S152"/>
    <mergeCell ref="X152:X152"/>
    <mergeCell ref="Y152:Y152"/>
    <mergeCell ref="Z152:Z152"/>
    <mergeCell ref="AA152:AA152"/>
    <mergeCell ref="AB152:AB152"/>
    <mergeCell ref="AC152:AC152"/>
    <mergeCell ref="AD152:AD152"/>
    <mergeCell ref="AE152:AE152"/>
    <mergeCell ref="AF152:AF152"/>
    <mergeCell ref="A153:A153"/>
    <mergeCell ref="B153:B153"/>
    <mergeCell ref="C153:C153"/>
    <mergeCell ref="F153:F153"/>
    <mergeCell ref="G153:G153"/>
    <mergeCell ref="H153:H153"/>
    <mergeCell ref="M153:M153"/>
    <mergeCell ref="N153:N153"/>
    <mergeCell ref="O153:O153"/>
    <mergeCell ref="P153:P153"/>
    <mergeCell ref="Q153:Q153"/>
    <mergeCell ref="R153:R153"/>
    <mergeCell ref="S153:S153"/>
    <mergeCell ref="X153:X153"/>
    <mergeCell ref="Y153:Y153"/>
    <mergeCell ref="Z153:Z153"/>
    <mergeCell ref="AA153:AA153"/>
    <mergeCell ref="AB153:AB153"/>
    <mergeCell ref="AC153:AC153"/>
    <mergeCell ref="AD153:AD153"/>
    <mergeCell ref="AE153:AE153"/>
    <mergeCell ref="AF153:AF153"/>
    <mergeCell ref="A154:A154"/>
    <mergeCell ref="B154:B154"/>
    <mergeCell ref="C154:C154"/>
    <mergeCell ref="F154:F154"/>
    <mergeCell ref="G154:G154"/>
    <mergeCell ref="H154:H154"/>
    <mergeCell ref="M154:M154"/>
    <mergeCell ref="N154:N154"/>
    <mergeCell ref="O154:O154"/>
    <mergeCell ref="P154:P154"/>
    <mergeCell ref="Q154:Q154"/>
    <mergeCell ref="R154:R154"/>
    <mergeCell ref="S154:S154"/>
    <mergeCell ref="X154:X154"/>
    <mergeCell ref="Y154:Y154"/>
    <mergeCell ref="Z154:Z154"/>
    <mergeCell ref="AA154:AA154"/>
    <mergeCell ref="AB154:AB154"/>
    <mergeCell ref="AC154:AC154"/>
    <mergeCell ref="AD154:AD154"/>
    <mergeCell ref="AE154:AE154"/>
    <mergeCell ref="AF154:AF154"/>
    <mergeCell ref="A155:A155"/>
    <mergeCell ref="B155:B155"/>
    <mergeCell ref="C155:C155"/>
    <mergeCell ref="F155:F155"/>
    <mergeCell ref="G155:G155"/>
    <mergeCell ref="H155:H155"/>
    <mergeCell ref="M155:M155"/>
    <mergeCell ref="N155:N155"/>
    <mergeCell ref="O155:O155"/>
    <mergeCell ref="P155:P155"/>
    <mergeCell ref="Q155:Q155"/>
    <mergeCell ref="R155:R155"/>
    <mergeCell ref="S155:S155"/>
    <mergeCell ref="X155:X155"/>
    <mergeCell ref="Y155:Y155"/>
    <mergeCell ref="Z155:Z155"/>
    <mergeCell ref="AA155:AA155"/>
    <mergeCell ref="AB155:AB155"/>
    <mergeCell ref="AC155:AC155"/>
    <mergeCell ref="AD155:AD155"/>
    <mergeCell ref="AE155:AE155"/>
    <mergeCell ref="AF155:AF155"/>
    <mergeCell ref="A156:A156"/>
    <mergeCell ref="B156:B156"/>
    <mergeCell ref="C156:C156"/>
    <mergeCell ref="F156:F156"/>
    <mergeCell ref="G156:G156"/>
    <mergeCell ref="H156:H156"/>
    <mergeCell ref="M156:M156"/>
    <mergeCell ref="N156:N156"/>
    <mergeCell ref="O156:O156"/>
    <mergeCell ref="P156:P156"/>
    <mergeCell ref="Q156:Q156"/>
    <mergeCell ref="R156:R156"/>
    <mergeCell ref="S156:S156"/>
    <mergeCell ref="X156:X156"/>
    <mergeCell ref="Y156:Y156"/>
    <mergeCell ref="Z156:Z156"/>
    <mergeCell ref="AA156:AA156"/>
    <mergeCell ref="AB156:AB156"/>
    <mergeCell ref="AC156:AC156"/>
    <mergeCell ref="AD156:AD156"/>
    <mergeCell ref="AE156:AE156"/>
    <mergeCell ref="AF156:AF156"/>
    <mergeCell ref="A157:A157"/>
    <mergeCell ref="B157:B157"/>
    <mergeCell ref="C157:C157"/>
    <mergeCell ref="F157:F157"/>
    <mergeCell ref="G157:G157"/>
    <mergeCell ref="H157:H157"/>
    <mergeCell ref="M157:M157"/>
    <mergeCell ref="N157:N157"/>
    <mergeCell ref="O157:O157"/>
    <mergeCell ref="P157:P157"/>
    <mergeCell ref="Q157:Q157"/>
    <mergeCell ref="R157:R157"/>
    <mergeCell ref="S157:S157"/>
    <mergeCell ref="X157:X157"/>
    <mergeCell ref="Y157:Y157"/>
    <mergeCell ref="Z157:Z157"/>
    <mergeCell ref="AA157:AA157"/>
    <mergeCell ref="AB157:AB157"/>
    <mergeCell ref="AC157:AC157"/>
    <mergeCell ref="AD157:AD157"/>
    <mergeCell ref="AE157:AE157"/>
    <mergeCell ref="AF157:AF157"/>
    <mergeCell ref="A158:A158"/>
    <mergeCell ref="B158:B158"/>
    <mergeCell ref="C158:C158"/>
    <mergeCell ref="F158:F158"/>
    <mergeCell ref="G158:G158"/>
    <mergeCell ref="H158:H158"/>
    <mergeCell ref="M158:M158"/>
    <mergeCell ref="N158:N158"/>
    <mergeCell ref="O158:O158"/>
    <mergeCell ref="P158:P158"/>
    <mergeCell ref="Q158:Q158"/>
    <mergeCell ref="R158:R158"/>
    <mergeCell ref="S158:S158"/>
    <mergeCell ref="X158:X158"/>
    <mergeCell ref="Y158:Y158"/>
    <mergeCell ref="Z158:Z158"/>
    <mergeCell ref="AA158:AA158"/>
    <mergeCell ref="AB158:AB158"/>
    <mergeCell ref="AC158:AC158"/>
    <mergeCell ref="AD158:AD158"/>
    <mergeCell ref="AE158:AE158"/>
    <mergeCell ref="AF158:AF158"/>
    <mergeCell ref="A159:A159"/>
    <mergeCell ref="B159:B159"/>
    <mergeCell ref="C159:C159"/>
    <mergeCell ref="F159:F159"/>
    <mergeCell ref="G159:G159"/>
    <mergeCell ref="H159:H159"/>
    <mergeCell ref="M159:M159"/>
    <mergeCell ref="N159:N159"/>
    <mergeCell ref="O159:O159"/>
    <mergeCell ref="P159:P159"/>
    <mergeCell ref="Q159:Q159"/>
    <mergeCell ref="R159:R159"/>
    <mergeCell ref="S159:S159"/>
    <mergeCell ref="X159:X159"/>
    <mergeCell ref="Y159:Y159"/>
    <mergeCell ref="Z159:Z159"/>
    <mergeCell ref="AA159:AA159"/>
    <mergeCell ref="AB159:AB159"/>
    <mergeCell ref="AC159:AC159"/>
    <mergeCell ref="AD159:AD159"/>
    <mergeCell ref="AE159:AE159"/>
    <mergeCell ref="AF159:AF159"/>
    <mergeCell ref="A160:A160"/>
    <mergeCell ref="B160:B160"/>
    <mergeCell ref="C160:C160"/>
    <mergeCell ref="F160:F160"/>
    <mergeCell ref="G160:G160"/>
    <mergeCell ref="H160:H160"/>
    <mergeCell ref="M160:M160"/>
    <mergeCell ref="N160:N160"/>
    <mergeCell ref="O160:O160"/>
    <mergeCell ref="P160:P160"/>
    <mergeCell ref="Q160:Q160"/>
    <mergeCell ref="R160:R160"/>
    <mergeCell ref="S160:S160"/>
    <mergeCell ref="X160:X160"/>
    <mergeCell ref="Y160:Y160"/>
    <mergeCell ref="Z160:Z160"/>
    <mergeCell ref="AA160:AA160"/>
    <mergeCell ref="AB160:AB160"/>
    <mergeCell ref="AC160:AC160"/>
    <mergeCell ref="AD160:AD160"/>
    <mergeCell ref="AE160:AE160"/>
    <mergeCell ref="AF160:AF160"/>
    <mergeCell ref="A161:A161"/>
    <mergeCell ref="B161:B161"/>
    <mergeCell ref="C161:C161"/>
    <mergeCell ref="F161:F161"/>
    <mergeCell ref="G161:G161"/>
    <mergeCell ref="H161:H161"/>
    <mergeCell ref="M161:M161"/>
    <mergeCell ref="N161:N161"/>
    <mergeCell ref="O161:O161"/>
    <mergeCell ref="P161:P161"/>
    <mergeCell ref="Q161:Q161"/>
    <mergeCell ref="R161:R161"/>
    <mergeCell ref="S161:S161"/>
    <mergeCell ref="X161:X161"/>
    <mergeCell ref="Y161:Y161"/>
    <mergeCell ref="Z161:Z161"/>
    <mergeCell ref="AA161:AA161"/>
    <mergeCell ref="AB161:AB161"/>
    <mergeCell ref="AC161:AC161"/>
    <mergeCell ref="AD161:AD161"/>
    <mergeCell ref="AE161:AE161"/>
    <mergeCell ref="AF161:AF161"/>
    <mergeCell ref="A162:A162"/>
    <mergeCell ref="B162:B162"/>
    <mergeCell ref="C162:C162"/>
    <mergeCell ref="F162:F162"/>
    <mergeCell ref="G162:G162"/>
    <mergeCell ref="H162:H162"/>
    <mergeCell ref="M162:M162"/>
    <mergeCell ref="N162:N162"/>
    <mergeCell ref="O162:O162"/>
    <mergeCell ref="P162:P162"/>
    <mergeCell ref="Q162:Q162"/>
    <mergeCell ref="R162:R162"/>
    <mergeCell ref="S162:S162"/>
    <mergeCell ref="X162:X162"/>
    <mergeCell ref="Y162:Y162"/>
    <mergeCell ref="Z162:Z162"/>
    <mergeCell ref="AA162:AA162"/>
    <mergeCell ref="AB162:AB162"/>
    <mergeCell ref="AC162:AC162"/>
    <mergeCell ref="AD162:AD162"/>
    <mergeCell ref="AE162:AE162"/>
    <mergeCell ref="AF162:AF162"/>
    <mergeCell ref="A163:A163"/>
    <mergeCell ref="B163:B163"/>
    <mergeCell ref="C163:C163"/>
    <mergeCell ref="F163:F163"/>
    <mergeCell ref="G163:G163"/>
    <mergeCell ref="H163:H163"/>
    <mergeCell ref="M163:M163"/>
    <mergeCell ref="N163:N163"/>
    <mergeCell ref="O163:O163"/>
    <mergeCell ref="P163:P163"/>
    <mergeCell ref="Q163:Q163"/>
    <mergeCell ref="R163:R163"/>
    <mergeCell ref="S163:S163"/>
    <mergeCell ref="X163:X163"/>
    <mergeCell ref="Y163:Y163"/>
    <mergeCell ref="Z163:Z163"/>
    <mergeCell ref="AA163:AA163"/>
    <mergeCell ref="AB163:AB163"/>
    <mergeCell ref="AC163:AC163"/>
    <mergeCell ref="AD163:AD163"/>
    <mergeCell ref="AE163:AE163"/>
    <mergeCell ref="AF163:AF163"/>
    <mergeCell ref="A164:A164"/>
    <mergeCell ref="B164:B164"/>
    <mergeCell ref="C164:C164"/>
    <mergeCell ref="F164:F164"/>
    <mergeCell ref="G164:G164"/>
    <mergeCell ref="H164:H164"/>
    <mergeCell ref="M164:M164"/>
    <mergeCell ref="N164:N164"/>
    <mergeCell ref="O164:O164"/>
    <mergeCell ref="P164:P164"/>
    <mergeCell ref="Q164:Q164"/>
    <mergeCell ref="R164:R164"/>
    <mergeCell ref="S164:S164"/>
    <mergeCell ref="X164:X164"/>
    <mergeCell ref="Y164:Y164"/>
    <mergeCell ref="Z164:Z164"/>
    <mergeCell ref="AA164:AA164"/>
    <mergeCell ref="AB164:AB164"/>
    <mergeCell ref="AC164:AC164"/>
    <mergeCell ref="AD164:AD164"/>
    <mergeCell ref="AE164:AE164"/>
    <mergeCell ref="AF164:AF164"/>
    <mergeCell ref="A165:A165"/>
    <mergeCell ref="B165:B165"/>
    <mergeCell ref="C165:C165"/>
    <mergeCell ref="F165:F165"/>
    <mergeCell ref="G165:G165"/>
    <mergeCell ref="H165:H165"/>
    <mergeCell ref="M165:M165"/>
    <mergeCell ref="N165:N165"/>
    <mergeCell ref="O165:O165"/>
    <mergeCell ref="P165:P165"/>
    <mergeCell ref="Q165:Q165"/>
    <mergeCell ref="R165:R165"/>
    <mergeCell ref="S165:S165"/>
    <mergeCell ref="X165:X165"/>
    <mergeCell ref="Y165:Y165"/>
    <mergeCell ref="Z165:Z165"/>
    <mergeCell ref="AA165:AA165"/>
    <mergeCell ref="AB165:AB165"/>
    <mergeCell ref="AC165:AC165"/>
    <mergeCell ref="AD165:AD165"/>
    <mergeCell ref="AE165:AE165"/>
    <mergeCell ref="AF165:AF165"/>
    <mergeCell ref="A166:A166"/>
    <mergeCell ref="B166:B166"/>
    <mergeCell ref="C166:C166"/>
    <mergeCell ref="F166:F166"/>
    <mergeCell ref="G166:G166"/>
    <mergeCell ref="H166:H166"/>
    <mergeCell ref="M166:M166"/>
    <mergeCell ref="N166:N166"/>
    <mergeCell ref="O166:O166"/>
    <mergeCell ref="P166:P166"/>
    <mergeCell ref="Q166:Q166"/>
    <mergeCell ref="R166:R166"/>
    <mergeCell ref="S166:S166"/>
    <mergeCell ref="X166:X166"/>
    <mergeCell ref="Y166:Y166"/>
    <mergeCell ref="Z166:Z166"/>
    <mergeCell ref="AA166:AA166"/>
    <mergeCell ref="AB166:AB166"/>
    <mergeCell ref="AC166:AC166"/>
    <mergeCell ref="AD166:AD166"/>
    <mergeCell ref="AE166:AE166"/>
    <mergeCell ref="AF166:AF166"/>
    <mergeCell ref="A167:A167"/>
    <mergeCell ref="B167:B167"/>
    <mergeCell ref="C167:C167"/>
    <mergeCell ref="F167:F167"/>
    <mergeCell ref="G167:G167"/>
    <mergeCell ref="H167:H167"/>
    <mergeCell ref="M167:M167"/>
    <mergeCell ref="N167:N167"/>
    <mergeCell ref="O167:O167"/>
    <mergeCell ref="P167:P167"/>
    <mergeCell ref="Q167:Q167"/>
    <mergeCell ref="R167:R167"/>
    <mergeCell ref="S167:S167"/>
    <mergeCell ref="X167:X167"/>
    <mergeCell ref="Y167:Y167"/>
    <mergeCell ref="Z167:Z167"/>
    <mergeCell ref="AA167:AA167"/>
    <mergeCell ref="AB167:AB167"/>
    <mergeCell ref="AC167:AC167"/>
    <mergeCell ref="AD167:AD167"/>
    <mergeCell ref="AE167:AE167"/>
    <mergeCell ref="AF167:AF167"/>
    <mergeCell ref="A168:A168"/>
    <mergeCell ref="B168:B168"/>
    <mergeCell ref="C168:C168"/>
    <mergeCell ref="F168:F168"/>
    <mergeCell ref="G168:G168"/>
    <mergeCell ref="H168:H168"/>
    <mergeCell ref="M168:M168"/>
    <mergeCell ref="N168:N168"/>
    <mergeCell ref="O168:O168"/>
    <mergeCell ref="P168:P168"/>
    <mergeCell ref="Q168:Q168"/>
    <mergeCell ref="R168:R168"/>
    <mergeCell ref="S168:S168"/>
    <mergeCell ref="X168:X168"/>
    <mergeCell ref="Y168:Y168"/>
    <mergeCell ref="Z168:Z168"/>
    <mergeCell ref="AA168:AA168"/>
    <mergeCell ref="AB168:AB168"/>
    <mergeCell ref="AC168:AC168"/>
    <mergeCell ref="AD168:AD168"/>
    <mergeCell ref="AE168:AE168"/>
    <mergeCell ref="AF168:AF168"/>
    <mergeCell ref="A169:A169"/>
    <mergeCell ref="B169:B169"/>
    <mergeCell ref="C169:C169"/>
    <mergeCell ref="F169:F169"/>
    <mergeCell ref="G169:G169"/>
    <mergeCell ref="H169:H169"/>
    <mergeCell ref="M169:M169"/>
    <mergeCell ref="N169:N169"/>
    <mergeCell ref="O169:O169"/>
    <mergeCell ref="P169:P169"/>
    <mergeCell ref="Q169:Q169"/>
    <mergeCell ref="R169:R169"/>
    <mergeCell ref="S169:S169"/>
    <mergeCell ref="X169:X169"/>
    <mergeCell ref="Y169:Y169"/>
    <mergeCell ref="Z169:Z169"/>
    <mergeCell ref="AA169:AA169"/>
    <mergeCell ref="AB169:AB169"/>
    <mergeCell ref="AC169:AC169"/>
    <mergeCell ref="AD169:AD169"/>
    <mergeCell ref="AE169:AE169"/>
    <mergeCell ref="AF169:AF169"/>
    <mergeCell ref="A170:A170"/>
    <mergeCell ref="B170:B170"/>
    <mergeCell ref="C170:C170"/>
    <mergeCell ref="F170:F170"/>
    <mergeCell ref="G170:G170"/>
    <mergeCell ref="H170:H170"/>
    <mergeCell ref="M170:M170"/>
    <mergeCell ref="N170:N170"/>
    <mergeCell ref="O170:O170"/>
    <mergeCell ref="P170:P170"/>
    <mergeCell ref="Q170:Q170"/>
    <mergeCell ref="R170:R170"/>
    <mergeCell ref="S170:S170"/>
    <mergeCell ref="X170:X170"/>
    <mergeCell ref="Y170:Y170"/>
    <mergeCell ref="Z170:Z170"/>
    <mergeCell ref="AA170:AA170"/>
    <mergeCell ref="AB170:AB170"/>
    <mergeCell ref="AC170:AC170"/>
    <mergeCell ref="AD170:AD170"/>
    <mergeCell ref="AE170:AE170"/>
    <mergeCell ref="AF170:AF170"/>
    <mergeCell ref="A171:A171"/>
    <mergeCell ref="B171:B171"/>
    <mergeCell ref="C171:C171"/>
    <mergeCell ref="F171:F171"/>
    <mergeCell ref="G171:G171"/>
    <mergeCell ref="H171:H171"/>
    <mergeCell ref="M171:M171"/>
    <mergeCell ref="N171:N171"/>
    <mergeCell ref="O171:O171"/>
    <mergeCell ref="P171:P171"/>
    <mergeCell ref="Q171:Q171"/>
    <mergeCell ref="R171:R171"/>
    <mergeCell ref="S171:S171"/>
    <mergeCell ref="X171:X171"/>
    <mergeCell ref="Y171:Y171"/>
    <mergeCell ref="Z171:Z171"/>
    <mergeCell ref="AA171:AA171"/>
    <mergeCell ref="AB171:AB171"/>
    <mergeCell ref="AC171:AC171"/>
    <mergeCell ref="AD171:AD171"/>
    <mergeCell ref="AE171:AE171"/>
    <mergeCell ref="AF171:AF171"/>
    <mergeCell ref="A172:A172"/>
    <mergeCell ref="B172:B172"/>
    <mergeCell ref="C172:C172"/>
    <mergeCell ref="F172:F172"/>
    <mergeCell ref="G172:G172"/>
    <mergeCell ref="H172:H172"/>
    <mergeCell ref="M172:M172"/>
    <mergeCell ref="N172:N172"/>
    <mergeCell ref="O172:O172"/>
    <mergeCell ref="P172:P172"/>
    <mergeCell ref="Q172:Q172"/>
    <mergeCell ref="R172:R172"/>
    <mergeCell ref="S172:S172"/>
    <mergeCell ref="X172:X172"/>
    <mergeCell ref="Y172:Y172"/>
    <mergeCell ref="Z172:Z172"/>
    <mergeCell ref="AA172:AA172"/>
    <mergeCell ref="AB172:AB172"/>
    <mergeCell ref="AC172:AC172"/>
    <mergeCell ref="AD172:AD172"/>
    <mergeCell ref="AE172:AE172"/>
    <mergeCell ref="AF172:AF172"/>
    <mergeCell ref="A173:A173"/>
    <mergeCell ref="B173:B173"/>
    <mergeCell ref="C173:C173"/>
    <mergeCell ref="F173:F173"/>
    <mergeCell ref="G173:G173"/>
    <mergeCell ref="H173:H173"/>
    <mergeCell ref="M173:M173"/>
    <mergeCell ref="N173:N173"/>
    <mergeCell ref="O173:O173"/>
    <mergeCell ref="P173:P173"/>
    <mergeCell ref="Q173:Q173"/>
    <mergeCell ref="R173:R173"/>
    <mergeCell ref="S173:S173"/>
    <mergeCell ref="X173:X173"/>
    <mergeCell ref="Y173:Y173"/>
    <mergeCell ref="Z173:Z173"/>
    <mergeCell ref="AA173:AA173"/>
    <mergeCell ref="AB173:AB173"/>
    <mergeCell ref="AC173:AC173"/>
    <mergeCell ref="AD173:AD173"/>
    <mergeCell ref="AE173:AE173"/>
    <mergeCell ref="AF173:AF173"/>
    <mergeCell ref="A174:A174"/>
    <mergeCell ref="B174:B174"/>
    <mergeCell ref="C174:C174"/>
    <mergeCell ref="F174:F174"/>
    <mergeCell ref="G174:G174"/>
    <mergeCell ref="H174:H174"/>
    <mergeCell ref="M174:M174"/>
    <mergeCell ref="N174:N174"/>
    <mergeCell ref="O174:O174"/>
    <mergeCell ref="P174:P174"/>
    <mergeCell ref="Q174:Q174"/>
    <mergeCell ref="R174:R174"/>
    <mergeCell ref="S174:S174"/>
    <mergeCell ref="X174:X174"/>
    <mergeCell ref="Y174:Y174"/>
    <mergeCell ref="Z174:Z174"/>
    <mergeCell ref="AA174:AA174"/>
    <mergeCell ref="AB174:AB174"/>
    <mergeCell ref="AC174:AC174"/>
    <mergeCell ref="AD174:AD174"/>
    <mergeCell ref="AE174:AE174"/>
    <mergeCell ref="AF174:AF174"/>
    <mergeCell ref="A175:A175"/>
    <mergeCell ref="B175:B175"/>
    <mergeCell ref="C175:C175"/>
    <mergeCell ref="F175:F175"/>
    <mergeCell ref="G175:G175"/>
    <mergeCell ref="H175:H175"/>
    <mergeCell ref="M175:M175"/>
    <mergeCell ref="N175:N175"/>
    <mergeCell ref="O175:O175"/>
    <mergeCell ref="P175:P175"/>
    <mergeCell ref="Q175:Q175"/>
    <mergeCell ref="R175:R175"/>
    <mergeCell ref="S175:S175"/>
    <mergeCell ref="X175:X175"/>
    <mergeCell ref="Y175:Y175"/>
    <mergeCell ref="Z175:Z175"/>
    <mergeCell ref="AA175:AA175"/>
    <mergeCell ref="AB175:AB175"/>
    <mergeCell ref="AC175:AC175"/>
    <mergeCell ref="AD175:AD175"/>
    <mergeCell ref="AE175:AE175"/>
    <mergeCell ref="AF175:AF175"/>
    <mergeCell ref="A176:A176"/>
    <mergeCell ref="B176:B176"/>
    <mergeCell ref="C176:C176"/>
    <mergeCell ref="F176:F176"/>
    <mergeCell ref="G176:G176"/>
    <mergeCell ref="H176:H176"/>
    <mergeCell ref="M176:M176"/>
    <mergeCell ref="N176:N176"/>
    <mergeCell ref="O176:O176"/>
    <mergeCell ref="P176:P176"/>
    <mergeCell ref="Q176:Q176"/>
    <mergeCell ref="R176:R176"/>
    <mergeCell ref="S176:S176"/>
    <mergeCell ref="X176:X176"/>
    <mergeCell ref="Y176:Y176"/>
    <mergeCell ref="Z176:Z176"/>
    <mergeCell ref="AA176:AA176"/>
    <mergeCell ref="AB176:AB176"/>
    <mergeCell ref="AC176:AC176"/>
    <mergeCell ref="AD176:AD176"/>
    <mergeCell ref="AE176:AE176"/>
    <mergeCell ref="AF176:AF176"/>
    <mergeCell ref="A177:A177"/>
    <mergeCell ref="B177:B177"/>
    <mergeCell ref="C177:C177"/>
    <mergeCell ref="F177:F177"/>
    <mergeCell ref="G177:G177"/>
    <mergeCell ref="H177:H177"/>
    <mergeCell ref="M177:M177"/>
    <mergeCell ref="N177:N177"/>
    <mergeCell ref="O177:O177"/>
    <mergeCell ref="P177:P177"/>
    <mergeCell ref="Q177:Q177"/>
    <mergeCell ref="R177:R177"/>
    <mergeCell ref="S177:S177"/>
    <mergeCell ref="X177:X177"/>
    <mergeCell ref="Y177:Y177"/>
    <mergeCell ref="Z177:Z177"/>
    <mergeCell ref="AA177:AA177"/>
    <mergeCell ref="AB177:AB177"/>
    <mergeCell ref="AC177:AC177"/>
    <mergeCell ref="AD177:AD177"/>
    <mergeCell ref="AE177:AE177"/>
    <mergeCell ref="AF177:AF177"/>
    <mergeCell ref="A178:A178"/>
    <mergeCell ref="B178:B178"/>
    <mergeCell ref="C178:C178"/>
    <mergeCell ref="F178:F178"/>
    <mergeCell ref="G178:G178"/>
    <mergeCell ref="H178:H178"/>
    <mergeCell ref="M178:M178"/>
    <mergeCell ref="N178:N178"/>
    <mergeCell ref="O178:O178"/>
    <mergeCell ref="P178:P178"/>
    <mergeCell ref="Q178:Q178"/>
    <mergeCell ref="R178:R178"/>
    <mergeCell ref="S178:S178"/>
    <mergeCell ref="X178:X178"/>
    <mergeCell ref="Y178:Y178"/>
    <mergeCell ref="Z178:Z178"/>
    <mergeCell ref="AA178:AA178"/>
    <mergeCell ref="AB178:AB178"/>
    <mergeCell ref="AC178:AC178"/>
    <mergeCell ref="AD178:AD178"/>
    <mergeCell ref="AE178:AE178"/>
    <mergeCell ref="AF178:AF178"/>
    <mergeCell ref="A179:A179"/>
    <mergeCell ref="B179:B179"/>
    <mergeCell ref="C179:C179"/>
    <mergeCell ref="F179:F179"/>
    <mergeCell ref="G179:G179"/>
    <mergeCell ref="H179:H179"/>
    <mergeCell ref="M179:M179"/>
    <mergeCell ref="N179:N179"/>
    <mergeCell ref="O179:O179"/>
    <mergeCell ref="P179:P179"/>
    <mergeCell ref="Q179:Q179"/>
    <mergeCell ref="R179:R179"/>
    <mergeCell ref="S179:S179"/>
    <mergeCell ref="X179:X179"/>
    <mergeCell ref="Y179:Y179"/>
    <mergeCell ref="Z179:Z179"/>
    <mergeCell ref="AA179:AA179"/>
    <mergeCell ref="AB179:AB179"/>
    <mergeCell ref="AC179:AC179"/>
    <mergeCell ref="AD179:AD179"/>
    <mergeCell ref="AE179:AE179"/>
    <mergeCell ref="AF179:AF179"/>
    <mergeCell ref="A180:A180"/>
    <mergeCell ref="B180:B180"/>
    <mergeCell ref="C180:C180"/>
    <mergeCell ref="F180:F180"/>
    <mergeCell ref="G180:G180"/>
    <mergeCell ref="H180:H180"/>
    <mergeCell ref="M180:M180"/>
    <mergeCell ref="N180:N180"/>
    <mergeCell ref="O180:O180"/>
    <mergeCell ref="P180:P180"/>
    <mergeCell ref="Q180:Q180"/>
    <mergeCell ref="R180:R180"/>
    <mergeCell ref="S180:S180"/>
    <mergeCell ref="X180:X180"/>
    <mergeCell ref="Y180:Y180"/>
    <mergeCell ref="Z180:Z180"/>
    <mergeCell ref="AA180:AA180"/>
    <mergeCell ref="AB180:AB180"/>
    <mergeCell ref="AC180:AC180"/>
    <mergeCell ref="AD180:AD180"/>
    <mergeCell ref="AE180:AE180"/>
    <mergeCell ref="AF180:AF180"/>
    <mergeCell ref="A181:A181"/>
    <mergeCell ref="B181:B181"/>
    <mergeCell ref="C181:C181"/>
    <mergeCell ref="F181:F181"/>
    <mergeCell ref="G181:G181"/>
    <mergeCell ref="H181:H181"/>
    <mergeCell ref="M181:M181"/>
    <mergeCell ref="N181:N181"/>
    <mergeCell ref="O181:O181"/>
    <mergeCell ref="P181:P181"/>
    <mergeCell ref="Q181:Q181"/>
    <mergeCell ref="R181:R181"/>
    <mergeCell ref="S181:S181"/>
    <mergeCell ref="X181:X181"/>
    <mergeCell ref="Y181:Y181"/>
    <mergeCell ref="Z181:Z181"/>
    <mergeCell ref="AA181:AA181"/>
    <mergeCell ref="AB181:AB181"/>
    <mergeCell ref="AC181:AC181"/>
    <mergeCell ref="AD181:AD181"/>
    <mergeCell ref="AE181:AE181"/>
    <mergeCell ref="AF181:AF181"/>
    <mergeCell ref="A182:A182"/>
    <mergeCell ref="B182:B182"/>
    <mergeCell ref="C182:C182"/>
    <mergeCell ref="F182:F182"/>
    <mergeCell ref="G182:G182"/>
    <mergeCell ref="H182:H182"/>
    <mergeCell ref="M182:M182"/>
    <mergeCell ref="N182:N182"/>
    <mergeCell ref="O182:O182"/>
    <mergeCell ref="P182:P182"/>
    <mergeCell ref="Q182:Q182"/>
    <mergeCell ref="R182:R182"/>
    <mergeCell ref="S182:S182"/>
    <mergeCell ref="X182:X182"/>
    <mergeCell ref="Y182:Y182"/>
    <mergeCell ref="Z182:Z182"/>
    <mergeCell ref="AA182:AA182"/>
    <mergeCell ref="AB182:AB182"/>
    <mergeCell ref="AC182:AC182"/>
    <mergeCell ref="AD182:AD182"/>
    <mergeCell ref="AE182:AE182"/>
    <mergeCell ref="AF182:AF182"/>
    <mergeCell ref="A183:A183"/>
    <mergeCell ref="B183:B183"/>
    <mergeCell ref="C183:C183"/>
    <mergeCell ref="F183:F183"/>
    <mergeCell ref="G183:G183"/>
    <mergeCell ref="H183:H183"/>
    <mergeCell ref="M183:M183"/>
    <mergeCell ref="N183:N183"/>
    <mergeCell ref="O183:O183"/>
    <mergeCell ref="P183:P183"/>
    <mergeCell ref="Q183:Q183"/>
    <mergeCell ref="R183:R183"/>
    <mergeCell ref="S183:S183"/>
    <mergeCell ref="X183:X183"/>
    <mergeCell ref="Y183:Y183"/>
    <mergeCell ref="Z183:Z183"/>
    <mergeCell ref="AA183:AA183"/>
    <mergeCell ref="AB183:AB183"/>
    <mergeCell ref="AC183:AC183"/>
    <mergeCell ref="AD183:AD183"/>
    <mergeCell ref="AE183:AE183"/>
    <mergeCell ref="AF183:AF183"/>
    <mergeCell ref="A184:A184"/>
    <mergeCell ref="B184:B184"/>
    <mergeCell ref="C184:C184"/>
    <mergeCell ref="F184:F184"/>
    <mergeCell ref="G184:G184"/>
    <mergeCell ref="H184:H184"/>
    <mergeCell ref="M184:M184"/>
    <mergeCell ref="N184:N184"/>
    <mergeCell ref="O184:O184"/>
    <mergeCell ref="P184:P184"/>
    <mergeCell ref="Q184:Q184"/>
    <mergeCell ref="R184:R184"/>
    <mergeCell ref="S184:S184"/>
    <mergeCell ref="X184:X184"/>
    <mergeCell ref="Y184:Y184"/>
    <mergeCell ref="Z184:Z184"/>
    <mergeCell ref="AA184:AA184"/>
    <mergeCell ref="AB184:AB184"/>
    <mergeCell ref="AC184:AC184"/>
    <mergeCell ref="AD184:AD184"/>
    <mergeCell ref="AE184:AE184"/>
    <mergeCell ref="AF184:AF184"/>
    <mergeCell ref="A185:A185"/>
    <mergeCell ref="B185:B185"/>
    <mergeCell ref="C185:C185"/>
    <mergeCell ref="F185:F185"/>
    <mergeCell ref="G185:G185"/>
    <mergeCell ref="H185:H185"/>
    <mergeCell ref="M185:M185"/>
    <mergeCell ref="N185:N185"/>
    <mergeCell ref="O185:O185"/>
    <mergeCell ref="P185:P185"/>
    <mergeCell ref="Q185:Q185"/>
    <mergeCell ref="R185:R185"/>
    <mergeCell ref="S185:S185"/>
    <mergeCell ref="X185:X185"/>
    <mergeCell ref="Y185:Y185"/>
    <mergeCell ref="Z185:Z185"/>
    <mergeCell ref="AA185:AA185"/>
    <mergeCell ref="AB185:AB185"/>
    <mergeCell ref="AC185:AC185"/>
    <mergeCell ref="AD185:AD185"/>
    <mergeCell ref="AE185:AE185"/>
    <mergeCell ref="AF185:AF185"/>
    <mergeCell ref="A186:A186"/>
    <mergeCell ref="B186:B186"/>
    <mergeCell ref="C186:C186"/>
    <mergeCell ref="F186:F186"/>
    <mergeCell ref="G186:G186"/>
    <mergeCell ref="H186:H186"/>
    <mergeCell ref="M186:M186"/>
    <mergeCell ref="N186:N186"/>
    <mergeCell ref="O186:O186"/>
    <mergeCell ref="P186:P186"/>
    <mergeCell ref="Q186:Q186"/>
    <mergeCell ref="R186:R186"/>
    <mergeCell ref="S186:S186"/>
    <mergeCell ref="X186:X186"/>
    <mergeCell ref="Y186:Y186"/>
    <mergeCell ref="Z186:Z186"/>
    <mergeCell ref="AA186:AA186"/>
    <mergeCell ref="AB186:AB186"/>
    <mergeCell ref="AC186:AC186"/>
    <mergeCell ref="AD186:AD186"/>
    <mergeCell ref="AE186:AE186"/>
    <mergeCell ref="AF186:AF186"/>
    <mergeCell ref="A187:A187"/>
    <mergeCell ref="B187:B187"/>
    <mergeCell ref="C187:C187"/>
    <mergeCell ref="F187:F187"/>
    <mergeCell ref="G187:G187"/>
    <mergeCell ref="H187:H187"/>
    <mergeCell ref="M187:M187"/>
    <mergeCell ref="N187:N187"/>
    <mergeCell ref="O187:O187"/>
    <mergeCell ref="P187:P187"/>
    <mergeCell ref="Q187:Q187"/>
    <mergeCell ref="R187:R187"/>
    <mergeCell ref="S187:S187"/>
    <mergeCell ref="X187:X187"/>
    <mergeCell ref="Y187:Y187"/>
    <mergeCell ref="Z187:Z187"/>
    <mergeCell ref="AA187:AA187"/>
    <mergeCell ref="AB187:AB187"/>
    <mergeCell ref="AC187:AC187"/>
    <mergeCell ref="AD187:AD187"/>
    <mergeCell ref="AE187:AE187"/>
    <mergeCell ref="AF187:AF187"/>
    <mergeCell ref="A188:A188"/>
    <mergeCell ref="B188:B188"/>
    <mergeCell ref="C188:C188"/>
    <mergeCell ref="F188:F188"/>
    <mergeCell ref="G188:G188"/>
    <mergeCell ref="H188:H188"/>
    <mergeCell ref="M188:M188"/>
    <mergeCell ref="N188:N188"/>
    <mergeCell ref="O188:O188"/>
    <mergeCell ref="P188:P188"/>
    <mergeCell ref="Q188:Q188"/>
    <mergeCell ref="R188:R188"/>
    <mergeCell ref="S188:S188"/>
    <mergeCell ref="X188:X188"/>
    <mergeCell ref="Y188:Y188"/>
    <mergeCell ref="Z188:Z188"/>
    <mergeCell ref="AA188:AA188"/>
    <mergeCell ref="AB188:AB188"/>
    <mergeCell ref="AC188:AC188"/>
    <mergeCell ref="AD188:AD188"/>
    <mergeCell ref="AE188:AE188"/>
    <mergeCell ref="AF188:AF188"/>
    <mergeCell ref="A189:A189"/>
    <mergeCell ref="B189:B189"/>
    <mergeCell ref="C189:C189"/>
    <mergeCell ref="F189:F189"/>
    <mergeCell ref="G189:G189"/>
    <mergeCell ref="H189:H189"/>
    <mergeCell ref="M189:M189"/>
    <mergeCell ref="N189:N189"/>
    <mergeCell ref="O189:O189"/>
    <mergeCell ref="P189:P189"/>
    <mergeCell ref="Q189:Q189"/>
    <mergeCell ref="R189:R189"/>
    <mergeCell ref="S189:S189"/>
    <mergeCell ref="X189:X189"/>
    <mergeCell ref="Y189:Y189"/>
    <mergeCell ref="Z189:Z189"/>
    <mergeCell ref="AA189:AA189"/>
    <mergeCell ref="AB189:AB189"/>
    <mergeCell ref="AC189:AC189"/>
    <mergeCell ref="AD189:AD189"/>
    <mergeCell ref="AE189:AE189"/>
    <mergeCell ref="AF189:AF189"/>
    <mergeCell ref="A190:A190"/>
    <mergeCell ref="B190:B190"/>
    <mergeCell ref="C190:C190"/>
    <mergeCell ref="F190:F190"/>
    <mergeCell ref="G190:G190"/>
    <mergeCell ref="H190:H190"/>
    <mergeCell ref="M190:M190"/>
    <mergeCell ref="N190:N190"/>
    <mergeCell ref="O190:O190"/>
    <mergeCell ref="P190:P190"/>
    <mergeCell ref="Q190:Q190"/>
    <mergeCell ref="R190:R190"/>
    <mergeCell ref="S190:S190"/>
    <mergeCell ref="X190:X190"/>
    <mergeCell ref="Y190:Y190"/>
    <mergeCell ref="Z190:Z190"/>
    <mergeCell ref="AA190:AA190"/>
    <mergeCell ref="AB190:AB190"/>
    <mergeCell ref="AC190:AC190"/>
    <mergeCell ref="AD190:AD190"/>
    <mergeCell ref="AE190:AE190"/>
    <mergeCell ref="AF190:AF190"/>
    <mergeCell ref="A191:A191"/>
    <mergeCell ref="B191:B191"/>
    <mergeCell ref="C191:C191"/>
    <mergeCell ref="F191:F191"/>
    <mergeCell ref="G191:G191"/>
    <mergeCell ref="H191:H191"/>
    <mergeCell ref="M191:M191"/>
    <mergeCell ref="N191:N191"/>
    <mergeCell ref="O191:O191"/>
    <mergeCell ref="P191:P191"/>
    <mergeCell ref="Q191:Q191"/>
    <mergeCell ref="R191:R191"/>
    <mergeCell ref="S191:S191"/>
    <mergeCell ref="X191:X191"/>
    <mergeCell ref="Y191:Y191"/>
    <mergeCell ref="Z191:Z191"/>
    <mergeCell ref="AA191:AA191"/>
    <mergeCell ref="AB191:AB191"/>
    <mergeCell ref="AC191:AC191"/>
    <mergeCell ref="AD191:AD191"/>
    <mergeCell ref="AE191:AE191"/>
    <mergeCell ref="AF191:AF191"/>
    <mergeCell ref="A192:A192"/>
    <mergeCell ref="B192:B192"/>
    <mergeCell ref="C192:C192"/>
    <mergeCell ref="F192:F192"/>
    <mergeCell ref="G192:G192"/>
    <mergeCell ref="H192:H192"/>
    <mergeCell ref="M192:M192"/>
    <mergeCell ref="N192:N192"/>
    <mergeCell ref="O192:O192"/>
    <mergeCell ref="P192:P192"/>
    <mergeCell ref="Q192:Q192"/>
    <mergeCell ref="R192:R192"/>
    <mergeCell ref="S192:S192"/>
    <mergeCell ref="X192:X192"/>
    <mergeCell ref="Y192:Y192"/>
    <mergeCell ref="Z192:Z192"/>
    <mergeCell ref="AA192:AA192"/>
    <mergeCell ref="AB192:AB192"/>
    <mergeCell ref="AC192:AC192"/>
    <mergeCell ref="AD192:AD192"/>
    <mergeCell ref="AE192:AE192"/>
    <mergeCell ref="AF192:AF192"/>
    <mergeCell ref="A193:A193"/>
    <mergeCell ref="B193:B193"/>
    <mergeCell ref="C193:C193"/>
    <mergeCell ref="F193:F193"/>
    <mergeCell ref="G193:G193"/>
    <mergeCell ref="H193:H193"/>
    <mergeCell ref="M193:M193"/>
    <mergeCell ref="N193:N193"/>
    <mergeCell ref="O193:O193"/>
    <mergeCell ref="P193:P193"/>
    <mergeCell ref="Q193:Q193"/>
    <mergeCell ref="R193:R193"/>
    <mergeCell ref="S193:S193"/>
    <mergeCell ref="X193:X193"/>
    <mergeCell ref="Y193:Y193"/>
    <mergeCell ref="Z193:Z193"/>
    <mergeCell ref="AA193:AA193"/>
    <mergeCell ref="AB193:AB193"/>
    <mergeCell ref="AC193:AC193"/>
    <mergeCell ref="AD193:AD193"/>
    <mergeCell ref="AE193:AE193"/>
    <mergeCell ref="AF193:AF193"/>
    <mergeCell ref="A194:A194"/>
    <mergeCell ref="B194:B194"/>
    <mergeCell ref="C194:C194"/>
    <mergeCell ref="F194:F194"/>
    <mergeCell ref="G194:G194"/>
    <mergeCell ref="H194:H194"/>
    <mergeCell ref="M194:M194"/>
    <mergeCell ref="N194:N194"/>
    <mergeCell ref="O194:O194"/>
    <mergeCell ref="P194:P194"/>
    <mergeCell ref="Q194:Q194"/>
    <mergeCell ref="R194:R194"/>
    <mergeCell ref="S194:S194"/>
    <mergeCell ref="X194:X194"/>
    <mergeCell ref="Y194:Y194"/>
    <mergeCell ref="Z194:Z194"/>
    <mergeCell ref="AA194:AA194"/>
    <mergeCell ref="AB194:AB194"/>
    <mergeCell ref="AC194:AC194"/>
    <mergeCell ref="AD194:AD194"/>
    <mergeCell ref="AE194:AE194"/>
    <mergeCell ref="AF194:AF194"/>
    <mergeCell ref="A195:A195"/>
    <mergeCell ref="B195:B195"/>
    <mergeCell ref="C195:C195"/>
    <mergeCell ref="F195:F195"/>
    <mergeCell ref="G195:G195"/>
    <mergeCell ref="H195:H195"/>
    <mergeCell ref="M195:M195"/>
    <mergeCell ref="N195:N195"/>
    <mergeCell ref="O195:O195"/>
    <mergeCell ref="P195:P195"/>
    <mergeCell ref="Q195:Q195"/>
    <mergeCell ref="R195:R195"/>
    <mergeCell ref="S195:S195"/>
    <mergeCell ref="X195:X195"/>
    <mergeCell ref="Y195:Y195"/>
    <mergeCell ref="Z195:Z195"/>
    <mergeCell ref="AA195:AA195"/>
    <mergeCell ref="AB195:AB195"/>
    <mergeCell ref="AC195:AC195"/>
    <mergeCell ref="AD195:AD195"/>
    <mergeCell ref="AE195:AE195"/>
    <mergeCell ref="AF195:AF195"/>
    <mergeCell ref="A196:A196"/>
    <mergeCell ref="B196:B196"/>
    <mergeCell ref="C196:C196"/>
    <mergeCell ref="F196:F196"/>
    <mergeCell ref="G196:G196"/>
    <mergeCell ref="H196:H196"/>
    <mergeCell ref="M196:M196"/>
    <mergeCell ref="N196:N196"/>
    <mergeCell ref="O196:O196"/>
    <mergeCell ref="P196:P196"/>
    <mergeCell ref="Q196:Q196"/>
    <mergeCell ref="R196:R196"/>
    <mergeCell ref="S196:S196"/>
    <mergeCell ref="X196:X196"/>
    <mergeCell ref="Y196:Y196"/>
    <mergeCell ref="Z196:Z196"/>
    <mergeCell ref="AA196:AA196"/>
    <mergeCell ref="AB196:AB196"/>
    <mergeCell ref="AC196:AC196"/>
    <mergeCell ref="AD196:AD196"/>
    <mergeCell ref="AE196:AE196"/>
    <mergeCell ref="AF196:AF196"/>
    <mergeCell ref="A197:A197"/>
    <mergeCell ref="B197:B197"/>
    <mergeCell ref="C197:C197"/>
    <mergeCell ref="F197:F197"/>
    <mergeCell ref="G197:G197"/>
    <mergeCell ref="H197:H197"/>
    <mergeCell ref="M197:M197"/>
    <mergeCell ref="N197:N197"/>
    <mergeCell ref="O197:O197"/>
    <mergeCell ref="P197:P197"/>
    <mergeCell ref="Q197:Q197"/>
    <mergeCell ref="R197:R197"/>
    <mergeCell ref="S197:S197"/>
    <mergeCell ref="X197:X197"/>
    <mergeCell ref="Y197:Y197"/>
    <mergeCell ref="Z197:Z197"/>
    <mergeCell ref="AA197:AA197"/>
    <mergeCell ref="AB197:AB197"/>
    <mergeCell ref="AC197:AC197"/>
    <mergeCell ref="AD197:AD197"/>
    <mergeCell ref="AE197:AE197"/>
    <mergeCell ref="AF197:AF197"/>
    <mergeCell ref="A198:A198"/>
    <mergeCell ref="B198:B198"/>
    <mergeCell ref="C198:C198"/>
    <mergeCell ref="F198:F198"/>
    <mergeCell ref="G198:G198"/>
    <mergeCell ref="H198:H198"/>
    <mergeCell ref="M198:M198"/>
    <mergeCell ref="N198:N198"/>
    <mergeCell ref="O198:O198"/>
    <mergeCell ref="P198:P198"/>
    <mergeCell ref="Q198:Q198"/>
    <mergeCell ref="R198:R198"/>
    <mergeCell ref="S198:S198"/>
    <mergeCell ref="X198:X198"/>
    <mergeCell ref="Y198:Y198"/>
    <mergeCell ref="Z198:Z198"/>
    <mergeCell ref="AA198:AA198"/>
    <mergeCell ref="AB198:AB198"/>
    <mergeCell ref="AC198:AC198"/>
    <mergeCell ref="AD198:AD198"/>
    <mergeCell ref="AE198:AE198"/>
    <mergeCell ref="AF198:AF198"/>
    <mergeCell ref="A199:A199"/>
    <mergeCell ref="B199:B199"/>
    <mergeCell ref="C199:C199"/>
    <mergeCell ref="F199:F199"/>
    <mergeCell ref="G199:G199"/>
    <mergeCell ref="H199:H199"/>
    <mergeCell ref="M199:M199"/>
    <mergeCell ref="N199:N199"/>
    <mergeCell ref="O199:O199"/>
    <mergeCell ref="P199:P199"/>
    <mergeCell ref="Q199:Q199"/>
    <mergeCell ref="R199:R199"/>
    <mergeCell ref="S199:S199"/>
    <mergeCell ref="X199:X199"/>
    <mergeCell ref="Y199:Y199"/>
    <mergeCell ref="Z199:Z199"/>
    <mergeCell ref="AA199:AA199"/>
    <mergeCell ref="AB199:AB199"/>
    <mergeCell ref="AC199:AC199"/>
    <mergeCell ref="AD199:AD199"/>
    <mergeCell ref="AE199:AE199"/>
    <mergeCell ref="AF199:AF199"/>
    <mergeCell ref="A200:A200"/>
    <mergeCell ref="B200:B200"/>
    <mergeCell ref="C200:C200"/>
    <mergeCell ref="F200:F200"/>
    <mergeCell ref="G200:G200"/>
    <mergeCell ref="H200:H200"/>
    <mergeCell ref="M200:M200"/>
    <mergeCell ref="N200:N200"/>
    <mergeCell ref="O200:O200"/>
    <mergeCell ref="P200:P200"/>
    <mergeCell ref="Q200:Q200"/>
    <mergeCell ref="R200:R200"/>
    <mergeCell ref="S200:S200"/>
    <mergeCell ref="X200:X200"/>
    <mergeCell ref="Y200:Y200"/>
    <mergeCell ref="Z200:Z200"/>
    <mergeCell ref="AA200:AA200"/>
    <mergeCell ref="AB200:AB200"/>
    <mergeCell ref="AC200:AC200"/>
    <mergeCell ref="AD200:AD200"/>
    <mergeCell ref="AE200:AE200"/>
    <mergeCell ref="AF200:AF200"/>
    <mergeCell ref="A201:A201"/>
    <mergeCell ref="B201:B201"/>
    <mergeCell ref="C201:C201"/>
    <mergeCell ref="F201:F201"/>
    <mergeCell ref="G201:G201"/>
    <mergeCell ref="H201:H201"/>
    <mergeCell ref="M201:M201"/>
    <mergeCell ref="N201:N201"/>
    <mergeCell ref="O201:O201"/>
    <mergeCell ref="P201:P201"/>
    <mergeCell ref="Q201:Q201"/>
    <mergeCell ref="R201:R201"/>
    <mergeCell ref="S201:S201"/>
    <mergeCell ref="X201:X201"/>
    <mergeCell ref="Y201:Y201"/>
    <mergeCell ref="Z201:Z201"/>
    <mergeCell ref="AA201:AA201"/>
    <mergeCell ref="AB201:AB201"/>
    <mergeCell ref="AC201:AC201"/>
    <mergeCell ref="AD201:AD201"/>
    <mergeCell ref="AE201:AE201"/>
    <mergeCell ref="AF201:AF201"/>
    <mergeCell ref="A202:A202"/>
    <mergeCell ref="B202:B202"/>
    <mergeCell ref="C202:C202"/>
    <mergeCell ref="F202:F202"/>
    <mergeCell ref="G202:G202"/>
    <mergeCell ref="H202:H202"/>
    <mergeCell ref="M202:M202"/>
    <mergeCell ref="N202:N202"/>
    <mergeCell ref="O202:O202"/>
    <mergeCell ref="P202:P202"/>
    <mergeCell ref="Q202:Q202"/>
    <mergeCell ref="R202:R202"/>
    <mergeCell ref="S202:S202"/>
    <mergeCell ref="X202:X202"/>
    <mergeCell ref="Y202:Y202"/>
    <mergeCell ref="Z202:Z202"/>
    <mergeCell ref="AA202:AA202"/>
    <mergeCell ref="AB202:AB202"/>
    <mergeCell ref="AC202:AC202"/>
    <mergeCell ref="AD202:AD202"/>
    <mergeCell ref="AE202:AE202"/>
    <mergeCell ref="AF202:AF202"/>
    <mergeCell ref="A203:A203"/>
    <mergeCell ref="B203:B203"/>
    <mergeCell ref="C203:C203"/>
    <mergeCell ref="F203:F203"/>
    <mergeCell ref="G203:G203"/>
    <mergeCell ref="H203:H203"/>
    <mergeCell ref="M203:M203"/>
    <mergeCell ref="N203:N203"/>
    <mergeCell ref="O203:O203"/>
    <mergeCell ref="P203:P203"/>
    <mergeCell ref="Q203:Q203"/>
    <mergeCell ref="R203:R203"/>
    <mergeCell ref="S203:S203"/>
    <mergeCell ref="X203:X203"/>
    <mergeCell ref="Y203:Y203"/>
    <mergeCell ref="Z203:Z203"/>
    <mergeCell ref="AA203:AA203"/>
    <mergeCell ref="AB203:AB203"/>
    <mergeCell ref="AC203:AC203"/>
    <mergeCell ref="AD203:AD203"/>
    <mergeCell ref="AE203:AE203"/>
    <mergeCell ref="AF203:AF203"/>
    <mergeCell ref="A204:A204"/>
    <mergeCell ref="B204:B204"/>
    <mergeCell ref="C204:C204"/>
    <mergeCell ref="F204:F204"/>
    <mergeCell ref="G204:G204"/>
    <mergeCell ref="H204:H204"/>
    <mergeCell ref="M204:M204"/>
    <mergeCell ref="N204:N204"/>
    <mergeCell ref="O204:O204"/>
    <mergeCell ref="P204:P204"/>
    <mergeCell ref="Q204:Q204"/>
    <mergeCell ref="R204:R204"/>
    <mergeCell ref="S204:S204"/>
    <mergeCell ref="X204:X204"/>
    <mergeCell ref="Y204:Y204"/>
    <mergeCell ref="Z204:Z204"/>
    <mergeCell ref="AA204:AA204"/>
    <mergeCell ref="AB204:AB204"/>
    <mergeCell ref="AC204:AC204"/>
    <mergeCell ref="AD204:AD204"/>
    <mergeCell ref="AE204:AE204"/>
    <mergeCell ref="AF204:AF204"/>
    <mergeCell ref="A205:A205"/>
    <mergeCell ref="B205:B205"/>
    <mergeCell ref="C205:C205"/>
    <mergeCell ref="F205:F205"/>
    <mergeCell ref="G205:G205"/>
    <mergeCell ref="H205:H205"/>
    <mergeCell ref="M205:M205"/>
    <mergeCell ref="N205:N205"/>
    <mergeCell ref="O205:O205"/>
    <mergeCell ref="P205:P205"/>
    <mergeCell ref="Q205:Q205"/>
    <mergeCell ref="R205:R205"/>
    <mergeCell ref="S205:S205"/>
    <mergeCell ref="X205:X205"/>
    <mergeCell ref="Y205:Y205"/>
    <mergeCell ref="Z205:Z205"/>
    <mergeCell ref="AA205:AA205"/>
    <mergeCell ref="AB205:AB205"/>
    <mergeCell ref="AC205:AC205"/>
    <mergeCell ref="AD205:AD205"/>
    <mergeCell ref="AE205:AE205"/>
    <mergeCell ref="AF205:AF205"/>
    <mergeCell ref="A206:A206"/>
    <mergeCell ref="B206:B206"/>
    <mergeCell ref="C206:C206"/>
    <mergeCell ref="F206:F206"/>
    <mergeCell ref="G206:G206"/>
    <mergeCell ref="H206:H206"/>
    <mergeCell ref="M206:M206"/>
    <mergeCell ref="N206:N206"/>
    <mergeCell ref="O206:O206"/>
    <mergeCell ref="P206:P206"/>
    <mergeCell ref="Q206:Q206"/>
    <mergeCell ref="R206:R206"/>
    <mergeCell ref="S206:S206"/>
    <mergeCell ref="X206:X206"/>
    <mergeCell ref="Y206:Y206"/>
    <mergeCell ref="Z206:Z206"/>
    <mergeCell ref="AA206:AA206"/>
    <mergeCell ref="AB206:AB206"/>
    <mergeCell ref="AC206:AC206"/>
    <mergeCell ref="AD206:AD206"/>
    <mergeCell ref="AE206:AE206"/>
    <mergeCell ref="AF206:AF206"/>
    <mergeCell ref="A207:A207"/>
    <mergeCell ref="B207:B207"/>
    <mergeCell ref="C207:C207"/>
    <mergeCell ref="F207:F207"/>
    <mergeCell ref="G207:G207"/>
    <mergeCell ref="H207:H207"/>
    <mergeCell ref="M207:M207"/>
    <mergeCell ref="N207:N207"/>
    <mergeCell ref="O207:O207"/>
    <mergeCell ref="P207:P207"/>
    <mergeCell ref="Q207:Q207"/>
    <mergeCell ref="R207:R207"/>
    <mergeCell ref="S207:S207"/>
    <mergeCell ref="X207:X207"/>
    <mergeCell ref="Y207:Y207"/>
    <mergeCell ref="Z207:Z207"/>
    <mergeCell ref="AA207:AA207"/>
    <mergeCell ref="AB207:AB207"/>
    <mergeCell ref="AC207:AC207"/>
    <mergeCell ref="AD207:AD207"/>
    <mergeCell ref="AE207:AE207"/>
    <mergeCell ref="AF207:AF207"/>
    <mergeCell ref="A208:A208"/>
    <mergeCell ref="B208:B208"/>
    <mergeCell ref="C208:C208"/>
    <mergeCell ref="F208:F208"/>
    <mergeCell ref="G208:G208"/>
    <mergeCell ref="H208:H208"/>
    <mergeCell ref="M208:M208"/>
    <mergeCell ref="N208:N208"/>
    <mergeCell ref="O208:O208"/>
    <mergeCell ref="P208:P208"/>
    <mergeCell ref="Q208:Q208"/>
    <mergeCell ref="R208:R208"/>
    <mergeCell ref="S208:S208"/>
    <mergeCell ref="X208:X208"/>
    <mergeCell ref="Y208:Y208"/>
    <mergeCell ref="Z208:Z208"/>
    <mergeCell ref="AA208:AA208"/>
    <mergeCell ref="AB208:AB208"/>
    <mergeCell ref="AC208:AC208"/>
    <mergeCell ref="AD208:AD208"/>
    <mergeCell ref="AE208:AE208"/>
    <mergeCell ref="AF208:AF208"/>
    <mergeCell ref="A209:A209"/>
    <mergeCell ref="B209:B209"/>
    <mergeCell ref="C209:C209"/>
    <mergeCell ref="F209:F209"/>
    <mergeCell ref="G209:G209"/>
    <mergeCell ref="H209:H209"/>
    <mergeCell ref="M209:M209"/>
    <mergeCell ref="N209:N209"/>
    <mergeCell ref="O209:O209"/>
    <mergeCell ref="P209:P209"/>
    <mergeCell ref="Q209:Q209"/>
    <mergeCell ref="R209:R209"/>
    <mergeCell ref="S209:S209"/>
    <mergeCell ref="X209:X209"/>
    <mergeCell ref="Y209:Y209"/>
    <mergeCell ref="Z209:Z209"/>
    <mergeCell ref="AA209:AA209"/>
    <mergeCell ref="AB209:AB209"/>
    <mergeCell ref="AC209:AC209"/>
    <mergeCell ref="AD209:AD209"/>
    <mergeCell ref="AE209:AE209"/>
    <mergeCell ref="AF209:AF209"/>
    <mergeCell ref="A210:A210"/>
    <mergeCell ref="B210:B210"/>
    <mergeCell ref="C210:C210"/>
    <mergeCell ref="F210:F210"/>
    <mergeCell ref="G210:G210"/>
    <mergeCell ref="H210:H210"/>
    <mergeCell ref="M210:M210"/>
    <mergeCell ref="N210:N210"/>
    <mergeCell ref="O210:O210"/>
    <mergeCell ref="P210:P210"/>
    <mergeCell ref="Q210:Q210"/>
    <mergeCell ref="R210:R210"/>
    <mergeCell ref="S210:S210"/>
    <mergeCell ref="X210:X210"/>
    <mergeCell ref="Y210:Y210"/>
    <mergeCell ref="Z210:Z210"/>
    <mergeCell ref="AA210:AA210"/>
    <mergeCell ref="AB210:AB210"/>
    <mergeCell ref="AC210:AC210"/>
    <mergeCell ref="AD210:AD210"/>
    <mergeCell ref="AE210:AE210"/>
    <mergeCell ref="AF210:AF210"/>
    <mergeCell ref="A211:A211"/>
    <mergeCell ref="B211:B211"/>
    <mergeCell ref="C211:C211"/>
    <mergeCell ref="F211:F211"/>
    <mergeCell ref="G211:G211"/>
    <mergeCell ref="H211:H211"/>
    <mergeCell ref="M211:M211"/>
    <mergeCell ref="N211:N211"/>
    <mergeCell ref="O211:O211"/>
    <mergeCell ref="P211:P211"/>
    <mergeCell ref="Q211:Q211"/>
    <mergeCell ref="R211:R211"/>
    <mergeCell ref="S211:S211"/>
    <mergeCell ref="X211:X211"/>
    <mergeCell ref="Y211:Y211"/>
    <mergeCell ref="Z211:Z211"/>
    <mergeCell ref="AA211:AA211"/>
    <mergeCell ref="AB211:AB211"/>
    <mergeCell ref="AC211:AC211"/>
    <mergeCell ref="AD211:AD211"/>
    <mergeCell ref="AE211:AE211"/>
    <mergeCell ref="AF211:AF211"/>
    <mergeCell ref="A212:A212"/>
    <mergeCell ref="B212:B212"/>
    <mergeCell ref="C212:C212"/>
    <mergeCell ref="F212:F212"/>
    <mergeCell ref="G212:G212"/>
    <mergeCell ref="H212:H212"/>
    <mergeCell ref="M212:M212"/>
    <mergeCell ref="N212:N212"/>
    <mergeCell ref="O212:O212"/>
    <mergeCell ref="P212:P212"/>
    <mergeCell ref="Q212:Q212"/>
    <mergeCell ref="R212:R212"/>
    <mergeCell ref="S212:S212"/>
    <mergeCell ref="X212:X212"/>
    <mergeCell ref="Y212:Y212"/>
    <mergeCell ref="Z212:Z212"/>
    <mergeCell ref="AA212:AA212"/>
    <mergeCell ref="AB212:AB212"/>
    <mergeCell ref="AC212:AC212"/>
    <mergeCell ref="AD212:AD212"/>
    <mergeCell ref="AE212:AE212"/>
    <mergeCell ref="AF212:AF212"/>
    <mergeCell ref="A213:A213"/>
    <mergeCell ref="B213:B213"/>
    <mergeCell ref="C213:C213"/>
    <mergeCell ref="F213:F213"/>
    <mergeCell ref="G213:G213"/>
    <mergeCell ref="H213:H213"/>
    <mergeCell ref="M213:M213"/>
    <mergeCell ref="N213:N213"/>
    <mergeCell ref="O213:O213"/>
    <mergeCell ref="P213:P213"/>
    <mergeCell ref="Q213:Q213"/>
    <mergeCell ref="R213:R213"/>
    <mergeCell ref="S213:S213"/>
    <mergeCell ref="X213:X213"/>
    <mergeCell ref="Y213:Y213"/>
    <mergeCell ref="Z213:Z213"/>
    <mergeCell ref="AA213:AA213"/>
    <mergeCell ref="AB213:AB213"/>
    <mergeCell ref="AC213:AC213"/>
    <mergeCell ref="AD213:AD213"/>
    <mergeCell ref="AE213:AE213"/>
    <mergeCell ref="AF213:AF213"/>
    <mergeCell ref="A214:A214"/>
    <mergeCell ref="B214:B214"/>
    <mergeCell ref="C214:C214"/>
    <mergeCell ref="F214:F214"/>
    <mergeCell ref="G214:G214"/>
    <mergeCell ref="H214:H214"/>
    <mergeCell ref="M214:M214"/>
    <mergeCell ref="N214:N214"/>
    <mergeCell ref="O214:O214"/>
    <mergeCell ref="P214:P214"/>
    <mergeCell ref="Q214:Q214"/>
    <mergeCell ref="R214:R214"/>
    <mergeCell ref="S214:S214"/>
    <mergeCell ref="X214:X214"/>
    <mergeCell ref="Y214:Y214"/>
    <mergeCell ref="Z214:Z214"/>
    <mergeCell ref="AA214:AA214"/>
    <mergeCell ref="AB214:AB214"/>
    <mergeCell ref="AC214:AC214"/>
    <mergeCell ref="AD214:AD214"/>
    <mergeCell ref="AE214:AE214"/>
    <mergeCell ref="AF214:AF214"/>
    <mergeCell ref="A215:A215"/>
    <mergeCell ref="B215:B215"/>
    <mergeCell ref="C215:C215"/>
    <mergeCell ref="F215:F215"/>
    <mergeCell ref="G215:G215"/>
    <mergeCell ref="H215:H215"/>
    <mergeCell ref="M215:M215"/>
    <mergeCell ref="N215:N215"/>
    <mergeCell ref="O215:O215"/>
    <mergeCell ref="P215:P215"/>
    <mergeCell ref="Q215:Q215"/>
    <mergeCell ref="R215:R215"/>
    <mergeCell ref="S215:S215"/>
    <mergeCell ref="X215:X215"/>
    <mergeCell ref="Y215:Y215"/>
    <mergeCell ref="Z215:Z215"/>
    <mergeCell ref="AA215:AA215"/>
    <mergeCell ref="AB215:AB215"/>
    <mergeCell ref="AC215:AC215"/>
    <mergeCell ref="AD215:AD215"/>
    <mergeCell ref="AE215:AE215"/>
    <mergeCell ref="AF215:AF215"/>
    <mergeCell ref="A216:A216"/>
    <mergeCell ref="B216:B216"/>
    <mergeCell ref="C216:C216"/>
    <mergeCell ref="F216:F216"/>
    <mergeCell ref="G216:G216"/>
    <mergeCell ref="H216:H216"/>
    <mergeCell ref="M216:M216"/>
    <mergeCell ref="N216:N216"/>
    <mergeCell ref="O216:O216"/>
    <mergeCell ref="P216:P216"/>
    <mergeCell ref="Q216:Q216"/>
    <mergeCell ref="R216:R216"/>
    <mergeCell ref="S216:S216"/>
    <mergeCell ref="X216:X216"/>
    <mergeCell ref="Y216:Y216"/>
    <mergeCell ref="Z216:Z216"/>
    <mergeCell ref="AA216:AA216"/>
    <mergeCell ref="AB216:AB216"/>
    <mergeCell ref="AC216:AC216"/>
    <mergeCell ref="AD216:AD216"/>
    <mergeCell ref="AE216:AE216"/>
    <mergeCell ref="AF216:AF216"/>
    <mergeCell ref="A217:A217"/>
    <mergeCell ref="B217:B217"/>
    <mergeCell ref="C217:C217"/>
    <mergeCell ref="F217:F217"/>
    <mergeCell ref="G217:G217"/>
    <mergeCell ref="H217:H217"/>
    <mergeCell ref="M217:M217"/>
    <mergeCell ref="N217:N217"/>
    <mergeCell ref="O217:O217"/>
    <mergeCell ref="P217:P217"/>
    <mergeCell ref="Q217:Q217"/>
    <mergeCell ref="R217:R217"/>
    <mergeCell ref="S217:S217"/>
    <mergeCell ref="X217:X217"/>
    <mergeCell ref="Y217:Y217"/>
    <mergeCell ref="Z217:Z217"/>
    <mergeCell ref="AA217:AA217"/>
    <mergeCell ref="AB217:AB217"/>
    <mergeCell ref="AC217:AC217"/>
    <mergeCell ref="AD217:AD217"/>
    <mergeCell ref="AE217:AE217"/>
    <mergeCell ref="AF217:AF217"/>
    <mergeCell ref="A218:A218"/>
    <mergeCell ref="B218:B218"/>
    <mergeCell ref="C218:C218"/>
    <mergeCell ref="F218:F218"/>
    <mergeCell ref="G218:G218"/>
    <mergeCell ref="H218:H218"/>
    <mergeCell ref="M218:M218"/>
    <mergeCell ref="N218:N218"/>
    <mergeCell ref="O218:O218"/>
    <mergeCell ref="P218:P218"/>
    <mergeCell ref="Q218:Q218"/>
    <mergeCell ref="R218:R218"/>
    <mergeCell ref="S218:S218"/>
    <mergeCell ref="X218:X218"/>
    <mergeCell ref="Y218:Y218"/>
    <mergeCell ref="Z218:Z218"/>
    <mergeCell ref="AA218:AA218"/>
    <mergeCell ref="AB218:AB218"/>
    <mergeCell ref="AC218:AC218"/>
    <mergeCell ref="AD218:AD218"/>
    <mergeCell ref="AE218:AE218"/>
    <mergeCell ref="AF218:AF218"/>
    <mergeCell ref="A219:A219"/>
    <mergeCell ref="B219:B219"/>
    <mergeCell ref="C219:C219"/>
    <mergeCell ref="F219:F219"/>
    <mergeCell ref="G219:G219"/>
    <mergeCell ref="H219:H219"/>
    <mergeCell ref="M219:M219"/>
    <mergeCell ref="N219:N219"/>
    <mergeCell ref="O219:O219"/>
    <mergeCell ref="P219:P219"/>
    <mergeCell ref="Q219:Q219"/>
    <mergeCell ref="R219:R219"/>
    <mergeCell ref="S219:S219"/>
    <mergeCell ref="X219:X219"/>
    <mergeCell ref="Y219:Y219"/>
    <mergeCell ref="Z219:Z219"/>
    <mergeCell ref="AA219:AA219"/>
    <mergeCell ref="AB219:AB219"/>
    <mergeCell ref="AC219:AC219"/>
    <mergeCell ref="AD219:AD219"/>
    <mergeCell ref="AE219:AE219"/>
    <mergeCell ref="AF219:AF219"/>
    <mergeCell ref="A220:A220"/>
    <mergeCell ref="B220:B220"/>
    <mergeCell ref="C220:C220"/>
    <mergeCell ref="F220:F220"/>
    <mergeCell ref="G220:G220"/>
    <mergeCell ref="H220:H220"/>
    <mergeCell ref="M220:M220"/>
    <mergeCell ref="N220:N220"/>
    <mergeCell ref="O220:O220"/>
    <mergeCell ref="P220:P220"/>
    <mergeCell ref="Q220:Q220"/>
    <mergeCell ref="R220:R220"/>
    <mergeCell ref="S220:S220"/>
    <mergeCell ref="X220:X220"/>
    <mergeCell ref="Y220:Y220"/>
    <mergeCell ref="Z220:Z220"/>
    <mergeCell ref="AA220:AA220"/>
    <mergeCell ref="AB220:AB220"/>
    <mergeCell ref="AC220:AC220"/>
    <mergeCell ref="AD220:AD220"/>
    <mergeCell ref="AE220:AE220"/>
    <mergeCell ref="AF220:AF220"/>
    <mergeCell ref="A221:A221"/>
    <mergeCell ref="B221:B221"/>
    <mergeCell ref="C221:C221"/>
    <mergeCell ref="F221:F221"/>
    <mergeCell ref="G221:G221"/>
    <mergeCell ref="H221:H221"/>
    <mergeCell ref="M221:M221"/>
    <mergeCell ref="N221:N221"/>
    <mergeCell ref="O221:O221"/>
    <mergeCell ref="P221:P221"/>
    <mergeCell ref="Q221:Q221"/>
    <mergeCell ref="R221:R221"/>
    <mergeCell ref="S221:S221"/>
    <mergeCell ref="X221:X221"/>
    <mergeCell ref="Y221:Y221"/>
    <mergeCell ref="Z221:Z221"/>
    <mergeCell ref="AA221:AA221"/>
    <mergeCell ref="AB221:AB221"/>
    <mergeCell ref="AC221:AC221"/>
    <mergeCell ref="AD221:AD221"/>
    <mergeCell ref="AE221:AE221"/>
    <mergeCell ref="AF221:AF221"/>
    <mergeCell ref="A222:A222"/>
    <mergeCell ref="B222:B222"/>
    <mergeCell ref="C222:C222"/>
    <mergeCell ref="F222:F222"/>
    <mergeCell ref="G222:G222"/>
    <mergeCell ref="H222:H222"/>
    <mergeCell ref="M222:M222"/>
    <mergeCell ref="N222:N222"/>
    <mergeCell ref="O222:O222"/>
    <mergeCell ref="P222:P222"/>
    <mergeCell ref="Q222:Q222"/>
    <mergeCell ref="R222:R222"/>
    <mergeCell ref="S222:S222"/>
    <mergeCell ref="X222:X222"/>
    <mergeCell ref="Y222:Y222"/>
    <mergeCell ref="Z222:Z222"/>
    <mergeCell ref="AA222:AA222"/>
    <mergeCell ref="AB222:AB222"/>
    <mergeCell ref="AC222:AC222"/>
    <mergeCell ref="AD222:AD222"/>
    <mergeCell ref="AE222:AE222"/>
    <mergeCell ref="AF222:AF222"/>
    <mergeCell ref="A223:A223"/>
    <mergeCell ref="B223:B223"/>
    <mergeCell ref="C223:C223"/>
    <mergeCell ref="F223:F223"/>
    <mergeCell ref="G223:G223"/>
    <mergeCell ref="H223:H223"/>
    <mergeCell ref="M223:M223"/>
    <mergeCell ref="N223:N223"/>
    <mergeCell ref="O223:O223"/>
    <mergeCell ref="P223:P223"/>
    <mergeCell ref="Q223:Q223"/>
    <mergeCell ref="R223:R223"/>
    <mergeCell ref="S223:S223"/>
    <mergeCell ref="X223:X223"/>
    <mergeCell ref="Y223:Y223"/>
    <mergeCell ref="Z223:Z223"/>
    <mergeCell ref="AA223:AA223"/>
    <mergeCell ref="AB223:AB223"/>
    <mergeCell ref="AC223:AC223"/>
    <mergeCell ref="AD223:AD223"/>
    <mergeCell ref="AE223:AE223"/>
    <mergeCell ref="AF223:AF223"/>
    <mergeCell ref="A224:A224"/>
    <mergeCell ref="B224:B224"/>
    <mergeCell ref="C224:C224"/>
    <mergeCell ref="F224:F224"/>
    <mergeCell ref="G224:G224"/>
    <mergeCell ref="H224:H224"/>
    <mergeCell ref="M224:M224"/>
    <mergeCell ref="N224:N224"/>
    <mergeCell ref="O224:O224"/>
    <mergeCell ref="P224:P224"/>
    <mergeCell ref="Q224:Q224"/>
    <mergeCell ref="R224:R224"/>
    <mergeCell ref="S224:S224"/>
    <mergeCell ref="X224:X224"/>
    <mergeCell ref="Y224:Y224"/>
    <mergeCell ref="Z224:Z224"/>
    <mergeCell ref="AA224:AA224"/>
    <mergeCell ref="AB224:AB224"/>
    <mergeCell ref="AC224:AC224"/>
    <mergeCell ref="AD224:AD224"/>
    <mergeCell ref="AE224:AE224"/>
    <mergeCell ref="AF224:AF224"/>
    <mergeCell ref="A225:A225"/>
    <mergeCell ref="B225:B225"/>
    <mergeCell ref="C225:C225"/>
    <mergeCell ref="F225:F225"/>
    <mergeCell ref="G225:G225"/>
    <mergeCell ref="H225:H225"/>
    <mergeCell ref="M225:M225"/>
    <mergeCell ref="N225:N225"/>
    <mergeCell ref="O225:O225"/>
    <mergeCell ref="P225:P225"/>
    <mergeCell ref="Q225:Q225"/>
    <mergeCell ref="R225:R225"/>
    <mergeCell ref="S225:S225"/>
    <mergeCell ref="X225:X225"/>
    <mergeCell ref="Y225:Y225"/>
    <mergeCell ref="Z225:Z225"/>
    <mergeCell ref="AA225:AA225"/>
    <mergeCell ref="AB225:AB225"/>
    <mergeCell ref="AC225:AC225"/>
    <mergeCell ref="AD225:AD225"/>
    <mergeCell ref="AE225:AE225"/>
    <mergeCell ref="AF225:AF225"/>
    <mergeCell ref="A226:A226"/>
    <mergeCell ref="B226:B226"/>
    <mergeCell ref="C226:C226"/>
    <mergeCell ref="F226:F226"/>
    <mergeCell ref="G226:G226"/>
    <mergeCell ref="H226:H226"/>
    <mergeCell ref="M226:M226"/>
    <mergeCell ref="N226:N226"/>
    <mergeCell ref="O226:O226"/>
    <mergeCell ref="P226:P226"/>
    <mergeCell ref="Q226:Q226"/>
    <mergeCell ref="R226:R226"/>
    <mergeCell ref="S226:S226"/>
    <mergeCell ref="X226:X226"/>
    <mergeCell ref="Y226:Y226"/>
    <mergeCell ref="Z226:Z226"/>
    <mergeCell ref="AA226:AA226"/>
    <mergeCell ref="AB226:AB226"/>
    <mergeCell ref="AC226:AC226"/>
    <mergeCell ref="AD226:AD226"/>
    <mergeCell ref="AE226:AE226"/>
    <mergeCell ref="AF226:AF226"/>
    <mergeCell ref="A227:A228"/>
    <mergeCell ref="B227:B228"/>
    <mergeCell ref="C227:C228"/>
    <mergeCell ref="F227:F228"/>
    <mergeCell ref="G227:G228"/>
    <mergeCell ref="H227:H228"/>
    <mergeCell ref="M227:M228"/>
    <mergeCell ref="N227:N228"/>
    <mergeCell ref="O227:O228"/>
    <mergeCell ref="P227:P228"/>
    <mergeCell ref="Q227:Q228"/>
    <mergeCell ref="R227:R228"/>
    <mergeCell ref="S227:S228"/>
    <mergeCell ref="X227:X228"/>
    <mergeCell ref="Y227:Y228"/>
    <mergeCell ref="Z227:Z228"/>
    <mergeCell ref="AA227:AA228"/>
    <mergeCell ref="AB227:AB228"/>
    <mergeCell ref="AC227:AC228"/>
    <mergeCell ref="AD227:AD228"/>
    <mergeCell ref="AE227:AE228"/>
    <mergeCell ref="AF227:AF228"/>
    <mergeCell ref="A229:A229"/>
    <mergeCell ref="B229:B229"/>
    <mergeCell ref="C229:C229"/>
    <mergeCell ref="F229:F229"/>
    <mergeCell ref="G229:G229"/>
    <mergeCell ref="H229:H229"/>
    <mergeCell ref="M229:M229"/>
    <mergeCell ref="N229:N229"/>
    <mergeCell ref="O229:O229"/>
    <mergeCell ref="P229:P229"/>
    <mergeCell ref="Q229:Q229"/>
    <mergeCell ref="R229:R229"/>
    <mergeCell ref="S229:S229"/>
    <mergeCell ref="X229:X229"/>
    <mergeCell ref="Y229:Y229"/>
    <mergeCell ref="Z229:Z229"/>
    <mergeCell ref="AA229:AA229"/>
    <mergeCell ref="AB229:AB229"/>
    <mergeCell ref="AC229:AC229"/>
    <mergeCell ref="AD229:AD229"/>
    <mergeCell ref="AE229:AE229"/>
    <mergeCell ref="AF229:AF229"/>
    <mergeCell ref="A230:A230"/>
    <mergeCell ref="B230:B230"/>
    <mergeCell ref="C230:C230"/>
    <mergeCell ref="F230:F230"/>
    <mergeCell ref="G230:G230"/>
    <mergeCell ref="H230:H230"/>
    <mergeCell ref="M230:M230"/>
    <mergeCell ref="N230:N230"/>
    <mergeCell ref="O230:O230"/>
    <mergeCell ref="P230:P230"/>
    <mergeCell ref="Q230:Q230"/>
    <mergeCell ref="R230:R230"/>
    <mergeCell ref="S230:S230"/>
    <mergeCell ref="X230:X230"/>
    <mergeCell ref="Y230:Y230"/>
    <mergeCell ref="Z230:Z230"/>
    <mergeCell ref="AA230:AA230"/>
    <mergeCell ref="AB230:AB230"/>
    <mergeCell ref="AC230:AC230"/>
    <mergeCell ref="AD230:AD230"/>
    <mergeCell ref="AE230:AE230"/>
    <mergeCell ref="AF230:AF230"/>
    <mergeCell ref="A231:A231"/>
    <mergeCell ref="B231:B231"/>
    <mergeCell ref="C231:C231"/>
    <mergeCell ref="F231:F231"/>
    <mergeCell ref="G231:G231"/>
    <mergeCell ref="H231:H231"/>
    <mergeCell ref="M231:M231"/>
    <mergeCell ref="N231:N231"/>
    <mergeCell ref="O231:O231"/>
    <mergeCell ref="P231:P231"/>
    <mergeCell ref="Q231:Q231"/>
    <mergeCell ref="R231:R231"/>
    <mergeCell ref="S231:S231"/>
    <mergeCell ref="X231:X231"/>
    <mergeCell ref="Y231:Y231"/>
    <mergeCell ref="Z231:Z231"/>
    <mergeCell ref="AA231:AA231"/>
    <mergeCell ref="AB231:AB231"/>
    <mergeCell ref="AC231:AC231"/>
    <mergeCell ref="AD231:AD231"/>
    <mergeCell ref="AE231:AE231"/>
    <mergeCell ref="AF231:AF231"/>
    <mergeCell ref="A232:A232"/>
    <mergeCell ref="B232:B232"/>
    <mergeCell ref="C232:C232"/>
    <mergeCell ref="F232:F232"/>
    <mergeCell ref="G232:G232"/>
    <mergeCell ref="H232:H232"/>
    <mergeCell ref="M232:M232"/>
    <mergeCell ref="N232:N232"/>
    <mergeCell ref="O232:O232"/>
    <mergeCell ref="P232:P232"/>
    <mergeCell ref="Q232:Q232"/>
    <mergeCell ref="R232:R232"/>
    <mergeCell ref="S232:S232"/>
    <mergeCell ref="X232:X232"/>
    <mergeCell ref="Y232:Y232"/>
    <mergeCell ref="Z232:Z232"/>
    <mergeCell ref="AA232:AA232"/>
    <mergeCell ref="AB232:AB232"/>
    <mergeCell ref="AC232:AC232"/>
    <mergeCell ref="AD232:AD232"/>
    <mergeCell ref="AE232:AE232"/>
    <mergeCell ref="AF232:AF232"/>
    <mergeCell ref="A233:A233"/>
    <mergeCell ref="B233:B233"/>
    <mergeCell ref="C233:C233"/>
    <mergeCell ref="F233:F233"/>
    <mergeCell ref="G233:G233"/>
    <mergeCell ref="H233:H233"/>
    <mergeCell ref="M233:M233"/>
    <mergeCell ref="N233:N233"/>
    <mergeCell ref="O233:O233"/>
    <mergeCell ref="P233:P233"/>
    <mergeCell ref="Q233:Q233"/>
    <mergeCell ref="R233:R233"/>
    <mergeCell ref="S233:S233"/>
    <mergeCell ref="X233:X233"/>
    <mergeCell ref="Y233:Y233"/>
    <mergeCell ref="Z233:Z233"/>
    <mergeCell ref="AA233:AA233"/>
    <mergeCell ref="AB233:AB233"/>
    <mergeCell ref="AC233:AC233"/>
    <mergeCell ref="AD233:AD233"/>
    <mergeCell ref="AE233:AE233"/>
    <mergeCell ref="AF233:AF233"/>
    <mergeCell ref="A234:A234"/>
    <mergeCell ref="B234:B234"/>
    <mergeCell ref="C234:C234"/>
    <mergeCell ref="F234:F234"/>
    <mergeCell ref="G234:G234"/>
    <mergeCell ref="H234:H234"/>
    <mergeCell ref="M234:M234"/>
    <mergeCell ref="N234:N234"/>
    <mergeCell ref="O234:O234"/>
    <mergeCell ref="P234:P234"/>
    <mergeCell ref="Q234:Q234"/>
    <mergeCell ref="R234:R234"/>
    <mergeCell ref="S234:S234"/>
    <mergeCell ref="X234:X234"/>
    <mergeCell ref="Y234:Y234"/>
    <mergeCell ref="Z234:Z234"/>
    <mergeCell ref="AA234:AA234"/>
    <mergeCell ref="AB234:AB234"/>
    <mergeCell ref="AC234:AC234"/>
    <mergeCell ref="AD234:AD234"/>
    <mergeCell ref="AE234:AE234"/>
    <mergeCell ref="AF234:AF234"/>
    <mergeCell ref="A235:A235"/>
    <mergeCell ref="B235:B235"/>
    <mergeCell ref="C235:C235"/>
    <mergeCell ref="F235:F235"/>
    <mergeCell ref="G235:G235"/>
    <mergeCell ref="H235:H235"/>
    <mergeCell ref="M235:M235"/>
    <mergeCell ref="N235:N235"/>
    <mergeCell ref="O235:O235"/>
    <mergeCell ref="P235:P235"/>
    <mergeCell ref="Q235:Q235"/>
    <mergeCell ref="R235:R235"/>
    <mergeCell ref="S235:S235"/>
    <mergeCell ref="X235:X235"/>
    <mergeCell ref="Y235:Y235"/>
    <mergeCell ref="Z235:Z235"/>
    <mergeCell ref="AA235:AA235"/>
    <mergeCell ref="AB235:AB235"/>
    <mergeCell ref="AC235:AC235"/>
    <mergeCell ref="AD235:AD235"/>
    <mergeCell ref="AE235:AE235"/>
    <mergeCell ref="AF235:AF235"/>
    <mergeCell ref="A236:A236"/>
    <mergeCell ref="B236:B236"/>
    <mergeCell ref="C236:C236"/>
    <mergeCell ref="F236:F236"/>
    <mergeCell ref="G236:G236"/>
    <mergeCell ref="H236:H236"/>
    <mergeCell ref="M236:M236"/>
    <mergeCell ref="N236:N236"/>
    <mergeCell ref="O236:O236"/>
    <mergeCell ref="P236:P236"/>
    <mergeCell ref="Q236:Q236"/>
    <mergeCell ref="R236:R236"/>
    <mergeCell ref="S236:S236"/>
    <mergeCell ref="X236:X236"/>
    <mergeCell ref="Y236:Y236"/>
    <mergeCell ref="Z236:Z236"/>
    <mergeCell ref="AA236:AA236"/>
    <mergeCell ref="AB236:AB236"/>
    <mergeCell ref="AC236:AC236"/>
    <mergeCell ref="AD236:AD236"/>
    <mergeCell ref="AE236:AE236"/>
    <mergeCell ref="AF236:AF236"/>
    <mergeCell ref="A237:A237"/>
    <mergeCell ref="B237:B237"/>
    <mergeCell ref="C237:C237"/>
    <mergeCell ref="F237:F237"/>
    <mergeCell ref="G237:G237"/>
    <mergeCell ref="H237:H237"/>
    <mergeCell ref="M237:M237"/>
    <mergeCell ref="N237:N237"/>
    <mergeCell ref="O237:O237"/>
    <mergeCell ref="P237:P237"/>
    <mergeCell ref="Q237:Q237"/>
    <mergeCell ref="R237:R237"/>
    <mergeCell ref="S237:S237"/>
    <mergeCell ref="X237:X237"/>
    <mergeCell ref="Y237:Y237"/>
    <mergeCell ref="Z237:Z237"/>
    <mergeCell ref="AA237:AA237"/>
    <mergeCell ref="AB237:AB237"/>
    <mergeCell ref="AC237:AC237"/>
    <mergeCell ref="AD237:AD237"/>
    <mergeCell ref="AE237:AE237"/>
    <mergeCell ref="AF237:AF237"/>
    <mergeCell ref="A238:A238"/>
    <mergeCell ref="B238:B238"/>
    <mergeCell ref="C238:C238"/>
    <mergeCell ref="F238:F238"/>
    <mergeCell ref="G238:G238"/>
    <mergeCell ref="H238:H238"/>
    <mergeCell ref="M238:M238"/>
    <mergeCell ref="N238:N238"/>
    <mergeCell ref="O238:O238"/>
    <mergeCell ref="P238:P238"/>
    <mergeCell ref="Q238:Q238"/>
    <mergeCell ref="R238:R238"/>
    <mergeCell ref="S238:S238"/>
    <mergeCell ref="X238:X238"/>
    <mergeCell ref="Y238:Y238"/>
    <mergeCell ref="Z238:Z238"/>
    <mergeCell ref="AA238:AA238"/>
    <mergeCell ref="AB238:AB238"/>
    <mergeCell ref="AC238:AC238"/>
    <mergeCell ref="AD238:AD238"/>
    <mergeCell ref="AE238:AE238"/>
    <mergeCell ref="AF238:AF238"/>
    <mergeCell ref="A239:A239"/>
    <mergeCell ref="B239:B239"/>
    <mergeCell ref="C239:C239"/>
    <mergeCell ref="F239:F239"/>
    <mergeCell ref="G239:G239"/>
    <mergeCell ref="H239:H239"/>
    <mergeCell ref="M239:M239"/>
    <mergeCell ref="N239:N239"/>
    <mergeCell ref="O239:O239"/>
    <mergeCell ref="P239:P239"/>
    <mergeCell ref="Q239:Q239"/>
    <mergeCell ref="R239:R239"/>
    <mergeCell ref="S239:S239"/>
    <mergeCell ref="X239:X239"/>
    <mergeCell ref="Y239:Y239"/>
    <mergeCell ref="Z239:Z239"/>
    <mergeCell ref="AA239:AA239"/>
    <mergeCell ref="AB239:AB239"/>
    <mergeCell ref="AC239:AC239"/>
    <mergeCell ref="AD239:AD239"/>
    <mergeCell ref="AE239:AE239"/>
    <mergeCell ref="AF239:AF239"/>
    <mergeCell ref="A240:A240"/>
    <mergeCell ref="B240:B240"/>
    <mergeCell ref="C240:C240"/>
    <mergeCell ref="F240:F240"/>
    <mergeCell ref="G240:G240"/>
    <mergeCell ref="H240:H240"/>
    <mergeCell ref="M240:M240"/>
    <mergeCell ref="N240:N240"/>
    <mergeCell ref="O240:O240"/>
    <mergeCell ref="P240:P240"/>
    <mergeCell ref="Q240:Q240"/>
    <mergeCell ref="R240:R240"/>
    <mergeCell ref="S240:S240"/>
    <mergeCell ref="X240:X240"/>
    <mergeCell ref="Y240:Y240"/>
    <mergeCell ref="Z240:Z240"/>
    <mergeCell ref="AA240:AA240"/>
    <mergeCell ref="AB240:AB240"/>
    <mergeCell ref="AC240:AC240"/>
    <mergeCell ref="AD240:AD240"/>
    <mergeCell ref="AE240:AE240"/>
    <mergeCell ref="AF240:AF240"/>
    <mergeCell ref="A241:A241"/>
    <mergeCell ref="B241:B241"/>
    <mergeCell ref="C241:C241"/>
    <mergeCell ref="F241:F241"/>
    <mergeCell ref="G241:G241"/>
    <mergeCell ref="H241:H241"/>
    <mergeCell ref="M241:M241"/>
    <mergeCell ref="N241:N241"/>
    <mergeCell ref="O241:O241"/>
    <mergeCell ref="P241:P241"/>
    <mergeCell ref="Q241:Q241"/>
    <mergeCell ref="R241:R241"/>
    <mergeCell ref="S241:S241"/>
    <mergeCell ref="X241:X241"/>
    <mergeCell ref="Y241:Y241"/>
    <mergeCell ref="Z241:Z241"/>
    <mergeCell ref="AA241:AA241"/>
    <mergeCell ref="AB241:AB241"/>
    <mergeCell ref="AC241:AC241"/>
    <mergeCell ref="AD241:AD241"/>
    <mergeCell ref="AE241:AE241"/>
    <mergeCell ref="AF241:AF241"/>
    <mergeCell ref="A242:A242"/>
    <mergeCell ref="B242:B242"/>
    <mergeCell ref="C242:C242"/>
    <mergeCell ref="F242:F242"/>
    <mergeCell ref="G242:G242"/>
    <mergeCell ref="H242:H242"/>
    <mergeCell ref="M242:M242"/>
    <mergeCell ref="N242:N242"/>
    <mergeCell ref="O242:O242"/>
    <mergeCell ref="P242:P242"/>
    <mergeCell ref="Q242:Q242"/>
    <mergeCell ref="R242:R242"/>
    <mergeCell ref="S242:S242"/>
    <mergeCell ref="X242:X242"/>
    <mergeCell ref="Y242:Y242"/>
    <mergeCell ref="Z242:Z242"/>
    <mergeCell ref="AA242:AA242"/>
    <mergeCell ref="AB242:AB242"/>
    <mergeCell ref="AC242:AC242"/>
    <mergeCell ref="AD242:AD242"/>
    <mergeCell ref="AE242:AE242"/>
    <mergeCell ref="AF242:AF242"/>
    <mergeCell ref="A243:A243"/>
    <mergeCell ref="B243:B243"/>
    <mergeCell ref="C243:C243"/>
    <mergeCell ref="F243:F243"/>
    <mergeCell ref="G243:G243"/>
    <mergeCell ref="H243:H243"/>
    <mergeCell ref="M243:M243"/>
    <mergeCell ref="N243:N243"/>
    <mergeCell ref="O243:O243"/>
    <mergeCell ref="P243:P243"/>
    <mergeCell ref="Q243:Q243"/>
    <mergeCell ref="R243:R243"/>
    <mergeCell ref="S243:S243"/>
    <mergeCell ref="X243:X243"/>
    <mergeCell ref="Y243:Y243"/>
    <mergeCell ref="Z243:Z243"/>
    <mergeCell ref="AA243:AA243"/>
    <mergeCell ref="AB243:AB243"/>
    <mergeCell ref="AC243:AC243"/>
    <mergeCell ref="AD243:AD243"/>
    <mergeCell ref="AE243:AE243"/>
    <mergeCell ref="AF243:AF243"/>
    <mergeCell ref="A244:A244"/>
    <mergeCell ref="B244:B244"/>
    <mergeCell ref="C244:C244"/>
    <mergeCell ref="F244:F244"/>
    <mergeCell ref="G244:G244"/>
    <mergeCell ref="H244:H244"/>
    <mergeCell ref="M244:M244"/>
    <mergeCell ref="N244:N244"/>
    <mergeCell ref="O244:O244"/>
    <mergeCell ref="P244:P244"/>
    <mergeCell ref="Q244:Q244"/>
    <mergeCell ref="R244:R244"/>
    <mergeCell ref="S244:S244"/>
    <mergeCell ref="X244:X244"/>
    <mergeCell ref="Y244:Y244"/>
    <mergeCell ref="Z244:Z244"/>
    <mergeCell ref="AA244:AA244"/>
    <mergeCell ref="AB244:AB244"/>
    <mergeCell ref="AC244:AC244"/>
    <mergeCell ref="AD244:AD244"/>
    <mergeCell ref="AE244:AE244"/>
    <mergeCell ref="AF244:AF244"/>
    <mergeCell ref="A245:A245"/>
    <mergeCell ref="B245:B245"/>
    <mergeCell ref="C245:C245"/>
    <mergeCell ref="F245:F245"/>
    <mergeCell ref="G245:G245"/>
    <mergeCell ref="H245:H245"/>
    <mergeCell ref="M245:M245"/>
    <mergeCell ref="N245:N245"/>
    <mergeCell ref="O245:O245"/>
    <mergeCell ref="P245:P245"/>
    <mergeCell ref="Q245:Q245"/>
    <mergeCell ref="R245:R245"/>
    <mergeCell ref="S245:S245"/>
    <mergeCell ref="X245:X245"/>
    <mergeCell ref="Y245:Y245"/>
    <mergeCell ref="Z245:Z245"/>
    <mergeCell ref="AA245:AA245"/>
    <mergeCell ref="AB245:AB245"/>
    <mergeCell ref="AC245:AC245"/>
    <mergeCell ref="AD245:AD245"/>
    <mergeCell ref="AE245:AE245"/>
    <mergeCell ref="AF245:AF245"/>
    <mergeCell ref="A246:A246"/>
    <mergeCell ref="B246:B246"/>
    <mergeCell ref="C246:C246"/>
    <mergeCell ref="F246:F246"/>
    <mergeCell ref="G246:G246"/>
    <mergeCell ref="H246:H246"/>
    <mergeCell ref="M246:M246"/>
    <mergeCell ref="N246:N246"/>
    <mergeCell ref="O246:O246"/>
    <mergeCell ref="P246:P246"/>
    <mergeCell ref="Q246:Q246"/>
    <mergeCell ref="R246:R246"/>
    <mergeCell ref="S246:S246"/>
    <mergeCell ref="X246:X246"/>
    <mergeCell ref="Y246:Y246"/>
    <mergeCell ref="Z246:Z246"/>
    <mergeCell ref="AA246:AA246"/>
    <mergeCell ref="AB246:AB246"/>
    <mergeCell ref="AC246:AC246"/>
    <mergeCell ref="AD246:AD246"/>
    <mergeCell ref="AE246:AE246"/>
    <mergeCell ref="AF246:AF246"/>
    <mergeCell ref="A247:A247"/>
    <mergeCell ref="B247:B247"/>
    <mergeCell ref="C247:C247"/>
    <mergeCell ref="F247:F247"/>
    <mergeCell ref="G247:G247"/>
    <mergeCell ref="H247:H247"/>
    <mergeCell ref="M247:M247"/>
    <mergeCell ref="N247:N247"/>
    <mergeCell ref="O247:O247"/>
    <mergeCell ref="P247:P247"/>
    <mergeCell ref="Q247:Q247"/>
    <mergeCell ref="R247:R247"/>
    <mergeCell ref="S247:S247"/>
    <mergeCell ref="X247:X247"/>
    <mergeCell ref="Y247:Y247"/>
    <mergeCell ref="Z247:Z247"/>
    <mergeCell ref="AA247:AA247"/>
    <mergeCell ref="AB247:AB247"/>
    <mergeCell ref="AC247:AC247"/>
    <mergeCell ref="AD247:AD247"/>
    <mergeCell ref="AE247:AE247"/>
    <mergeCell ref="AF247:AF247"/>
    <mergeCell ref="A248:A248"/>
    <mergeCell ref="B248:B248"/>
    <mergeCell ref="C248:C248"/>
    <mergeCell ref="F248:F248"/>
    <mergeCell ref="G248:G248"/>
    <mergeCell ref="H248:H248"/>
    <mergeCell ref="M248:M248"/>
    <mergeCell ref="N248:N248"/>
    <mergeCell ref="O248:O248"/>
    <mergeCell ref="P248:P248"/>
    <mergeCell ref="Q248:Q248"/>
    <mergeCell ref="R248:R248"/>
    <mergeCell ref="S248:S248"/>
    <mergeCell ref="X248:X248"/>
    <mergeCell ref="Y248:Y248"/>
    <mergeCell ref="Z248:Z248"/>
    <mergeCell ref="AA248:AA248"/>
    <mergeCell ref="AB248:AB248"/>
    <mergeCell ref="AC248:AC248"/>
    <mergeCell ref="AD248:AD248"/>
    <mergeCell ref="AE248:AE248"/>
    <mergeCell ref="AF248:AF248"/>
    <mergeCell ref="A249:A249"/>
    <mergeCell ref="B249:B249"/>
    <mergeCell ref="C249:C249"/>
    <mergeCell ref="F249:F249"/>
    <mergeCell ref="G249:G249"/>
    <mergeCell ref="H249:H249"/>
    <mergeCell ref="M249:M249"/>
    <mergeCell ref="N249:N249"/>
    <mergeCell ref="O249:O249"/>
    <mergeCell ref="P249:P249"/>
    <mergeCell ref="Q249:Q249"/>
    <mergeCell ref="R249:R249"/>
    <mergeCell ref="S249:S249"/>
    <mergeCell ref="X249:X249"/>
    <mergeCell ref="Y249:Y249"/>
    <mergeCell ref="Z249:Z249"/>
    <mergeCell ref="AA249:AA249"/>
    <mergeCell ref="AB249:AB249"/>
    <mergeCell ref="AC249:AC249"/>
    <mergeCell ref="AD249:AD249"/>
    <mergeCell ref="AE249:AE249"/>
    <mergeCell ref="AF249:AF249"/>
    <mergeCell ref="A250:A250"/>
    <mergeCell ref="B250:B250"/>
    <mergeCell ref="C250:C250"/>
    <mergeCell ref="F250:F250"/>
    <mergeCell ref="G250:G250"/>
    <mergeCell ref="H250:H250"/>
    <mergeCell ref="M250:M250"/>
    <mergeCell ref="N250:N250"/>
    <mergeCell ref="O250:O250"/>
    <mergeCell ref="P250:P250"/>
    <mergeCell ref="Q250:Q250"/>
    <mergeCell ref="R250:R250"/>
    <mergeCell ref="S250:S250"/>
    <mergeCell ref="X250:X250"/>
    <mergeCell ref="Y250:Y250"/>
    <mergeCell ref="Z250:Z250"/>
    <mergeCell ref="AA250:AA250"/>
    <mergeCell ref="AB250:AB250"/>
    <mergeCell ref="AC250:AC250"/>
    <mergeCell ref="AD250:AD250"/>
    <mergeCell ref="AE250:AE250"/>
    <mergeCell ref="AF250:AF250"/>
    <mergeCell ref="A251:A251"/>
    <mergeCell ref="B251:B251"/>
    <mergeCell ref="C251:C251"/>
    <mergeCell ref="F251:F251"/>
    <mergeCell ref="G251:G251"/>
    <mergeCell ref="H251:H251"/>
    <mergeCell ref="M251:M251"/>
    <mergeCell ref="N251:N251"/>
    <mergeCell ref="O251:O251"/>
    <mergeCell ref="P251:P251"/>
    <mergeCell ref="Q251:Q251"/>
    <mergeCell ref="R251:R251"/>
    <mergeCell ref="S251:S251"/>
    <mergeCell ref="X251:X251"/>
    <mergeCell ref="Y251:Y251"/>
    <mergeCell ref="Z251:Z251"/>
    <mergeCell ref="AA251:AA251"/>
    <mergeCell ref="AB251:AB251"/>
    <mergeCell ref="AC251:AC251"/>
    <mergeCell ref="AD251:AD251"/>
    <mergeCell ref="AE251:AE251"/>
    <mergeCell ref="AF251:AF251"/>
    <mergeCell ref="A252:A252"/>
    <mergeCell ref="B252:B252"/>
    <mergeCell ref="C252:C252"/>
    <mergeCell ref="F252:F252"/>
    <mergeCell ref="G252:G252"/>
    <mergeCell ref="H252:H252"/>
    <mergeCell ref="M252:M252"/>
    <mergeCell ref="N252:N252"/>
    <mergeCell ref="O252:O252"/>
    <mergeCell ref="P252:P252"/>
    <mergeCell ref="Q252:Q252"/>
    <mergeCell ref="R252:R252"/>
    <mergeCell ref="S252:S252"/>
    <mergeCell ref="X252:X252"/>
    <mergeCell ref="Y252:Y252"/>
    <mergeCell ref="Z252:Z252"/>
    <mergeCell ref="AA252:AA252"/>
    <mergeCell ref="AB252:AB252"/>
    <mergeCell ref="AC252:AC252"/>
    <mergeCell ref="AD252:AD252"/>
    <mergeCell ref="AE252:AE252"/>
    <mergeCell ref="AF252:AF252"/>
    <mergeCell ref="A253:A253"/>
    <mergeCell ref="B253:B253"/>
    <mergeCell ref="C253:C253"/>
    <mergeCell ref="F253:F253"/>
    <mergeCell ref="G253:G253"/>
    <mergeCell ref="H253:H253"/>
    <mergeCell ref="M253:M253"/>
    <mergeCell ref="N253:N253"/>
    <mergeCell ref="O253:O253"/>
    <mergeCell ref="P253:P253"/>
    <mergeCell ref="Q253:Q253"/>
    <mergeCell ref="R253:R253"/>
    <mergeCell ref="S253:S253"/>
    <mergeCell ref="X253:X253"/>
    <mergeCell ref="Y253:Y253"/>
    <mergeCell ref="Z253:Z253"/>
    <mergeCell ref="AA253:AA253"/>
    <mergeCell ref="AB253:AB253"/>
    <mergeCell ref="AC253:AC253"/>
    <mergeCell ref="AD253:AD253"/>
    <mergeCell ref="AE253:AE253"/>
    <mergeCell ref="AF253:AF253"/>
    <mergeCell ref="A254:A254"/>
    <mergeCell ref="B254:B254"/>
    <mergeCell ref="C254:C254"/>
    <mergeCell ref="F254:F254"/>
    <mergeCell ref="G254:G254"/>
    <mergeCell ref="H254:H254"/>
    <mergeCell ref="M254:M254"/>
    <mergeCell ref="N254:N254"/>
    <mergeCell ref="O254:O254"/>
    <mergeCell ref="P254:P254"/>
    <mergeCell ref="Q254:Q254"/>
    <mergeCell ref="R254:R254"/>
    <mergeCell ref="S254:S254"/>
    <mergeCell ref="X254:X254"/>
    <mergeCell ref="Y254:Y254"/>
    <mergeCell ref="Z254:Z254"/>
    <mergeCell ref="AA254:AA254"/>
    <mergeCell ref="AB254:AB254"/>
    <mergeCell ref="AC254:AC254"/>
    <mergeCell ref="AD254:AD254"/>
    <mergeCell ref="AE254:AE254"/>
    <mergeCell ref="AF254:AF254"/>
    <mergeCell ref="A255:A255"/>
    <mergeCell ref="B255:B255"/>
    <mergeCell ref="C255:C255"/>
    <mergeCell ref="F255:F255"/>
    <mergeCell ref="G255:G255"/>
    <mergeCell ref="H255:H255"/>
    <mergeCell ref="M255:M255"/>
    <mergeCell ref="N255:N255"/>
    <mergeCell ref="O255:O255"/>
    <mergeCell ref="P255:P255"/>
    <mergeCell ref="Q255:Q255"/>
    <mergeCell ref="R255:R255"/>
    <mergeCell ref="S255:S255"/>
    <mergeCell ref="X255:X255"/>
    <mergeCell ref="Y255:Y255"/>
    <mergeCell ref="Z255:Z255"/>
    <mergeCell ref="AA255:AA255"/>
    <mergeCell ref="AB255:AB255"/>
    <mergeCell ref="AC255:AC255"/>
    <mergeCell ref="AD255:AD255"/>
    <mergeCell ref="AE255:AE255"/>
    <mergeCell ref="AF255:AF255"/>
    <mergeCell ref="A256:A256"/>
    <mergeCell ref="B256:B256"/>
    <mergeCell ref="C256:C256"/>
    <mergeCell ref="F256:F256"/>
    <mergeCell ref="G256:G256"/>
    <mergeCell ref="H256:H256"/>
    <mergeCell ref="M256:M256"/>
    <mergeCell ref="N256:N256"/>
    <mergeCell ref="O256:O256"/>
    <mergeCell ref="P256:P256"/>
    <mergeCell ref="Q256:Q256"/>
    <mergeCell ref="R256:R256"/>
    <mergeCell ref="S256:S256"/>
    <mergeCell ref="X256:X256"/>
    <mergeCell ref="Y256:Y256"/>
    <mergeCell ref="Z256:Z256"/>
    <mergeCell ref="AA256:AA256"/>
    <mergeCell ref="AB256:AB256"/>
    <mergeCell ref="AC256:AC256"/>
    <mergeCell ref="AD256:AD256"/>
    <mergeCell ref="AE256:AE256"/>
    <mergeCell ref="AF256:AF256"/>
    <mergeCell ref="A257:A257"/>
    <mergeCell ref="B257:B257"/>
    <mergeCell ref="C257:C257"/>
    <mergeCell ref="F257:F257"/>
    <mergeCell ref="G257:G257"/>
    <mergeCell ref="H257:H257"/>
    <mergeCell ref="M257:M257"/>
    <mergeCell ref="N257:N257"/>
    <mergeCell ref="O257:O257"/>
    <mergeCell ref="P257:P257"/>
    <mergeCell ref="Q257:Q257"/>
    <mergeCell ref="R257:R257"/>
    <mergeCell ref="S257:S257"/>
    <mergeCell ref="X257:X257"/>
    <mergeCell ref="Y257:Y257"/>
    <mergeCell ref="Z257:Z257"/>
    <mergeCell ref="AA257:AA257"/>
    <mergeCell ref="AB257:AB257"/>
    <mergeCell ref="AC257:AC257"/>
    <mergeCell ref="AD257:AD257"/>
    <mergeCell ref="AE257:AE257"/>
    <mergeCell ref="AF257:AF257"/>
    <mergeCell ref="A258:A258"/>
    <mergeCell ref="B258:B258"/>
    <mergeCell ref="C258:C258"/>
    <mergeCell ref="F258:F258"/>
    <mergeCell ref="G258:G258"/>
    <mergeCell ref="H258:H258"/>
    <mergeCell ref="M258:M258"/>
    <mergeCell ref="N258:N258"/>
    <mergeCell ref="O258:O258"/>
    <mergeCell ref="P258:P258"/>
    <mergeCell ref="Q258:Q258"/>
    <mergeCell ref="R258:R258"/>
    <mergeCell ref="S258:S258"/>
    <mergeCell ref="X258:X258"/>
    <mergeCell ref="Y258:Y258"/>
    <mergeCell ref="Z258:Z258"/>
    <mergeCell ref="AA258:AA258"/>
    <mergeCell ref="AB258:AB258"/>
    <mergeCell ref="AC258:AC258"/>
    <mergeCell ref="AD258:AD258"/>
    <mergeCell ref="AE258:AE258"/>
    <mergeCell ref="AF258:AF258"/>
    <mergeCell ref="A259:A259"/>
    <mergeCell ref="B259:B259"/>
    <mergeCell ref="C259:C259"/>
    <mergeCell ref="F259:F259"/>
    <mergeCell ref="G259:G259"/>
    <mergeCell ref="H259:H259"/>
    <mergeCell ref="M259:M259"/>
    <mergeCell ref="N259:N259"/>
    <mergeCell ref="O259:O259"/>
    <mergeCell ref="P259:P259"/>
    <mergeCell ref="Q259:Q259"/>
    <mergeCell ref="R259:R259"/>
    <mergeCell ref="S259:S259"/>
    <mergeCell ref="X259:X259"/>
    <mergeCell ref="Y259:Y259"/>
    <mergeCell ref="Z259:Z259"/>
    <mergeCell ref="AA259:AA259"/>
    <mergeCell ref="AB259:AB259"/>
    <mergeCell ref="AC259:AC259"/>
    <mergeCell ref="AD259:AD259"/>
    <mergeCell ref="AE259:AE259"/>
    <mergeCell ref="AF259:AF259"/>
    <mergeCell ref="A260:A260"/>
    <mergeCell ref="B260:B260"/>
    <mergeCell ref="C260:C260"/>
    <mergeCell ref="F260:F260"/>
    <mergeCell ref="G260:G260"/>
    <mergeCell ref="H260:H260"/>
    <mergeCell ref="M260:M260"/>
    <mergeCell ref="N260:N260"/>
    <mergeCell ref="O260:O260"/>
    <mergeCell ref="P260:P260"/>
    <mergeCell ref="Q260:Q260"/>
    <mergeCell ref="R260:R260"/>
    <mergeCell ref="S260:S260"/>
    <mergeCell ref="X260:X260"/>
    <mergeCell ref="Y260:Y260"/>
    <mergeCell ref="Z260:Z260"/>
    <mergeCell ref="AA260:AA260"/>
    <mergeCell ref="AB260:AB260"/>
    <mergeCell ref="AC260:AC260"/>
    <mergeCell ref="AD260:AD260"/>
    <mergeCell ref="AE260:AE260"/>
    <mergeCell ref="AF260:AF260"/>
    <mergeCell ref="A261:A261"/>
    <mergeCell ref="B261:B261"/>
    <mergeCell ref="C261:C261"/>
    <mergeCell ref="F261:F261"/>
    <mergeCell ref="G261:G261"/>
    <mergeCell ref="H261:H261"/>
    <mergeCell ref="M261:M261"/>
    <mergeCell ref="N261:N261"/>
    <mergeCell ref="O261:O261"/>
    <mergeCell ref="P261:P261"/>
    <mergeCell ref="Q261:Q261"/>
    <mergeCell ref="R261:R261"/>
    <mergeCell ref="S261:S261"/>
    <mergeCell ref="X261:X261"/>
    <mergeCell ref="Y261:Y261"/>
    <mergeCell ref="Z261:Z261"/>
    <mergeCell ref="AA261:AA261"/>
    <mergeCell ref="AB261:AB261"/>
    <mergeCell ref="AC261:AC261"/>
    <mergeCell ref="AD261:AD261"/>
    <mergeCell ref="AE261:AE261"/>
    <mergeCell ref="AF261:AF261"/>
    <mergeCell ref="A262:A262"/>
    <mergeCell ref="B262:B262"/>
    <mergeCell ref="C262:C262"/>
    <mergeCell ref="F262:F262"/>
    <mergeCell ref="G262:G262"/>
    <mergeCell ref="H262:H262"/>
    <mergeCell ref="M262:M262"/>
    <mergeCell ref="N262:N262"/>
    <mergeCell ref="O262:O262"/>
    <mergeCell ref="P262:P262"/>
    <mergeCell ref="Q262:Q262"/>
    <mergeCell ref="R262:R262"/>
    <mergeCell ref="S262:S262"/>
    <mergeCell ref="X262:X262"/>
    <mergeCell ref="Y262:Y262"/>
    <mergeCell ref="Z262:Z262"/>
    <mergeCell ref="AA262:AA262"/>
    <mergeCell ref="AB262:AB262"/>
    <mergeCell ref="AC262:AC262"/>
    <mergeCell ref="AD262:AD262"/>
    <mergeCell ref="AE262:AE262"/>
    <mergeCell ref="AF262:AF262"/>
    <mergeCell ref="A263:A263"/>
    <mergeCell ref="B263:B263"/>
    <mergeCell ref="C263:C263"/>
    <mergeCell ref="F263:F263"/>
    <mergeCell ref="G263:G263"/>
    <mergeCell ref="H263:H263"/>
    <mergeCell ref="M263:M263"/>
    <mergeCell ref="N263:N263"/>
    <mergeCell ref="O263:O263"/>
    <mergeCell ref="P263:P263"/>
    <mergeCell ref="Q263:Q263"/>
    <mergeCell ref="R263:R263"/>
    <mergeCell ref="S263:S263"/>
    <mergeCell ref="X263:X263"/>
    <mergeCell ref="Y263:Y263"/>
    <mergeCell ref="Z263:Z263"/>
    <mergeCell ref="AA263:AA263"/>
    <mergeCell ref="AB263:AB263"/>
    <mergeCell ref="AC263:AC263"/>
    <mergeCell ref="AD263:AD263"/>
    <mergeCell ref="AE263:AE263"/>
    <mergeCell ref="AF263:AF263"/>
    <mergeCell ref="A264:A264"/>
    <mergeCell ref="B264:B264"/>
    <mergeCell ref="C264:C264"/>
    <mergeCell ref="F264:F264"/>
    <mergeCell ref="G264:G264"/>
    <mergeCell ref="H264:H264"/>
    <mergeCell ref="M264:M264"/>
    <mergeCell ref="N264:N264"/>
    <mergeCell ref="O264:O264"/>
    <mergeCell ref="P264:P264"/>
    <mergeCell ref="Q264:Q264"/>
    <mergeCell ref="R264:R264"/>
    <mergeCell ref="S264:S264"/>
    <mergeCell ref="X264:X264"/>
    <mergeCell ref="Y264:Y264"/>
    <mergeCell ref="Z264:Z264"/>
    <mergeCell ref="AA264:AA264"/>
    <mergeCell ref="AB264:AB264"/>
    <mergeCell ref="AC264:AC264"/>
    <mergeCell ref="AD264:AD264"/>
    <mergeCell ref="AE264:AE264"/>
    <mergeCell ref="AF264:AF264"/>
    <mergeCell ref="A265:A265"/>
    <mergeCell ref="B265:B265"/>
    <mergeCell ref="C265:C265"/>
    <mergeCell ref="F265:F265"/>
    <mergeCell ref="G265:G265"/>
    <mergeCell ref="H265:H265"/>
    <mergeCell ref="M265:M265"/>
    <mergeCell ref="N265:N265"/>
    <mergeCell ref="O265:O265"/>
    <mergeCell ref="P265:P265"/>
    <mergeCell ref="Q265:Q265"/>
    <mergeCell ref="R265:R265"/>
    <mergeCell ref="S265:S265"/>
    <mergeCell ref="X265:X265"/>
    <mergeCell ref="Y265:Y265"/>
    <mergeCell ref="Z265:Z265"/>
    <mergeCell ref="AA265:AA265"/>
    <mergeCell ref="AB265:AB265"/>
    <mergeCell ref="AC265:AC265"/>
    <mergeCell ref="AD265:AD265"/>
    <mergeCell ref="AE265:AE265"/>
    <mergeCell ref="AF265:AF265"/>
    <mergeCell ref="A266:A266"/>
    <mergeCell ref="B266:B266"/>
    <mergeCell ref="C266:C266"/>
    <mergeCell ref="F266:F266"/>
    <mergeCell ref="G266:G266"/>
    <mergeCell ref="H266:H266"/>
    <mergeCell ref="M266:M266"/>
    <mergeCell ref="N266:N266"/>
    <mergeCell ref="O266:O266"/>
    <mergeCell ref="P266:P266"/>
    <mergeCell ref="Q266:Q266"/>
    <mergeCell ref="R266:R266"/>
    <mergeCell ref="S266:S266"/>
    <mergeCell ref="X266:X266"/>
    <mergeCell ref="Y266:Y266"/>
    <mergeCell ref="Z266:Z266"/>
    <mergeCell ref="AA266:AA266"/>
    <mergeCell ref="AB266:AB266"/>
    <mergeCell ref="AC266:AC266"/>
    <mergeCell ref="AD266:AD266"/>
    <mergeCell ref="AE266:AE266"/>
    <mergeCell ref="AF266:AF266"/>
    <mergeCell ref="A267:A267"/>
    <mergeCell ref="B267:B267"/>
    <mergeCell ref="C267:C267"/>
    <mergeCell ref="F267:F267"/>
    <mergeCell ref="G267:G267"/>
    <mergeCell ref="H267:H267"/>
    <mergeCell ref="M267:M267"/>
    <mergeCell ref="N267:N267"/>
    <mergeCell ref="O267:O267"/>
    <mergeCell ref="P267:P267"/>
    <mergeCell ref="Q267:Q267"/>
    <mergeCell ref="R267:R267"/>
    <mergeCell ref="S267:S267"/>
    <mergeCell ref="X267:X267"/>
    <mergeCell ref="Y267:Y267"/>
    <mergeCell ref="Z267:Z267"/>
    <mergeCell ref="AA267:AA267"/>
    <mergeCell ref="AB267:AB267"/>
    <mergeCell ref="AC267:AC267"/>
    <mergeCell ref="AD267:AD267"/>
    <mergeCell ref="AE267:AE267"/>
    <mergeCell ref="AF267:AF267"/>
    <mergeCell ref="A268:A268"/>
    <mergeCell ref="B268:B268"/>
    <mergeCell ref="C268:C268"/>
    <mergeCell ref="F268:F268"/>
    <mergeCell ref="G268:G268"/>
    <mergeCell ref="H268:H268"/>
    <mergeCell ref="M268:M268"/>
    <mergeCell ref="N268:N268"/>
    <mergeCell ref="O268:O268"/>
    <mergeCell ref="P268:P268"/>
    <mergeCell ref="Q268:Q268"/>
    <mergeCell ref="R268:R268"/>
    <mergeCell ref="S268:S268"/>
    <mergeCell ref="X268:X268"/>
    <mergeCell ref="Y268:Y268"/>
    <mergeCell ref="Z268:Z268"/>
    <mergeCell ref="AA268:AA268"/>
    <mergeCell ref="AB268:AB268"/>
    <mergeCell ref="AC268:AC268"/>
    <mergeCell ref="AD268:AD268"/>
    <mergeCell ref="AE268:AE268"/>
    <mergeCell ref="AF268:AF268"/>
    <mergeCell ref="A269:A269"/>
    <mergeCell ref="B269:B269"/>
    <mergeCell ref="C269:C269"/>
    <mergeCell ref="F269:F269"/>
    <mergeCell ref="G269:G269"/>
    <mergeCell ref="H269:H269"/>
    <mergeCell ref="M269:M269"/>
    <mergeCell ref="N269:N269"/>
    <mergeCell ref="O269:O269"/>
    <mergeCell ref="P269:P269"/>
    <mergeCell ref="Q269:Q269"/>
    <mergeCell ref="R269:R269"/>
    <mergeCell ref="S269:S269"/>
    <mergeCell ref="X269:X269"/>
    <mergeCell ref="Y269:Y269"/>
    <mergeCell ref="Z269:Z269"/>
    <mergeCell ref="AA269:AA269"/>
    <mergeCell ref="AB269:AB269"/>
    <mergeCell ref="AC269:AC269"/>
    <mergeCell ref="AD269:AD269"/>
    <mergeCell ref="AE269:AE269"/>
    <mergeCell ref="AF269:AF269"/>
    <mergeCell ref="A270:A270"/>
    <mergeCell ref="B270:B270"/>
    <mergeCell ref="C270:C270"/>
    <mergeCell ref="F270:F270"/>
    <mergeCell ref="G270:G270"/>
    <mergeCell ref="H270:H270"/>
    <mergeCell ref="M270:M270"/>
    <mergeCell ref="N270:N270"/>
    <mergeCell ref="O270:O270"/>
    <mergeCell ref="P270:P270"/>
    <mergeCell ref="Q270:Q270"/>
    <mergeCell ref="R270:R270"/>
    <mergeCell ref="S270:S270"/>
    <mergeCell ref="X270:X270"/>
    <mergeCell ref="Y270:Y270"/>
    <mergeCell ref="Z270:Z270"/>
    <mergeCell ref="AA270:AA270"/>
    <mergeCell ref="AB270:AB270"/>
    <mergeCell ref="AC270:AC270"/>
    <mergeCell ref="AD270:AD270"/>
    <mergeCell ref="AE270:AE270"/>
    <mergeCell ref="AF270:AF270"/>
    <mergeCell ref="A271:A271"/>
    <mergeCell ref="B271:B271"/>
    <mergeCell ref="C271:C271"/>
    <mergeCell ref="F271:F271"/>
    <mergeCell ref="G271:G271"/>
    <mergeCell ref="H271:H271"/>
    <mergeCell ref="M271:M271"/>
    <mergeCell ref="N271:N271"/>
    <mergeCell ref="O271:O271"/>
    <mergeCell ref="P271:P271"/>
    <mergeCell ref="Q271:Q271"/>
    <mergeCell ref="R271:R271"/>
    <mergeCell ref="S271:S271"/>
    <mergeCell ref="X271:X271"/>
    <mergeCell ref="Y271:Y271"/>
    <mergeCell ref="Z271:Z271"/>
    <mergeCell ref="AA271:AA271"/>
    <mergeCell ref="AB271:AB271"/>
    <mergeCell ref="AC271:AC271"/>
    <mergeCell ref="AD271:AD271"/>
    <mergeCell ref="AE271:AE271"/>
    <mergeCell ref="AF271:AF271"/>
    <mergeCell ref="A272:A272"/>
    <mergeCell ref="B272:B272"/>
    <mergeCell ref="C272:C272"/>
    <mergeCell ref="F272:F272"/>
    <mergeCell ref="G272:G272"/>
    <mergeCell ref="H272:H272"/>
    <mergeCell ref="M272:M272"/>
    <mergeCell ref="N272:N272"/>
    <mergeCell ref="O272:O272"/>
    <mergeCell ref="P272:P272"/>
    <mergeCell ref="Q272:Q272"/>
    <mergeCell ref="R272:R272"/>
    <mergeCell ref="S272:S272"/>
    <mergeCell ref="X272:X272"/>
    <mergeCell ref="Y272:Y272"/>
    <mergeCell ref="Z272:Z272"/>
    <mergeCell ref="AA272:AA272"/>
    <mergeCell ref="AB272:AB272"/>
    <mergeCell ref="AC272:AC272"/>
    <mergeCell ref="AD272:AD272"/>
    <mergeCell ref="AE272:AE272"/>
    <mergeCell ref="AF272:AF272"/>
    <mergeCell ref="A273:A273"/>
    <mergeCell ref="B273:B273"/>
    <mergeCell ref="C273:C273"/>
    <mergeCell ref="F273:F273"/>
    <mergeCell ref="G273:G273"/>
    <mergeCell ref="H273:H273"/>
    <mergeCell ref="M273:M273"/>
    <mergeCell ref="N273:N273"/>
    <mergeCell ref="O273:O273"/>
    <mergeCell ref="P273:P273"/>
    <mergeCell ref="Q273:Q273"/>
    <mergeCell ref="R273:R273"/>
    <mergeCell ref="S273:S273"/>
    <mergeCell ref="X273:X273"/>
    <mergeCell ref="Y273:Y273"/>
    <mergeCell ref="Z273:Z273"/>
    <mergeCell ref="AA273:AA273"/>
    <mergeCell ref="AB273:AB273"/>
    <mergeCell ref="AC273:AC273"/>
    <mergeCell ref="AD273:AD273"/>
    <mergeCell ref="AE273:AE273"/>
    <mergeCell ref="AF273:AF273"/>
    <mergeCell ref="A274:A274"/>
    <mergeCell ref="B274:B274"/>
    <mergeCell ref="C274:C274"/>
    <mergeCell ref="F274:F274"/>
    <mergeCell ref="G274:G274"/>
    <mergeCell ref="H274:H274"/>
    <mergeCell ref="M274:M274"/>
    <mergeCell ref="N274:N274"/>
    <mergeCell ref="O274:O274"/>
    <mergeCell ref="P274:P274"/>
    <mergeCell ref="Q274:Q274"/>
    <mergeCell ref="R274:R274"/>
    <mergeCell ref="S274:S274"/>
    <mergeCell ref="X274:X274"/>
    <mergeCell ref="Y274:Y274"/>
    <mergeCell ref="Z274:Z274"/>
    <mergeCell ref="AA274:AA274"/>
    <mergeCell ref="AB274:AB274"/>
    <mergeCell ref="AC274:AC274"/>
    <mergeCell ref="AD274:AD274"/>
    <mergeCell ref="AE274:AE274"/>
    <mergeCell ref="AF274:AF274"/>
    <mergeCell ref="A275:A275"/>
    <mergeCell ref="B275:B275"/>
    <mergeCell ref="C275:C275"/>
    <mergeCell ref="F275:F275"/>
    <mergeCell ref="G275:G275"/>
    <mergeCell ref="H275:H275"/>
    <mergeCell ref="M275:M275"/>
    <mergeCell ref="N275:N275"/>
    <mergeCell ref="O275:O275"/>
    <mergeCell ref="P275:P275"/>
    <mergeCell ref="Q275:Q275"/>
    <mergeCell ref="R275:R275"/>
    <mergeCell ref="S275:S275"/>
    <mergeCell ref="X275:X275"/>
    <mergeCell ref="Y275:Y275"/>
    <mergeCell ref="Z275:Z275"/>
    <mergeCell ref="AA275:AA275"/>
    <mergeCell ref="AB275:AB275"/>
    <mergeCell ref="AC275:AC275"/>
    <mergeCell ref="AD275:AD275"/>
    <mergeCell ref="AE275:AE275"/>
    <mergeCell ref="AF275:AF275"/>
    <mergeCell ref="A276:A276"/>
    <mergeCell ref="B276:B276"/>
    <mergeCell ref="C276:C276"/>
    <mergeCell ref="F276:F276"/>
    <mergeCell ref="G276:G276"/>
    <mergeCell ref="H276:H276"/>
    <mergeCell ref="M276:M276"/>
    <mergeCell ref="N276:N276"/>
    <mergeCell ref="O276:O276"/>
    <mergeCell ref="P276:P276"/>
    <mergeCell ref="Q276:Q276"/>
    <mergeCell ref="R276:R276"/>
    <mergeCell ref="S276:S276"/>
    <mergeCell ref="X276:X276"/>
    <mergeCell ref="Y276:Y276"/>
    <mergeCell ref="Z276:Z276"/>
    <mergeCell ref="AA276:AA276"/>
    <mergeCell ref="AB276:AB276"/>
    <mergeCell ref="AC276:AC276"/>
    <mergeCell ref="AD276:AD276"/>
    <mergeCell ref="AE276:AE276"/>
    <mergeCell ref="AF276:AF276"/>
    <mergeCell ref="A277:A277"/>
    <mergeCell ref="B277:B277"/>
    <mergeCell ref="C277:C277"/>
    <mergeCell ref="F277:F277"/>
    <mergeCell ref="G277:G277"/>
    <mergeCell ref="H277:H277"/>
    <mergeCell ref="M277:M277"/>
    <mergeCell ref="N277:N277"/>
    <mergeCell ref="O277:O277"/>
    <mergeCell ref="P277:P277"/>
    <mergeCell ref="Q277:Q277"/>
    <mergeCell ref="R277:R277"/>
    <mergeCell ref="S277:S277"/>
    <mergeCell ref="X277:X277"/>
    <mergeCell ref="Y277:Y277"/>
    <mergeCell ref="Z277:Z277"/>
    <mergeCell ref="AA277:AA277"/>
    <mergeCell ref="AB277:AB277"/>
    <mergeCell ref="AC277:AC277"/>
    <mergeCell ref="AD277:AD277"/>
    <mergeCell ref="AE277:AE277"/>
    <mergeCell ref="AF277:AF277"/>
    <mergeCell ref="A278:A278"/>
    <mergeCell ref="B278:B278"/>
    <mergeCell ref="C278:C278"/>
    <mergeCell ref="F278:F278"/>
    <mergeCell ref="G278:G278"/>
    <mergeCell ref="H278:H278"/>
    <mergeCell ref="M278:M278"/>
    <mergeCell ref="N278:N278"/>
    <mergeCell ref="O278:O278"/>
    <mergeCell ref="P278:P278"/>
    <mergeCell ref="Q278:Q278"/>
    <mergeCell ref="R278:R278"/>
    <mergeCell ref="S278:S278"/>
    <mergeCell ref="X278:X278"/>
    <mergeCell ref="Y278:Y278"/>
    <mergeCell ref="Z278:Z278"/>
    <mergeCell ref="AA278:AA278"/>
    <mergeCell ref="AB278:AB278"/>
    <mergeCell ref="AC278:AC278"/>
    <mergeCell ref="AD278:AD278"/>
    <mergeCell ref="AE278:AE278"/>
    <mergeCell ref="AF278:AF278"/>
    <mergeCell ref="A279:A279"/>
    <mergeCell ref="B279:B279"/>
    <mergeCell ref="C279:C279"/>
    <mergeCell ref="F279:F279"/>
    <mergeCell ref="G279:G279"/>
    <mergeCell ref="H279:H279"/>
    <mergeCell ref="M279:M279"/>
    <mergeCell ref="N279:N279"/>
    <mergeCell ref="O279:O279"/>
    <mergeCell ref="P279:P279"/>
    <mergeCell ref="Q279:Q279"/>
    <mergeCell ref="R279:R279"/>
    <mergeCell ref="S279:S279"/>
    <mergeCell ref="X279:X279"/>
    <mergeCell ref="Y279:Y279"/>
    <mergeCell ref="Z279:Z279"/>
    <mergeCell ref="AA279:AA279"/>
    <mergeCell ref="AB279:AB279"/>
    <mergeCell ref="AC279:AC279"/>
    <mergeCell ref="AD279:AD279"/>
    <mergeCell ref="AE279:AE279"/>
    <mergeCell ref="AF279:AF279"/>
    <mergeCell ref="A280:A280"/>
    <mergeCell ref="B280:B280"/>
    <mergeCell ref="C280:C280"/>
    <mergeCell ref="F280:F280"/>
    <mergeCell ref="G280:G280"/>
    <mergeCell ref="H280:H280"/>
    <mergeCell ref="M280:M280"/>
    <mergeCell ref="N280:N280"/>
    <mergeCell ref="O280:O280"/>
    <mergeCell ref="P280:P280"/>
    <mergeCell ref="Q280:Q280"/>
    <mergeCell ref="R280:R280"/>
    <mergeCell ref="S280:S280"/>
    <mergeCell ref="X280:X280"/>
    <mergeCell ref="Y280:Y280"/>
    <mergeCell ref="Z280:Z280"/>
    <mergeCell ref="AA280:AA280"/>
    <mergeCell ref="AB280:AB280"/>
    <mergeCell ref="AC280:AC280"/>
    <mergeCell ref="AD280:AD280"/>
    <mergeCell ref="AE280:AE280"/>
    <mergeCell ref="AF280:AF280"/>
    <mergeCell ref="A281:A281"/>
    <mergeCell ref="B281:B281"/>
    <mergeCell ref="C281:C281"/>
    <mergeCell ref="F281:F281"/>
    <mergeCell ref="G281:G281"/>
    <mergeCell ref="H281:H281"/>
    <mergeCell ref="M281:M281"/>
    <mergeCell ref="N281:N281"/>
    <mergeCell ref="O281:O281"/>
    <mergeCell ref="P281:P281"/>
    <mergeCell ref="Q281:Q281"/>
    <mergeCell ref="R281:R281"/>
    <mergeCell ref="S281:S281"/>
    <mergeCell ref="X281:X281"/>
    <mergeCell ref="Y281:Y281"/>
    <mergeCell ref="Z281:Z281"/>
    <mergeCell ref="AA281:AA281"/>
    <mergeCell ref="AB281:AB281"/>
    <mergeCell ref="AC281:AC281"/>
    <mergeCell ref="AD281:AD281"/>
    <mergeCell ref="AE281:AE281"/>
    <mergeCell ref="AF281:AF281"/>
    <mergeCell ref="A282:A282"/>
    <mergeCell ref="B282:B282"/>
    <mergeCell ref="C282:C282"/>
    <mergeCell ref="F282:F282"/>
    <mergeCell ref="G282:G282"/>
    <mergeCell ref="H282:H282"/>
    <mergeCell ref="M282:M282"/>
    <mergeCell ref="N282:N282"/>
    <mergeCell ref="O282:O282"/>
    <mergeCell ref="P282:P282"/>
    <mergeCell ref="Q282:Q282"/>
    <mergeCell ref="R282:R282"/>
    <mergeCell ref="S282:S282"/>
    <mergeCell ref="X282:X282"/>
    <mergeCell ref="Y282:Y282"/>
    <mergeCell ref="Z282:Z282"/>
    <mergeCell ref="AA282:AA282"/>
    <mergeCell ref="AB282:AB282"/>
    <mergeCell ref="AC282:AC282"/>
    <mergeCell ref="AD282:AD282"/>
    <mergeCell ref="AE282:AE282"/>
    <mergeCell ref="AF282:AF282"/>
    <mergeCell ref="A283:A283"/>
    <mergeCell ref="B283:B283"/>
    <mergeCell ref="C283:C283"/>
    <mergeCell ref="F283:F283"/>
    <mergeCell ref="G283:G283"/>
    <mergeCell ref="H283:H283"/>
    <mergeCell ref="M283:M283"/>
    <mergeCell ref="N283:N283"/>
    <mergeCell ref="O283:O283"/>
    <mergeCell ref="P283:P283"/>
    <mergeCell ref="Q283:Q283"/>
    <mergeCell ref="R283:R283"/>
    <mergeCell ref="S283:S283"/>
    <mergeCell ref="X283:X283"/>
    <mergeCell ref="Y283:Y283"/>
    <mergeCell ref="Z283:Z283"/>
    <mergeCell ref="AA283:AA283"/>
    <mergeCell ref="AB283:AB283"/>
    <mergeCell ref="AC283:AC283"/>
    <mergeCell ref="AD283:AD283"/>
    <mergeCell ref="AE283:AE283"/>
    <mergeCell ref="AF283:AF283"/>
    <mergeCell ref="A284:A284"/>
    <mergeCell ref="B284:B284"/>
    <mergeCell ref="C284:C284"/>
    <mergeCell ref="F284:F284"/>
    <mergeCell ref="G284:G284"/>
    <mergeCell ref="H284:H284"/>
    <mergeCell ref="M284:M284"/>
    <mergeCell ref="N284:N284"/>
    <mergeCell ref="O284:O284"/>
    <mergeCell ref="P284:P284"/>
    <mergeCell ref="Q284:Q284"/>
    <mergeCell ref="R284:R284"/>
    <mergeCell ref="S284:S284"/>
    <mergeCell ref="X284:X284"/>
    <mergeCell ref="Y284:Y284"/>
    <mergeCell ref="Z284:Z284"/>
    <mergeCell ref="AA284:AA284"/>
    <mergeCell ref="AB284:AB284"/>
    <mergeCell ref="AC284:AC284"/>
    <mergeCell ref="AD284:AD284"/>
    <mergeCell ref="AE284:AE284"/>
    <mergeCell ref="AF284:AF284"/>
    <mergeCell ref="A285:A285"/>
    <mergeCell ref="B285:B285"/>
    <mergeCell ref="C285:C285"/>
    <mergeCell ref="F285:F285"/>
    <mergeCell ref="G285:G285"/>
    <mergeCell ref="H285:H285"/>
    <mergeCell ref="M285:M285"/>
    <mergeCell ref="N285:N285"/>
    <mergeCell ref="O285:O285"/>
    <mergeCell ref="P285:P285"/>
    <mergeCell ref="Q285:Q285"/>
    <mergeCell ref="R285:R285"/>
    <mergeCell ref="S285:S285"/>
    <mergeCell ref="X285:X285"/>
    <mergeCell ref="Y285:Y285"/>
    <mergeCell ref="Z285:Z285"/>
    <mergeCell ref="AA285:AA285"/>
    <mergeCell ref="AB285:AB285"/>
    <mergeCell ref="AC285:AC285"/>
    <mergeCell ref="AD285:AD285"/>
    <mergeCell ref="AE285:AE285"/>
    <mergeCell ref="AF285:AF285"/>
    <mergeCell ref="A286:A286"/>
    <mergeCell ref="B286:B286"/>
    <mergeCell ref="C286:C286"/>
    <mergeCell ref="F286:F286"/>
    <mergeCell ref="G286:G286"/>
    <mergeCell ref="H286:H286"/>
    <mergeCell ref="M286:M286"/>
    <mergeCell ref="N286:N286"/>
    <mergeCell ref="O286:O286"/>
    <mergeCell ref="P286:P286"/>
    <mergeCell ref="Q286:Q286"/>
    <mergeCell ref="R286:R286"/>
    <mergeCell ref="S286:S286"/>
    <mergeCell ref="X286:X286"/>
    <mergeCell ref="Y286:Y286"/>
    <mergeCell ref="Z286:Z286"/>
    <mergeCell ref="AA286:AA286"/>
    <mergeCell ref="AB286:AB286"/>
    <mergeCell ref="AC286:AC286"/>
    <mergeCell ref="AD286:AD286"/>
    <mergeCell ref="AE286:AE286"/>
    <mergeCell ref="AF286:AF286"/>
    <mergeCell ref="A287:A287"/>
    <mergeCell ref="B287:B287"/>
    <mergeCell ref="C287:C287"/>
    <mergeCell ref="F287:F287"/>
    <mergeCell ref="G287:G287"/>
    <mergeCell ref="H287:H287"/>
    <mergeCell ref="M287:M287"/>
    <mergeCell ref="N287:N287"/>
    <mergeCell ref="O287:O287"/>
    <mergeCell ref="P287:P287"/>
    <mergeCell ref="Q287:Q287"/>
    <mergeCell ref="R287:R287"/>
    <mergeCell ref="S287:S287"/>
    <mergeCell ref="X287:X287"/>
    <mergeCell ref="Y287:Y287"/>
    <mergeCell ref="Z287:Z287"/>
    <mergeCell ref="AA287:AA287"/>
    <mergeCell ref="AB287:AB287"/>
    <mergeCell ref="AC287:AC287"/>
    <mergeCell ref="AD287:AD287"/>
    <mergeCell ref="AE287:AE287"/>
    <mergeCell ref="AF287:AF287"/>
    <mergeCell ref="A288:A288"/>
    <mergeCell ref="B288:B288"/>
    <mergeCell ref="C288:C288"/>
    <mergeCell ref="F288:F288"/>
    <mergeCell ref="G288:G288"/>
    <mergeCell ref="H288:H288"/>
    <mergeCell ref="M288:M288"/>
    <mergeCell ref="N288:N288"/>
    <mergeCell ref="O288:O288"/>
    <mergeCell ref="P288:P288"/>
    <mergeCell ref="Q288:Q288"/>
    <mergeCell ref="R288:R288"/>
    <mergeCell ref="S288:S288"/>
    <mergeCell ref="X288:X288"/>
    <mergeCell ref="Y288:Y288"/>
    <mergeCell ref="Z288:Z288"/>
    <mergeCell ref="AA288:AA288"/>
    <mergeCell ref="AB288:AB288"/>
    <mergeCell ref="AC288:AC288"/>
    <mergeCell ref="AD288:AD288"/>
    <mergeCell ref="AE288:AE288"/>
    <mergeCell ref="AF288:AF288"/>
    <mergeCell ref="A289:A289"/>
    <mergeCell ref="B289:B289"/>
    <mergeCell ref="C289:C289"/>
    <mergeCell ref="F289:F289"/>
    <mergeCell ref="G289:G289"/>
    <mergeCell ref="H289:H289"/>
    <mergeCell ref="M289:M289"/>
    <mergeCell ref="N289:N289"/>
    <mergeCell ref="O289:O289"/>
    <mergeCell ref="P289:P289"/>
    <mergeCell ref="Q289:Q289"/>
    <mergeCell ref="R289:R289"/>
    <mergeCell ref="S289:S289"/>
    <mergeCell ref="X289:X289"/>
    <mergeCell ref="Y289:Y289"/>
    <mergeCell ref="Z289:Z289"/>
    <mergeCell ref="AA289:AA289"/>
    <mergeCell ref="AB289:AB289"/>
    <mergeCell ref="AC289:AC289"/>
    <mergeCell ref="AD289:AD289"/>
    <mergeCell ref="AE289:AE289"/>
    <mergeCell ref="AF289:AF289"/>
    <mergeCell ref="A290:A290"/>
    <mergeCell ref="B290:B290"/>
    <mergeCell ref="C290:C290"/>
    <mergeCell ref="F290:F290"/>
    <mergeCell ref="G290:G290"/>
    <mergeCell ref="H290:H290"/>
    <mergeCell ref="M290:M290"/>
    <mergeCell ref="N290:N290"/>
    <mergeCell ref="O290:O290"/>
    <mergeCell ref="P290:P290"/>
    <mergeCell ref="Q290:Q290"/>
    <mergeCell ref="R290:R290"/>
    <mergeCell ref="S290:S290"/>
    <mergeCell ref="X290:X290"/>
    <mergeCell ref="Y290:Y290"/>
    <mergeCell ref="Z290:Z290"/>
    <mergeCell ref="AA290:AA290"/>
    <mergeCell ref="AB290:AB290"/>
    <mergeCell ref="AC290:AC290"/>
    <mergeCell ref="AD290:AD290"/>
    <mergeCell ref="AE290:AE290"/>
    <mergeCell ref="AF290:AF290"/>
    <mergeCell ref="A291:A291"/>
    <mergeCell ref="B291:B291"/>
    <mergeCell ref="C291:C291"/>
    <mergeCell ref="F291:F291"/>
    <mergeCell ref="G291:G291"/>
    <mergeCell ref="H291:H291"/>
    <mergeCell ref="M291:M291"/>
    <mergeCell ref="N291:N291"/>
    <mergeCell ref="O291:O291"/>
    <mergeCell ref="P291:P291"/>
    <mergeCell ref="Q291:Q291"/>
    <mergeCell ref="R291:R291"/>
    <mergeCell ref="S291:S291"/>
    <mergeCell ref="X291:X291"/>
    <mergeCell ref="Y291:Y291"/>
    <mergeCell ref="Z291:Z291"/>
    <mergeCell ref="AA291:AA291"/>
    <mergeCell ref="AB291:AB291"/>
    <mergeCell ref="AC291:AC291"/>
    <mergeCell ref="AD291:AD291"/>
    <mergeCell ref="AE291:AE291"/>
    <mergeCell ref="AF291:AF291"/>
    <mergeCell ref="A292:A292"/>
    <mergeCell ref="B292:B292"/>
    <mergeCell ref="C292:C292"/>
    <mergeCell ref="F292:F292"/>
    <mergeCell ref="G292:G292"/>
    <mergeCell ref="H292:H292"/>
    <mergeCell ref="M292:M292"/>
    <mergeCell ref="N292:N292"/>
    <mergeCell ref="O292:O292"/>
    <mergeCell ref="P292:P292"/>
    <mergeCell ref="Q292:Q292"/>
    <mergeCell ref="R292:R292"/>
    <mergeCell ref="S292:S292"/>
    <mergeCell ref="X292:X292"/>
    <mergeCell ref="Y292:Y292"/>
    <mergeCell ref="Z292:Z292"/>
    <mergeCell ref="AA292:AA292"/>
    <mergeCell ref="AB292:AB292"/>
    <mergeCell ref="AC292:AC292"/>
    <mergeCell ref="AD292:AD292"/>
    <mergeCell ref="AE292:AE292"/>
    <mergeCell ref="AF292:AF292"/>
    <mergeCell ref="A293:A293"/>
    <mergeCell ref="B293:B293"/>
    <mergeCell ref="C293:C293"/>
    <mergeCell ref="F293:F293"/>
    <mergeCell ref="G293:G293"/>
    <mergeCell ref="H293:H293"/>
    <mergeCell ref="M293:M293"/>
    <mergeCell ref="N293:N293"/>
    <mergeCell ref="O293:O293"/>
    <mergeCell ref="P293:P293"/>
    <mergeCell ref="Q293:Q293"/>
    <mergeCell ref="R293:R293"/>
    <mergeCell ref="S293:S293"/>
    <mergeCell ref="X293:X293"/>
    <mergeCell ref="Y293:Y293"/>
    <mergeCell ref="Z293:Z293"/>
    <mergeCell ref="AA293:AA293"/>
    <mergeCell ref="AB293:AB293"/>
    <mergeCell ref="AC293:AC293"/>
    <mergeCell ref="AD293:AD293"/>
    <mergeCell ref="AE293:AE293"/>
    <mergeCell ref="AF293:AF293"/>
    <mergeCell ref="A294:A294"/>
    <mergeCell ref="B294:B294"/>
    <mergeCell ref="C294:C294"/>
    <mergeCell ref="F294:F294"/>
    <mergeCell ref="G294:G294"/>
    <mergeCell ref="H294:H294"/>
    <mergeCell ref="M294:M294"/>
    <mergeCell ref="N294:N294"/>
    <mergeCell ref="O294:O294"/>
    <mergeCell ref="P294:P294"/>
    <mergeCell ref="Q294:Q294"/>
    <mergeCell ref="R294:R294"/>
    <mergeCell ref="S294:S294"/>
    <mergeCell ref="X294:X294"/>
    <mergeCell ref="Y294:Y294"/>
    <mergeCell ref="Z294:Z294"/>
    <mergeCell ref="AA294:AA294"/>
    <mergeCell ref="AB294:AB294"/>
    <mergeCell ref="AC294:AC294"/>
    <mergeCell ref="AD294:AD294"/>
    <mergeCell ref="AE294:AE294"/>
    <mergeCell ref="AF294:AF294"/>
    <mergeCell ref="A295:A295"/>
    <mergeCell ref="B295:B295"/>
    <mergeCell ref="C295:C295"/>
    <mergeCell ref="F295:F295"/>
    <mergeCell ref="G295:G295"/>
    <mergeCell ref="H295:H295"/>
    <mergeCell ref="M295:M295"/>
    <mergeCell ref="N295:N295"/>
    <mergeCell ref="O295:O295"/>
    <mergeCell ref="P295:P295"/>
    <mergeCell ref="Q295:Q295"/>
    <mergeCell ref="R295:R295"/>
    <mergeCell ref="S295:S295"/>
    <mergeCell ref="X295:X295"/>
    <mergeCell ref="Y295:Y295"/>
    <mergeCell ref="Z295:Z295"/>
    <mergeCell ref="AA295:AA295"/>
    <mergeCell ref="AB295:AB295"/>
    <mergeCell ref="AC295:AC295"/>
    <mergeCell ref="AD295:AD295"/>
    <mergeCell ref="AE295:AE295"/>
    <mergeCell ref="AF295:AF295"/>
    <mergeCell ref="A296:A296"/>
    <mergeCell ref="B296:B296"/>
    <mergeCell ref="C296:C296"/>
    <mergeCell ref="F296:F296"/>
    <mergeCell ref="G296:G296"/>
    <mergeCell ref="H296:H296"/>
    <mergeCell ref="M296:M296"/>
    <mergeCell ref="N296:N296"/>
    <mergeCell ref="O296:O296"/>
    <mergeCell ref="P296:P296"/>
    <mergeCell ref="Q296:Q296"/>
    <mergeCell ref="R296:R296"/>
    <mergeCell ref="S296:S296"/>
    <mergeCell ref="X296:X296"/>
    <mergeCell ref="Y296:Y296"/>
    <mergeCell ref="Z296:Z296"/>
    <mergeCell ref="AA296:AA296"/>
    <mergeCell ref="AB296:AB296"/>
    <mergeCell ref="AC296:AC296"/>
    <mergeCell ref="AD296:AD296"/>
    <mergeCell ref="AE296:AE296"/>
    <mergeCell ref="AF296:AF296"/>
    <mergeCell ref="A297:A297"/>
    <mergeCell ref="B297:B297"/>
    <mergeCell ref="C297:C297"/>
    <mergeCell ref="F297:F297"/>
    <mergeCell ref="G297:G297"/>
    <mergeCell ref="H297:H297"/>
    <mergeCell ref="M297:M297"/>
    <mergeCell ref="N297:N297"/>
    <mergeCell ref="O297:O297"/>
    <mergeCell ref="P297:P297"/>
    <mergeCell ref="Q297:Q297"/>
    <mergeCell ref="R297:R297"/>
    <mergeCell ref="S297:S297"/>
    <mergeCell ref="X297:X297"/>
    <mergeCell ref="Y297:Y297"/>
    <mergeCell ref="Z297:Z297"/>
    <mergeCell ref="AA297:AA297"/>
    <mergeCell ref="AB297:AB297"/>
    <mergeCell ref="AC297:AC297"/>
    <mergeCell ref="AD297:AD297"/>
    <mergeCell ref="AE297:AE297"/>
    <mergeCell ref="AF297:AF297"/>
    <mergeCell ref="A298:A298"/>
    <mergeCell ref="B298:B298"/>
    <mergeCell ref="C298:C298"/>
    <mergeCell ref="F298:F298"/>
    <mergeCell ref="G298:G298"/>
    <mergeCell ref="H298:H298"/>
    <mergeCell ref="M298:M298"/>
    <mergeCell ref="N298:N298"/>
    <mergeCell ref="O298:O298"/>
    <mergeCell ref="P298:P298"/>
    <mergeCell ref="Q298:Q298"/>
    <mergeCell ref="R298:R298"/>
    <mergeCell ref="S298:S298"/>
    <mergeCell ref="X298:X298"/>
    <mergeCell ref="Y298:Y298"/>
    <mergeCell ref="Z298:Z298"/>
    <mergeCell ref="AA298:AA298"/>
    <mergeCell ref="AB298:AB298"/>
    <mergeCell ref="AC298:AC298"/>
    <mergeCell ref="AD298:AD298"/>
    <mergeCell ref="AE298:AE298"/>
    <mergeCell ref="AF298:AF298"/>
    <mergeCell ref="A299:A299"/>
    <mergeCell ref="B299:B299"/>
    <mergeCell ref="C299:C299"/>
    <mergeCell ref="F299:F299"/>
    <mergeCell ref="G299:G299"/>
    <mergeCell ref="H299:H299"/>
    <mergeCell ref="M299:M299"/>
    <mergeCell ref="N299:N299"/>
    <mergeCell ref="O299:O299"/>
    <mergeCell ref="P299:P299"/>
    <mergeCell ref="Q299:Q299"/>
    <mergeCell ref="R299:R299"/>
    <mergeCell ref="S299:S299"/>
    <mergeCell ref="X299:X299"/>
    <mergeCell ref="Y299:Y299"/>
    <mergeCell ref="Z299:Z299"/>
    <mergeCell ref="AA299:AA299"/>
    <mergeCell ref="AB299:AB299"/>
    <mergeCell ref="AC299:AC299"/>
    <mergeCell ref="AD299:AD299"/>
    <mergeCell ref="AE299:AE299"/>
    <mergeCell ref="AF299:AF299"/>
    <mergeCell ref="A300:A300"/>
    <mergeCell ref="B300:B300"/>
    <mergeCell ref="C300:C300"/>
    <mergeCell ref="F300:F300"/>
    <mergeCell ref="G300:G300"/>
    <mergeCell ref="H300:H300"/>
    <mergeCell ref="M300:M300"/>
    <mergeCell ref="N300:N300"/>
    <mergeCell ref="O300:O300"/>
    <mergeCell ref="P300:P300"/>
    <mergeCell ref="Q300:Q300"/>
    <mergeCell ref="R300:R300"/>
    <mergeCell ref="S300:S300"/>
    <mergeCell ref="X300:X300"/>
    <mergeCell ref="Y300:Y300"/>
    <mergeCell ref="Z300:Z300"/>
    <mergeCell ref="AA300:AA300"/>
    <mergeCell ref="AB300:AB300"/>
    <mergeCell ref="AC300:AC300"/>
    <mergeCell ref="AD300:AD300"/>
    <mergeCell ref="AE300:AE300"/>
    <mergeCell ref="AF300:AF300"/>
    <mergeCell ref="A301:A301"/>
    <mergeCell ref="B301:B301"/>
    <mergeCell ref="C301:C301"/>
    <mergeCell ref="F301:F301"/>
    <mergeCell ref="G301:G301"/>
    <mergeCell ref="H301:H301"/>
    <mergeCell ref="M301:M301"/>
    <mergeCell ref="N301:N301"/>
    <mergeCell ref="O301:O301"/>
    <mergeCell ref="P301:P301"/>
    <mergeCell ref="Q301:Q301"/>
    <mergeCell ref="R301:R301"/>
    <mergeCell ref="S301:S301"/>
    <mergeCell ref="X301:X301"/>
    <mergeCell ref="Y301:Y301"/>
    <mergeCell ref="Z301:Z301"/>
    <mergeCell ref="AA301:AA301"/>
    <mergeCell ref="AB301:AB301"/>
    <mergeCell ref="AC301:AC301"/>
    <mergeCell ref="AD301:AD301"/>
    <mergeCell ref="AE301:AE301"/>
    <mergeCell ref="AF301:AF301"/>
    <mergeCell ref="A302:A302"/>
    <mergeCell ref="B302:B302"/>
    <mergeCell ref="C302:C302"/>
    <mergeCell ref="F302:F302"/>
    <mergeCell ref="G302:G302"/>
    <mergeCell ref="H302:H302"/>
    <mergeCell ref="M302:M302"/>
    <mergeCell ref="N302:N302"/>
    <mergeCell ref="O302:O302"/>
    <mergeCell ref="P302:P302"/>
    <mergeCell ref="Q302:Q302"/>
    <mergeCell ref="R302:R302"/>
    <mergeCell ref="S302:S302"/>
    <mergeCell ref="X302:X302"/>
    <mergeCell ref="Y302:Y302"/>
    <mergeCell ref="Z302:Z302"/>
    <mergeCell ref="AA302:AA302"/>
    <mergeCell ref="AB302:AB302"/>
    <mergeCell ref="AC302:AC302"/>
    <mergeCell ref="AD302:AD302"/>
    <mergeCell ref="AE302:AE302"/>
    <mergeCell ref="AF302:AF302"/>
    <mergeCell ref="A303:A303"/>
    <mergeCell ref="B303:B303"/>
    <mergeCell ref="C303:C303"/>
    <mergeCell ref="F303:F303"/>
    <mergeCell ref="G303:G303"/>
    <mergeCell ref="H303:H303"/>
    <mergeCell ref="M303:M303"/>
    <mergeCell ref="N303:N303"/>
    <mergeCell ref="O303:O303"/>
    <mergeCell ref="P303:P303"/>
    <mergeCell ref="Q303:Q303"/>
    <mergeCell ref="R303:R303"/>
    <mergeCell ref="S303:S303"/>
    <mergeCell ref="X303:X303"/>
    <mergeCell ref="Y303:Y303"/>
    <mergeCell ref="Z303:Z303"/>
    <mergeCell ref="AA303:AA303"/>
    <mergeCell ref="AB303:AB303"/>
    <mergeCell ref="AC303:AC303"/>
    <mergeCell ref="AD303:AD303"/>
    <mergeCell ref="AE303:AE303"/>
    <mergeCell ref="AF303:AF303"/>
    <mergeCell ref="A304:A304"/>
    <mergeCell ref="B304:B304"/>
    <mergeCell ref="C304:C304"/>
    <mergeCell ref="F304:F304"/>
    <mergeCell ref="G304:G304"/>
    <mergeCell ref="H304:H304"/>
    <mergeCell ref="M304:M304"/>
    <mergeCell ref="N304:N304"/>
    <mergeCell ref="O304:O304"/>
    <mergeCell ref="P304:P304"/>
    <mergeCell ref="Q304:Q304"/>
    <mergeCell ref="R304:R304"/>
    <mergeCell ref="S304:S304"/>
    <mergeCell ref="X304:X304"/>
    <mergeCell ref="Y304:Y304"/>
    <mergeCell ref="Z304:Z304"/>
    <mergeCell ref="AA304:AA304"/>
    <mergeCell ref="AB304:AB304"/>
    <mergeCell ref="AC304:AC304"/>
    <mergeCell ref="AD304:AD304"/>
    <mergeCell ref="AE304:AE304"/>
    <mergeCell ref="AF304:AF304"/>
    <mergeCell ref="A305:A305"/>
    <mergeCell ref="B305:B305"/>
    <mergeCell ref="C305:C305"/>
    <mergeCell ref="F305:F305"/>
    <mergeCell ref="G305:G305"/>
    <mergeCell ref="H305:H305"/>
    <mergeCell ref="M305:M305"/>
    <mergeCell ref="N305:N305"/>
    <mergeCell ref="O305:O305"/>
    <mergeCell ref="P305:P305"/>
    <mergeCell ref="Q305:Q305"/>
    <mergeCell ref="R305:R305"/>
    <mergeCell ref="S305:S305"/>
    <mergeCell ref="X305:X305"/>
    <mergeCell ref="Y305:Y305"/>
    <mergeCell ref="Z305:Z305"/>
    <mergeCell ref="AA305:AA305"/>
    <mergeCell ref="AB305:AB305"/>
    <mergeCell ref="AC305:AC305"/>
    <mergeCell ref="AD305:AD305"/>
    <mergeCell ref="AE305:AE305"/>
    <mergeCell ref="AF305:AF305"/>
    <mergeCell ref="A306:A306"/>
    <mergeCell ref="B306:B306"/>
    <mergeCell ref="C306:C306"/>
    <mergeCell ref="F306:F306"/>
    <mergeCell ref="G306:G306"/>
    <mergeCell ref="H306:H306"/>
    <mergeCell ref="M306:M306"/>
    <mergeCell ref="N306:N306"/>
    <mergeCell ref="O306:O306"/>
    <mergeCell ref="P306:P306"/>
    <mergeCell ref="Q306:Q306"/>
    <mergeCell ref="R306:R306"/>
    <mergeCell ref="S306:S306"/>
    <mergeCell ref="X306:X306"/>
    <mergeCell ref="Y306:Y306"/>
    <mergeCell ref="Z306:Z306"/>
    <mergeCell ref="AA306:AA306"/>
    <mergeCell ref="AB306:AB306"/>
    <mergeCell ref="AC306:AC306"/>
    <mergeCell ref="AD306:AD306"/>
    <mergeCell ref="AE306:AE306"/>
    <mergeCell ref="AF306:AF306"/>
    <mergeCell ref="A307:A307"/>
    <mergeCell ref="B307:B307"/>
    <mergeCell ref="C307:C307"/>
    <mergeCell ref="F307:F307"/>
    <mergeCell ref="G307:G307"/>
    <mergeCell ref="H307:H307"/>
    <mergeCell ref="M307:M307"/>
    <mergeCell ref="N307:N307"/>
    <mergeCell ref="O307:O307"/>
    <mergeCell ref="P307:P307"/>
    <mergeCell ref="Q307:Q307"/>
    <mergeCell ref="R307:R307"/>
    <mergeCell ref="S307:S307"/>
    <mergeCell ref="X307:X307"/>
    <mergeCell ref="Y307:Y307"/>
    <mergeCell ref="Z307:Z307"/>
    <mergeCell ref="AA307:AA307"/>
    <mergeCell ref="AB307:AB307"/>
    <mergeCell ref="AC307:AC307"/>
    <mergeCell ref="AD307:AD307"/>
    <mergeCell ref="AE307:AE307"/>
    <mergeCell ref="AF307:AF307"/>
    <mergeCell ref="A308:A308"/>
    <mergeCell ref="B308:B308"/>
    <mergeCell ref="C308:C308"/>
    <mergeCell ref="F308:F308"/>
    <mergeCell ref="G308:G308"/>
    <mergeCell ref="H308:H308"/>
    <mergeCell ref="M308:M308"/>
    <mergeCell ref="N308:N308"/>
    <mergeCell ref="O308:O308"/>
    <mergeCell ref="P308:P308"/>
    <mergeCell ref="Q308:Q308"/>
    <mergeCell ref="R308:R308"/>
    <mergeCell ref="S308:S308"/>
    <mergeCell ref="X308:X308"/>
    <mergeCell ref="Y308:Y308"/>
    <mergeCell ref="Z308:Z308"/>
    <mergeCell ref="AA308:AA308"/>
    <mergeCell ref="AB308:AB308"/>
    <mergeCell ref="AC308:AC308"/>
    <mergeCell ref="AD308:AD308"/>
    <mergeCell ref="AE308:AE308"/>
    <mergeCell ref="AF308:AF308"/>
    <mergeCell ref="A309:A309"/>
    <mergeCell ref="B309:B309"/>
    <mergeCell ref="C309:C309"/>
    <mergeCell ref="F309:F309"/>
    <mergeCell ref="G309:G309"/>
    <mergeCell ref="H309:H309"/>
    <mergeCell ref="M309:M309"/>
    <mergeCell ref="N309:N309"/>
    <mergeCell ref="O309:O309"/>
    <mergeCell ref="P309:P309"/>
    <mergeCell ref="Q309:Q309"/>
    <mergeCell ref="R309:R309"/>
    <mergeCell ref="S309:S309"/>
    <mergeCell ref="X309:X309"/>
    <mergeCell ref="Y309:Y309"/>
    <mergeCell ref="Z309:Z309"/>
    <mergeCell ref="AA309:AA309"/>
    <mergeCell ref="AB309:AB309"/>
    <mergeCell ref="AC309:AC309"/>
    <mergeCell ref="AD309:AD309"/>
    <mergeCell ref="AE309:AE309"/>
    <mergeCell ref="AF309:AF309"/>
    <mergeCell ref="A310:A310"/>
    <mergeCell ref="B310:B310"/>
    <mergeCell ref="C310:C310"/>
    <mergeCell ref="F310:F310"/>
    <mergeCell ref="G310:G310"/>
    <mergeCell ref="H310:H310"/>
    <mergeCell ref="M310:M310"/>
    <mergeCell ref="N310:N310"/>
    <mergeCell ref="O310:O310"/>
    <mergeCell ref="P310:P310"/>
    <mergeCell ref="Q310:Q310"/>
    <mergeCell ref="R310:R310"/>
    <mergeCell ref="S310:S310"/>
    <mergeCell ref="X310:X310"/>
    <mergeCell ref="Y310:Y310"/>
    <mergeCell ref="Z310:Z310"/>
    <mergeCell ref="AA310:AA310"/>
    <mergeCell ref="AB310:AB310"/>
    <mergeCell ref="AC310:AC310"/>
    <mergeCell ref="AD310:AD310"/>
    <mergeCell ref="AE310:AE310"/>
    <mergeCell ref="AF310:AF310"/>
    <mergeCell ref="A311:A311"/>
    <mergeCell ref="B311:B311"/>
    <mergeCell ref="C311:C311"/>
    <mergeCell ref="F311:F311"/>
    <mergeCell ref="G311:G311"/>
    <mergeCell ref="H311:H311"/>
    <mergeCell ref="M311:M311"/>
    <mergeCell ref="N311:N311"/>
    <mergeCell ref="O311:O311"/>
    <mergeCell ref="P311:P311"/>
    <mergeCell ref="Q311:Q311"/>
    <mergeCell ref="R311:R311"/>
    <mergeCell ref="S311:S311"/>
    <mergeCell ref="X311:X311"/>
    <mergeCell ref="Y311:Y311"/>
    <mergeCell ref="Z311:Z311"/>
    <mergeCell ref="AA311:AA311"/>
    <mergeCell ref="AB311:AB311"/>
    <mergeCell ref="AC311:AC311"/>
    <mergeCell ref="AD311:AD311"/>
    <mergeCell ref="AE311:AE311"/>
    <mergeCell ref="AF311:AF311"/>
    <mergeCell ref="A312:A312"/>
    <mergeCell ref="B312:B312"/>
    <mergeCell ref="C312:C312"/>
    <mergeCell ref="F312:F312"/>
    <mergeCell ref="G312:G312"/>
    <mergeCell ref="H312:H312"/>
    <mergeCell ref="M312:M312"/>
    <mergeCell ref="N312:N312"/>
    <mergeCell ref="O312:O312"/>
    <mergeCell ref="P312:P312"/>
    <mergeCell ref="Q312:Q312"/>
    <mergeCell ref="R312:R312"/>
    <mergeCell ref="S312:S312"/>
    <mergeCell ref="X312:X312"/>
    <mergeCell ref="Y312:Y312"/>
    <mergeCell ref="Z312:Z312"/>
    <mergeCell ref="AA312:AA312"/>
    <mergeCell ref="AB312:AB312"/>
    <mergeCell ref="AC312:AC312"/>
    <mergeCell ref="AD312:AD312"/>
    <mergeCell ref="AE312:AE312"/>
    <mergeCell ref="AF312:AF312"/>
    <mergeCell ref="A313:A313"/>
    <mergeCell ref="B313:B313"/>
    <mergeCell ref="C313:C313"/>
    <mergeCell ref="F313:F313"/>
    <mergeCell ref="G313:G313"/>
    <mergeCell ref="H313:H313"/>
    <mergeCell ref="M313:M313"/>
    <mergeCell ref="N313:N313"/>
    <mergeCell ref="O313:O313"/>
    <mergeCell ref="P313:P313"/>
    <mergeCell ref="Q313:Q313"/>
    <mergeCell ref="R313:R313"/>
    <mergeCell ref="S313:S313"/>
    <mergeCell ref="X313:X313"/>
    <mergeCell ref="Y313:Y313"/>
    <mergeCell ref="Z313:Z313"/>
    <mergeCell ref="AA313:AA313"/>
    <mergeCell ref="AB313:AB313"/>
    <mergeCell ref="AC313:AC313"/>
    <mergeCell ref="AD313:AD313"/>
    <mergeCell ref="AE313:AE313"/>
    <mergeCell ref="AF313:AF313"/>
    <mergeCell ref="A314:A314"/>
    <mergeCell ref="B314:B314"/>
    <mergeCell ref="C314:C314"/>
    <mergeCell ref="F314:F314"/>
    <mergeCell ref="G314:G314"/>
    <mergeCell ref="H314:H314"/>
    <mergeCell ref="M314:M314"/>
    <mergeCell ref="N314:N314"/>
    <mergeCell ref="O314:O314"/>
    <mergeCell ref="P314:P314"/>
    <mergeCell ref="Q314:Q314"/>
    <mergeCell ref="R314:R314"/>
    <mergeCell ref="S314:S314"/>
    <mergeCell ref="X314:X314"/>
    <mergeCell ref="Y314:Y314"/>
    <mergeCell ref="Z314:Z314"/>
    <mergeCell ref="AA314:AA314"/>
    <mergeCell ref="AB314:AB314"/>
    <mergeCell ref="AC314:AC314"/>
    <mergeCell ref="AD314:AD314"/>
    <mergeCell ref="AE314:AE314"/>
    <mergeCell ref="AF314:AF314"/>
    <mergeCell ref="A315:A315"/>
    <mergeCell ref="B315:B315"/>
    <mergeCell ref="C315:C315"/>
    <mergeCell ref="F315:F315"/>
    <mergeCell ref="G315:G315"/>
    <mergeCell ref="H315:H315"/>
    <mergeCell ref="M315:M315"/>
    <mergeCell ref="N315:N315"/>
    <mergeCell ref="O315:O315"/>
    <mergeCell ref="P315:P315"/>
    <mergeCell ref="Q315:Q315"/>
    <mergeCell ref="R315:R315"/>
    <mergeCell ref="S315:S315"/>
    <mergeCell ref="X315:X315"/>
    <mergeCell ref="Y315:Y315"/>
    <mergeCell ref="Z315:Z315"/>
    <mergeCell ref="AA315:AA315"/>
    <mergeCell ref="AB315:AB315"/>
    <mergeCell ref="AC315:AC315"/>
    <mergeCell ref="AD315:AD315"/>
    <mergeCell ref="AE315:AE315"/>
    <mergeCell ref="AF315:AF315"/>
    <mergeCell ref="A316:A316"/>
    <mergeCell ref="B316:B316"/>
    <mergeCell ref="C316:C316"/>
    <mergeCell ref="F316:F316"/>
    <mergeCell ref="G316:G316"/>
    <mergeCell ref="H316:H316"/>
    <mergeCell ref="M316:M316"/>
    <mergeCell ref="N316:N316"/>
    <mergeCell ref="O316:O316"/>
    <mergeCell ref="P316:P316"/>
    <mergeCell ref="Q316:Q316"/>
    <mergeCell ref="R316:R316"/>
    <mergeCell ref="S316:S316"/>
    <mergeCell ref="X316:X316"/>
    <mergeCell ref="Y316:Y316"/>
    <mergeCell ref="Z316:Z316"/>
    <mergeCell ref="AA316:AA316"/>
    <mergeCell ref="AB316:AB316"/>
    <mergeCell ref="AC316:AC316"/>
    <mergeCell ref="AD316:AD316"/>
    <mergeCell ref="AE316:AE316"/>
    <mergeCell ref="AF316:AF316"/>
    <mergeCell ref="A317:A317"/>
    <mergeCell ref="B317:B317"/>
    <mergeCell ref="C317:C317"/>
    <mergeCell ref="F317:F317"/>
    <mergeCell ref="G317:G317"/>
    <mergeCell ref="H317:H317"/>
    <mergeCell ref="M317:M317"/>
    <mergeCell ref="N317:N317"/>
    <mergeCell ref="O317:O317"/>
    <mergeCell ref="P317:P317"/>
    <mergeCell ref="Q317:Q317"/>
    <mergeCell ref="R317:R317"/>
    <mergeCell ref="S317:S317"/>
    <mergeCell ref="X317:X317"/>
    <mergeCell ref="Y317:Y317"/>
    <mergeCell ref="Z317:Z317"/>
    <mergeCell ref="AA317:AA317"/>
    <mergeCell ref="AB317:AB317"/>
    <mergeCell ref="AC317:AC317"/>
    <mergeCell ref="AD317:AD317"/>
    <mergeCell ref="AE317:AE317"/>
    <mergeCell ref="AF317:AF317"/>
    <mergeCell ref="A318:A318"/>
    <mergeCell ref="B318:B318"/>
    <mergeCell ref="C318:C318"/>
    <mergeCell ref="F318:F318"/>
    <mergeCell ref="G318:G318"/>
    <mergeCell ref="H318:H318"/>
    <mergeCell ref="M318:M318"/>
    <mergeCell ref="N318:N318"/>
    <mergeCell ref="O318:O318"/>
    <mergeCell ref="P318:P318"/>
    <mergeCell ref="Q318:Q318"/>
    <mergeCell ref="R318:R318"/>
    <mergeCell ref="S318:S318"/>
    <mergeCell ref="X318:X318"/>
    <mergeCell ref="Y318:Y318"/>
    <mergeCell ref="Z318:Z318"/>
    <mergeCell ref="AA318:AA318"/>
    <mergeCell ref="AB318:AB318"/>
    <mergeCell ref="AC318:AC318"/>
    <mergeCell ref="AD318:AD318"/>
    <mergeCell ref="AE318:AE318"/>
    <mergeCell ref="AF318:AF318"/>
    <mergeCell ref="A319:A319"/>
    <mergeCell ref="B319:B319"/>
    <mergeCell ref="C319:C319"/>
    <mergeCell ref="F319:F319"/>
    <mergeCell ref="G319:G319"/>
    <mergeCell ref="H319:H319"/>
    <mergeCell ref="M319:M319"/>
    <mergeCell ref="N319:N319"/>
    <mergeCell ref="O319:O319"/>
    <mergeCell ref="P319:P319"/>
    <mergeCell ref="Q319:Q319"/>
    <mergeCell ref="R319:R319"/>
    <mergeCell ref="S319:S319"/>
    <mergeCell ref="X319:X319"/>
    <mergeCell ref="Y319:Y319"/>
    <mergeCell ref="Z319:Z319"/>
    <mergeCell ref="AA319:AA319"/>
    <mergeCell ref="AB319:AB319"/>
    <mergeCell ref="AC319:AC319"/>
    <mergeCell ref="AD319:AD319"/>
    <mergeCell ref="AE319:AE319"/>
    <mergeCell ref="AF319:AF319"/>
    <mergeCell ref="A320:A320"/>
    <mergeCell ref="B320:B320"/>
    <mergeCell ref="C320:C320"/>
    <mergeCell ref="F320:F320"/>
    <mergeCell ref="G320:G320"/>
    <mergeCell ref="H320:H320"/>
    <mergeCell ref="M320:M320"/>
    <mergeCell ref="N320:N320"/>
    <mergeCell ref="O320:O320"/>
    <mergeCell ref="P320:P320"/>
    <mergeCell ref="Q320:Q320"/>
    <mergeCell ref="R320:R320"/>
    <mergeCell ref="S320:S320"/>
    <mergeCell ref="X320:X320"/>
    <mergeCell ref="Y320:Y320"/>
    <mergeCell ref="Z320:Z320"/>
    <mergeCell ref="AA320:AA320"/>
    <mergeCell ref="AB320:AB320"/>
    <mergeCell ref="AC320:AC320"/>
    <mergeCell ref="AD320:AD320"/>
    <mergeCell ref="AE320:AE320"/>
    <mergeCell ref="AF320:AF320"/>
    <mergeCell ref="A321:A321"/>
    <mergeCell ref="B321:B321"/>
    <mergeCell ref="C321:C321"/>
    <mergeCell ref="F321:F321"/>
    <mergeCell ref="G321:G321"/>
    <mergeCell ref="H321:H321"/>
    <mergeCell ref="M321:M321"/>
    <mergeCell ref="N321:N321"/>
    <mergeCell ref="O321:O321"/>
    <mergeCell ref="P321:P321"/>
    <mergeCell ref="Q321:Q321"/>
    <mergeCell ref="R321:R321"/>
    <mergeCell ref="S321:S321"/>
    <mergeCell ref="X321:X321"/>
    <mergeCell ref="Y321:Y321"/>
    <mergeCell ref="Z321:Z321"/>
    <mergeCell ref="AA321:AA321"/>
    <mergeCell ref="AB321:AB321"/>
    <mergeCell ref="AC321:AC321"/>
    <mergeCell ref="AD321:AD321"/>
    <mergeCell ref="AE321:AE321"/>
    <mergeCell ref="AF321:AF321"/>
    <mergeCell ref="A322:A322"/>
    <mergeCell ref="B322:B322"/>
    <mergeCell ref="C322:C322"/>
    <mergeCell ref="F322:F322"/>
    <mergeCell ref="G322:G322"/>
    <mergeCell ref="H322:H322"/>
    <mergeCell ref="M322:M322"/>
    <mergeCell ref="N322:N322"/>
    <mergeCell ref="O322:O322"/>
    <mergeCell ref="P322:P322"/>
    <mergeCell ref="Q322:Q322"/>
    <mergeCell ref="R322:R322"/>
    <mergeCell ref="S322:S322"/>
    <mergeCell ref="X322:X322"/>
    <mergeCell ref="Y322:Y322"/>
    <mergeCell ref="Z322:Z322"/>
    <mergeCell ref="AA322:AA322"/>
    <mergeCell ref="AB322:AB322"/>
    <mergeCell ref="AC322:AC322"/>
    <mergeCell ref="AD322:AD322"/>
    <mergeCell ref="AE322:AE322"/>
    <mergeCell ref="AF322:AF322"/>
    <mergeCell ref="A323:A323"/>
    <mergeCell ref="B323:B323"/>
    <mergeCell ref="C323:C323"/>
    <mergeCell ref="F323:F323"/>
    <mergeCell ref="G323:G323"/>
    <mergeCell ref="H323:H323"/>
    <mergeCell ref="M323:M323"/>
    <mergeCell ref="N323:N323"/>
    <mergeCell ref="O323:O323"/>
    <mergeCell ref="P323:P323"/>
    <mergeCell ref="Q323:Q323"/>
    <mergeCell ref="R323:R323"/>
    <mergeCell ref="S323:S323"/>
    <mergeCell ref="X323:X323"/>
    <mergeCell ref="Y323:Y323"/>
    <mergeCell ref="Z323:Z323"/>
    <mergeCell ref="AA323:AA323"/>
    <mergeCell ref="AB323:AB323"/>
    <mergeCell ref="AC323:AC323"/>
    <mergeCell ref="AD323:AD323"/>
    <mergeCell ref="AE323:AE323"/>
    <mergeCell ref="AF323:AF323"/>
    <mergeCell ref="A324:A324"/>
    <mergeCell ref="B324:B324"/>
    <mergeCell ref="C324:C324"/>
    <mergeCell ref="F324:F324"/>
    <mergeCell ref="G324:G324"/>
    <mergeCell ref="H324:H324"/>
    <mergeCell ref="M324:M324"/>
    <mergeCell ref="N324:N324"/>
    <mergeCell ref="O324:O324"/>
    <mergeCell ref="P324:P324"/>
    <mergeCell ref="Q324:Q324"/>
    <mergeCell ref="R324:R324"/>
    <mergeCell ref="S324:S324"/>
    <mergeCell ref="X324:X324"/>
    <mergeCell ref="Y324:Y324"/>
    <mergeCell ref="Z324:Z324"/>
    <mergeCell ref="AA324:AA324"/>
    <mergeCell ref="AB324:AB324"/>
    <mergeCell ref="AC324:AC324"/>
    <mergeCell ref="AD324:AD324"/>
    <mergeCell ref="AE324:AE324"/>
    <mergeCell ref="AF324:AF324"/>
    <mergeCell ref="A325:A325"/>
    <mergeCell ref="B325:B325"/>
    <mergeCell ref="C325:C325"/>
    <mergeCell ref="F325:F325"/>
    <mergeCell ref="G325:G325"/>
    <mergeCell ref="H325:H325"/>
    <mergeCell ref="M325:M325"/>
    <mergeCell ref="N325:N325"/>
    <mergeCell ref="O325:O325"/>
    <mergeCell ref="P325:P325"/>
    <mergeCell ref="Q325:Q325"/>
    <mergeCell ref="R325:R325"/>
    <mergeCell ref="S325:S325"/>
    <mergeCell ref="X325:X325"/>
    <mergeCell ref="Y325:Y325"/>
    <mergeCell ref="Z325:Z325"/>
    <mergeCell ref="AA325:AA325"/>
    <mergeCell ref="AB325:AB325"/>
    <mergeCell ref="AC325:AC325"/>
    <mergeCell ref="AD325:AD325"/>
    <mergeCell ref="AE325:AE325"/>
    <mergeCell ref="AF325:AF325"/>
    <mergeCell ref="A326:A326"/>
    <mergeCell ref="B326:B326"/>
    <mergeCell ref="C326:C326"/>
    <mergeCell ref="F326:F326"/>
    <mergeCell ref="G326:G326"/>
    <mergeCell ref="H326:H326"/>
    <mergeCell ref="M326:M326"/>
    <mergeCell ref="N326:N326"/>
    <mergeCell ref="O326:O326"/>
    <mergeCell ref="P326:P326"/>
    <mergeCell ref="Q326:Q326"/>
    <mergeCell ref="R326:R326"/>
    <mergeCell ref="S326:S326"/>
    <mergeCell ref="X326:X326"/>
    <mergeCell ref="Y326:Y326"/>
    <mergeCell ref="Z326:Z326"/>
    <mergeCell ref="AA326:AA326"/>
    <mergeCell ref="AB326:AB326"/>
    <mergeCell ref="AC326:AC326"/>
    <mergeCell ref="AD326:AD326"/>
    <mergeCell ref="AE326:AE326"/>
    <mergeCell ref="AF326:AF326"/>
    <mergeCell ref="A327:A327"/>
    <mergeCell ref="B327:B327"/>
    <mergeCell ref="C327:C327"/>
    <mergeCell ref="F327:F327"/>
    <mergeCell ref="G327:G327"/>
    <mergeCell ref="H327:H327"/>
    <mergeCell ref="M327:M327"/>
    <mergeCell ref="N327:N327"/>
    <mergeCell ref="O327:O327"/>
    <mergeCell ref="P327:P327"/>
    <mergeCell ref="Q327:Q327"/>
    <mergeCell ref="R327:R327"/>
    <mergeCell ref="S327:S327"/>
    <mergeCell ref="X327:X327"/>
    <mergeCell ref="Y327:Y327"/>
    <mergeCell ref="Z327:Z327"/>
    <mergeCell ref="AA327:AA327"/>
    <mergeCell ref="AB327:AB327"/>
    <mergeCell ref="AC327:AC327"/>
    <mergeCell ref="AD327:AD327"/>
    <mergeCell ref="AE327:AE327"/>
    <mergeCell ref="AF327:AF327"/>
    <mergeCell ref="A328:A328"/>
    <mergeCell ref="B328:B328"/>
    <mergeCell ref="C328:C328"/>
    <mergeCell ref="F328:F328"/>
    <mergeCell ref="G328:G328"/>
    <mergeCell ref="H328:H328"/>
    <mergeCell ref="M328:M328"/>
    <mergeCell ref="N328:N328"/>
    <mergeCell ref="O328:O328"/>
    <mergeCell ref="P328:P328"/>
    <mergeCell ref="Q328:Q328"/>
    <mergeCell ref="R328:R328"/>
    <mergeCell ref="S328:S328"/>
    <mergeCell ref="X328:X328"/>
    <mergeCell ref="Y328:Y328"/>
    <mergeCell ref="Z328:Z328"/>
    <mergeCell ref="AA328:AA328"/>
    <mergeCell ref="AB328:AB328"/>
    <mergeCell ref="AC328:AC328"/>
    <mergeCell ref="AD328:AD328"/>
    <mergeCell ref="AE328:AE328"/>
    <mergeCell ref="AF328:AF328"/>
    <mergeCell ref="A329:A329"/>
    <mergeCell ref="B329:B329"/>
    <mergeCell ref="C329:C329"/>
    <mergeCell ref="F329:F329"/>
    <mergeCell ref="G329:G329"/>
    <mergeCell ref="H329:H329"/>
    <mergeCell ref="M329:M329"/>
    <mergeCell ref="N329:N329"/>
    <mergeCell ref="O329:O329"/>
    <mergeCell ref="P329:P329"/>
    <mergeCell ref="Q329:Q329"/>
    <mergeCell ref="R329:R329"/>
    <mergeCell ref="S329:S329"/>
    <mergeCell ref="X329:X329"/>
    <mergeCell ref="Y329:Y329"/>
    <mergeCell ref="Z329:Z329"/>
    <mergeCell ref="AA329:AA329"/>
    <mergeCell ref="AB329:AB329"/>
    <mergeCell ref="AC329:AC329"/>
    <mergeCell ref="AD329:AD329"/>
    <mergeCell ref="AE329:AE329"/>
    <mergeCell ref="AF329:AF329"/>
    <mergeCell ref="A330:A330"/>
    <mergeCell ref="B330:B330"/>
    <mergeCell ref="C330:C330"/>
    <mergeCell ref="F330:F330"/>
    <mergeCell ref="G330:G330"/>
    <mergeCell ref="H330:H330"/>
    <mergeCell ref="M330:M330"/>
    <mergeCell ref="N330:N330"/>
    <mergeCell ref="O330:O330"/>
    <mergeCell ref="P330:P330"/>
    <mergeCell ref="Q330:Q330"/>
    <mergeCell ref="R330:R330"/>
    <mergeCell ref="S330:S330"/>
    <mergeCell ref="X330:X330"/>
    <mergeCell ref="Y330:Y330"/>
    <mergeCell ref="Z330:Z330"/>
    <mergeCell ref="AA330:AA330"/>
    <mergeCell ref="AB330:AB330"/>
    <mergeCell ref="AC330:AC330"/>
    <mergeCell ref="AD330:AD330"/>
    <mergeCell ref="AE330:AE330"/>
    <mergeCell ref="AF330:AF330"/>
    <mergeCell ref="A331:A331"/>
    <mergeCell ref="B331:B331"/>
    <mergeCell ref="C331:C331"/>
    <mergeCell ref="F331:F331"/>
    <mergeCell ref="G331:G331"/>
    <mergeCell ref="H331:H331"/>
    <mergeCell ref="M331:M331"/>
    <mergeCell ref="N331:N331"/>
    <mergeCell ref="O331:O331"/>
    <mergeCell ref="P331:P331"/>
    <mergeCell ref="Q331:Q331"/>
    <mergeCell ref="R331:R331"/>
    <mergeCell ref="S331:S331"/>
    <mergeCell ref="X331:X331"/>
    <mergeCell ref="Y331:Y331"/>
    <mergeCell ref="Z331:Z331"/>
    <mergeCell ref="AA331:AA331"/>
    <mergeCell ref="AB331:AB331"/>
    <mergeCell ref="AC331:AC331"/>
    <mergeCell ref="AD331:AD331"/>
    <mergeCell ref="AE331:AE331"/>
    <mergeCell ref="AF331:AF331"/>
    <mergeCell ref="A332:A332"/>
    <mergeCell ref="B332:B332"/>
    <mergeCell ref="C332:C332"/>
    <mergeCell ref="F332:F332"/>
    <mergeCell ref="G332:G332"/>
    <mergeCell ref="H332:H332"/>
    <mergeCell ref="M332:M332"/>
    <mergeCell ref="N332:N332"/>
    <mergeCell ref="O332:O332"/>
    <mergeCell ref="P332:P332"/>
    <mergeCell ref="Q332:Q332"/>
    <mergeCell ref="R332:R332"/>
    <mergeCell ref="S332:S332"/>
    <mergeCell ref="X332:X332"/>
    <mergeCell ref="Y332:Y332"/>
    <mergeCell ref="Z332:Z332"/>
    <mergeCell ref="AA332:AA332"/>
    <mergeCell ref="AB332:AB332"/>
    <mergeCell ref="AC332:AC332"/>
    <mergeCell ref="AD332:AD332"/>
    <mergeCell ref="AE332:AE332"/>
    <mergeCell ref="AF332:AF332"/>
    <mergeCell ref="A333:A333"/>
    <mergeCell ref="B333:B333"/>
    <mergeCell ref="C333:C333"/>
    <mergeCell ref="F333:F333"/>
    <mergeCell ref="G333:G333"/>
    <mergeCell ref="H333:H333"/>
    <mergeCell ref="M333:M333"/>
    <mergeCell ref="N333:N333"/>
    <mergeCell ref="O333:O333"/>
    <mergeCell ref="P333:P333"/>
    <mergeCell ref="Q333:Q333"/>
    <mergeCell ref="R333:R333"/>
    <mergeCell ref="S333:S333"/>
    <mergeCell ref="X333:X333"/>
    <mergeCell ref="Y333:Y333"/>
    <mergeCell ref="Z333:Z333"/>
    <mergeCell ref="AA333:AA333"/>
    <mergeCell ref="AB333:AB333"/>
    <mergeCell ref="AC333:AC333"/>
    <mergeCell ref="AD333:AD333"/>
    <mergeCell ref="AE333:AE333"/>
    <mergeCell ref="AF333:AF333"/>
    <mergeCell ref="A334:A334"/>
    <mergeCell ref="B334:B334"/>
    <mergeCell ref="C334:C334"/>
    <mergeCell ref="F334:F334"/>
    <mergeCell ref="G334:G334"/>
    <mergeCell ref="H334:H334"/>
    <mergeCell ref="M334:M334"/>
    <mergeCell ref="N334:N334"/>
    <mergeCell ref="O334:O334"/>
    <mergeCell ref="P334:P334"/>
    <mergeCell ref="Q334:Q334"/>
    <mergeCell ref="R334:R334"/>
    <mergeCell ref="S334:S334"/>
    <mergeCell ref="X334:X334"/>
    <mergeCell ref="Y334:Y334"/>
    <mergeCell ref="Z334:Z334"/>
    <mergeCell ref="AA334:AA334"/>
    <mergeCell ref="AB334:AB334"/>
    <mergeCell ref="AC334:AC334"/>
    <mergeCell ref="AD334:AD334"/>
    <mergeCell ref="AE334:AE334"/>
    <mergeCell ref="AF334:AF334"/>
    <mergeCell ref="A335:A335"/>
    <mergeCell ref="B335:B335"/>
    <mergeCell ref="C335:C335"/>
    <mergeCell ref="F335:F335"/>
    <mergeCell ref="G335:G335"/>
    <mergeCell ref="H335:H335"/>
    <mergeCell ref="M335:M335"/>
    <mergeCell ref="N335:N335"/>
    <mergeCell ref="O335:O335"/>
    <mergeCell ref="P335:P335"/>
    <mergeCell ref="Q335:Q335"/>
    <mergeCell ref="R335:R335"/>
    <mergeCell ref="S335:S335"/>
    <mergeCell ref="X335:X335"/>
    <mergeCell ref="Y335:Y335"/>
    <mergeCell ref="Z335:Z335"/>
    <mergeCell ref="AA335:AA335"/>
    <mergeCell ref="AB335:AB335"/>
    <mergeCell ref="AC335:AC335"/>
    <mergeCell ref="AD335:AD335"/>
    <mergeCell ref="AE335:AE335"/>
    <mergeCell ref="AF335:AF335"/>
    <mergeCell ref="A336:A336"/>
    <mergeCell ref="B336:B336"/>
    <mergeCell ref="C336:C336"/>
    <mergeCell ref="F336:F336"/>
    <mergeCell ref="G336:G336"/>
    <mergeCell ref="H336:H336"/>
    <mergeCell ref="M336:M336"/>
    <mergeCell ref="N336:N336"/>
    <mergeCell ref="O336:O336"/>
    <mergeCell ref="P336:P336"/>
    <mergeCell ref="Q336:Q336"/>
    <mergeCell ref="R336:R336"/>
    <mergeCell ref="S336:S336"/>
    <mergeCell ref="X336:X336"/>
    <mergeCell ref="Y336:Y336"/>
    <mergeCell ref="Z336:Z336"/>
    <mergeCell ref="AA336:AA336"/>
    <mergeCell ref="AB336:AB336"/>
    <mergeCell ref="AC336:AC336"/>
    <mergeCell ref="AD336:AD336"/>
    <mergeCell ref="AE336:AE336"/>
    <mergeCell ref="AF336:AF336"/>
    <mergeCell ref="A337:A337"/>
    <mergeCell ref="B337:B337"/>
    <mergeCell ref="C337:C337"/>
    <mergeCell ref="F337:F337"/>
    <mergeCell ref="G337:G337"/>
    <mergeCell ref="H337:H337"/>
    <mergeCell ref="M337:M337"/>
    <mergeCell ref="N337:N337"/>
    <mergeCell ref="O337:O337"/>
    <mergeCell ref="P337:P337"/>
    <mergeCell ref="Q337:Q337"/>
    <mergeCell ref="R337:R337"/>
    <mergeCell ref="S337:S337"/>
    <mergeCell ref="X337:X337"/>
    <mergeCell ref="Y337:Y337"/>
    <mergeCell ref="Z337:Z337"/>
    <mergeCell ref="AA337:AA337"/>
    <mergeCell ref="AB337:AB337"/>
    <mergeCell ref="AC337:AC337"/>
    <mergeCell ref="AD337:AD337"/>
    <mergeCell ref="AE337:AE337"/>
    <mergeCell ref="AF337:AF337"/>
    <mergeCell ref="A338:A338"/>
    <mergeCell ref="B338:B338"/>
    <mergeCell ref="C338:C338"/>
    <mergeCell ref="F338:F338"/>
    <mergeCell ref="G338:G338"/>
    <mergeCell ref="H338:H338"/>
    <mergeCell ref="M338:M338"/>
    <mergeCell ref="N338:N338"/>
    <mergeCell ref="O338:O338"/>
    <mergeCell ref="P338:P338"/>
    <mergeCell ref="Q338:Q338"/>
    <mergeCell ref="R338:R338"/>
    <mergeCell ref="S338:S338"/>
    <mergeCell ref="X338:X338"/>
    <mergeCell ref="Y338:Y338"/>
    <mergeCell ref="Z338:Z338"/>
    <mergeCell ref="AA338:AA338"/>
    <mergeCell ref="AB338:AB338"/>
    <mergeCell ref="AC338:AC338"/>
    <mergeCell ref="AD338:AD338"/>
    <mergeCell ref="AE338:AE338"/>
    <mergeCell ref="AF338:AF338"/>
    <mergeCell ref="A339:A339"/>
    <mergeCell ref="B339:B339"/>
    <mergeCell ref="C339:C339"/>
    <mergeCell ref="F339:F339"/>
    <mergeCell ref="G339:G339"/>
    <mergeCell ref="H339:H339"/>
    <mergeCell ref="M339:M339"/>
    <mergeCell ref="N339:N339"/>
    <mergeCell ref="O339:O339"/>
    <mergeCell ref="P339:P339"/>
    <mergeCell ref="Q339:Q339"/>
    <mergeCell ref="R339:R339"/>
    <mergeCell ref="S339:S339"/>
    <mergeCell ref="X339:X339"/>
    <mergeCell ref="Y339:Y339"/>
    <mergeCell ref="Z339:Z339"/>
    <mergeCell ref="AA339:AA339"/>
    <mergeCell ref="AB339:AB339"/>
    <mergeCell ref="AC339:AC339"/>
    <mergeCell ref="AD339:AD339"/>
    <mergeCell ref="AE339:AE339"/>
    <mergeCell ref="AF339:AF339"/>
    <mergeCell ref="A340:A340"/>
    <mergeCell ref="B340:B340"/>
    <mergeCell ref="C340:C340"/>
    <mergeCell ref="F340:F340"/>
    <mergeCell ref="G340:G340"/>
    <mergeCell ref="H340:H340"/>
    <mergeCell ref="M340:M340"/>
    <mergeCell ref="N340:N340"/>
    <mergeCell ref="O340:O340"/>
    <mergeCell ref="P340:P340"/>
    <mergeCell ref="Q340:Q340"/>
    <mergeCell ref="R340:R340"/>
    <mergeCell ref="S340:S340"/>
    <mergeCell ref="X340:X340"/>
    <mergeCell ref="Y340:Y340"/>
    <mergeCell ref="Z340:Z340"/>
    <mergeCell ref="AA340:AA340"/>
    <mergeCell ref="AB340:AB340"/>
    <mergeCell ref="AC340:AC340"/>
    <mergeCell ref="AD340:AD340"/>
    <mergeCell ref="AE340:AE340"/>
    <mergeCell ref="AF340:AF340"/>
    <mergeCell ref="A341:A341"/>
    <mergeCell ref="B341:B341"/>
    <mergeCell ref="C341:C341"/>
    <mergeCell ref="F341:F341"/>
    <mergeCell ref="G341:G341"/>
    <mergeCell ref="H341:H341"/>
    <mergeCell ref="M341:M341"/>
    <mergeCell ref="N341:N341"/>
    <mergeCell ref="O341:O341"/>
    <mergeCell ref="P341:P341"/>
    <mergeCell ref="Q341:Q341"/>
    <mergeCell ref="R341:R341"/>
    <mergeCell ref="S341:S341"/>
    <mergeCell ref="X341:X341"/>
    <mergeCell ref="Y341:Y341"/>
    <mergeCell ref="Z341:Z341"/>
    <mergeCell ref="AA341:AA341"/>
    <mergeCell ref="AB341:AB341"/>
    <mergeCell ref="AC341:AC341"/>
    <mergeCell ref="AD341:AD341"/>
    <mergeCell ref="AE341:AE341"/>
    <mergeCell ref="AF341:AF341"/>
    <mergeCell ref="A342:A342"/>
    <mergeCell ref="B342:B342"/>
    <mergeCell ref="C342:C342"/>
    <mergeCell ref="F342:F342"/>
    <mergeCell ref="G342:G342"/>
    <mergeCell ref="H342:H342"/>
    <mergeCell ref="M342:M342"/>
    <mergeCell ref="N342:N342"/>
    <mergeCell ref="O342:O342"/>
    <mergeCell ref="P342:P342"/>
    <mergeCell ref="Q342:Q342"/>
    <mergeCell ref="R342:R342"/>
    <mergeCell ref="S342:S342"/>
    <mergeCell ref="X342:X342"/>
    <mergeCell ref="Y342:Y342"/>
    <mergeCell ref="Z342:Z342"/>
    <mergeCell ref="AA342:AA342"/>
    <mergeCell ref="AB342:AB342"/>
    <mergeCell ref="AC342:AC342"/>
    <mergeCell ref="AD342:AD342"/>
    <mergeCell ref="AE342:AE342"/>
    <mergeCell ref="AF342:AF342"/>
    <mergeCell ref="A343:A343"/>
    <mergeCell ref="B343:B343"/>
    <mergeCell ref="C343:C343"/>
    <mergeCell ref="F343:F343"/>
    <mergeCell ref="G343:G343"/>
    <mergeCell ref="H343:H343"/>
    <mergeCell ref="M343:M343"/>
    <mergeCell ref="N343:N343"/>
    <mergeCell ref="O343:O343"/>
    <mergeCell ref="P343:P343"/>
    <mergeCell ref="Q343:Q343"/>
    <mergeCell ref="R343:R343"/>
    <mergeCell ref="S343:S343"/>
    <mergeCell ref="X343:X343"/>
    <mergeCell ref="Y343:Y343"/>
    <mergeCell ref="Z343:Z343"/>
    <mergeCell ref="AA343:AA343"/>
    <mergeCell ref="AB343:AB343"/>
    <mergeCell ref="AC343:AC343"/>
    <mergeCell ref="AD343:AD343"/>
    <mergeCell ref="AE343:AE343"/>
    <mergeCell ref="AF343:AF343"/>
    <mergeCell ref="A344:A344"/>
    <mergeCell ref="B344:B344"/>
    <mergeCell ref="C344:C344"/>
    <mergeCell ref="F344:F344"/>
    <mergeCell ref="G344:G344"/>
    <mergeCell ref="H344:H344"/>
    <mergeCell ref="M344:M344"/>
    <mergeCell ref="N344:N344"/>
    <mergeCell ref="O344:O344"/>
    <mergeCell ref="P344:P344"/>
    <mergeCell ref="Q344:Q344"/>
    <mergeCell ref="R344:R344"/>
    <mergeCell ref="S344:S344"/>
    <mergeCell ref="X344:X344"/>
    <mergeCell ref="Y344:Y344"/>
    <mergeCell ref="Z344:Z344"/>
    <mergeCell ref="AA344:AA344"/>
    <mergeCell ref="AB344:AB344"/>
    <mergeCell ref="AC344:AC344"/>
    <mergeCell ref="AD344:AD344"/>
    <mergeCell ref="AE344:AE344"/>
    <mergeCell ref="AF344:AF344"/>
    <mergeCell ref="A345:A345"/>
    <mergeCell ref="B345:B345"/>
    <mergeCell ref="C345:C345"/>
    <mergeCell ref="F345:F345"/>
    <mergeCell ref="G345:G345"/>
    <mergeCell ref="H345:H345"/>
    <mergeCell ref="M345:M345"/>
    <mergeCell ref="N345:N345"/>
    <mergeCell ref="O345:O345"/>
    <mergeCell ref="P345:P345"/>
    <mergeCell ref="Q345:Q345"/>
    <mergeCell ref="R345:R345"/>
    <mergeCell ref="S345:S345"/>
    <mergeCell ref="X345:X345"/>
    <mergeCell ref="Y345:Y345"/>
    <mergeCell ref="Z345:Z345"/>
    <mergeCell ref="AA345:AA345"/>
    <mergeCell ref="AB345:AB345"/>
    <mergeCell ref="AC345:AC345"/>
    <mergeCell ref="AD345:AD345"/>
    <mergeCell ref="AE345:AE345"/>
    <mergeCell ref="AF345:AF345"/>
    <mergeCell ref="A346:A346"/>
    <mergeCell ref="B346:B346"/>
    <mergeCell ref="C346:C346"/>
    <mergeCell ref="F346:F346"/>
    <mergeCell ref="G346:G346"/>
    <mergeCell ref="H346:H346"/>
    <mergeCell ref="M346:M346"/>
    <mergeCell ref="N346:N346"/>
    <mergeCell ref="O346:O346"/>
    <mergeCell ref="P346:P346"/>
    <mergeCell ref="Q346:Q346"/>
    <mergeCell ref="R346:R346"/>
    <mergeCell ref="S346:S346"/>
    <mergeCell ref="X346:X346"/>
    <mergeCell ref="Y346:Y346"/>
    <mergeCell ref="Z346:Z346"/>
    <mergeCell ref="AA346:AA346"/>
    <mergeCell ref="AB346:AB346"/>
    <mergeCell ref="AC346:AC346"/>
    <mergeCell ref="AD346:AD346"/>
    <mergeCell ref="AE346:AE346"/>
    <mergeCell ref="AF346:AF346"/>
    <mergeCell ref="A347:A347"/>
    <mergeCell ref="B347:B347"/>
    <mergeCell ref="C347:C347"/>
    <mergeCell ref="F347:F347"/>
    <mergeCell ref="G347:G347"/>
    <mergeCell ref="H347:H347"/>
    <mergeCell ref="M347:M347"/>
    <mergeCell ref="N347:N347"/>
    <mergeCell ref="O347:O347"/>
    <mergeCell ref="P347:P347"/>
    <mergeCell ref="Q347:Q347"/>
    <mergeCell ref="R347:R347"/>
    <mergeCell ref="S347:S347"/>
    <mergeCell ref="X347:X347"/>
    <mergeCell ref="Y347:Y347"/>
    <mergeCell ref="Z347:Z347"/>
    <mergeCell ref="AA347:AA347"/>
    <mergeCell ref="AB347:AB347"/>
    <mergeCell ref="AC347:AC347"/>
    <mergeCell ref="AD347:AD347"/>
    <mergeCell ref="AE347:AE347"/>
    <mergeCell ref="AF347:AF347"/>
    <mergeCell ref="A348:A348"/>
    <mergeCell ref="B348:B348"/>
    <mergeCell ref="C348:C348"/>
    <mergeCell ref="F348:F348"/>
    <mergeCell ref="G348:G348"/>
    <mergeCell ref="H348:H348"/>
    <mergeCell ref="M348:M348"/>
    <mergeCell ref="N348:N348"/>
    <mergeCell ref="O348:O348"/>
    <mergeCell ref="P348:P348"/>
    <mergeCell ref="Q348:Q348"/>
    <mergeCell ref="R348:R348"/>
    <mergeCell ref="S348:S348"/>
    <mergeCell ref="X348:X348"/>
    <mergeCell ref="Y348:Y348"/>
    <mergeCell ref="Z348:Z348"/>
    <mergeCell ref="AA348:AA348"/>
    <mergeCell ref="AB348:AB348"/>
    <mergeCell ref="AC348:AC348"/>
    <mergeCell ref="AD348:AD348"/>
    <mergeCell ref="AE348:AE348"/>
    <mergeCell ref="AF348:AF348"/>
    <mergeCell ref="A349:A349"/>
    <mergeCell ref="B349:B349"/>
    <mergeCell ref="C349:C349"/>
    <mergeCell ref="F349:F349"/>
    <mergeCell ref="G349:G349"/>
    <mergeCell ref="H349:H349"/>
    <mergeCell ref="M349:M349"/>
    <mergeCell ref="N349:N349"/>
    <mergeCell ref="O349:O349"/>
    <mergeCell ref="P349:P349"/>
    <mergeCell ref="Q349:Q349"/>
    <mergeCell ref="R349:R349"/>
    <mergeCell ref="S349:S349"/>
    <mergeCell ref="X349:X349"/>
    <mergeCell ref="Y349:Y349"/>
    <mergeCell ref="Z349:Z349"/>
    <mergeCell ref="AA349:AA349"/>
    <mergeCell ref="AB349:AB349"/>
    <mergeCell ref="AC349:AC349"/>
    <mergeCell ref="AD349:AD349"/>
    <mergeCell ref="AE349:AE349"/>
    <mergeCell ref="AF349:AF349"/>
    <mergeCell ref="A350:A350"/>
    <mergeCell ref="B350:B350"/>
    <mergeCell ref="C350:C350"/>
    <mergeCell ref="F350:F350"/>
    <mergeCell ref="G350:G350"/>
    <mergeCell ref="H350:H350"/>
    <mergeCell ref="M350:M350"/>
    <mergeCell ref="N350:N350"/>
    <mergeCell ref="O350:O350"/>
    <mergeCell ref="P350:P350"/>
    <mergeCell ref="Q350:Q350"/>
    <mergeCell ref="R350:R350"/>
    <mergeCell ref="S350:S350"/>
    <mergeCell ref="X350:X350"/>
    <mergeCell ref="Y350:Y350"/>
    <mergeCell ref="Z350:Z350"/>
    <mergeCell ref="AA350:AA350"/>
    <mergeCell ref="AB350:AB350"/>
    <mergeCell ref="AC350:AC350"/>
    <mergeCell ref="AD350:AD350"/>
    <mergeCell ref="AE350:AE350"/>
    <mergeCell ref="AF350:AF350"/>
    <mergeCell ref="A351:A351"/>
    <mergeCell ref="B351:B351"/>
    <mergeCell ref="C351:C351"/>
    <mergeCell ref="F351:F351"/>
    <mergeCell ref="G351:G351"/>
    <mergeCell ref="H351:H351"/>
    <mergeCell ref="M351:M351"/>
    <mergeCell ref="N351:N351"/>
    <mergeCell ref="O351:O351"/>
    <mergeCell ref="P351:P351"/>
    <mergeCell ref="Q351:Q351"/>
    <mergeCell ref="R351:R351"/>
    <mergeCell ref="S351:S351"/>
    <mergeCell ref="X351:X351"/>
    <mergeCell ref="Y351:Y351"/>
    <mergeCell ref="Z351:Z351"/>
    <mergeCell ref="AA351:AA351"/>
    <mergeCell ref="AB351:AB351"/>
    <mergeCell ref="AC351:AC351"/>
    <mergeCell ref="AD351:AD351"/>
    <mergeCell ref="AE351:AE351"/>
    <mergeCell ref="AF351:AF351"/>
    <mergeCell ref="A352:A352"/>
    <mergeCell ref="B352:B352"/>
    <mergeCell ref="C352:C352"/>
    <mergeCell ref="F352:F352"/>
    <mergeCell ref="G352:G352"/>
    <mergeCell ref="H352:H352"/>
    <mergeCell ref="M352:M352"/>
    <mergeCell ref="N352:N352"/>
    <mergeCell ref="O352:O352"/>
    <mergeCell ref="P352:P352"/>
    <mergeCell ref="Q352:Q352"/>
    <mergeCell ref="R352:R352"/>
    <mergeCell ref="S352:S352"/>
    <mergeCell ref="X352:X352"/>
    <mergeCell ref="Y352:Y352"/>
    <mergeCell ref="Z352:Z352"/>
    <mergeCell ref="AA352:AA352"/>
    <mergeCell ref="AB352:AB352"/>
    <mergeCell ref="AC352:AC352"/>
    <mergeCell ref="AD352:AD352"/>
    <mergeCell ref="AE352:AE352"/>
    <mergeCell ref="AF352:AF352"/>
    <mergeCell ref="A353:A353"/>
    <mergeCell ref="B353:B353"/>
    <mergeCell ref="C353:C353"/>
    <mergeCell ref="F353:F353"/>
    <mergeCell ref="G353:G353"/>
    <mergeCell ref="H353:H353"/>
    <mergeCell ref="M353:M353"/>
    <mergeCell ref="N353:N353"/>
    <mergeCell ref="O353:O353"/>
    <mergeCell ref="P353:P353"/>
    <mergeCell ref="Q353:Q353"/>
    <mergeCell ref="R353:R353"/>
    <mergeCell ref="S353:S353"/>
    <mergeCell ref="X353:X353"/>
    <mergeCell ref="Y353:Y353"/>
    <mergeCell ref="Z353:Z353"/>
    <mergeCell ref="AA353:AA353"/>
    <mergeCell ref="AB353:AB353"/>
    <mergeCell ref="AC353:AC353"/>
    <mergeCell ref="AD353:AD353"/>
    <mergeCell ref="AE353:AE353"/>
    <mergeCell ref="AF353:AF353"/>
    <mergeCell ref="A354:A354"/>
    <mergeCell ref="B354:B354"/>
    <mergeCell ref="C354:C354"/>
    <mergeCell ref="F354:F354"/>
    <mergeCell ref="G354:G354"/>
    <mergeCell ref="H354:H354"/>
    <mergeCell ref="M354:M354"/>
    <mergeCell ref="N354:N354"/>
    <mergeCell ref="O354:O354"/>
    <mergeCell ref="P354:P354"/>
    <mergeCell ref="Q354:Q354"/>
    <mergeCell ref="R354:R354"/>
    <mergeCell ref="S354:S354"/>
    <mergeCell ref="X354:X354"/>
    <mergeCell ref="Y354:Y354"/>
    <mergeCell ref="Z354:Z354"/>
    <mergeCell ref="AA354:AA354"/>
    <mergeCell ref="AB354:AB354"/>
    <mergeCell ref="AC354:AC354"/>
    <mergeCell ref="AD354:AD354"/>
    <mergeCell ref="AE354:AE354"/>
    <mergeCell ref="AF354:AF354"/>
    <mergeCell ref="A355:A355"/>
    <mergeCell ref="B355:B355"/>
    <mergeCell ref="C355:C355"/>
    <mergeCell ref="F355:F355"/>
    <mergeCell ref="G355:G355"/>
    <mergeCell ref="H355:H355"/>
    <mergeCell ref="M355:M355"/>
    <mergeCell ref="N355:N355"/>
    <mergeCell ref="O355:O355"/>
    <mergeCell ref="P355:P355"/>
    <mergeCell ref="Q355:Q355"/>
    <mergeCell ref="R355:R355"/>
    <mergeCell ref="S355:S355"/>
    <mergeCell ref="X355:X355"/>
    <mergeCell ref="Y355:Y355"/>
    <mergeCell ref="Z355:Z355"/>
    <mergeCell ref="AA355:AA355"/>
    <mergeCell ref="AB355:AB355"/>
    <mergeCell ref="AC355:AC355"/>
    <mergeCell ref="AD355:AD355"/>
    <mergeCell ref="AE355:AE355"/>
    <mergeCell ref="AF355:AF355"/>
    <mergeCell ref="A356:A356"/>
    <mergeCell ref="B356:B356"/>
    <mergeCell ref="C356:C356"/>
    <mergeCell ref="F356:F356"/>
    <mergeCell ref="G356:G356"/>
    <mergeCell ref="H356:H356"/>
    <mergeCell ref="M356:M356"/>
    <mergeCell ref="N356:N356"/>
    <mergeCell ref="O356:O356"/>
    <mergeCell ref="P356:P356"/>
    <mergeCell ref="Q356:Q356"/>
    <mergeCell ref="R356:R356"/>
    <mergeCell ref="S356:S356"/>
    <mergeCell ref="X356:X356"/>
    <mergeCell ref="Y356:Y356"/>
    <mergeCell ref="Z356:Z356"/>
    <mergeCell ref="AA356:AA356"/>
    <mergeCell ref="AB356:AB356"/>
    <mergeCell ref="AC356:AC356"/>
    <mergeCell ref="AD356:AD356"/>
    <mergeCell ref="AE356:AE356"/>
    <mergeCell ref="AF356:AF356"/>
    <mergeCell ref="A357:A357"/>
    <mergeCell ref="B357:B357"/>
    <mergeCell ref="C357:C357"/>
    <mergeCell ref="F357:F357"/>
    <mergeCell ref="G357:G357"/>
    <mergeCell ref="H357:H357"/>
    <mergeCell ref="M357:M357"/>
    <mergeCell ref="N357:N357"/>
    <mergeCell ref="O357:O357"/>
    <mergeCell ref="P357:P357"/>
    <mergeCell ref="Q357:Q357"/>
    <mergeCell ref="R357:R357"/>
    <mergeCell ref="S357:S357"/>
    <mergeCell ref="X357:X357"/>
    <mergeCell ref="Y357:Y357"/>
    <mergeCell ref="Z357:Z357"/>
    <mergeCell ref="AA357:AA357"/>
    <mergeCell ref="AB357:AB357"/>
    <mergeCell ref="AC357:AC357"/>
    <mergeCell ref="AD357:AD357"/>
    <mergeCell ref="AE357:AE357"/>
    <mergeCell ref="AF357:AF357"/>
    <mergeCell ref="A358:A358"/>
    <mergeCell ref="B358:B358"/>
    <mergeCell ref="C358:C358"/>
    <mergeCell ref="F358:F358"/>
    <mergeCell ref="G358:G358"/>
    <mergeCell ref="H358:H358"/>
    <mergeCell ref="M358:M358"/>
    <mergeCell ref="N358:N358"/>
    <mergeCell ref="O358:O358"/>
    <mergeCell ref="P358:P358"/>
    <mergeCell ref="Q358:Q358"/>
    <mergeCell ref="R358:R358"/>
    <mergeCell ref="S358:S358"/>
    <mergeCell ref="X358:X358"/>
    <mergeCell ref="Y358:Y358"/>
    <mergeCell ref="Z358:Z358"/>
    <mergeCell ref="AA358:AA358"/>
    <mergeCell ref="AB358:AB358"/>
    <mergeCell ref="AC358:AC358"/>
    <mergeCell ref="AD358:AD358"/>
    <mergeCell ref="AE358:AE358"/>
    <mergeCell ref="AF358:AF358"/>
    <mergeCell ref="A359:A359"/>
    <mergeCell ref="B359:B359"/>
    <mergeCell ref="C359:C359"/>
    <mergeCell ref="F359:F359"/>
    <mergeCell ref="G359:G359"/>
    <mergeCell ref="H359:H359"/>
    <mergeCell ref="M359:M359"/>
    <mergeCell ref="N359:N359"/>
    <mergeCell ref="O359:O359"/>
    <mergeCell ref="P359:P359"/>
    <mergeCell ref="Q359:Q359"/>
    <mergeCell ref="R359:R359"/>
    <mergeCell ref="S359:S359"/>
    <mergeCell ref="X359:X359"/>
    <mergeCell ref="Y359:Y359"/>
    <mergeCell ref="Z359:Z359"/>
    <mergeCell ref="AA359:AA359"/>
    <mergeCell ref="AB359:AB359"/>
    <mergeCell ref="AC359:AC359"/>
    <mergeCell ref="AD359:AD359"/>
    <mergeCell ref="AE359:AE359"/>
    <mergeCell ref="AF359:AF359"/>
    <mergeCell ref="A360:A360"/>
    <mergeCell ref="B360:B360"/>
    <mergeCell ref="C360:C360"/>
    <mergeCell ref="F360:F360"/>
    <mergeCell ref="G360:G360"/>
    <mergeCell ref="H360:H360"/>
    <mergeCell ref="M360:M360"/>
    <mergeCell ref="N360:N360"/>
    <mergeCell ref="O360:O360"/>
    <mergeCell ref="P360:P360"/>
    <mergeCell ref="Q360:Q360"/>
    <mergeCell ref="R360:R360"/>
    <mergeCell ref="S360:S360"/>
    <mergeCell ref="X360:X360"/>
    <mergeCell ref="Y360:Y360"/>
    <mergeCell ref="Z360:Z360"/>
    <mergeCell ref="AA360:AA360"/>
    <mergeCell ref="AB360:AB360"/>
    <mergeCell ref="AC360:AC360"/>
    <mergeCell ref="AD360:AD360"/>
    <mergeCell ref="AE360:AE360"/>
    <mergeCell ref="AF360:AF360"/>
    <mergeCell ref="A361:A361"/>
    <mergeCell ref="B361:B361"/>
    <mergeCell ref="C361:C361"/>
    <mergeCell ref="F361:F361"/>
    <mergeCell ref="G361:G361"/>
    <mergeCell ref="H361:H361"/>
    <mergeCell ref="M361:M361"/>
    <mergeCell ref="N361:N361"/>
    <mergeCell ref="O361:O361"/>
    <mergeCell ref="P361:P361"/>
    <mergeCell ref="Q361:Q361"/>
    <mergeCell ref="R361:R361"/>
    <mergeCell ref="S361:S361"/>
    <mergeCell ref="X361:X361"/>
    <mergeCell ref="Y361:Y361"/>
    <mergeCell ref="Z361:Z361"/>
    <mergeCell ref="AA361:AA361"/>
    <mergeCell ref="AB361:AB361"/>
    <mergeCell ref="AC361:AC361"/>
    <mergeCell ref="AD361:AD361"/>
    <mergeCell ref="AE361:AE361"/>
    <mergeCell ref="AF361:AF361"/>
    <mergeCell ref="A362:A362"/>
    <mergeCell ref="B362:B362"/>
    <mergeCell ref="C362:C362"/>
    <mergeCell ref="F362:F362"/>
    <mergeCell ref="G362:G362"/>
    <mergeCell ref="H362:H362"/>
    <mergeCell ref="M362:M362"/>
    <mergeCell ref="N362:N362"/>
    <mergeCell ref="O362:O362"/>
    <mergeCell ref="P362:P362"/>
    <mergeCell ref="Q362:Q362"/>
    <mergeCell ref="R362:R362"/>
    <mergeCell ref="S362:S362"/>
    <mergeCell ref="X362:X362"/>
    <mergeCell ref="Y362:Y362"/>
    <mergeCell ref="Z362:Z362"/>
    <mergeCell ref="AA362:AA362"/>
    <mergeCell ref="AB362:AB362"/>
    <mergeCell ref="AC362:AC362"/>
    <mergeCell ref="AD362:AD362"/>
    <mergeCell ref="AE362:AE362"/>
    <mergeCell ref="AF362:AF362"/>
    <mergeCell ref="A363:A363"/>
    <mergeCell ref="B363:B363"/>
    <mergeCell ref="C363:C363"/>
    <mergeCell ref="F363:F363"/>
    <mergeCell ref="G363:G363"/>
    <mergeCell ref="H363:H363"/>
    <mergeCell ref="M363:M363"/>
    <mergeCell ref="N363:N363"/>
    <mergeCell ref="O363:O363"/>
    <mergeCell ref="P363:P363"/>
    <mergeCell ref="Q363:Q363"/>
    <mergeCell ref="R363:R363"/>
    <mergeCell ref="S363:S363"/>
    <mergeCell ref="X363:X363"/>
    <mergeCell ref="Y363:Y363"/>
    <mergeCell ref="Z363:Z363"/>
    <mergeCell ref="AA363:AA363"/>
    <mergeCell ref="AB363:AB363"/>
    <mergeCell ref="AC363:AC363"/>
    <mergeCell ref="AD363:AD363"/>
    <mergeCell ref="AE363:AE363"/>
    <mergeCell ref="AF363:AF363"/>
    <mergeCell ref="A364:A364"/>
    <mergeCell ref="B364:B364"/>
    <mergeCell ref="C364:C364"/>
    <mergeCell ref="F364:F364"/>
    <mergeCell ref="G364:G364"/>
    <mergeCell ref="H364:H364"/>
    <mergeCell ref="M364:M364"/>
    <mergeCell ref="N364:N364"/>
    <mergeCell ref="O364:O364"/>
    <mergeCell ref="P364:P364"/>
    <mergeCell ref="Q364:Q364"/>
    <mergeCell ref="R364:R364"/>
    <mergeCell ref="S364:S364"/>
    <mergeCell ref="X364:X364"/>
    <mergeCell ref="Y364:Y364"/>
    <mergeCell ref="Z364:Z364"/>
    <mergeCell ref="AA364:AA364"/>
    <mergeCell ref="AB364:AB364"/>
    <mergeCell ref="AC364:AC364"/>
    <mergeCell ref="AD364:AD364"/>
    <mergeCell ref="AE364:AE364"/>
    <mergeCell ref="AF364:AF364"/>
    <mergeCell ref="A365:A365"/>
    <mergeCell ref="B365:B365"/>
    <mergeCell ref="C365:C365"/>
    <mergeCell ref="F365:F365"/>
    <mergeCell ref="G365:G365"/>
    <mergeCell ref="H365:H365"/>
    <mergeCell ref="M365:M365"/>
    <mergeCell ref="N365:N365"/>
    <mergeCell ref="O365:O365"/>
    <mergeCell ref="P365:P365"/>
    <mergeCell ref="Q365:Q365"/>
    <mergeCell ref="R365:R365"/>
    <mergeCell ref="S365:S365"/>
    <mergeCell ref="X365:X365"/>
    <mergeCell ref="Y365:Y365"/>
    <mergeCell ref="Z365:Z365"/>
    <mergeCell ref="AA365:AA365"/>
    <mergeCell ref="AB365:AB365"/>
    <mergeCell ref="AC365:AC365"/>
    <mergeCell ref="AD365:AD365"/>
    <mergeCell ref="AE365:AE365"/>
    <mergeCell ref="AF365:AF365"/>
    <mergeCell ref="A366:A366"/>
    <mergeCell ref="B366:B366"/>
    <mergeCell ref="C366:C366"/>
    <mergeCell ref="F366:F366"/>
    <mergeCell ref="G366:G366"/>
    <mergeCell ref="H366:H366"/>
    <mergeCell ref="M366:M366"/>
    <mergeCell ref="N366:N366"/>
    <mergeCell ref="O366:O366"/>
    <mergeCell ref="P366:P366"/>
    <mergeCell ref="Q366:Q366"/>
    <mergeCell ref="R366:R366"/>
    <mergeCell ref="S366:S366"/>
    <mergeCell ref="X366:X366"/>
    <mergeCell ref="Y366:Y366"/>
    <mergeCell ref="Z366:Z366"/>
    <mergeCell ref="AA366:AA366"/>
    <mergeCell ref="AB366:AB366"/>
    <mergeCell ref="AC366:AC366"/>
    <mergeCell ref="AD366:AD366"/>
    <mergeCell ref="AE366:AE366"/>
    <mergeCell ref="AF366:AF366"/>
    <mergeCell ref="A367:A367"/>
    <mergeCell ref="B367:B367"/>
    <mergeCell ref="C367:C367"/>
    <mergeCell ref="F367:F367"/>
    <mergeCell ref="G367:G367"/>
    <mergeCell ref="H367:H367"/>
    <mergeCell ref="M367:M367"/>
    <mergeCell ref="N367:N367"/>
    <mergeCell ref="O367:O367"/>
    <mergeCell ref="P367:P367"/>
    <mergeCell ref="Q367:Q367"/>
    <mergeCell ref="R367:R367"/>
    <mergeCell ref="S367:S367"/>
    <mergeCell ref="X367:X367"/>
    <mergeCell ref="Y367:Y367"/>
    <mergeCell ref="Z367:Z367"/>
    <mergeCell ref="AA367:AA367"/>
    <mergeCell ref="AB367:AB367"/>
    <mergeCell ref="AC367:AC367"/>
    <mergeCell ref="AD367:AD367"/>
    <mergeCell ref="AE367:AE367"/>
    <mergeCell ref="AF367:AF367"/>
    <mergeCell ref="A368:A368"/>
    <mergeCell ref="B368:B368"/>
    <mergeCell ref="C368:C368"/>
    <mergeCell ref="F368:F368"/>
    <mergeCell ref="G368:G368"/>
    <mergeCell ref="H368:H368"/>
    <mergeCell ref="M368:M368"/>
    <mergeCell ref="N368:N368"/>
    <mergeCell ref="O368:O368"/>
    <mergeCell ref="P368:P368"/>
    <mergeCell ref="Q368:Q368"/>
    <mergeCell ref="R368:R368"/>
    <mergeCell ref="S368:S368"/>
    <mergeCell ref="X368:X368"/>
    <mergeCell ref="Y368:Y368"/>
    <mergeCell ref="Z368:Z368"/>
    <mergeCell ref="AA368:AA368"/>
    <mergeCell ref="AB368:AB368"/>
    <mergeCell ref="AC368:AC368"/>
    <mergeCell ref="AD368:AD368"/>
    <mergeCell ref="AE368:AE368"/>
    <mergeCell ref="AF368:AF368"/>
    <mergeCell ref="A369:A369"/>
    <mergeCell ref="B369:B369"/>
    <mergeCell ref="C369:C369"/>
    <mergeCell ref="F369:F369"/>
    <mergeCell ref="G369:G369"/>
    <mergeCell ref="H369:H369"/>
    <mergeCell ref="M369:M369"/>
    <mergeCell ref="N369:N369"/>
    <mergeCell ref="O369:O369"/>
    <mergeCell ref="P369:P369"/>
    <mergeCell ref="Q369:Q369"/>
    <mergeCell ref="R369:R369"/>
    <mergeCell ref="S369:S369"/>
    <mergeCell ref="X369:X369"/>
    <mergeCell ref="Y369:Y369"/>
    <mergeCell ref="Z369:Z369"/>
    <mergeCell ref="AA369:AA369"/>
    <mergeCell ref="AB369:AB369"/>
    <mergeCell ref="AC369:AC369"/>
    <mergeCell ref="AD369:AD369"/>
    <mergeCell ref="AE369:AE369"/>
    <mergeCell ref="AF369:AF369"/>
    <mergeCell ref="A370:A370"/>
    <mergeCell ref="B370:B370"/>
    <mergeCell ref="C370:C370"/>
    <mergeCell ref="F370:F370"/>
    <mergeCell ref="G370:G370"/>
    <mergeCell ref="H370:H370"/>
    <mergeCell ref="M370:M370"/>
    <mergeCell ref="N370:N370"/>
    <mergeCell ref="O370:O370"/>
    <mergeCell ref="P370:P370"/>
    <mergeCell ref="Q370:Q370"/>
    <mergeCell ref="R370:R370"/>
    <mergeCell ref="S370:S370"/>
    <mergeCell ref="X370:X370"/>
    <mergeCell ref="Y370:Y370"/>
    <mergeCell ref="Z370:Z370"/>
    <mergeCell ref="AA370:AA370"/>
    <mergeCell ref="AB370:AB370"/>
    <mergeCell ref="AC370:AC370"/>
    <mergeCell ref="AD370:AD370"/>
    <mergeCell ref="AE370:AE370"/>
    <mergeCell ref="AF370:AF370"/>
    <mergeCell ref="A371:A371"/>
    <mergeCell ref="B371:B371"/>
    <mergeCell ref="C371:C371"/>
    <mergeCell ref="F371:F371"/>
    <mergeCell ref="G371:G371"/>
    <mergeCell ref="H371:H371"/>
    <mergeCell ref="M371:M371"/>
    <mergeCell ref="N371:N371"/>
    <mergeCell ref="O371:O371"/>
    <mergeCell ref="P371:P371"/>
    <mergeCell ref="Q371:Q371"/>
    <mergeCell ref="R371:R371"/>
    <mergeCell ref="S371:S371"/>
    <mergeCell ref="X371:X371"/>
    <mergeCell ref="Y371:Y371"/>
    <mergeCell ref="Z371:Z371"/>
    <mergeCell ref="AA371:AA371"/>
    <mergeCell ref="AB371:AB371"/>
    <mergeCell ref="AC371:AC371"/>
    <mergeCell ref="AD371:AD371"/>
    <mergeCell ref="AE371:AE371"/>
    <mergeCell ref="AF371:AF371"/>
    <mergeCell ref="A372:A372"/>
    <mergeCell ref="B372:B372"/>
    <mergeCell ref="C372:C372"/>
    <mergeCell ref="F372:F372"/>
    <mergeCell ref="G372:G372"/>
    <mergeCell ref="H372:H372"/>
    <mergeCell ref="M372:M372"/>
    <mergeCell ref="N372:N372"/>
    <mergeCell ref="O372:O372"/>
    <mergeCell ref="P372:P372"/>
    <mergeCell ref="Q372:Q372"/>
    <mergeCell ref="R372:R372"/>
    <mergeCell ref="S372:S372"/>
    <mergeCell ref="X372:X372"/>
    <mergeCell ref="Y372:Y372"/>
    <mergeCell ref="Z372:Z372"/>
    <mergeCell ref="AA372:AA372"/>
    <mergeCell ref="AB372:AB372"/>
    <mergeCell ref="AC372:AC372"/>
    <mergeCell ref="AD372:AD372"/>
    <mergeCell ref="AE372:AE372"/>
    <mergeCell ref="AF372:AF372"/>
    <mergeCell ref="A373:A373"/>
    <mergeCell ref="B373:B373"/>
    <mergeCell ref="C373:C373"/>
    <mergeCell ref="F373:F373"/>
    <mergeCell ref="G373:G373"/>
    <mergeCell ref="H373:H373"/>
    <mergeCell ref="M373:M373"/>
    <mergeCell ref="N373:N373"/>
    <mergeCell ref="O373:O373"/>
    <mergeCell ref="P373:P373"/>
    <mergeCell ref="Q373:Q373"/>
    <mergeCell ref="R373:R373"/>
    <mergeCell ref="S373:S373"/>
    <mergeCell ref="X373:X373"/>
    <mergeCell ref="Y373:Y373"/>
    <mergeCell ref="Z373:Z373"/>
    <mergeCell ref="AA373:AA373"/>
    <mergeCell ref="AB373:AB373"/>
    <mergeCell ref="AC373:AC373"/>
    <mergeCell ref="AD373:AD373"/>
    <mergeCell ref="AE373:AE373"/>
    <mergeCell ref="AF373:AF373"/>
    <mergeCell ref="A374:A374"/>
    <mergeCell ref="B374:B374"/>
    <mergeCell ref="C374:C374"/>
    <mergeCell ref="F374:F374"/>
    <mergeCell ref="G374:G374"/>
    <mergeCell ref="H374:H374"/>
    <mergeCell ref="M374:M374"/>
    <mergeCell ref="N374:N374"/>
    <mergeCell ref="O374:O374"/>
    <mergeCell ref="P374:P374"/>
    <mergeCell ref="Q374:Q374"/>
    <mergeCell ref="R374:R374"/>
    <mergeCell ref="S374:S374"/>
    <mergeCell ref="X374:X374"/>
    <mergeCell ref="Y374:Y374"/>
    <mergeCell ref="Z374:Z374"/>
    <mergeCell ref="AA374:AA374"/>
    <mergeCell ref="AB374:AB374"/>
    <mergeCell ref="AC374:AC374"/>
    <mergeCell ref="AD374:AD374"/>
    <mergeCell ref="AE374:AE374"/>
    <mergeCell ref="AF374:AF374"/>
    <mergeCell ref="A375:A375"/>
    <mergeCell ref="B375:B375"/>
    <mergeCell ref="C375:C375"/>
    <mergeCell ref="F375:F375"/>
    <mergeCell ref="G375:G375"/>
    <mergeCell ref="H375:H375"/>
    <mergeCell ref="M375:M375"/>
    <mergeCell ref="N375:N375"/>
    <mergeCell ref="O375:O375"/>
    <mergeCell ref="P375:P375"/>
    <mergeCell ref="Q375:Q375"/>
    <mergeCell ref="R375:R375"/>
    <mergeCell ref="S375:S375"/>
    <mergeCell ref="X375:X375"/>
    <mergeCell ref="Y375:Y375"/>
    <mergeCell ref="Z375:Z375"/>
    <mergeCell ref="AA375:AA375"/>
    <mergeCell ref="AB375:AB375"/>
    <mergeCell ref="AC375:AC375"/>
    <mergeCell ref="AD375:AD375"/>
    <mergeCell ref="AE375:AE375"/>
    <mergeCell ref="AF375:AF375"/>
    <mergeCell ref="A376:A376"/>
    <mergeCell ref="B376:B376"/>
    <mergeCell ref="C376:C376"/>
    <mergeCell ref="F376:F376"/>
    <mergeCell ref="G376:G376"/>
    <mergeCell ref="H376:H376"/>
    <mergeCell ref="M376:M376"/>
    <mergeCell ref="N376:N376"/>
    <mergeCell ref="O376:O376"/>
    <mergeCell ref="P376:P376"/>
    <mergeCell ref="Q376:Q376"/>
    <mergeCell ref="R376:R376"/>
    <mergeCell ref="S376:S376"/>
    <mergeCell ref="X376:X376"/>
    <mergeCell ref="Y376:Y376"/>
    <mergeCell ref="Z376:Z376"/>
    <mergeCell ref="AA376:AA376"/>
    <mergeCell ref="AB376:AB376"/>
    <mergeCell ref="AC376:AC376"/>
    <mergeCell ref="AD376:AD376"/>
    <mergeCell ref="AE376:AE376"/>
    <mergeCell ref="AF376:AF376"/>
    <mergeCell ref="A377:A377"/>
    <mergeCell ref="B377:B377"/>
    <mergeCell ref="C377:C377"/>
    <mergeCell ref="F377:F377"/>
    <mergeCell ref="G377:G377"/>
    <mergeCell ref="H377:H377"/>
    <mergeCell ref="M377:M377"/>
    <mergeCell ref="N377:N377"/>
    <mergeCell ref="O377:O377"/>
    <mergeCell ref="P377:P377"/>
    <mergeCell ref="Q377:Q377"/>
    <mergeCell ref="R377:R377"/>
    <mergeCell ref="S377:S377"/>
    <mergeCell ref="X377:X377"/>
    <mergeCell ref="Y377:Y377"/>
    <mergeCell ref="Z377:Z377"/>
    <mergeCell ref="AA377:AA377"/>
    <mergeCell ref="AB377:AB377"/>
    <mergeCell ref="AC377:AC377"/>
    <mergeCell ref="AD377:AD377"/>
    <mergeCell ref="AE377:AE377"/>
    <mergeCell ref="AF377:AF377"/>
    <mergeCell ref="A378:A378"/>
    <mergeCell ref="B378:B378"/>
    <mergeCell ref="C378:C378"/>
    <mergeCell ref="F378:F378"/>
    <mergeCell ref="G378:G378"/>
    <mergeCell ref="H378:H378"/>
    <mergeCell ref="M378:M378"/>
    <mergeCell ref="N378:N378"/>
    <mergeCell ref="O378:O378"/>
    <mergeCell ref="P378:P378"/>
    <mergeCell ref="Q378:Q378"/>
    <mergeCell ref="R378:R378"/>
    <mergeCell ref="S378:S378"/>
    <mergeCell ref="X378:X378"/>
    <mergeCell ref="Y378:Y378"/>
    <mergeCell ref="Z378:Z378"/>
    <mergeCell ref="AA378:AA378"/>
    <mergeCell ref="AB378:AB378"/>
    <mergeCell ref="AC378:AC378"/>
    <mergeCell ref="AD378:AD378"/>
    <mergeCell ref="AE378:AE378"/>
    <mergeCell ref="AF378:AF378"/>
    <mergeCell ref="A379:A379"/>
    <mergeCell ref="B379:B379"/>
    <mergeCell ref="C379:C379"/>
    <mergeCell ref="F379:F379"/>
    <mergeCell ref="G379:G379"/>
    <mergeCell ref="H379:H379"/>
    <mergeCell ref="M379:M379"/>
    <mergeCell ref="N379:N379"/>
    <mergeCell ref="O379:O379"/>
    <mergeCell ref="P379:P379"/>
    <mergeCell ref="Q379:Q379"/>
    <mergeCell ref="R379:R379"/>
    <mergeCell ref="S379:S379"/>
    <mergeCell ref="X379:X379"/>
    <mergeCell ref="Y379:Y379"/>
    <mergeCell ref="Z379:Z379"/>
    <mergeCell ref="AA379:AA379"/>
    <mergeCell ref="AB379:AB379"/>
    <mergeCell ref="AC379:AC379"/>
    <mergeCell ref="AD379:AD379"/>
    <mergeCell ref="AE379:AE379"/>
    <mergeCell ref="AF379:AF379"/>
    <mergeCell ref="A380:A380"/>
    <mergeCell ref="B380:B380"/>
    <mergeCell ref="C380:C380"/>
    <mergeCell ref="F380:F380"/>
    <mergeCell ref="G380:G380"/>
    <mergeCell ref="H380:H380"/>
    <mergeCell ref="M380:M380"/>
    <mergeCell ref="N380:N380"/>
    <mergeCell ref="O380:O380"/>
    <mergeCell ref="P380:P380"/>
    <mergeCell ref="Q380:Q380"/>
    <mergeCell ref="R380:R380"/>
    <mergeCell ref="S380:S380"/>
    <mergeCell ref="X380:X380"/>
    <mergeCell ref="Y380:Y380"/>
    <mergeCell ref="Z380:Z380"/>
    <mergeCell ref="AA380:AA380"/>
    <mergeCell ref="AB380:AB380"/>
    <mergeCell ref="AC380:AC380"/>
    <mergeCell ref="AD380:AD380"/>
    <mergeCell ref="AE380:AE380"/>
    <mergeCell ref="AF380:AF380"/>
    <mergeCell ref="A381:A381"/>
    <mergeCell ref="B381:B381"/>
    <mergeCell ref="C381:C381"/>
    <mergeCell ref="F381:F381"/>
    <mergeCell ref="G381:G381"/>
    <mergeCell ref="H381:H381"/>
    <mergeCell ref="M381:M381"/>
    <mergeCell ref="N381:N381"/>
    <mergeCell ref="O381:O381"/>
    <mergeCell ref="P381:P381"/>
    <mergeCell ref="Q381:Q381"/>
    <mergeCell ref="R381:R381"/>
    <mergeCell ref="S381:S381"/>
    <mergeCell ref="X381:X381"/>
    <mergeCell ref="Y381:Y381"/>
    <mergeCell ref="Z381:Z381"/>
    <mergeCell ref="AA381:AA381"/>
    <mergeCell ref="AB381:AB381"/>
    <mergeCell ref="AC381:AC381"/>
    <mergeCell ref="AD381:AD381"/>
    <mergeCell ref="AE381:AE381"/>
    <mergeCell ref="AF381:AF381"/>
    <mergeCell ref="A382:A382"/>
    <mergeCell ref="B382:B382"/>
    <mergeCell ref="C382:C382"/>
    <mergeCell ref="F382:F382"/>
    <mergeCell ref="G382:G382"/>
    <mergeCell ref="H382:H382"/>
    <mergeCell ref="M382:M382"/>
    <mergeCell ref="N382:N382"/>
    <mergeCell ref="O382:O382"/>
    <mergeCell ref="P382:P382"/>
    <mergeCell ref="Q382:Q382"/>
    <mergeCell ref="R382:R382"/>
    <mergeCell ref="S382:S382"/>
    <mergeCell ref="X382:X382"/>
    <mergeCell ref="Y382:Y382"/>
    <mergeCell ref="Z382:Z382"/>
    <mergeCell ref="AA382:AA382"/>
    <mergeCell ref="AB382:AB382"/>
    <mergeCell ref="AC382:AC382"/>
    <mergeCell ref="AD382:AD382"/>
    <mergeCell ref="AE382:AE382"/>
    <mergeCell ref="AF382:AF382"/>
    <mergeCell ref="A383:A383"/>
    <mergeCell ref="B383:B383"/>
    <mergeCell ref="C383:C383"/>
    <mergeCell ref="F383:F383"/>
    <mergeCell ref="G383:G383"/>
    <mergeCell ref="H383:H383"/>
    <mergeCell ref="M383:M383"/>
    <mergeCell ref="N383:N383"/>
    <mergeCell ref="O383:O383"/>
    <mergeCell ref="P383:P383"/>
    <mergeCell ref="Q383:Q383"/>
    <mergeCell ref="R383:R383"/>
    <mergeCell ref="S383:S383"/>
    <mergeCell ref="X383:X383"/>
    <mergeCell ref="Y383:Y383"/>
    <mergeCell ref="Z383:Z383"/>
    <mergeCell ref="AA383:AA383"/>
    <mergeCell ref="AB383:AB383"/>
    <mergeCell ref="AC383:AC383"/>
    <mergeCell ref="AD383:AD383"/>
    <mergeCell ref="AE383:AE383"/>
    <mergeCell ref="AF383:AF383"/>
    <mergeCell ref="A384:A384"/>
    <mergeCell ref="B384:B384"/>
    <mergeCell ref="C384:C384"/>
    <mergeCell ref="F384:F384"/>
    <mergeCell ref="G384:G384"/>
    <mergeCell ref="H384:H384"/>
    <mergeCell ref="M384:M384"/>
    <mergeCell ref="N384:N384"/>
    <mergeCell ref="O384:O384"/>
    <mergeCell ref="P384:P384"/>
    <mergeCell ref="Q384:Q384"/>
    <mergeCell ref="R384:R384"/>
    <mergeCell ref="S384:S384"/>
    <mergeCell ref="X384:X384"/>
    <mergeCell ref="Y384:Y384"/>
    <mergeCell ref="Z384:Z384"/>
    <mergeCell ref="AA384:AA384"/>
    <mergeCell ref="AB384:AB384"/>
    <mergeCell ref="AC384:AC384"/>
    <mergeCell ref="AD384:AD384"/>
    <mergeCell ref="AE384:AE384"/>
    <mergeCell ref="AF384:AF384"/>
    <mergeCell ref="A385:A385"/>
    <mergeCell ref="B385:B385"/>
    <mergeCell ref="C385:C385"/>
    <mergeCell ref="F385:F385"/>
    <mergeCell ref="G385:G385"/>
    <mergeCell ref="H385:H385"/>
    <mergeCell ref="M385:M385"/>
    <mergeCell ref="N385:N385"/>
    <mergeCell ref="O385:O385"/>
    <mergeCell ref="P385:P385"/>
    <mergeCell ref="Q385:Q385"/>
    <mergeCell ref="R385:R385"/>
    <mergeCell ref="S385:S385"/>
    <mergeCell ref="X385:X385"/>
    <mergeCell ref="Y385:Y385"/>
    <mergeCell ref="Z385:Z385"/>
    <mergeCell ref="AA385:AA385"/>
    <mergeCell ref="AB385:AB385"/>
    <mergeCell ref="AC385:AC385"/>
    <mergeCell ref="AD385:AD385"/>
    <mergeCell ref="AE385:AE385"/>
    <mergeCell ref="AF385:AF385"/>
    <mergeCell ref="A386:A386"/>
    <mergeCell ref="B386:B386"/>
    <mergeCell ref="C386:C386"/>
    <mergeCell ref="F386:F386"/>
    <mergeCell ref="G386:G386"/>
    <mergeCell ref="H386:H386"/>
    <mergeCell ref="M386:M386"/>
    <mergeCell ref="N386:N386"/>
    <mergeCell ref="O386:O386"/>
    <mergeCell ref="P386:P386"/>
    <mergeCell ref="Q386:Q386"/>
    <mergeCell ref="R386:R386"/>
    <mergeCell ref="S386:S386"/>
    <mergeCell ref="X386:X386"/>
    <mergeCell ref="Y386:Y386"/>
    <mergeCell ref="Z386:Z386"/>
    <mergeCell ref="AA386:AA386"/>
    <mergeCell ref="AB386:AB386"/>
    <mergeCell ref="AC386:AC386"/>
    <mergeCell ref="AD386:AD386"/>
    <mergeCell ref="AE386:AE386"/>
    <mergeCell ref="AF386:AF386"/>
    <mergeCell ref="A387:A387"/>
    <mergeCell ref="B387:B387"/>
    <mergeCell ref="C387:C387"/>
    <mergeCell ref="F387:F387"/>
    <mergeCell ref="G387:G387"/>
    <mergeCell ref="H387:H387"/>
    <mergeCell ref="M387:M387"/>
    <mergeCell ref="N387:N387"/>
    <mergeCell ref="O387:O387"/>
    <mergeCell ref="P387:P387"/>
    <mergeCell ref="Q387:Q387"/>
    <mergeCell ref="R387:R387"/>
    <mergeCell ref="S387:S387"/>
    <mergeCell ref="X387:X387"/>
    <mergeCell ref="Y387:Y387"/>
    <mergeCell ref="Z387:Z387"/>
    <mergeCell ref="AA387:AA387"/>
    <mergeCell ref="AB387:AB387"/>
    <mergeCell ref="AC387:AC387"/>
    <mergeCell ref="AD387:AD387"/>
    <mergeCell ref="AE387:AE387"/>
    <mergeCell ref="AF387:AF387"/>
    <mergeCell ref="A388:A388"/>
    <mergeCell ref="B388:B388"/>
    <mergeCell ref="C388:C388"/>
    <mergeCell ref="F388:F388"/>
    <mergeCell ref="G388:G388"/>
    <mergeCell ref="H388:H388"/>
    <mergeCell ref="M388:M388"/>
    <mergeCell ref="N388:N388"/>
    <mergeCell ref="O388:O388"/>
    <mergeCell ref="P388:P388"/>
    <mergeCell ref="Q388:Q388"/>
    <mergeCell ref="R388:R388"/>
    <mergeCell ref="S388:S388"/>
    <mergeCell ref="X388:X388"/>
    <mergeCell ref="Y388:Y388"/>
    <mergeCell ref="Z388:Z388"/>
    <mergeCell ref="AA388:AA388"/>
    <mergeCell ref="AB388:AB388"/>
    <mergeCell ref="AC388:AC388"/>
    <mergeCell ref="AD388:AD388"/>
    <mergeCell ref="AE388:AE388"/>
    <mergeCell ref="AF388:AF388"/>
    <mergeCell ref="A389:A389"/>
    <mergeCell ref="B389:B389"/>
    <mergeCell ref="C389:C389"/>
    <mergeCell ref="F389:F389"/>
    <mergeCell ref="G389:G389"/>
    <mergeCell ref="H389:H389"/>
    <mergeCell ref="M389:M389"/>
    <mergeCell ref="N389:N389"/>
    <mergeCell ref="O389:O389"/>
    <mergeCell ref="P389:P389"/>
    <mergeCell ref="Q389:Q389"/>
    <mergeCell ref="R389:R389"/>
    <mergeCell ref="S389:S389"/>
    <mergeCell ref="X389:X389"/>
    <mergeCell ref="Y389:Y389"/>
    <mergeCell ref="Z389:Z389"/>
    <mergeCell ref="AA389:AA389"/>
    <mergeCell ref="AB389:AB389"/>
    <mergeCell ref="AC389:AC389"/>
    <mergeCell ref="AD389:AD389"/>
    <mergeCell ref="AE389:AE389"/>
    <mergeCell ref="AF389:AF389"/>
    <mergeCell ref="A390:A390"/>
    <mergeCell ref="B390:B390"/>
    <mergeCell ref="C390:C390"/>
    <mergeCell ref="F390:F390"/>
    <mergeCell ref="G390:G390"/>
    <mergeCell ref="H390:H390"/>
    <mergeCell ref="M390:M390"/>
    <mergeCell ref="N390:N390"/>
    <mergeCell ref="O390:O390"/>
    <mergeCell ref="P390:P390"/>
    <mergeCell ref="Q390:Q390"/>
    <mergeCell ref="R390:R390"/>
    <mergeCell ref="S390:S390"/>
    <mergeCell ref="X390:X390"/>
    <mergeCell ref="Y390:Y390"/>
    <mergeCell ref="Z390:Z390"/>
    <mergeCell ref="AA390:AA390"/>
    <mergeCell ref="AB390:AB390"/>
    <mergeCell ref="AC390:AC390"/>
    <mergeCell ref="AD390:AD390"/>
    <mergeCell ref="AE390:AE390"/>
    <mergeCell ref="AF390:AF390"/>
    <mergeCell ref="A391:A391"/>
    <mergeCell ref="B391:B391"/>
    <mergeCell ref="C391:C391"/>
    <mergeCell ref="F391:F391"/>
    <mergeCell ref="G391:G391"/>
    <mergeCell ref="H391:H391"/>
    <mergeCell ref="M391:M391"/>
    <mergeCell ref="N391:N391"/>
    <mergeCell ref="O391:O391"/>
    <mergeCell ref="P391:P391"/>
    <mergeCell ref="Q391:Q391"/>
    <mergeCell ref="R391:R391"/>
    <mergeCell ref="S391:S391"/>
    <mergeCell ref="X391:X391"/>
    <mergeCell ref="Y391:Y391"/>
    <mergeCell ref="Z391:Z391"/>
    <mergeCell ref="AA391:AA391"/>
    <mergeCell ref="AB391:AB391"/>
    <mergeCell ref="AC391:AC391"/>
    <mergeCell ref="AD391:AD391"/>
    <mergeCell ref="AE391:AE391"/>
    <mergeCell ref="AF391:AF391"/>
    <mergeCell ref="A392:A392"/>
    <mergeCell ref="B392:B392"/>
    <mergeCell ref="C392:C392"/>
    <mergeCell ref="F392:F392"/>
    <mergeCell ref="G392:G392"/>
    <mergeCell ref="H392:H392"/>
    <mergeCell ref="M392:M392"/>
    <mergeCell ref="N392:N392"/>
    <mergeCell ref="O392:O392"/>
    <mergeCell ref="P392:P392"/>
    <mergeCell ref="Q392:Q392"/>
    <mergeCell ref="R392:R392"/>
    <mergeCell ref="S392:S392"/>
    <mergeCell ref="X392:X392"/>
    <mergeCell ref="Y392:Y392"/>
    <mergeCell ref="Z392:Z392"/>
    <mergeCell ref="AA392:AA392"/>
    <mergeCell ref="AB392:AB392"/>
    <mergeCell ref="AC392:AC392"/>
    <mergeCell ref="AD392:AD392"/>
    <mergeCell ref="AE392:AE392"/>
    <mergeCell ref="AF392:AF392"/>
    <mergeCell ref="A393:A393"/>
    <mergeCell ref="B393:B393"/>
    <mergeCell ref="C393:C393"/>
    <mergeCell ref="F393:F393"/>
    <mergeCell ref="G393:G393"/>
    <mergeCell ref="H393:H393"/>
    <mergeCell ref="M393:M393"/>
    <mergeCell ref="N393:N393"/>
    <mergeCell ref="O393:O393"/>
    <mergeCell ref="P393:P393"/>
    <mergeCell ref="Q393:Q393"/>
    <mergeCell ref="R393:R393"/>
    <mergeCell ref="S393:S393"/>
    <mergeCell ref="X393:X393"/>
    <mergeCell ref="Y393:Y393"/>
    <mergeCell ref="Z393:Z393"/>
    <mergeCell ref="AA393:AA393"/>
    <mergeCell ref="AB393:AB393"/>
    <mergeCell ref="AC393:AC393"/>
    <mergeCell ref="AD393:AD393"/>
    <mergeCell ref="AE393:AE393"/>
    <mergeCell ref="AF393:AF393"/>
    <mergeCell ref="A394:A394"/>
    <mergeCell ref="B394:B394"/>
    <mergeCell ref="C394:C394"/>
    <mergeCell ref="F394:F394"/>
    <mergeCell ref="G394:G394"/>
    <mergeCell ref="H394:H394"/>
    <mergeCell ref="M394:M394"/>
    <mergeCell ref="N394:N394"/>
    <mergeCell ref="O394:O394"/>
    <mergeCell ref="P394:P394"/>
    <mergeCell ref="Q394:Q394"/>
    <mergeCell ref="R394:R394"/>
    <mergeCell ref="S394:S394"/>
    <mergeCell ref="X394:X394"/>
    <mergeCell ref="Y394:Y394"/>
    <mergeCell ref="Z394:Z394"/>
    <mergeCell ref="AA394:AA394"/>
    <mergeCell ref="AB394:AB394"/>
    <mergeCell ref="AC394:AC394"/>
    <mergeCell ref="AD394:AD394"/>
    <mergeCell ref="AE394:AE394"/>
    <mergeCell ref="AF394:AF394"/>
    <mergeCell ref="A395:A395"/>
    <mergeCell ref="B395:B395"/>
    <mergeCell ref="C395:C395"/>
    <mergeCell ref="F395:F395"/>
    <mergeCell ref="G395:G395"/>
    <mergeCell ref="H395:H395"/>
    <mergeCell ref="M395:M395"/>
    <mergeCell ref="N395:N395"/>
    <mergeCell ref="O395:O395"/>
    <mergeCell ref="P395:P395"/>
    <mergeCell ref="Q395:Q395"/>
    <mergeCell ref="R395:R395"/>
    <mergeCell ref="S395:S395"/>
    <mergeCell ref="X395:X395"/>
    <mergeCell ref="Y395:Y395"/>
    <mergeCell ref="Z395:Z395"/>
    <mergeCell ref="AA395:AA395"/>
    <mergeCell ref="AB395:AB395"/>
    <mergeCell ref="AC395:AC395"/>
    <mergeCell ref="AD395:AD395"/>
    <mergeCell ref="AE395:AE395"/>
    <mergeCell ref="AF395:AF395"/>
    <mergeCell ref="A396:A396"/>
    <mergeCell ref="B396:B396"/>
    <mergeCell ref="C396:C396"/>
    <mergeCell ref="F396:F396"/>
    <mergeCell ref="G396:G396"/>
    <mergeCell ref="H396:H396"/>
    <mergeCell ref="M396:M396"/>
    <mergeCell ref="N396:N396"/>
    <mergeCell ref="O396:O396"/>
    <mergeCell ref="P396:P396"/>
    <mergeCell ref="Q396:Q396"/>
    <mergeCell ref="R396:R396"/>
    <mergeCell ref="S396:S396"/>
    <mergeCell ref="X396:X396"/>
    <mergeCell ref="Y396:Y396"/>
    <mergeCell ref="Z396:Z396"/>
    <mergeCell ref="AA396:AA396"/>
    <mergeCell ref="AB396:AB396"/>
    <mergeCell ref="AC396:AC396"/>
    <mergeCell ref="AD396:AD396"/>
    <mergeCell ref="AE396:AE396"/>
    <mergeCell ref="AF396:AF396"/>
    <mergeCell ref="A397:A397"/>
    <mergeCell ref="B397:B397"/>
    <mergeCell ref="C397:C397"/>
    <mergeCell ref="F397:F397"/>
    <mergeCell ref="G397:G397"/>
    <mergeCell ref="H397:H397"/>
    <mergeCell ref="M397:M397"/>
    <mergeCell ref="N397:N397"/>
    <mergeCell ref="O397:O397"/>
    <mergeCell ref="P397:P397"/>
    <mergeCell ref="Q397:Q397"/>
    <mergeCell ref="R397:R397"/>
    <mergeCell ref="S397:S397"/>
    <mergeCell ref="X397:X397"/>
    <mergeCell ref="Y397:Y397"/>
    <mergeCell ref="Z397:Z397"/>
    <mergeCell ref="AA397:AA397"/>
    <mergeCell ref="AB397:AB397"/>
    <mergeCell ref="AC397:AC397"/>
    <mergeCell ref="AD397:AD397"/>
    <mergeCell ref="AE397:AE397"/>
    <mergeCell ref="AF397:AF397"/>
    <mergeCell ref="A398:A398"/>
    <mergeCell ref="B398:B398"/>
    <mergeCell ref="C398:C398"/>
    <mergeCell ref="F398:F398"/>
    <mergeCell ref="G398:G398"/>
    <mergeCell ref="H398:H398"/>
    <mergeCell ref="M398:M398"/>
    <mergeCell ref="N398:N398"/>
    <mergeCell ref="O398:O398"/>
    <mergeCell ref="P398:P398"/>
    <mergeCell ref="Q398:Q398"/>
    <mergeCell ref="R398:R398"/>
    <mergeCell ref="S398:S398"/>
    <mergeCell ref="X398:X398"/>
    <mergeCell ref="Y398:Y398"/>
    <mergeCell ref="Z398:Z398"/>
    <mergeCell ref="AA398:AA398"/>
    <mergeCell ref="AB398:AB398"/>
    <mergeCell ref="AC398:AC398"/>
    <mergeCell ref="AD398:AD398"/>
    <mergeCell ref="AE398:AE398"/>
    <mergeCell ref="AF398:AF398"/>
    <mergeCell ref="A399:A399"/>
    <mergeCell ref="B399:B399"/>
    <mergeCell ref="C399:C399"/>
    <mergeCell ref="F399:F399"/>
    <mergeCell ref="G399:G399"/>
    <mergeCell ref="H399:H399"/>
    <mergeCell ref="M399:M399"/>
    <mergeCell ref="N399:N399"/>
    <mergeCell ref="O399:O399"/>
    <mergeCell ref="P399:P399"/>
    <mergeCell ref="Q399:Q399"/>
    <mergeCell ref="R399:R399"/>
    <mergeCell ref="S399:S399"/>
    <mergeCell ref="X399:X399"/>
    <mergeCell ref="Y399:Y399"/>
    <mergeCell ref="Z399:Z399"/>
    <mergeCell ref="AA399:AA399"/>
    <mergeCell ref="AB399:AB399"/>
    <mergeCell ref="AC399:AC399"/>
    <mergeCell ref="AD399:AD399"/>
    <mergeCell ref="AE399:AE399"/>
    <mergeCell ref="AF399:AF399"/>
    <mergeCell ref="A400:A400"/>
    <mergeCell ref="B400:B400"/>
    <mergeCell ref="C400:C400"/>
    <mergeCell ref="F400:F400"/>
    <mergeCell ref="G400:G400"/>
    <mergeCell ref="H400:H400"/>
    <mergeCell ref="M400:M400"/>
    <mergeCell ref="N400:N400"/>
    <mergeCell ref="O400:O400"/>
    <mergeCell ref="P400:P400"/>
    <mergeCell ref="Q400:Q400"/>
    <mergeCell ref="R400:R400"/>
    <mergeCell ref="S400:S400"/>
    <mergeCell ref="X400:X400"/>
    <mergeCell ref="Y400:Y400"/>
    <mergeCell ref="Z400:Z400"/>
    <mergeCell ref="AA400:AA400"/>
    <mergeCell ref="AB400:AB400"/>
    <mergeCell ref="AC400:AC400"/>
    <mergeCell ref="AD400:AD400"/>
    <mergeCell ref="AE400:AE400"/>
    <mergeCell ref="AF400:AF400"/>
    <mergeCell ref="A401:A401"/>
    <mergeCell ref="B401:B401"/>
    <mergeCell ref="C401:C401"/>
    <mergeCell ref="F401:F401"/>
    <mergeCell ref="G401:G401"/>
    <mergeCell ref="H401:H401"/>
    <mergeCell ref="M401:M401"/>
    <mergeCell ref="N401:N401"/>
    <mergeCell ref="O401:O401"/>
    <mergeCell ref="P401:P401"/>
    <mergeCell ref="Q401:Q401"/>
    <mergeCell ref="R401:R401"/>
    <mergeCell ref="S401:S401"/>
    <mergeCell ref="X401:X401"/>
    <mergeCell ref="Y401:Y401"/>
    <mergeCell ref="Z401:Z401"/>
    <mergeCell ref="AA401:AA401"/>
    <mergeCell ref="AB401:AB401"/>
    <mergeCell ref="AC401:AC401"/>
    <mergeCell ref="AD401:AD401"/>
    <mergeCell ref="AE401:AE401"/>
    <mergeCell ref="AF401:AF401"/>
    <mergeCell ref="A402:A402"/>
    <mergeCell ref="B402:B402"/>
    <mergeCell ref="C402:C402"/>
    <mergeCell ref="F402:F402"/>
    <mergeCell ref="G402:G402"/>
    <mergeCell ref="H402:H402"/>
    <mergeCell ref="M402:M402"/>
    <mergeCell ref="N402:N402"/>
    <mergeCell ref="O402:O402"/>
    <mergeCell ref="P402:P402"/>
    <mergeCell ref="Q402:Q402"/>
    <mergeCell ref="R402:R402"/>
    <mergeCell ref="S402:S402"/>
    <mergeCell ref="X402:X402"/>
    <mergeCell ref="Y402:Y402"/>
    <mergeCell ref="Z402:Z402"/>
    <mergeCell ref="AA402:AA402"/>
    <mergeCell ref="AB402:AB402"/>
    <mergeCell ref="AC402:AC402"/>
    <mergeCell ref="AD402:AD402"/>
    <mergeCell ref="AE402:AE402"/>
    <mergeCell ref="AF402:AF402"/>
    <mergeCell ref="A403:A403"/>
    <mergeCell ref="B403:B403"/>
    <mergeCell ref="C403:C403"/>
    <mergeCell ref="F403:F403"/>
    <mergeCell ref="G403:G403"/>
    <mergeCell ref="H403:H403"/>
    <mergeCell ref="M403:M403"/>
    <mergeCell ref="N403:N403"/>
    <mergeCell ref="O403:O403"/>
    <mergeCell ref="P403:P403"/>
    <mergeCell ref="Q403:Q403"/>
    <mergeCell ref="R403:R403"/>
    <mergeCell ref="S403:S403"/>
    <mergeCell ref="X403:X403"/>
    <mergeCell ref="Y403:Y403"/>
    <mergeCell ref="Z403:Z403"/>
    <mergeCell ref="AA403:AA403"/>
    <mergeCell ref="AB403:AB403"/>
    <mergeCell ref="AC403:AC403"/>
    <mergeCell ref="AD403:AD403"/>
    <mergeCell ref="AE403:AE403"/>
    <mergeCell ref="AF403:AF403"/>
    <mergeCell ref="A404:A404"/>
    <mergeCell ref="B404:B404"/>
    <mergeCell ref="C404:C404"/>
    <mergeCell ref="F404:F404"/>
    <mergeCell ref="G404:G404"/>
    <mergeCell ref="H404:H404"/>
    <mergeCell ref="M404:M404"/>
    <mergeCell ref="N404:N404"/>
    <mergeCell ref="O404:O404"/>
    <mergeCell ref="P404:P404"/>
    <mergeCell ref="Q404:Q404"/>
    <mergeCell ref="R404:R404"/>
    <mergeCell ref="S404:S404"/>
    <mergeCell ref="X404:X404"/>
    <mergeCell ref="Y404:Y404"/>
    <mergeCell ref="Z404:Z404"/>
    <mergeCell ref="AA404:AA404"/>
    <mergeCell ref="AB404:AB404"/>
    <mergeCell ref="AC404:AC404"/>
    <mergeCell ref="AD404:AD404"/>
    <mergeCell ref="AE404:AE404"/>
    <mergeCell ref="AF404:AF404"/>
    <mergeCell ref="A405:A405"/>
    <mergeCell ref="B405:B405"/>
    <mergeCell ref="C405:C405"/>
    <mergeCell ref="F405:F405"/>
    <mergeCell ref="G405:G405"/>
    <mergeCell ref="H405:H405"/>
    <mergeCell ref="M405:M405"/>
    <mergeCell ref="N405:N405"/>
    <mergeCell ref="O405:O405"/>
    <mergeCell ref="P405:P405"/>
    <mergeCell ref="Q405:Q405"/>
    <mergeCell ref="R405:R405"/>
    <mergeCell ref="S405:S405"/>
    <mergeCell ref="X405:X405"/>
    <mergeCell ref="Y405:Y405"/>
    <mergeCell ref="Z405:Z405"/>
    <mergeCell ref="AA405:AA405"/>
    <mergeCell ref="AB405:AB405"/>
    <mergeCell ref="AC405:AC405"/>
    <mergeCell ref="AD405:AD405"/>
    <mergeCell ref="AE405:AE405"/>
    <mergeCell ref="AF405:AF405"/>
    <mergeCell ref="A406:A406"/>
    <mergeCell ref="B406:B406"/>
    <mergeCell ref="C406:C406"/>
    <mergeCell ref="F406:F406"/>
    <mergeCell ref="G406:G406"/>
    <mergeCell ref="H406:H406"/>
    <mergeCell ref="M406:M406"/>
    <mergeCell ref="N406:N406"/>
    <mergeCell ref="O406:O406"/>
    <mergeCell ref="P406:P406"/>
    <mergeCell ref="Q406:Q406"/>
    <mergeCell ref="R406:R406"/>
    <mergeCell ref="S406:S406"/>
    <mergeCell ref="X406:X406"/>
    <mergeCell ref="Y406:Y406"/>
    <mergeCell ref="Z406:Z406"/>
    <mergeCell ref="AA406:AA406"/>
    <mergeCell ref="AB406:AB406"/>
    <mergeCell ref="AC406:AC406"/>
    <mergeCell ref="AD406:AD406"/>
    <mergeCell ref="AE406:AE406"/>
    <mergeCell ref="AF406:AF406"/>
    <mergeCell ref="A407:A407"/>
    <mergeCell ref="B407:B407"/>
    <mergeCell ref="C407:C407"/>
    <mergeCell ref="F407:F407"/>
    <mergeCell ref="G407:G407"/>
    <mergeCell ref="H407:H407"/>
    <mergeCell ref="M407:M407"/>
    <mergeCell ref="N407:N407"/>
    <mergeCell ref="O407:O407"/>
    <mergeCell ref="P407:P407"/>
    <mergeCell ref="Q407:Q407"/>
    <mergeCell ref="R407:R407"/>
    <mergeCell ref="S407:S407"/>
    <mergeCell ref="X407:X407"/>
    <mergeCell ref="Y407:Y407"/>
    <mergeCell ref="Z407:Z407"/>
    <mergeCell ref="AA407:AA407"/>
    <mergeCell ref="AB407:AB407"/>
    <mergeCell ref="AC407:AC407"/>
    <mergeCell ref="AD407:AD407"/>
    <mergeCell ref="AE407:AE407"/>
    <mergeCell ref="AF407:AF407"/>
    <mergeCell ref="A408:A408"/>
    <mergeCell ref="B408:B408"/>
    <mergeCell ref="C408:C408"/>
    <mergeCell ref="F408:F408"/>
    <mergeCell ref="G408:G408"/>
    <mergeCell ref="H408:H408"/>
    <mergeCell ref="M408:M408"/>
    <mergeCell ref="N408:N408"/>
    <mergeCell ref="O408:O408"/>
    <mergeCell ref="P408:P408"/>
    <mergeCell ref="Q408:Q408"/>
    <mergeCell ref="R408:R408"/>
    <mergeCell ref="S408:S408"/>
    <mergeCell ref="X408:X408"/>
    <mergeCell ref="Y408:Y408"/>
    <mergeCell ref="Z408:Z408"/>
    <mergeCell ref="AA408:AA408"/>
    <mergeCell ref="AB408:AB408"/>
    <mergeCell ref="AC408:AC408"/>
    <mergeCell ref="AD408:AD408"/>
    <mergeCell ref="AE408:AE408"/>
    <mergeCell ref="AF408:AF408"/>
    <mergeCell ref="A409:A409"/>
    <mergeCell ref="B409:B409"/>
    <mergeCell ref="C409:C409"/>
    <mergeCell ref="F409:F409"/>
    <mergeCell ref="G409:G409"/>
    <mergeCell ref="H409:H409"/>
    <mergeCell ref="M409:M409"/>
    <mergeCell ref="N409:N409"/>
    <mergeCell ref="O409:O409"/>
    <mergeCell ref="P409:P409"/>
    <mergeCell ref="Q409:Q409"/>
    <mergeCell ref="R409:R409"/>
    <mergeCell ref="S409:S409"/>
    <mergeCell ref="X409:X409"/>
    <mergeCell ref="Y409:Y409"/>
    <mergeCell ref="Z409:Z409"/>
    <mergeCell ref="AA409:AA409"/>
    <mergeCell ref="AB409:AB409"/>
    <mergeCell ref="AC409:AC409"/>
    <mergeCell ref="AD409:AD409"/>
    <mergeCell ref="AE409:AE409"/>
    <mergeCell ref="AF409:AF409"/>
    <mergeCell ref="A410:A410"/>
    <mergeCell ref="B410:B410"/>
    <mergeCell ref="C410:C410"/>
    <mergeCell ref="F410:F410"/>
    <mergeCell ref="G410:G410"/>
    <mergeCell ref="H410:H410"/>
    <mergeCell ref="M410:M410"/>
    <mergeCell ref="N410:N410"/>
    <mergeCell ref="O410:O410"/>
    <mergeCell ref="P410:P410"/>
    <mergeCell ref="Q410:Q410"/>
    <mergeCell ref="R410:R410"/>
    <mergeCell ref="S410:S410"/>
    <mergeCell ref="X410:X410"/>
    <mergeCell ref="Y410:Y410"/>
    <mergeCell ref="Z410:Z410"/>
    <mergeCell ref="AA410:AA410"/>
    <mergeCell ref="AB410:AB410"/>
    <mergeCell ref="AC410:AC410"/>
    <mergeCell ref="AD410:AD410"/>
    <mergeCell ref="AE410:AE410"/>
    <mergeCell ref="AF410:AF410"/>
    <mergeCell ref="A411:A411"/>
    <mergeCell ref="B411:B411"/>
    <mergeCell ref="C411:C411"/>
    <mergeCell ref="F411:F411"/>
    <mergeCell ref="G411:G411"/>
    <mergeCell ref="H411:H411"/>
    <mergeCell ref="M411:M411"/>
    <mergeCell ref="N411:N411"/>
    <mergeCell ref="O411:O411"/>
    <mergeCell ref="P411:P411"/>
    <mergeCell ref="Q411:Q411"/>
    <mergeCell ref="R411:R411"/>
    <mergeCell ref="S411:S411"/>
    <mergeCell ref="X411:X411"/>
    <mergeCell ref="Y411:Y411"/>
    <mergeCell ref="Z411:Z411"/>
    <mergeCell ref="AA411:AA411"/>
    <mergeCell ref="AB411:AB411"/>
    <mergeCell ref="AC411:AC411"/>
    <mergeCell ref="AD411:AD411"/>
    <mergeCell ref="AE411:AE411"/>
    <mergeCell ref="AF411:AF411"/>
    <mergeCell ref="A412:A412"/>
    <mergeCell ref="B412:B412"/>
    <mergeCell ref="C412:C412"/>
    <mergeCell ref="F412:F412"/>
    <mergeCell ref="G412:G412"/>
    <mergeCell ref="H412:H412"/>
    <mergeCell ref="M412:M412"/>
    <mergeCell ref="N412:N412"/>
    <mergeCell ref="O412:O412"/>
    <mergeCell ref="P412:P412"/>
    <mergeCell ref="Q412:Q412"/>
    <mergeCell ref="R412:R412"/>
    <mergeCell ref="S412:S412"/>
    <mergeCell ref="X412:X412"/>
    <mergeCell ref="Y412:Y412"/>
    <mergeCell ref="Z412:Z412"/>
    <mergeCell ref="AA412:AA412"/>
    <mergeCell ref="AB412:AB412"/>
    <mergeCell ref="AC412:AC412"/>
    <mergeCell ref="AD412:AD412"/>
    <mergeCell ref="AE412:AE412"/>
    <mergeCell ref="AF412:AF412"/>
    <mergeCell ref="A413:A413"/>
    <mergeCell ref="B413:B413"/>
    <mergeCell ref="C413:C413"/>
    <mergeCell ref="F413:F413"/>
    <mergeCell ref="G413:G413"/>
    <mergeCell ref="H413:H413"/>
    <mergeCell ref="M413:M413"/>
    <mergeCell ref="N413:N413"/>
    <mergeCell ref="O413:O413"/>
    <mergeCell ref="P413:P413"/>
    <mergeCell ref="Q413:Q413"/>
    <mergeCell ref="R413:R413"/>
    <mergeCell ref="S413:S413"/>
    <mergeCell ref="X413:X413"/>
    <mergeCell ref="Y413:Y413"/>
    <mergeCell ref="Z413:Z413"/>
    <mergeCell ref="AA413:AA413"/>
    <mergeCell ref="AB413:AB413"/>
    <mergeCell ref="AC413:AC413"/>
    <mergeCell ref="AD413:AD413"/>
    <mergeCell ref="AE413:AE413"/>
    <mergeCell ref="AF413:AF413"/>
    <mergeCell ref="A414:A414"/>
    <mergeCell ref="B414:B414"/>
    <mergeCell ref="C414:C414"/>
    <mergeCell ref="F414:F414"/>
    <mergeCell ref="G414:G414"/>
    <mergeCell ref="H414:H414"/>
    <mergeCell ref="M414:M414"/>
    <mergeCell ref="N414:N414"/>
    <mergeCell ref="O414:O414"/>
    <mergeCell ref="P414:P414"/>
    <mergeCell ref="Q414:Q414"/>
    <mergeCell ref="R414:R414"/>
    <mergeCell ref="S414:S414"/>
    <mergeCell ref="X414:X414"/>
    <mergeCell ref="Y414:Y414"/>
    <mergeCell ref="Z414:Z414"/>
    <mergeCell ref="AA414:AA414"/>
    <mergeCell ref="AB414:AB414"/>
    <mergeCell ref="AC414:AC414"/>
    <mergeCell ref="AD414:AD414"/>
    <mergeCell ref="AE414:AE414"/>
    <mergeCell ref="AF414:AF414"/>
    <mergeCell ref="A415:A415"/>
    <mergeCell ref="B415:B415"/>
    <mergeCell ref="C415:C415"/>
    <mergeCell ref="F415:F415"/>
    <mergeCell ref="G415:G415"/>
    <mergeCell ref="H415:H415"/>
    <mergeCell ref="M415:M415"/>
    <mergeCell ref="N415:N415"/>
    <mergeCell ref="O415:O415"/>
    <mergeCell ref="P415:P415"/>
    <mergeCell ref="Q415:Q415"/>
    <mergeCell ref="R415:R415"/>
    <mergeCell ref="S415:S415"/>
    <mergeCell ref="X415:X415"/>
    <mergeCell ref="Y415:Y415"/>
    <mergeCell ref="Z415:Z415"/>
    <mergeCell ref="AA415:AA415"/>
    <mergeCell ref="AB415:AB415"/>
    <mergeCell ref="AC415:AC415"/>
    <mergeCell ref="AD415:AD415"/>
    <mergeCell ref="AE415:AE415"/>
    <mergeCell ref="AF415:AF415"/>
    <mergeCell ref="A416:A416"/>
    <mergeCell ref="B416:B416"/>
    <mergeCell ref="C416:C416"/>
    <mergeCell ref="F416:F416"/>
    <mergeCell ref="G416:G416"/>
    <mergeCell ref="H416:H416"/>
    <mergeCell ref="M416:M416"/>
    <mergeCell ref="N416:N416"/>
    <mergeCell ref="O416:O416"/>
    <mergeCell ref="P416:P416"/>
    <mergeCell ref="Q416:Q416"/>
    <mergeCell ref="R416:R416"/>
    <mergeCell ref="S416:S416"/>
    <mergeCell ref="X416:X416"/>
    <mergeCell ref="Y416:Y416"/>
    <mergeCell ref="Z416:Z416"/>
    <mergeCell ref="AA416:AA416"/>
    <mergeCell ref="AB416:AB416"/>
    <mergeCell ref="AC416:AC416"/>
    <mergeCell ref="AD416:AD416"/>
    <mergeCell ref="AE416:AE416"/>
    <mergeCell ref="AF416:AF416"/>
    <mergeCell ref="A417:A417"/>
    <mergeCell ref="B417:B417"/>
    <mergeCell ref="C417:C417"/>
    <mergeCell ref="F417:F417"/>
    <mergeCell ref="G417:G417"/>
    <mergeCell ref="H417:H417"/>
    <mergeCell ref="M417:M417"/>
    <mergeCell ref="N417:N417"/>
    <mergeCell ref="O417:O417"/>
    <mergeCell ref="P417:P417"/>
    <mergeCell ref="Q417:Q417"/>
    <mergeCell ref="R417:R417"/>
    <mergeCell ref="S417:S417"/>
    <mergeCell ref="X417:X417"/>
    <mergeCell ref="Y417:Y417"/>
    <mergeCell ref="Z417:Z417"/>
    <mergeCell ref="AA417:AA417"/>
    <mergeCell ref="AB417:AB417"/>
    <mergeCell ref="AC417:AC417"/>
    <mergeCell ref="AD417:AD417"/>
    <mergeCell ref="AE417:AE417"/>
    <mergeCell ref="AF417:AF417"/>
    <mergeCell ref="A418:A418"/>
    <mergeCell ref="B418:B418"/>
    <mergeCell ref="C418:C418"/>
    <mergeCell ref="F418:F418"/>
    <mergeCell ref="G418:G418"/>
    <mergeCell ref="H418:H418"/>
    <mergeCell ref="M418:M418"/>
    <mergeCell ref="N418:N418"/>
    <mergeCell ref="O418:O418"/>
    <mergeCell ref="P418:P418"/>
    <mergeCell ref="Q418:Q418"/>
    <mergeCell ref="R418:R418"/>
    <mergeCell ref="S418:S418"/>
    <mergeCell ref="X418:X418"/>
    <mergeCell ref="Y418:Y418"/>
    <mergeCell ref="Z418:Z418"/>
    <mergeCell ref="AA418:AA418"/>
    <mergeCell ref="AB418:AB418"/>
    <mergeCell ref="AC418:AC418"/>
    <mergeCell ref="AD418:AD418"/>
    <mergeCell ref="AE418:AE418"/>
    <mergeCell ref="AF418:AF418"/>
    <mergeCell ref="A419:A419"/>
    <mergeCell ref="B419:B419"/>
    <mergeCell ref="C419:C419"/>
    <mergeCell ref="F419:F419"/>
    <mergeCell ref="G419:G419"/>
    <mergeCell ref="H419:H419"/>
    <mergeCell ref="M419:M419"/>
    <mergeCell ref="N419:N419"/>
    <mergeCell ref="O419:O419"/>
    <mergeCell ref="P419:P419"/>
    <mergeCell ref="Q419:Q419"/>
    <mergeCell ref="R419:R419"/>
    <mergeCell ref="S419:S419"/>
    <mergeCell ref="X419:X419"/>
    <mergeCell ref="Y419:Y419"/>
    <mergeCell ref="Z419:Z419"/>
    <mergeCell ref="AA419:AA419"/>
    <mergeCell ref="AB419:AB419"/>
    <mergeCell ref="AC419:AC419"/>
    <mergeCell ref="AD419:AD419"/>
    <mergeCell ref="AE419:AE419"/>
    <mergeCell ref="AF419:AF419"/>
    <mergeCell ref="A420:A420"/>
    <mergeCell ref="B420:B420"/>
    <mergeCell ref="C420:C420"/>
    <mergeCell ref="F420:F420"/>
    <mergeCell ref="G420:G420"/>
    <mergeCell ref="H420:H420"/>
    <mergeCell ref="M420:M420"/>
    <mergeCell ref="N420:N420"/>
    <mergeCell ref="O420:O420"/>
    <mergeCell ref="P420:P420"/>
    <mergeCell ref="Q420:Q420"/>
    <mergeCell ref="R420:R420"/>
    <mergeCell ref="S420:S420"/>
    <mergeCell ref="X420:X420"/>
    <mergeCell ref="Y420:Y420"/>
    <mergeCell ref="Z420:Z420"/>
    <mergeCell ref="AA420:AA420"/>
    <mergeCell ref="AB420:AB420"/>
    <mergeCell ref="AC420:AC420"/>
    <mergeCell ref="AD420:AD420"/>
    <mergeCell ref="AE420:AE420"/>
    <mergeCell ref="AF420:AF420"/>
    <mergeCell ref="A421:A421"/>
    <mergeCell ref="B421:B421"/>
    <mergeCell ref="C421:C421"/>
    <mergeCell ref="F421:F421"/>
    <mergeCell ref="G421:G421"/>
    <mergeCell ref="H421:H421"/>
    <mergeCell ref="M421:M421"/>
    <mergeCell ref="N421:N421"/>
    <mergeCell ref="O421:O421"/>
    <mergeCell ref="P421:P421"/>
    <mergeCell ref="Q421:Q421"/>
    <mergeCell ref="R421:R421"/>
    <mergeCell ref="S421:S421"/>
    <mergeCell ref="X421:X421"/>
    <mergeCell ref="Y421:Y421"/>
    <mergeCell ref="Z421:Z421"/>
    <mergeCell ref="AA421:AA421"/>
    <mergeCell ref="AB421:AB421"/>
    <mergeCell ref="AC421:AC421"/>
    <mergeCell ref="AD421:AD421"/>
    <mergeCell ref="AE421:AE421"/>
    <mergeCell ref="AF421:AF421"/>
    <mergeCell ref="A422:A422"/>
    <mergeCell ref="B422:B422"/>
    <mergeCell ref="C422:C422"/>
    <mergeCell ref="F422:F422"/>
    <mergeCell ref="G422:G422"/>
    <mergeCell ref="H422:H422"/>
    <mergeCell ref="M422:M422"/>
    <mergeCell ref="N422:N422"/>
    <mergeCell ref="O422:O422"/>
    <mergeCell ref="P422:P422"/>
    <mergeCell ref="Q422:Q422"/>
    <mergeCell ref="R422:R422"/>
    <mergeCell ref="S422:S422"/>
    <mergeCell ref="X422:X422"/>
    <mergeCell ref="Y422:Y422"/>
    <mergeCell ref="Z422:Z422"/>
    <mergeCell ref="AA422:AA422"/>
    <mergeCell ref="AB422:AB422"/>
    <mergeCell ref="AC422:AC422"/>
    <mergeCell ref="AD422:AD422"/>
    <mergeCell ref="AE422:AE422"/>
    <mergeCell ref="AF422:AF422"/>
    <mergeCell ref="A423:A423"/>
    <mergeCell ref="B423:B423"/>
    <mergeCell ref="C423:C423"/>
    <mergeCell ref="F423:F423"/>
    <mergeCell ref="G423:G423"/>
    <mergeCell ref="H423:H423"/>
    <mergeCell ref="M423:M423"/>
    <mergeCell ref="N423:N423"/>
    <mergeCell ref="O423:O423"/>
    <mergeCell ref="P423:P423"/>
    <mergeCell ref="Q423:Q423"/>
    <mergeCell ref="R423:R423"/>
    <mergeCell ref="S423:S423"/>
    <mergeCell ref="X423:X423"/>
    <mergeCell ref="Y423:Y423"/>
    <mergeCell ref="Z423:Z423"/>
    <mergeCell ref="AA423:AA423"/>
    <mergeCell ref="AB423:AB423"/>
    <mergeCell ref="AC423:AC423"/>
    <mergeCell ref="AD423:AD423"/>
    <mergeCell ref="AE423:AE423"/>
    <mergeCell ref="AF423:AF423"/>
    <mergeCell ref="A424:A424"/>
    <mergeCell ref="B424:B424"/>
    <mergeCell ref="C424:C424"/>
    <mergeCell ref="F424:F424"/>
    <mergeCell ref="G424:G424"/>
    <mergeCell ref="H424:H424"/>
    <mergeCell ref="M424:M424"/>
    <mergeCell ref="N424:N424"/>
    <mergeCell ref="O424:O424"/>
    <mergeCell ref="P424:P424"/>
    <mergeCell ref="Q424:Q424"/>
    <mergeCell ref="R424:R424"/>
    <mergeCell ref="S424:S424"/>
    <mergeCell ref="X424:X424"/>
    <mergeCell ref="Y424:Y424"/>
    <mergeCell ref="Z424:Z424"/>
    <mergeCell ref="AA424:AA424"/>
    <mergeCell ref="AB424:AB424"/>
    <mergeCell ref="AC424:AC424"/>
    <mergeCell ref="AD424:AD424"/>
    <mergeCell ref="AE424:AE424"/>
    <mergeCell ref="AF424:AF424"/>
    <mergeCell ref="A425:A425"/>
    <mergeCell ref="B425:B425"/>
    <mergeCell ref="C425:C425"/>
    <mergeCell ref="F425:F425"/>
    <mergeCell ref="G425:G425"/>
    <mergeCell ref="H425:H425"/>
    <mergeCell ref="M425:M425"/>
    <mergeCell ref="N425:N425"/>
    <mergeCell ref="O425:O425"/>
    <mergeCell ref="P425:P425"/>
    <mergeCell ref="Q425:Q425"/>
    <mergeCell ref="R425:R425"/>
    <mergeCell ref="S425:S425"/>
    <mergeCell ref="X425:X425"/>
    <mergeCell ref="Y425:Y425"/>
    <mergeCell ref="Z425:Z425"/>
    <mergeCell ref="AA425:AA425"/>
    <mergeCell ref="AB425:AB425"/>
    <mergeCell ref="AC425:AC425"/>
    <mergeCell ref="AD425:AD425"/>
    <mergeCell ref="AE425:AE425"/>
    <mergeCell ref="AF425:AF425"/>
    <mergeCell ref="A426:A426"/>
    <mergeCell ref="B426:B426"/>
    <mergeCell ref="C426:C426"/>
    <mergeCell ref="F426:F426"/>
    <mergeCell ref="G426:G426"/>
    <mergeCell ref="H426:H426"/>
    <mergeCell ref="M426:M426"/>
    <mergeCell ref="N426:N426"/>
    <mergeCell ref="O426:O426"/>
    <mergeCell ref="P426:P426"/>
    <mergeCell ref="Q426:Q426"/>
    <mergeCell ref="R426:R426"/>
    <mergeCell ref="S426:S426"/>
    <mergeCell ref="X426:X426"/>
    <mergeCell ref="Y426:Y426"/>
    <mergeCell ref="Z426:Z426"/>
    <mergeCell ref="AA426:AA426"/>
    <mergeCell ref="AB426:AB426"/>
    <mergeCell ref="AC426:AC426"/>
    <mergeCell ref="AD426:AD426"/>
    <mergeCell ref="AE426:AE426"/>
    <mergeCell ref="AF426:AF426"/>
    <mergeCell ref="A427:A427"/>
    <mergeCell ref="B427:B427"/>
    <mergeCell ref="C427:C427"/>
    <mergeCell ref="F427:F427"/>
    <mergeCell ref="G427:G427"/>
    <mergeCell ref="H427:H427"/>
    <mergeCell ref="M427:M427"/>
    <mergeCell ref="N427:N427"/>
    <mergeCell ref="O427:O427"/>
    <mergeCell ref="P427:P427"/>
    <mergeCell ref="Q427:Q427"/>
    <mergeCell ref="R427:R427"/>
    <mergeCell ref="S427:S427"/>
    <mergeCell ref="X427:X427"/>
    <mergeCell ref="Y427:Y427"/>
    <mergeCell ref="Z427:Z427"/>
    <mergeCell ref="AA427:AA427"/>
    <mergeCell ref="AB427:AB427"/>
    <mergeCell ref="AC427:AC427"/>
    <mergeCell ref="AD427:AD427"/>
    <mergeCell ref="AE427:AE427"/>
    <mergeCell ref="AF427:AF427"/>
    <mergeCell ref="A428:A428"/>
    <mergeCell ref="B428:B428"/>
    <mergeCell ref="C428:C428"/>
    <mergeCell ref="F428:F428"/>
    <mergeCell ref="G428:G428"/>
    <mergeCell ref="H428:H428"/>
    <mergeCell ref="M428:M428"/>
    <mergeCell ref="N428:N428"/>
    <mergeCell ref="O428:O428"/>
    <mergeCell ref="P428:P428"/>
    <mergeCell ref="Q428:Q428"/>
    <mergeCell ref="R428:R428"/>
    <mergeCell ref="S428:S428"/>
    <mergeCell ref="X428:X428"/>
    <mergeCell ref="Y428:Y428"/>
    <mergeCell ref="Z428:Z428"/>
    <mergeCell ref="AA428:AA428"/>
    <mergeCell ref="AB428:AB428"/>
    <mergeCell ref="AC428:AC428"/>
    <mergeCell ref="AD428:AD428"/>
    <mergeCell ref="AE428:AE428"/>
    <mergeCell ref="AF428:AF428"/>
    <mergeCell ref="A429:A429"/>
    <mergeCell ref="B429:B429"/>
    <mergeCell ref="C429:C429"/>
    <mergeCell ref="F429:F429"/>
    <mergeCell ref="G429:G429"/>
    <mergeCell ref="H429:H429"/>
    <mergeCell ref="M429:M429"/>
    <mergeCell ref="N429:N429"/>
    <mergeCell ref="O429:O429"/>
    <mergeCell ref="P429:P429"/>
    <mergeCell ref="Q429:Q429"/>
    <mergeCell ref="R429:R429"/>
    <mergeCell ref="S429:S429"/>
    <mergeCell ref="X429:X429"/>
    <mergeCell ref="Y429:Y429"/>
    <mergeCell ref="Z429:Z429"/>
    <mergeCell ref="AA429:AA429"/>
    <mergeCell ref="AB429:AB429"/>
    <mergeCell ref="AC429:AC429"/>
    <mergeCell ref="AD429:AD429"/>
    <mergeCell ref="AE429:AE429"/>
    <mergeCell ref="AF429:AF429"/>
    <mergeCell ref="A430:A430"/>
    <mergeCell ref="B430:B430"/>
    <mergeCell ref="C430:C430"/>
    <mergeCell ref="F430:F430"/>
    <mergeCell ref="G430:G430"/>
    <mergeCell ref="H430:H430"/>
    <mergeCell ref="M430:M430"/>
    <mergeCell ref="N430:N430"/>
    <mergeCell ref="O430:O430"/>
    <mergeCell ref="P430:P430"/>
    <mergeCell ref="Q430:Q430"/>
    <mergeCell ref="R430:R430"/>
    <mergeCell ref="S430:S430"/>
    <mergeCell ref="X430:X430"/>
    <mergeCell ref="Y430:Y430"/>
    <mergeCell ref="Z430:Z430"/>
    <mergeCell ref="AA430:AA430"/>
    <mergeCell ref="AB430:AB430"/>
    <mergeCell ref="AC430:AC430"/>
    <mergeCell ref="AD430:AD430"/>
    <mergeCell ref="AE430:AE430"/>
    <mergeCell ref="AF430:AF430"/>
    <mergeCell ref="A431:A431"/>
    <mergeCell ref="B431:B431"/>
    <mergeCell ref="C431:C431"/>
    <mergeCell ref="F431:F431"/>
    <mergeCell ref="G431:G431"/>
    <mergeCell ref="H431:H431"/>
    <mergeCell ref="M431:M431"/>
    <mergeCell ref="N431:N431"/>
    <mergeCell ref="O431:O431"/>
    <mergeCell ref="P431:P431"/>
    <mergeCell ref="Q431:Q431"/>
    <mergeCell ref="R431:R431"/>
    <mergeCell ref="S431:S431"/>
    <mergeCell ref="X431:X431"/>
    <mergeCell ref="Y431:Y431"/>
    <mergeCell ref="Z431:Z431"/>
    <mergeCell ref="AA431:AA431"/>
    <mergeCell ref="AB431:AB431"/>
    <mergeCell ref="AC431:AC431"/>
    <mergeCell ref="AD431:AD431"/>
    <mergeCell ref="AE431:AE431"/>
    <mergeCell ref="AF431:AF431"/>
    <mergeCell ref="A432:A432"/>
    <mergeCell ref="B432:B432"/>
    <mergeCell ref="C432:C432"/>
    <mergeCell ref="F432:F432"/>
    <mergeCell ref="G432:G432"/>
    <mergeCell ref="H432:H432"/>
    <mergeCell ref="M432:M432"/>
    <mergeCell ref="N432:N432"/>
    <mergeCell ref="O432:O432"/>
    <mergeCell ref="P432:P432"/>
    <mergeCell ref="Q432:Q432"/>
    <mergeCell ref="R432:R432"/>
    <mergeCell ref="S432:S432"/>
    <mergeCell ref="X432:X432"/>
    <mergeCell ref="Y432:Y432"/>
    <mergeCell ref="Z432:Z432"/>
    <mergeCell ref="AA432:AA432"/>
    <mergeCell ref="AB432:AB432"/>
    <mergeCell ref="AC432:AC432"/>
    <mergeCell ref="AD432:AD432"/>
    <mergeCell ref="AE432:AE432"/>
    <mergeCell ref="AF432:AF432"/>
    <mergeCell ref="A433:A433"/>
    <mergeCell ref="B433:B433"/>
    <mergeCell ref="C433:C433"/>
    <mergeCell ref="F433:F433"/>
    <mergeCell ref="G433:G433"/>
    <mergeCell ref="H433:H433"/>
    <mergeCell ref="M433:M433"/>
    <mergeCell ref="N433:N433"/>
    <mergeCell ref="O433:O433"/>
    <mergeCell ref="P433:P433"/>
    <mergeCell ref="Q433:Q433"/>
    <mergeCell ref="R433:R433"/>
    <mergeCell ref="S433:S433"/>
    <mergeCell ref="X433:X433"/>
    <mergeCell ref="Y433:Y433"/>
    <mergeCell ref="Z433:Z433"/>
    <mergeCell ref="AA433:AA433"/>
    <mergeCell ref="AB433:AB433"/>
    <mergeCell ref="AC433:AC433"/>
    <mergeCell ref="AD433:AD433"/>
    <mergeCell ref="AE433:AE433"/>
    <mergeCell ref="AF433:AF433"/>
    <mergeCell ref="A434:A434"/>
    <mergeCell ref="B434:B434"/>
    <mergeCell ref="C434:C434"/>
    <mergeCell ref="F434:F434"/>
    <mergeCell ref="G434:G434"/>
    <mergeCell ref="H434:H434"/>
    <mergeCell ref="M434:M434"/>
    <mergeCell ref="N434:N434"/>
    <mergeCell ref="O434:O434"/>
    <mergeCell ref="P434:P434"/>
    <mergeCell ref="Q434:Q434"/>
    <mergeCell ref="R434:R434"/>
    <mergeCell ref="S434:S434"/>
    <mergeCell ref="X434:X434"/>
    <mergeCell ref="Y434:Y434"/>
    <mergeCell ref="Z434:Z434"/>
    <mergeCell ref="AA434:AA434"/>
    <mergeCell ref="AB434:AB434"/>
    <mergeCell ref="AC434:AC434"/>
    <mergeCell ref="AD434:AD434"/>
    <mergeCell ref="AE434:AE434"/>
    <mergeCell ref="AF434:AF434"/>
    <mergeCell ref="A435:A435"/>
    <mergeCell ref="B435:B435"/>
    <mergeCell ref="C435:C435"/>
    <mergeCell ref="F435:F435"/>
    <mergeCell ref="G435:G435"/>
    <mergeCell ref="H435:H435"/>
    <mergeCell ref="M435:M435"/>
    <mergeCell ref="N435:N435"/>
    <mergeCell ref="O435:O435"/>
    <mergeCell ref="P435:P435"/>
    <mergeCell ref="Q435:Q435"/>
    <mergeCell ref="R435:R435"/>
    <mergeCell ref="S435:S435"/>
    <mergeCell ref="X435:X435"/>
    <mergeCell ref="Y435:Y435"/>
    <mergeCell ref="Z435:Z435"/>
    <mergeCell ref="AA435:AA435"/>
    <mergeCell ref="AB435:AB435"/>
    <mergeCell ref="AC435:AC435"/>
    <mergeCell ref="AD435:AD435"/>
    <mergeCell ref="AE435:AE435"/>
    <mergeCell ref="AF435:AF435"/>
    <mergeCell ref="A436:A436"/>
    <mergeCell ref="B436:B436"/>
    <mergeCell ref="C436:C436"/>
    <mergeCell ref="F436:F436"/>
    <mergeCell ref="G436:G436"/>
    <mergeCell ref="H436:H436"/>
    <mergeCell ref="M436:M436"/>
    <mergeCell ref="N436:N436"/>
    <mergeCell ref="O436:O436"/>
    <mergeCell ref="P436:P436"/>
    <mergeCell ref="Q436:Q436"/>
    <mergeCell ref="R436:R436"/>
    <mergeCell ref="S436:S436"/>
    <mergeCell ref="X436:X436"/>
    <mergeCell ref="Y436:Y436"/>
    <mergeCell ref="Z436:Z436"/>
    <mergeCell ref="AA436:AA436"/>
    <mergeCell ref="AB436:AB436"/>
    <mergeCell ref="AC436:AC436"/>
    <mergeCell ref="AD436:AD436"/>
    <mergeCell ref="AE436:AE436"/>
    <mergeCell ref="AF436:AF436"/>
    <mergeCell ref="A437:A437"/>
    <mergeCell ref="B437:B437"/>
    <mergeCell ref="C437:C437"/>
    <mergeCell ref="F437:F437"/>
    <mergeCell ref="G437:G437"/>
    <mergeCell ref="H437:H437"/>
    <mergeCell ref="M437:M437"/>
    <mergeCell ref="N437:N437"/>
    <mergeCell ref="O437:O437"/>
    <mergeCell ref="P437:P437"/>
    <mergeCell ref="Q437:Q437"/>
    <mergeCell ref="R437:R437"/>
    <mergeCell ref="S437:S437"/>
    <mergeCell ref="X437:X437"/>
    <mergeCell ref="Y437:Y437"/>
    <mergeCell ref="Z437:Z437"/>
    <mergeCell ref="AA437:AA437"/>
    <mergeCell ref="AB437:AB437"/>
    <mergeCell ref="AC437:AC437"/>
    <mergeCell ref="AD437:AD437"/>
    <mergeCell ref="AE437:AE437"/>
    <mergeCell ref="AF437:AF437"/>
    <mergeCell ref="A438:A438"/>
    <mergeCell ref="B438:B438"/>
    <mergeCell ref="C438:C438"/>
    <mergeCell ref="F438:F438"/>
    <mergeCell ref="G438:G438"/>
    <mergeCell ref="H438:H438"/>
    <mergeCell ref="M438:M438"/>
    <mergeCell ref="N438:N438"/>
    <mergeCell ref="O438:O438"/>
    <mergeCell ref="P438:P438"/>
    <mergeCell ref="Q438:Q438"/>
    <mergeCell ref="R438:R438"/>
    <mergeCell ref="S438:S438"/>
    <mergeCell ref="X438:X438"/>
    <mergeCell ref="Y438:Y438"/>
    <mergeCell ref="Z438:Z438"/>
    <mergeCell ref="AA438:AA438"/>
    <mergeCell ref="AB438:AB438"/>
    <mergeCell ref="AC438:AC438"/>
    <mergeCell ref="AD438:AD438"/>
    <mergeCell ref="AE438:AE438"/>
    <mergeCell ref="AF438:AF438"/>
    <mergeCell ref="A439:A439"/>
    <mergeCell ref="B439:B439"/>
    <mergeCell ref="C439:C439"/>
    <mergeCell ref="F439:F439"/>
    <mergeCell ref="G439:G439"/>
    <mergeCell ref="H439:H439"/>
    <mergeCell ref="M439:M439"/>
    <mergeCell ref="N439:N439"/>
    <mergeCell ref="O439:O439"/>
    <mergeCell ref="P439:P439"/>
    <mergeCell ref="Q439:Q439"/>
    <mergeCell ref="R439:R439"/>
    <mergeCell ref="S439:S439"/>
    <mergeCell ref="X439:X439"/>
    <mergeCell ref="Y439:Y439"/>
    <mergeCell ref="Z439:Z439"/>
    <mergeCell ref="AA439:AA439"/>
    <mergeCell ref="AB439:AB439"/>
    <mergeCell ref="AC439:AC439"/>
    <mergeCell ref="AD439:AD439"/>
    <mergeCell ref="AE439:AE439"/>
    <mergeCell ref="AF439:AF439"/>
    <mergeCell ref="A440:A440"/>
    <mergeCell ref="B440:B440"/>
    <mergeCell ref="C440:C440"/>
    <mergeCell ref="F440:F440"/>
    <mergeCell ref="G440:G440"/>
    <mergeCell ref="H440:H440"/>
    <mergeCell ref="M440:M440"/>
    <mergeCell ref="N440:N440"/>
    <mergeCell ref="O440:O440"/>
    <mergeCell ref="P440:P440"/>
    <mergeCell ref="Q440:Q440"/>
    <mergeCell ref="R440:R440"/>
    <mergeCell ref="S440:S440"/>
    <mergeCell ref="X440:X440"/>
    <mergeCell ref="Y440:Y440"/>
    <mergeCell ref="Z440:Z440"/>
    <mergeCell ref="AA440:AA440"/>
    <mergeCell ref="AB440:AB440"/>
    <mergeCell ref="AC440:AC440"/>
    <mergeCell ref="AD440:AD440"/>
    <mergeCell ref="AE440:AE440"/>
    <mergeCell ref="AF440:AF440"/>
    <mergeCell ref="A441:A441"/>
    <mergeCell ref="B441:B441"/>
    <mergeCell ref="C441:C441"/>
    <mergeCell ref="F441:F441"/>
    <mergeCell ref="G441:G441"/>
    <mergeCell ref="H441:H441"/>
    <mergeCell ref="M441:M441"/>
    <mergeCell ref="N441:N441"/>
    <mergeCell ref="O441:O441"/>
    <mergeCell ref="P441:P441"/>
    <mergeCell ref="Q441:Q441"/>
    <mergeCell ref="R441:R441"/>
    <mergeCell ref="S441:S441"/>
    <mergeCell ref="X441:X441"/>
    <mergeCell ref="Y441:Y441"/>
    <mergeCell ref="Z441:Z441"/>
    <mergeCell ref="AA441:AA441"/>
    <mergeCell ref="AB441:AB441"/>
    <mergeCell ref="AC441:AC441"/>
    <mergeCell ref="AD441:AD441"/>
    <mergeCell ref="AE441:AE441"/>
    <mergeCell ref="AF441:AF441"/>
    <mergeCell ref="A442:A442"/>
    <mergeCell ref="B442:B442"/>
    <mergeCell ref="C442:C442"/>
    <mergeCell ref="F442:F442"/>
    <mergeCell ref="G442:G442"/>
    <mergeCell ref="H442:H442"/>
    <mergeCell ref="M442:M442"/>
    <mergeCell ref="N442:N442"/>
    <mergeCell ref="O442:O442"/>
    <mergeCell ref="P442:P442"/>
    <mergeCell ref="Q442:Q442"/>
    <mergeCell ref="R442:R442"/>
    <mergeCell ref="S442:S442"/>
    <mergeCell ref="X442:X442"/>
    <mergeCell ref="Y442:Y442"/>
    <mergeCell ref="Z442:Z442"/>
    <mergeCell ref="AA442:AA442"/>
    <mergeCell ref="AB442:AB442"/>
    <mergeCell ref="AC442:AC442"/>
    <mergeCell ref="AD442:AD442"/>
    <mergeCell ref="AE442:AE442"/>
    <mergeCell ref="AF442:AF442"/>
    <mergeCell ref="A443:A443"/>
    <mergeCell ref="B443:B443"/>
    <mergeCell ref="C443:C443"/>
    <mergeCell ref="F443:F443"/>
    <mergeCell ref="G443:G443"/>
    <mergeCell ref="H443:H443"/>
    <mergeCell ref="M443:M443"/>
    <mergeCell ref="N443:N443"/>
    <mergeCell ref="O443:O443"/>
    <mergeCell ref="P443:P443"/>
    <mergeCell ref="Q443:Q443"/>
    <mergeCell ref="R443:R443"/>
    <mergeCell ref="S443:S443"/>
    <mergeCell ref="X443:X443"/>
    <mergeCell ref="Y443:Y443"/>
    <mergeCell ref="Z443:Z443"/>
    <mergeCell ref="AA443:AA443"/>
    <mergeCell ref="AB443:AB443"/>
    <mergeCell ref="AC443:AC443"/>
    <mergeCell ref="AD443:AD443"/>
    <mergeCell ref="AE443:AE443"/>
    <mergeCell ref="AF443:AF443"/>
    <mergeCell ref="A444:A444"/>
    <mergeCell ref="B444:B444"/>
    <mergeCell ref="C444:C444"/>
    <mergeCell ref="F444:F444"/>
    <mergeCell ref="G444:G444"/>
    <mergeCell ref="H444:H444"/>
    <mergeCell ref="M444:M444"/>
    <mergeCell ref="N444:N444"/>
    <mergeCell ref="O444:O444"/>
    <mergeCell ref="P444:P444"/>
    <mergeCell ref="Q444:Q444"/>
    <mergeCell ref="R444:R444"/>
    <mergeCell ref="S444:S444"/>
    <mergeCell ref="X444:X444"/>
    <mergeCell ref="Y444:Y444"/>
    <mergeCell ref="Z444:Z444"/>
    <mergeCell ref="AA444:AA444"/>
    <mergeCell ref="AB444:AB444"/>
    <mergeCell ref="AC444:AC444"/>
    <mergeCell ref="AD444:AD444"/>
    <mergeCell ref="AE444:AE444"/>
    <mergeCell ref="AF444:AF444"/>
    <mergeCell ref="A445:A445"/>
    <mergeCell ref="B445:B445"/>
    <mergeCell ref="C445:C445"/>
    <mergeCell ref="F445:F445"/>
    <mergeCell ref="G445:G445"/>
    <mergeCell ref="H445:H445"/>
    <mergeCell ref="M445:M445"/>
    <mergeCell ref="N445:N445"/>
    <mergeCell ref="O445:O445"/>
    <mergeCell ref="P445:P445"/>
    <mergeCell ref="Q445:Q445"/>
    <mergeCell ref="R445:R445"/>
    <mergeCell ref="S445:S445"/>
    <mergeCell ref="X445:X445"/>
    <mergeCell ref="Y445:Y445"/>
    <mergeCell ref="Z445:Z445"/>
    <mergeCell ref="AA445:AA445"/>
    <mergeCell ref="AB445:AB445"/>
    <mergeCell ref="AC445:AC445"/>
    <mergeCell ref="AD445:AD445"/>
    <mergeCell ref="AE445:AE445"/>
    <mergeCell ref="AF445:AF445"/>
    <mergeCell ref="A446:A446"/>
    <mergeCell ref="B446:B446"/>
    <mergeCell ref="C446:C446"/>
    <mergeCell ref="F446:F446"/>
    <mergeCell ref="G446:G446"/>
    <mergeCell ref="H446:H446"/>
    <mergeCell ref="M446:M446"/>
    <mergeCell ref="N446:N446"/>
    <mergeCell ref="O446:O446"/>
    <mergeCell ref="P446:P446"/>
    <mergeCell ref="Q446:Q446"/>
    <mergeCell ref="R446:R446"/>
    <mergeCell ref="S446:S446"/>
    <mergeCell ref="X446:X446"/>
    <mergeCell ref="Y446:Y446"/>
    <mergeCell ref="Z446:Z446"/>
    <mergeCell ref="AA446:AA446"/>
    <mergeCell ref="AB446:AB446"/>
    <mergeCell ref="AC446:AC446"/>
    <mergeCell ref="AD446:AD446"/>
    <mergeCell ref="AE446:AE446"/>
    <mergeCell ref="AF446:AF446"/>
    <mergeCell ref="A447:A447"/>
    <mergeCell ref="B447:B447"/>
    <mergeCell ref="C447:C447"/>
    <mergeCell ref="F447:F447"/>
    <mergeCell ref="G447:G447"/>
    <mergeCell ref="H447:H447"/>
    <mergeCell ref="M447:M447"/>
    <mergeCell ref="N447:N447"/>
    <mergeCell ref="O447:O447"/>
    <mergeCell ref="P447:P447"/>
    <mergeCell ref="Q447:Q447"/>
    <mergeCell ref="R447:R447"/>
    <mergeCell ref="S447:S447"/>
    <mergeCell ref="X447:X447"/>
    <mergeCell ref="Y447:Y447"/>
    <mergeCell ref="Z447:Z447"/>
    <mergeCell ref="AA447:AA447"/>
    <mergeCell ref="AB447:AB447"/>
    <mergeCell ref="AC447:AC447"/>
    <mergeCell ref="AD447:AD447"/>
    <mergeCell ref="AE447:AE447"/>
    <mergeCell ref="AF447:AF447"/>
    <mergeCell ref="A448:A448"/>
    <mergeCell ref="B448:B448"/>
    <mergeCell ref="C448:C448"/>
    <mergeCell ref="F448:F448"/>
    <mergeCell ref="G448:G448"/>
    <mergeCell ref="H448:H448"/>
    <mergeCell ref="M448:M448"/>
    <mergeCell ref="N448:N448"/>
    <mergeCell ref="O448:O448"/>
    <mergeCell ref="P448:P448"/>
    <mergeCell ref="Q448:Q448"/>
    <mergeCell ref="R448:R448"/>
    <mergeCell ref="S448:S448"/>
    <mergeCell ref="X448:X448"/>
    <mergeCell ref="Y448:Y448"/>
    <mergeCell ref="Z448:Z448"/>
    <mergeCell ref="AA448:AA448"/>
    <mergeCell ref="AB448:AB448"/>
    <mergeCell ref="AC448:AC448"/>
    <mergeCell ref="AD448:AD448"/>
    <mergeCell ref="AE448:AE448"/>
    <mergeCell ref="AF448:AF448"/>
    <mergeCell ref="A449:A449"/>
    <mergeCell ref="B449:B449"/>
    <mergeCell ref="C449:C449"/>
    <mergeCell ref="F449:F449"/>
    <mergeCell ref="G449:G449"/>
    <mergeCell ref="H449:H449"/>
    <mergeCell ref="M449:M449"/>
    <mergeCell ref="N449:N449"/>
    <mergeCell ref="O449:O449"/>
    <mergeCell ref="P449:P449"/>
    <mergeCell ref="Q449:Q449"/>
    <mergeCell ref="R449:R449"/>
    <mergeCell ref="S449:S449"/>
    <mergeCell ref="X449:X449"/>
    <mergeCell ref="Y449:Y449"/>
    <mergeCell ref="Z449:Z449"/>
    <mergeCell ref="AA449:AA449"/>
    <mergeCell ref="AB449:AB449"/>
    <mergeCell ref="AC449:AC449"/>
    <mergeCell ref="AD449:AD449"/>
    <mergeCell ref="AE449:AE449"/>
    <mergeCell ref="AF449:AF449"/>
    <mergeCell ref="A450:A450"/>
    <mergeCell ref="B450:B450"/>
    <mergeCell ref="C450:C450"/>
    <mergeCell ref="F450:F450"/>
    <mergeCell ref="G450:G450"/>
    <mergeCell ref="H450:H450"/>
    <mergeCell ref="M450:M450"/>
    <mergeCell ref="N450:N450"/>
    <mergeCell ref="O450:O450"/>
    <mergeCell ref="P450:P450"/>
    <mergeCell ref="Q450:Q450"/>
    <mergeCell ref="R450:R450"/>
    <mergeCell ref="S450:S450"/>
    <mergeCell ref="X450:X450"/>
    <mergeCell ref="Y450:Y450"/>
    <mergeCell ref="Z450:Z450"/>
    <mergeCell ref="AA450:AA450"/>
    <mergeCell ref="AB450:AB450"/>
    <mergeCell ref="AC450:AC450"/>
    <mergeCell ref="AD450:AD450"/>
    <mergeCell ref="AE450:AE450"/>
    <mergeCell ref="AF450:AF450"/>
    <mergeCell ref="A451:A451"/>
    <mergeCell ref="B451:B451"/>
    <mergeCell ref="C451:C451"/>
    <mergeCell ref="F451:F451"/>
    <mergeCell ref="G451:G451"/>
    <mergeCell ref="H451:H451"/>
    <mergeCell ref="M451:M451"/>
    <mergeCell ref="N451:N451"/>
    <mergeCell ref="O451:O451"/>
    <mergeCell ref="P451:P451"/>
    <mergeCell ref="Q451:Q451"/>
    <mergeCell ref="R451:R451"/>
    <mergeCell ref="S451:S451"/>
    <mergeCell ref="X451:X451"/>
    <mergeCell ref="Y451:Y451"/>
    <mergeCell ref="Z451:Z451"/>
    <mergeCell ref="AA451:AA451"/>
    <mergeCell ref="AB451:AB451"/>
    <mergeCell ref="AC451:AC451"/>
    <mergeCell ref="AD451:AD451"/>
    <mergeCell ref="AE451:AE451"/>
    <mergeCell ref="AF451:AF451"/>
    <mergeCell ref="A452:A452"/>
    <mergeCell ref="B452:B452"/>
    <mergeCell ref="C452:C452"/>
    <mergeCell ref="F452:F452"/>
    <mergeCell ref="G452:G452"/>
    <mergeCell ref="H452:H452"/>
    <mergeCell ref="M452:M452"/>
    <mergeCell ref="N452:N452"/>
    <mergeCell ref="O452:O452"/>
    <mergeCell ref="P452:P452"/>
    <mergeCell ref="Q452:Q452"/>
    <mergeCell ref="R452:R452"/>
    <mergeCell ref="S452:S452"/>
    <mergeCell ref="X452:X452"/>
    <mergeCell ref="Y452:Y452"/>
    <mergeCell ref="Z452:Z452"/>
    <mergeCell ref="AA452:AA452"/>
    <mergeCell ref="AB452:AB452"/>
    <mergeCell ref="AC452:AC452"/>
    <mergeCell ref="AD452:AD452"/>
    <mergeCell ref="AE452:AE452"/>
    <mergeCell ref="AF452:AF452"/>
    <mergeCell ref="A453:A453"/>
    <mergeCell ref="B453:B453"/>
    <mergeCell ref="C453:C453"/>
    <mergeCell ref="F453:F453"/>
    <mergeCell ref="G453:G453"/>
    <mergeCell ref="H453:H453"/>
    <mergeCell ref="M453:M453"/>
    <mergeCell ref="N453:N453"/>
    <mergeCell ref="O453:O453"/>
    <mergeCell ref="P453:P453"/>
    <mergeCell ref="Q453:Q453"/>
    <mergeCell ref="R453:R453"/>
    <mergeCell ref="S453:S453"/>
    <mergeCell ref="X453:X453"/>
    <mergeCell ref="Y453:Y453"/>
    <mergeCell ref="Z453:Z453"/>
    <mergeCell ref="AA453:AA453"/>
    <mergeCell ref="AB453:AB453"/>
    <mergeCell ref="AC453:AC453"/>
    <mergeCell ref="AD453:AD453"/>
    <mergeCell ref="AE453:AE453"/>
    <mergeCell ref="AF453:AF453"/>
    <mergeCell ref="A454:A454"/>
    <mergeCell ref="B454:B454"/>
    <mergeCell ref="C454:C454"/>
    <mergeCell ref="F454:F454"/>
    <mergeCell ref="G454:G454"/>
    <mergeCell ref="H454:H454"/>
    <mergeCell ref="M454:M454"/>
    <mergeCell ref="N454:N454"/>
    <mergeCell ref="O454:O454"/>
    <mergeCell ref="P454:P454"/>
    <mergeCell ref="Q454:Q454"/>
    <mergeCell ref="R454:R454"/>
    <mergeCell ref="S454:S454"/>
    <mergeCell ref="X454:X454"/>
    <mergeCell ref="Y454:Y454"/>
    <mergeCell ref="Z454:Z454"/>
    <mergeCell ref="AA454:AA454"/>
    <mergeCell ref="AB454:AB454"/>
    <mergeCell ref="AC454:AC454"/>
    <mergeCell ref="AD454:AD454"/>
    <mergeCell ref="AE454:AE454"/>
    <mergeCell ref="AF454:AF454"/>
    <mergeCell ref="A455:A455"/>
    <mergeCell ref="B455:B455"/>
    <mergeCell ref="C455:C455"/>
    <mergeCell ref="F455:F455"/>
    <mergeCell ref="G455:G455"/>
    <mergeCell ref="H455:H455"/>
    <mergeCell ref="M455:M455"/>
    <mergeCell ref="N455:N455"/>
    <mergeCell ref="O455:O455"/>
    <mergeCell ref="P455:P455"/>
    <mergeCell ref="Q455:Q455"/>
    <mergeCell ref="R455:R455"/>
    <mergeCell ref="S455:S455"/>
    <mergeCell ref="X455:X455"/>
    <mergeCell ref="Y455:Y455"/>
    <mergeCell ref="Z455:Z455"/>
    <mergeCell ref="AA455:AA455"/>
    <mergeCell ref="AB455:AB455"/>
    <mergeCell ref="AC455:AC455"/>
    <mergeCell ref="AD455:AD455"/>
    <mergeCell ref="AE455:AE455"/>
    <mergeCell ref="AF455:AF455"/>
    <mergeCell ref="A456:A456"/>
    <mergeCell ref="B456:B456"/>
    <mergeCell ref="C456:C456"/>
    <mergeCell ref="F456:F456"/>
    <mergeCell ref="G456:G456"/>
    <mergeCell ref="H456:H456"/>
    <mergeCell ref="M456:M456"/>
    <mergeCell ref="N456:N456"/>
    <mergeCell ref="O456:O456"/>
    <mergeCell ref="P456:P456"/>
    <mergeCell ref="Q456:Q456"/>
    <mergeCell ref="R456:R456"/>
    <mergeCell ref="S456:S456"/>
    <mergeCell ref="X456:X456"/>
    <mergeCell ref="Y456:Y456"/>
    <mergeCell ref="Z456:Z456"/>
    <mergeCell ref="AA456:AA456"/>
    <mergeCell ref="AB456:AB456"/>
    <mergeCell ref="AC456:AC456"/>
    <mergeCell ref="AD456:AD456"/>
    <mergeCell ref="AE456:AE456"/>
    <mergeCell ref="AF456:AF456"/>
    <mergeCell ref="A457:A457"/>
    <mergeCell ref="B457:B457"/>
    <mergeCell ref="C457:C457"/>
    <mergeCell ref="F457:F457"/>
    <mergeCell ref="G457:G457"/>
    <mergeCell ref="H457:H457"/>
    <mergeCell ref="M457:M457"/>
    <mergeCell ref="N457:N457"/>
    <mergeCell ref="O457:O457"/>
    <mergeCell ref="P457:P457"/>
    <mergeCell ref="Q457:Q457"/>
    <mergeCell ref="R457:R457"/>
    <mergeCell ref="S457:S457"/>
    <mergeCell ref="X457:X457"/>
    <mergeCell ref="Y457:Y457"/>
    <mergeCell ref="Z457:Z457"/>
    <mergeCell ref="AA457:AA457"/>
    <mergeCell ref="AB457:AB457"/>
    <mergeCell ref="AC457:AC457"/>
    <mergeCell ref="AD457:AD457"/>
    <mergeCell ref="AE457:AE457"/>
    <mergeCell ref="AF457:AF457"/>
    <mergeCell ref="A458:A458"/>
    <mergeCell ref="B458:B458"/>
    <mergeCell ref="C458:C458"/>
    <mergeCell ref="F458:F458"/>
    <mergeCell ref="G458:G458"/>
    <mergeCell ref="H458:H458"/>
    <mergeCell ref="M458:M458"/>
    <mergeCell ref="N458:N458"/>
    <mergeCell ref="O458:O458"/>
    <mergeCell ref="P458:P458"/>
    <mergeCell ref="Q458:Q458"/>
    <mergeCell ref="R458:R458"/>
    <mergeCell ref="S458:S458"/>
    <mergeCell ref="X458:X458"/>
    <mergeCell ref="Y458:Y458"/>
    <mergeCell ref="Z458:Z458"/>
    <mergeCell ref="AA458:AA458"/>
    <mergeCell ref="AB458:AB458"/>
    <mergeCell ref="AC458:AC458"/>
    <mergeCell ref="AD458:AD458"/>
    <mergeCell ref="AE458:AE458"/>
    <mergeCell ref="AF458:AF458"/>
    <mergeCell ref="A459:A459"/>
    <mergeCell ref="B459:B459"/>
    <mergeCell ref="C459:C459"/>
    <mergeCell ref="F459:F459"/>
    <mergeCell ref="G459:G459"/>
    <mergeCell ref="H459:H459"/>
    <mergeCell ref="M459:M459"/>
    <mergeCell ref="N459:N459"/>
    <mergeCell ref="O459:O459"/>
    <mergeCell ref="P459:P459"/>
    <mergeCell ref="Q459:Q459"/>
    <mergeCell ref="R459:R459"/>
    <mergeCell ref="S459:S459"/>
    <mergeCell ref="X459:X459"/>
    <mergeCell ref="Y459:Y459"/>
    <mergeCell ref="Z459:Z459"/>
    <mergeCell ref="AA459:AA459"/>
    <mergeCell ref="AB459:AB459"/>
    <mergeCell ref="AC459:AC459"/>
    <mergeCell ref="AD459:AD459"/>
    <mergeCell ref="AE459:AE459"/>
    <mergeCell ref="AF459:AF459"/>
    <mergeCell ref="A460:A460"/>
    <mergeCell ref="B460:B460"/>
    <mergeCell ref="C460:C460"/>
    <mergeCell ref="F460:F460"/>
    <mergeCell ref="G460:G460"/>
    <mergeCell ref="H460:H460"/>
    <mergeCell ref="M460:M460"/>
    <mergeCell ref="N460:N460"/>
    <mergeCell ref="O460:O460"/>
    <mergeCell ref="P460:P460"/>
    <mergeCell ref="Q460:Q460"/>
    <mergeCell ref="R460:R460"/>
    <mergeCell ref="S460:S460"/>
    <mergeCell ref="X460:X460"/>
    <mergeCell ref="Y460:Y460"/>
    <mergeCell ref="Z460:Z460"/>
    <mergeCell ref="AA460:AA460"/>
    <mergeCell ref="AB460:AB460"/>
    <mergeCell ref="AC460:AC460"/>
    <mergeCell ref="AD460:AD460"/>
    <mergeCell ref="AE460:AE460"/>
    <mergeCell ref="AF460:AF460"/>
    <mergeCell ref="A461:A461"/>
    <mergeCell ref="B461:B461"/>
    <mergeCell ref="C461:C461"/>
    <mergeCell ref="F461:F461"/>
    <mergeCell ref="G461:G461"/>
    <mergeCell ref="H461:H461"/>
    <mergeCell ref="M461:M461"/>
    <mergeCell ref="N461:N461"/>
    <mergeCell ref="O461:O461"/>
    <mergeCell ref="P461:P461"/>
    <mergeCell ref="Q461:Q461"/>
    <mergeCell ref="R461:R461"/>
    <mergeCell ref="S461:S461"/>
    <mergeCell ref="X461:X461"/>
    <mergeCell ref="Y461:Y461"/>
    <mergeCell ref="Z461:Z461"/>
    <mergeCell ref="AA461:AA461"/>
    <mergeCell ref="AB461:AB461"/>
    <mergeCell ref="AC461:AC461"/>
    <mergeCell ref="AD461:AD461"/>
    <mergeCell ref="AE461:AE461"/>
    <mergeCell ref="AF461:AF461"/>
    <mergeCell ref="A462:A462"/>
    <mergeCell ref="B462:B462"/>
    <mergeCell ref="C462:C462"/>
    <mergeCell ref="F462:F462"/>
    <mergeCell ref="G462:G462"/>
    <mergeCell ref="H462:H462"/>
    <mergeCell ref="M462:M462"/>
    <mergeCell ref="N462:N462"/>
    <mergeCell ref="O462:O462"/>
    <mergeCell ref="P462:P462"/>
    <mergeCell ref="Q462:Q462"/>
    <mergeCell ref="R462:R462"/>
    <mergeCell ref="S462:S462"/>
    <mergeCell ref="X462:X462"/>
    <mergeCell ref="Y462:Y462"/>
    <mergeCell ref="Z462:Z462"/>
    <mergeCell ref="AA462:AA462"/>
    <mergeCell ref="AB462:AB462"/>
    <mergeCell ref="AC462:AC462"/>
    <mergeCell ref="AD462:AD462"/>
    <mergeCell ref="AE462:AE462"/>
    <mergeCell ref="AF462:AF462"/>
    <mergeCell ref="A463:A463"/>
    <mergeCell ref="B463:B463"/>
    <mergeCell ref="C463:C463"/>
    <mergeCell ref="F463:F463"/>
    <mergeCell ref="G463:G463"/>
    <mergeCell ref="H463:H463"/>
    <mergeCell ref="M463:M463"/>
    <mergeCell ref="N463:N463"/>
    <mergeCell ref="O463:O463"/>
    <mergeCell ref="P463:P463"/>
    <mergeCell ref="Q463:Q463"/>
    <mergeCell ref="R463:R463"/>
    <mergeCell ref="S463:S463"/>
    <mergeCell ref="X463:X463"/>
    <mergeCell ref="Y463:Y463"/>
    <mergeCell ref="Z463:Z463"/>
    <mergeCell ref="AA463:AA463"/>
    <mergeCell ref="AB463:AB463"/>
    <mergeCell ref="AC463:AC463"/>
    <mergeCell ref="AD463:AD463"/>
    <mergeCell ref="AE463:AE463"/>
    <mergeCell ref="AF463:AF463"/>
    <mergeCell ref="A464:A464"/>
    <mergeCell ref="B464:B464"/>
    <mergeCell ref="C464:C464"/>
    <mergeCell ref="F464:F464"/>
    <mergeCell ref="G464:G464"/>
    <mergeCell ref="H464:H464"/>
    <mergeCell ref="M464:M464"/>
    <mergeCell ref="N464:N464"/>
    <mergeCell ref="O464:O464"/>
    <mergeCell ref="P464:P464"/>
    <mergeCell ref="Q464:Q464"/>
    <mergeCell ref="R464:R464"/>
    <mergeCell ref="S464:S464"/>
    <mergeCell ref="X464:X464"/>
    <mergeCell ref="Y464:Y464"/>
    <mergeCell ref="Z464:Z464"/>
    <mergeCell ref="AA464:AA464"/>
    <mergeCell ref="AB464:AB464"/>
    <mergeCell ref="AC464:AC464"/>
    <mergeCell ref="AD464:AD464"/>
    <mergeCell ref="AE464:AE464"/>
    <mergeCell ref="AF464:AF464"/>
    <mergeCell ref="A465:A465"/>
    <mergeCell ref="B465:B465"/>
    <mergeCell ref="C465:C465"/>
    <mergeCell ref="F465:F465"/>
    <mergeCell ref="G465:G465"/>
    <mergeCell ref="H465:H465"/>
    <mergeCell ref="M465:M465"/>
    <mergeCell ref="N465:N465"/>
    <mergeCell ref="O465:O465"/>
    <mergeCell ref="P465:P465"/>
    <mergeCell ref="Q465:Q465"/>
    <mergeCell ref="R465:R465"/>
    <mergeCell ref="S465:S465"/>
    <mergeCell ref="X465:X465"/>
    <mergeCell ref="Y465:Y465"/>
    <mergeCell ref="Z465:Z465"/>
    <mergeCell ref="AA465:AA465"/>
    <mergeCell ref="AB465:AB465"/>
    <mergeCell ref="AC465:AC465"/>
    <mergeCell ref="AD465:AD465"/>
    <mergeCell ref="AE465:AE465"/>
    <mergeCell ref="AF465:AF465"/>
    <mergeCell ref="A466:A466"/>
    <mergeCell ref="B466:B466"/>
    <mergeCell ref="C466:C466"/>
    <mergeCell ref="F466:F466"/>
    <mergeCell ref="G466:G466"/>
    <mergeCell ref="H466:H466"/>
    <mergeCell ref="M466:M466"/>
    <mergeCell ref="N466:N466"/>
    <mergeCell ref="O466:O466"/>
    <mergeCell ref="P466:P466"/>
    <mergeCell ref="Q466:Q466"/>
    <mergeCell ref="R466:R466"/>
    <mergeCell ref="S466:S466"/>
    <mergeCell ref="X466:X466"/>
    <mergeCell ref="Y466:Y466"/>
    <mergeCell ref="Z466:Z466"/>
    <mergeCell ref="AA466:AA466"/>
    <mergeCell ref="AB466:AB466"/>
    <mergeCell ref="AC466:AC466"/>
    <mergeCell ref="AD466:AD466"/>
    <mergeCell ref="AE466:AE466"/>
    <mergeCell ref="AF466:AF466"/>
    <mergeCell ref="A467:A467"/>
    <mergeCell ref="B467:B467"/>
    <mergeCell ref="C467:C467"/>
    <mergeCell ref="F467:F467"/>
    <mergeCell ref="G467:G467"/>
    <mergeCell ref="H467:H467"/>
    <mergeCell ref="M467:M467"/>
    <mergeCell ref="N467:N467"/>
    <mergeCell ref="O467:O467"/>
    <mergeCell ref="P467:P467"/>
    <mergeCell ref="Q467:Q467"/>
    <mergeCell ref="R467:R467"/>
    <mergeCell ref="S467:S467"/>
    <mergeCell ref="X467:X467"/>
    <mergeCell ref="Y467:Y467"/>
    <mergeCell ref="Z467:Z467"/>
    <mergeCell ref="AA467:AA467"/>
    <mergeCell ref="AB467:AB467"/>
    <mergeCell ref="AC467:AC467"/>
    <mergeCell ref="AD467:AD467"/>
    <mergeCell ref="AE467:AE467"/>
    <mergeCell ref="AF467:AF467"/>
    <mergeCell ref="A468:A468"/>
    <mergeCell ref="B468:B468"/>
    <mergeCell ref="C468:C468"/>
    <mergeCell ref="F468:F468"/>
    <mergeCell ref="G468:G468"/>
    <mergeCell ref="H468:H468"/>
    <mergeCell ref="M468:M468"/>
    <mergeCell ref="N468:N468"/>
    <mergeCell ref="O468:O468"/>
    <mergeCell ref="P468:P468"/>
    <mergeCell ref="Q468:Q468"/>
    <mergeCell ref="R468:R468"/>
    <mergeCell ref="S468:S468"/>
    <mergeCell ref="X468:X468"/>
    <mergeCell ref="Y468:Y468"/>
    <mergeCell ref="Z468:Z468"/>
    <mergeCell ref="AA468:AA468"/>
    <mergeCell ref="AB468:AB468"/>
    <mergeCell ref="AC468:AC468"/>
    <mergeCell ref="AD468:AD468"/>
    <mergeCell ref="AE468:AE468"/>
    <mergeCell ref="AF468:AF468"/>
    <mergeCell ref="A469:A469"/>
    <mergeCell ref="B469:B469"/>
    <mergeCell ref="C469:C469"/>
    <mergeCell ref="F469:F469"/>
    <mergeCell ref="G469:G469"/>
    <mergeCell ref="H469:H469"/>
    <mergeCell ref="M469:M469"/>
    <mergeCell ref="N469:N469"/>
    <mergeCell ref="O469:O469"/>
    <mergeCell ref="P469:P469"/>
    <mergeCell ref="Q469:Q469"/>
    <mergeCell ref="R469:R469"/>
    <mergeCell ref="S469:S469"/>
    <mergeCell ref="X469:X469"/>
    <mergeCell ref="Y469:Y469"/>
    <mergeCell ref="Z469:Z469"/>
    <mergeCell ref="AA469:AA469"/>
    <mergeCell ref="AB469:AB469"/>
    <mergeCell ref="AC469:AC469"/>
    <mergeCell ref="AD469:AD469"/>
    <mergeCell ref="AE469:AE469"/>
    <mergeCell ref="AF469:AF469"/>
    <mergeCell ref="A470:A470"/>
    <mergeCell ref="B470:B470"/>
    <mergeCell ref="C470:C470"/>
    <mergeCell ref="F470:F470"/>
    <mergeCell ref="G470:G470"/>
    <mergeCell ref="H470:H470"/>
    <mergeCell ref="M470:M470"/>
    <mergeCell ref="N470:N470"/>
    <mergeCell ref="O470:O470"/>
    <mergeCell ref="P470:P470"/>
    <mergeCell ref="Q470:Q470"/>
    <mergeCell ref="R470:R470"/>
    <mergeCell ref="S470:S470"/>
    <mergeCell ref="X470:X470"/>
    <mergeCell ref="Y470:Y470"/>
    <mergeCell ref="Z470:Z470"/>
    <mergeCell ref="AA470:AA470"/>
    <mergeCell ref="AB470:AB470"/>
    <mergeCell ref="AC470:AC470"/>
    <mergeCell ref="AD470:AD470"/>
    <mergeCell ref="AE470:AE470"/>
    <mergeCell ref="AF470:AF470"/>
    <mergeCell ref="A471:A471"/>
    <mergeCell ref="B471:B471"/>
    <mergeCell ref="C471:C471"/>
    <mergeCell ref="F471:F471"/>
    <mergeCell ref="G471:G471"/>
    <mergeCell ref="H471:H471"/>
    <mergeCell ref="M471:M471"/>
    <mergeCell ref="N471:N471"/>
    <mergeCell ref="O471:O471"/>
    <mergeCell ref="P471:P471"/>
    <mergeCell ref="Q471:Q471"/>
    <mergeCell ref="R471:R471"/>
    <mergeCell ref="S471:S471"/>
    <mergeCell ref="X471:X471"/>
    <mergeCell ref="Y471:Y471"/>
    <mergeCell ref="Z471:Z471"/>
    <mergeCell ref="AA471:AA471"/>
    <mergeCell ref="AB471:AB471"/>
    <mergeCell ref="AC471:AC471"/>
    <mergeCell ref="AD471:AD471"/>
    <mergeCell ref="AE471:AE471"/>
    <mergeCell ref="AF471:AF471"/>
    <mergeCell ref="A472:A472"/>
    <mergeCell ref="B472:B472"/>
    <mergeCell ref="C472:C472"/>
    <mergeCell ref="F472:F472"/>
    <mergeCell ref="G472:G472"/>
    <mergeCell ref="H472:H472"/>
    <mergeCell ref="M472:M472"/>
    <mergeCell ref="N472:N472"/>
    <mergeCell ref="O472:O472"/>
    <mergeCell ref="P472:P472"/>
    <mergeCell ref="Q472:Q472"/>
    <mergeCell ref="R472:R472"/>
    <mergeCell ref="S472:S472"/>
    <mergeCell ref="X472:X472"/>
    <mergeCell ref="Y472:Y472"/>
    <mergeCell ref="Z472:Z472"/>
    <mergeCell ref="AA472:AA472"/>
    <mergeCell ref="AB472:AB472"/>
    <mergeCell ref="AC472:AC472"/>
    <mergeCell ref="AD472:AD472"/>
    <mergeCell ref="AE472:AE472"/>
    <mergeCell ref="AF472:AF472"/>
    <mergeCell ref="A473:A473"/>
    <mergeCell ref="B473:B473"/>
    <mergeCell ref="C473:C473"/>
    <mergeCell ref="F473:F473"/>
    <mergeCell ref="G473:G473"/>
    <mergeCell ref="H473:H473"/>
    <mergeCell ref="M473:M473"/>
    <mergeCell ref="N473:N473"/>
    <mergeCell ref="O473:O473"/>
    <mergeCell ref="P473:P473"/>
    <mergeCell ref="Q473:Q473"/>
    <mergeCell ref="R473:R473"/>
    <mergeCell ref="S473:S473"/>
    <mergeCell ref="X473:X473"/>
    <mergeCell ref="Y473:Y473"/>
    <mergeCell ref="Z473:Z473"/>
    <mergeCell ref="AA473:AA473"/>
    <mergeCell ref="AB473:AB473"/>
    <mergeCell ref="AC473:AC473"/>
    <mergeCell ref="AD473:AD473"/>
    <mergeCell ref="AE473:AE473"/>
    <mergeCell ref="AF473:AF473"/>
    <mergeCell ref="A474:A474"/>
    <mergeCell ref="B474:B474"/>
    <mergeCell ref="C474:C474"/>
    <mergeCell ref="F474:F474"/>
    <mergeCell ref="G474:G474"/>
    <mergeCell ref="H474:H474"/>
    <mergeCell ref="M474:M474"/>
    <mergeCell ref="N474:N474"/>
    <mergeCell ref="O474:O474"/>
    <mergeCell ref="P474:P474"/>
    <mergeCell ref="Q474:Q474"/>
    <mergeCell ref="R474:R474"/>
    <mergeCell ref="S474:S474"/>
    <mergeCell ref="X474:X474"/>
    <mergeCell ref="Y474:Y474"/>
    <mergeCell ref="Z474:Z474"/>
    <mergeCell ref="AA474:AA474"/>
    <mergeCell ref="AB474:AB474"/>
    <mergeCell ref="AC474:AC474"/>
    <mergeCell ref="AD474:AD474"/>
    <mergeCell ref="AE474:AE474"/>
    <mergeCell ref="AF474:AF474"/>
    <mergeCell ref="A475:A475"/>
    <mergeCell ref="B475:B475"/>
    <mergeCell ref="C475:C475"/>
    <mergeCell ref="F475:F475"/>
    <mergeCell ref="G475:G475"/>
    <mergeCell ref="H475:H475"/>
    <mergeCell ref="M475:M475"/>
    <mergeCell ref="N475:N475"/>
    <mergeCell ref="O475:O475"/>
    <mergeCell ref="P475:P475"/>
    <mergeCell ref="Q475:Q475"/>
    <mergeCell ref="R475:R475"/>
    <mergeCell ref="S475:S475"/>
    <mergeCell ref="X475:X475"/>
    <mergeCell ref="Y475:Y475"/>
    <mergeCell ref="Z475:Z475"/>
    <mergeCell ref="AA475:AA475"/>
    <mergeCell ref="AB475:AB475"/>
    <mergeCell ref="AC475:AC475"/>
    <mergeCell ref="AD475:AD475"/>
    <mergeCell ref="AE475:AE475"/>
    <mergeCell ref="AF475:AF475"/>
    <mergeCell ref="A476:A476"/>
    <mergeCell ref="B476:B476"/>
    <mergeCell ref="C476:C476"/>
    <mergeCell ref="F476:F476"/>
    <mergeCell ref="G476:G476"/>
    <mergeCell ref="H476:H476"/>
    <mergeCell ref="M476:M476"/>
    <mergeCell ref="N476:N476"/>
    <mergeCell ref="O476:O476"/>
    <mergeCell ref="P476:P476"/>
    <mergeCell ref="Q476:Q476"/>
    <mergeCell ref="R476:R476"/>
    <mergeCell ref="S476:S476"/>
    <mergeCell ref="X476:X476"/>
    <mergeCell ref="Y476:Y476"/>
    <mergeCell ref="Z476:Z476"/>
    <mergeCell ref="AA476:AA476"/>
    <mergeCell ref="AB476:AB476"/>
    <mergeCell ref="AC476:AC476"/>
    <mergeCell ref="AD476:AD476"/>
    <mergeCell ref="AE476:AE476"/>
    <mergeCell ref="AF476:AF476"/>
    <mergeCell ref="A477:A477"/>
    <mergeCell ref="B477:B477"/>
    <mergeCell ref="C477:C477"/>
    <mergeCell ref="F477:F477"/>
    <mergeCell ref="G477:G477"/>
    <mergeCell ref="H477:H477"/>
    <mergeCell ref="M477:M477"/>
    <mergeCell ref="N477:N477"/>
    <mergeCell ref="O477:O477"/>
    <mergeCell ref="P477:P477"/>
    <mergeCell ref="Q477:Q477"/>
    <mergeCell ref="R477:R477"/>
    <mergeCell ref="S477:S477"/>
    <mergeCell ref="X477:X477"/>
    <mergeCell ref="Y477:Y477"/>
    <mergeCell ref="Z477:Z477"/>
    <mergeCell ref="AA477:AA477"/>
    <mergeCell ref="AB477:AB477"/>
    <mergeCell ref="AC477:AC477"/>
    <mergeCell ref="AD477:AD477"/>
    <mergeCell ref="AE477:AE477"/>
    <mergeCell ref="AF477:AF477"/>
    <mergeCell ref="A478:A478"/>
    <mergeCell ref="B478:B478"/>
    <mergeCell ref="C478:C478"/>
    <mergeCell ref="F478:F478"/>
    <mergeCell ref="G478:G478"/>
    <mergeCell ref="H478:H478"/>
    <mergeCell ref="M478:M478"/>
    <mergeCell ref="N478:N478"/>
    <mergeCell ref="O478:O478"/>
    <mergeCell ref="P478:P478"/>
    <mergeCell ref="Q478:Q478"/>
    <mergeCell ref="R478:R478"/>
    <mergeCell ref="S478:S478"/>
    <mergeCell ref="X478:X478"/>
    <mergeCell ref="Y478:Y478"/>
    <mergeCell ref="Z478:Z478"/>
    <mergeCell ref="AA478:AA478"/>
    <mergeCell ref="AB478:AB478"/>
    <mergeCell ref="AC478:AC478"/>
    <mergeCell ref="AD478:AD478"/>
    <mergeCell ref="AE478:AE478"/>
    <mergeCell ref="AF478:AF478"/>
    <mergeCell ref="A479:A479"/>
    <mergeCell ref="B479:B479"/>
    <mergeCell ref="C479:C479"/>
    <mergeCell ref="F479:F479"/>
    <mergeCell ref="G479:G479"/>
    <mergeCell ref="H479:H479"/>
    <mergeCell ref="M479:M479"/>
    <mergeCell ref="N479:N479"/>
    <mergeCell ref="O479:O479"/>
    <mergeCell ref="P479:P479"/>
    <mergeCell ref="Q479:Q479"/>
    <mergeCell ref="R479:R479"/>
    <mergeCell ref="S479:S479"/>
    <mergeCell ref="X479:X479"/>
    <mergeCell ref="Y479:Y479"/>
    <mergeCell ref="Z479:Z479"/>
    <mergeCell ref="AA479:AA479"/>
    <mergeCell ref="AB479:AB479"/>
    <mergeCell ref="AC479:AC479"/>
    <mergeCell ref="AD479:AD479"/>
    <mergeCell ref="AE479:AE479"/>
    <mergeCell ref="AF479:AF479"/>
    <mergeCell ref="A480:A480"/>
    <mergeCell ref="B480:B480"/>
    <mergeCell ref="C480:C480"/>
    <mergeCell ref="F480:F480"/>
    <mergeCell ref="G480:G480"/>
    <mergeCell ref="H480:H480"/>
    <mergeCell ref="M480:M480"/>
    <mergeCell ref="N480:N480"/>
    <mergeCell ref="O480:O480"/>
    <mergeCell ref="P480:P480"/>
    <mergeCell ref="Q480:Q480"/>
    <mergeCell ref="R480:R480"/>
    <mergeCell ref="S480:S480"/>
    <mergeCell ref="X480:X480"/>
    <mergeCell ref="Y480:Y480"/>
    <mergeCell ref="Z480:Z480"/>
    <mergeCell ref="AA480:AA480"/>
    <mergeCell ref="AB480:AB480"/>
    <mergeCell ref="AC480:AC480"/>
    <mergeCell ref="AD480:AD480"/>
    <mergeCell ref="AE480:AE480"/>
    <mergeCell ref="AF480:AF480"/>
    <mergeCell ref="A481:A481"/>
    <mergeCell ref="B481:B481"/>
    <mergeCell ref="C481:C481"/>
    <mergeCell ref="F481:F481"/>
    <mergeCell ref="G481:G481"/>
    <mergeCell ref="H481:H481"/>
    <mergeCell ref="M481:M481"/>
    <mergeCell ref="N481:N481"/>
    <mergeCell ref="O481:O481"/>
    <mergeCell ref="P481:P481"/>
    <mergeCell ref="Q481:Q481"/>
    <mergeCell ref="R481:R481"/>
    <mergeCell ref="S481:S481"/>
    <mergeCell ref="X481:X481"/>
    <mergeCell ref="Y481:Y481"/>
    <mergeCell ref="Z481:Z481"/>
    <mergeCell ref="AA481:AA481"/>
    <mergeCell ref="AB481:AB481"/>
    <mergeCell ref="AC481:AC481"/>
    <mergeCell ref="AD481:AD481"/>
    <mergeCell ref="AE481:AE481"/>
    <mergeCell ref="AF481:AF481"/>
    <mergeCell ref="A482:A482"/>
    <mergeCell ref="B482:B482"/>
    <mergeCell ref="C482:C482"/>
    <mergeCell ref="F482:F482"/>
    <mergeCell ref="G482:G482"/>
    <mergeCell ref="H482:H482"/>
    <mergeCell ref="M482:M482"/>
    <mergeCell ref="N482:N482"/>
    <mergeCell ref="O482:O482"/>
    <mergeCell ref="P482:P482"/>
    <mergeCell ref="Q482:Q482"/>
    <mergeCell ref="R482:R482"/>
    <mergeCell ref="S482:S482"/>
    <mergeCell ref="X482:X482"/>
    <mergeCell ref="Y482:Y482"/>
    <mergeCell ref="Z482:Z482"/>
    <mergeCell ref="AA482:AA482"/>
    <mergeCell ref="AB482:AB482"/>
    <mergeCell ref="AC482:AC482"/>
    <mergeCell ref="AD482:AD482"/>
    <mergeCell ref="AE482:AE482"/>
    <mergeCell ref="AF482:AF482"/>
    <mergeCell ref="A483:A483"/>
    <mergeCell ref="B483:B483"/>
    <mergeCell ref="C483:C483"/>
    <mergeCell ref="F483:F483"/>
    <mergeCell ref="G483:G483"/>
    <mergeCell ref="H483:H483"/>
    <mergeCell ref="M483:M483"/>
    <mergeCell ref="N483:N483"/>
    <mergeCell ref="O483:O483"/>
    <mergeCell ref="P483:P483"/>
    <mergeCell ref="Q483:Q483"/>
    <mergeCell ref="R483:R483"/>
    <mergeCell ref="S483:S483"/>
    <mergeCell ref="X483:X483"/>
    <mergeCell ref="Y483:Y483"/>
    <mergeCell ref="Z483:Z483"/>
    <mergeCell ref="AA483:AA483"/>
    <mergeCell ref="AB483:AB483"/>
    <mergeCell ref="AC483:AC483"/>
    <mergeCell ref="AD483:AD483"/>
    <mergeCell ref="AE483:AE483"/>
    <mergeCell ref="AF483:AF483"/>
    <mergeCell ref="A484:A484"/>
    <mergeCell ref="B484:B484"/>
    <mergeCell ref="C484:C484"/>
    <mergeCell ref="F484:F484"/>
    <mergeCell ref="G484:G484"/>
    <mergeCell ref="H484:H484"/>
    <mergeCell ref="M484:M484"/>
    <mergeCell ref="N484:N484"/>
    <mergeCell ref="O484:O484"/>
    <mergeCell ref="P484:P484"/>
    <mergeCell ref="Q484:Q484"/>
    <mergeCell ref="R484:R484"/>
    <mergeCell ref="S484:S484"/>
    <mergeCell ref="X484:X484"/>
    <mergeCell ref="Y484:Y484"/>
    <mergeCell ref="Z484:Z484"/>
    <mergeCell ref="AA484:AA484"/>
    <mergeCell ref="AB484:AB484"/>
    <mergeCell ref="AC484:AC484"/>
    <mergeCell ref="AD484:AD484"/>
    <mergeCell ref="AE484:AE484"/>
    <mergeCell ref="AF484:AF484"/>
    <mergeCell ref="A485:A485"/>
    <mergeCell ref="B485:B485"/>
    <mergeCell ref="C485:C485"/>
    <mergeCell ref="F485:F485"/>
    <mergeCell ref="G485:G485"/>
    <mergeCell ref="H485:H485"/>
    <mergeCell ref="M485:M485"/>
    <mergeCell ref="N485:N485"/>
    <mergeCell ref="O485:O485"/>
    <mergeCell ref="P485:P485"/>
    <mergeCell ref="Q485:Q485"/>
    <mergeCell ref="R485:R485"/>
    <mergeCell ref="S485:S485"/>
    <mergeCell ref="X485:X485"/>
    <mergeCell ref="Y485:Y485"/>
    <mergeCell ref="Z485:Z485"/>
    <mergeCell ref="AA485:AA485"/>
    <mergeCell ref="AB485:AB485"/>
    <mergeCell ref="AC485:AC485"/>
    <mergeCell ref="AD485:AD485"/>
    <mergeCell ref="AE485:AE485"/>
    <mergeCell ref="AF485:AF485"/>
    <mergeCell ref="A486:A486"/>
    <mergeCell ref="B486:B486"/>
    <mergeCell ref="C486:C486"/>
    <mergeCell ref="F486:F486"/>
    <mergeCell ref="G486:G486"/>
    <mergeCell ref="H486:H486"/>
    <mergeCell ref="M486:M486"/>
    <mergeCell ref="N486:N486"/>
    <mergeCell ref="O486:O486"/>
    <mergeCell ref="P486:P486"/>
    <mergeCell ref="Q486:Q486"/>
    <mergeCell ref="R486:R486"/>
    <mergeCell ref="S486:S486"/>
    <mergeCell ref="X486:X486"/>
    <mergeCell ref="Y486:Y486"/>
    <mergeCell ref="Z486:Z486"/>
    <mergeCell ref="AA486:AA486"/>
    <mergeCell ref="AB486:AB486"/>
    <mergeCell ref="AC486:AC486"/>
    <mergeCell ref="AD486:AD486"/>
    <mergeCell ref="AE486:AE486"/>
    <mergeCell ref="AF486:AF486"/>
    <mergeCell ref="A487:A487"/>
    <mergeCell ref="B487:B487"/>
    <mergeCell ref="C487:C487"/>
    <mergeCell ref="F487:F487"/>
    <mergeCell ref="G487:G487"/>
    <mergeCell ref="H487:H487"/>
    <mergeCell ref="M487:M487"/>
    <mergeCell ref="N487:N487"/>
    <mergeCell ref="O487:O487"/>
    <mergeCell ref="P487:P487"/>
    <mergeCell ref="Q487:Q487"/>
    <mergeCell ref="R487:R487"/>
    <mergeCell ref="S487:S487"/>
    <mergeCell ref="X487:X487"/>
    <mergeCell ref="Y487:Y487"/>
    <mergeCell ref="Z487:Z487"/>
    <mergeCell ref="AA487:AA487"/>
    <mergeCell ref="AB487:AB487"/>
    <mergeCell ref="AC487:AC487"/>
    <mergeCell ref="AD487:AD487"/>
    <mergeCell ref="AE487:AE487"/>
    <mergeCell ref="AF487:AF487"/>
    <mergeCell ref="A488:A488"/>
    <mergeCell ref="B488:B488"/>
    <mergeCell ref="C488:C488"/>
    <mergeCell ref="F488:F488"/>
    <mergeCell ref="G488:G488"/>
    <mergeCell ref="H488:H488"/>
    <mergeCell ref="M488:M488"/>
    <mergeCell ref="N488:N488"/>
    <mergeCell ref="O488:O488"/>
    <mergeCell ref="P488:P488"/>
    <mergeCell ref="Q488:Q488"/>
    <mergeCell ref="R488:R488"/>
    <mergeCell ref="S488:S488"/>
    <mergeCell ref="X488:X488"/>
    <mergeCell ref="Y488:Y488"/>
    <mergeCell ref="Z488:Z488"/>
    <mergeCell ref="AA488:AA488"/>
    <mergeCell ref="AB488:AB488"/>
    <mergeCell ref="AC488:AC488"/>
    <mergeCell ref="AD488:AD488"/>
    <mergeCell ref="AE488:AE488"/>
    <mergeCell ref="AF488:AF488"/>
    <mergeCell ref="A489:A489"/>
    <mergeCell ref="B489:B489"/>
    <mergeCell ref="C489:C489"/>
    <mergeCell ref="F489:F489"/>
    <mergeCell ref="G489:G489"/>
    <mergeCell ref="H489:H489"/>
    <mergeCell ref="M489:M489"/>
    <mergeCell ref="N489:N489"/>
    <mergeCell ref="O489:O489"/>
    <mergeCell ref="P489:P489"/>
    <mergeCell ref="Q489:Q489"/>
    <mergeCell ref="R489:R489"/>
    <mergeCell ref="S489:S489"/>
    <mergeCell ref="X489:X489"/>
    <mergeCell ref="Y489:Y489"/>
    <mergeCell ref="Z489:Z489"/>
    <mergeCell ref="AA489:AA489"/>
    <mergeCell ref="AB489:AB489"/>
    <mergeCell ref="AC489:AC489"/>
    <mergeCell ref="AD489:AD489"/>
    <mergeCell ref="AE489:AE489"/>
    <mergeCell ref="AF489:AF489"/>
    <mergeCell ref="A490:A490"/>
    <mergeCell ref="B490:B490"/>
    <mergeCell ref="C490:C490"/>
    <mergeCell ref="F490:F490"/>
    <mergeCell ref="G490:G490"/>
    <mergeCell ref="H490:H490"/>
    <mergeCell ref="M490:M490"/>
    <mergeCell ref="N490:N490"/>
    <mergeCell ref="O490:O490"/>
    <mergeCell ref="P490:P490"/>
    <mergeCell ref="Q490:Q490"/>
    <mergeCell ref="R490:R490"/>
    <mergeCell ref="S490:S490"/>
    <mergeCell ref="X490:X490"/>
    <mergeCell ref="Y490:Y490"/>
    <mergeCell ref="Z490:Z490"/>
    <mergeCell ref="AA490:AA490"/>
    <mergeCell ref="AB490:AB490"/>
    <mergeCell ref="AC490:AC490"/>
    <mergeCell ref="AD490:AD490"/>
    <mergeCell ref="AE490:AE490"/>
    <mergeCell ref="AF490:AF490"/>
    <mergeCell ref="A491:A491"/>
    <mergeCell ref="B491:B491"/>
    <mergeCell ref="C491:C491"/>
    <mergeCell ref="F491:F491"/>
    <mergeCell ref="G491:G491"/>
    <mergeCell ref="H491:H491"/>
    <mergeCell ref="M491:M491"/>
    <mergeCell ref="N491:N491"/>
    <mergeCell ref="O491:O491"/>
    <mergeCell ref="P491:P491"/>
    <mergeCell ref="Q491:Q491"/>
    <mergeCell ref="R491:R491"/>
    <mergeCell ref="S491:S491"/>
    <mergeCell ref="X491:X491"/>
    <mergeCell ref="Y491:Y491"/>
    <mergeCell ref="Z491:Z491"/>
    <mergeCell ref="AA491:AA491"/>
    <mergeCell ref="AB491:AB491"/>
    <mergeCell ref="AC491:AC491"/>
    <mergeCell ref="AD491:AD491"/>
    <mergeCell ref="AE491:AE491"/>
    <mergeCell ref="AF491:AF491"/>
    <mergeCell ref="A492:A492"/>
    <mergeCell ref="B492:B492"/>
    <mergeCell ref="C492:C492"/>
    <mergeCell ref="F492:F492"/>
    <mergeCell ref="G492:G492"/>
    <mergeCell ref="H492:H492"/>
    <mergeCell ref="M492:M492"/>
    <mergeCell ref="N492:N492"/>
    <mergeCell ref="O492:O492"/>
    <mergeCell ref="P492:P492"/>
    <mergeCell ref="Q492:Q492"/>
    <mergeCell ref="R492:R492"/>
    <mergeCell ref="S492:S492"/>
    <mergeCell ref="X492:X492"/>
    <mergeCell ref="Y492:Y492"/>
    <mergeCell ref="Z492:Z492"/>
    <mergeCell ref="AA492:AA492"/>
    <mergeCell ref="AB492:AB492"/>
    <mergeCell ref="AC492:AC492"/>
    <mergeCell ref="AD492:AD492"/>
    <mergeCell ref="AE492:AE492"/>
    <mergeCell ref="AF492:AF492"/>
    <mergeCell ref="A493:A493"/>
    <mergeCell ref="B493:B493"/>
    <mergeCell ref="C493:C493"/>
    <mergeCell ref="F493:F493"/>
    <mergeCell ref="G493:G493"/>
    <mergeCell ref="H493:H493"/>
    <mergeCell ref="M493:M493"/>
    <mergeCell ref="N493:N493"/>
    <mergeCell ref="O493:O493"/>
    <mergeCell ref="P493:P493"/>
    <mergeCell ref="Q493:Q493"/>
    <mergeCell ref="R493:R493"/>
    <mergeCell ref="S493:S493"/>
    <mergeCell ref="X493:X493"/>
    <mergeCell ref="Y493:Y493"/>
    <mergeCell ref="Z493:Z493"/>
    <mergeCell ref="AA493:AA493"/>
    <mergeCell ref="AB493:AB493"/>
    <mergeCell ref="AC493:AC493"/>
    <mergeCell ref="AD493:AD493"/>
    <mergeCell ref="AE493:AE493"/>
    <mergeCell ref="AF493:AF493"/>
    <mergeCell ref="A494:A494"/>
    <mergeCell ref="B494:B494"/>
    <mergeCell ref="C494:C494"/>
    <mergeCell ref="F494:F494"/>
    <mergeCell ref="G494:G494"/>
    <mergeCell ref="H494:H494"/>
    <mergeCell ref="M494:M494"/>
    <mergeCell ref="N494:N494"/>
    <mergeCell ref="O494:O494"/>
    <mergeCell ref="P494:P494"/>
    <mergeCell ref="Q494:Q494"/>
    <mergeCell ref="R494:R494"/>
    <mergeCell ref="S494:S494"/>
    <mergeCell ref="X494:X494"/>
    <mergeCell ref="Y494:Y494"/>
    <mergeCell ref="Z494:Z494"/>
    <mergeCell ref="AA494:AA494"/>
    <mergeCell ref="AB494:AB494"/>
    <mergeCell ref="AC494:AC494"/>
    <mergeCell ref="AD494:AD494"/>
    <mergeCell ref="AE494:AE494"/>
    <mergeCell ref="AF494:AF494"/>
    <mergeCell ref="A495:A495"/>
    <mergeCell ref="B495:B495"/>
    <mergeCell ref="C495:C495"/>
    <mergeCell ref="F495:F495"/>
    <mergeCell ref="G495:G495"/>
    <mergeCell ref="H495:H495"/>
    <mergeCell ref="M495:M495"/>
    <mergeCell ref="N495:N495"/>
    <mergeCell ref="O495:O495"/>
    <mergeCell ref="P495:P495"/>
    <mergeCell ref="Q495:Q495"/>
    <mergeCell ref="R495:R495"/>
    <mergeCell ref="S495:S495"/>
    <mergeCell ref="X495:X495"/>
    <mergeCell ref="Y495:Y495"/>
    <mergeCell ref="Z495:Z495"/>
    <mergeCell ref="AA495:AA495"/>
    <mergeCell ref="AB495:AB495"/>
    <mergeCell ref="AC495:AC495"/>
    <mergeCell ref="AD495:AD495"/>
    <mergeCell ref="AE495:AE495"/>
    <mergeCell ref="AF495:AF495"/>
    <mergeCell ref="A496:A496"/>
    <mergeCell ref="B496:B496"/>
    <mergeCell ref="C496:C496"/>
    <mergeCell ref="F496:F496"/>
    <mergeCell ref="G496:G496"/>
    <mergeCell ref="H496:H496"/>
    <mergeCell ref="M496:M496"/>
    <mergeCell ref="N496:N496"/>
    <mergeCell ref="O496:O496"/>
    <mergeCell ref="P496:P496"/>
    <mergeCell ref="Q496:Q496"/>
    <mergeCell ref="R496:R496"/>
    <mergeCell ref="S496:S496"/>
    <mergeCell ref="X496:X496"/>
    <mergeCell ref="Y496:Y496"/>
    <mergeCell ref="Z496:Z496"/>
    <mergeCell ref="AA496:AA496"/>
    <mergeCell ref="AB496:AB496"/>
    <mergeCell ref="AC496:AC496"/>
    <mergeCell ref="AD496:AD496"/>
    <mergeCell ref="AE496:AE496"/>
    <mergeCell ref="AF496:AF496"/>
    <mergeCell ref="A497:A497"/>
    <mergeCell ref="B497:B497"/>
    <mergeCell ref="C497:C497"/>
    <mergeCell ref="F497:F497"/>
    <mergeCell ref="G497:G497"/>
    <mergeCell ref="H497:H497"/>
    <mergeCell ref="M497:M497"/>
    <mergeCell ref="N497:N497"/>
    <mergeCell ref="O497:O497"/>
    <mergeCell ref="P497:P497"/>
    <mergeCell ref="Q497:Q497"/>
    <mergeCell ref="R497:R497"/>
    <mergeCell ref="S497:S497"/>
    <mergeCell ref="X497:X497"/>
    <mergeCell ref="Y497:Y497"/>
    <mergeCell ref="Z497:Z497"/>
    <mergeCell ref="AA497:AA497"/>
    <mergeCell ref="AB497:AB497"/>
    <mergeCell ref="AC497:AC497"/>
    <mergeCell ref="AD497:AD497"/>
    <mergeCell ref="AE497:AE497"/>
    <mergeCell ref="AF497:AF497"/>
    <mergeCell ref="A498:A498"/>
    <mergeCell ref="B498:B498"/>
    <mergeCell ref="C498:C498"/>
    <mergeCell ref="F498:F498"/>
    <mergeCell ref="G498:G498"/>
    <mergeCell ref="H498:H498"/>
    <mergeCell ref="M498:M498"/>
    <mergeCell ref="N498:N498"/>
    <mergeCell ref="O498:O498"/>
    <mergeCell ref="P498:P498"/>
    <mergeCell ref="Q498:Q498"/>
    <mergeCell ref="R498:R498"/>
    <mergeCell ref="S498:S498"/>
    <mergeCell ref="X498:X498"/>
    <mergeCell ref="Y498:Y498"/>
    <mergeCell ref="Z498:Z498"/>
    <mergeCell ref="AA498:AA498"/>
    <mergeCell ref="AB498:AB498"/>
    <mergeCell ref="AC498:AC498"/>
    <mergeCell ref="AD498:AD498"/>
    <mergeCell ref="AE498:AE498"/>
    <mergeCell ref="AF498:AF498"/>
    <mergeCell ref="A499:A499"/>
    <mergeCell ref="B499:B499"/>
    <mergeCell ref="C499:C499"/>
    <mergeCell ref="F499:F499"/>
    <mergeCell ref="G499:G499"/>
    <mergeCell ref="H499:H499"/>
    <mergeCell ref="M499:M499"/>
    <mergeCell ref="N499:N499"/>
    <mergeCell ref="O499:O499"/>
    <mergeCell ref="P499:P499"/>
    <mergeCell ref="Q499:Q499"/>
    <mergeCell ref="R499:R499"/>
    <mergeCell ref="S499:S499"/>
    <mergeCell ref="X499:X499"/>
    <mergeCell ref="Y499:Y499"/>
    <mergeCell ref="Z499:Z499"/>
    <mergeCell ref="AA499:AA499"/>
    <mergeCell ref="AB499:AB499"/>
    <mergeCell ref="AC499:AC499"/>
    <mergeCell ref="AD499:AD499"/>
    <mergeCell ref="AE499:AE499"/>
    <mergeCell ref="AF499:AF499"/>
    <mergeCell ref="A500:A500"/>
    <mergeCell ref="B500:B500"/>
    <mergeCell ref="C500:C500"/>
    <mergeCell ref="F500:F500"/>
    <mergeCell ref="G500:G500"/>
    <mergeCell ref="H500:H500"/>
    <mergeCell ref="M500:M500"/>
    <mergeCell ref="N500:N500"/>
    <mergeCell ref="O500:O500"/>
    <mergeCell ref="P500:P500"/>
    <mergeCell ref="Q500:Q500"/>
    <mergeCell ref="R500:R500"/>
    <mergeCell ref="S500:S500"/>
    <mergeCell ref="X500:X500"/>
    <mergeCell ref="Y500:Y500"/>
    <mergeCell ref="Z500:Z500"/>
    <mergeCell ref="AA500:AA500"/>
    <mergeCell ref="AB500:AB500"/>
    <mergeCell ref="AC500:AC500"/>
    <mergeCell ref="AD500:AD500"/>
    <mergeCell ref="AE500:AE500"/>
    <mergeCell ref="AF500:AF500"/>
    <mergeCell ref="A501:A501"/>
    <mergeCell ref="B501:B501"/>
    <mergeCell ref="C501:C501"/>
    <mergeCell ref="F501:F501"/>
    <mergeCell ref="G501:G501"/>
    <mergeCell ref="H501:H501"/>
    <mergeCell ref="M501:M501"/>
    <mergeCell ref="N501:N501"/>
    <mergeCell ref="O501:O501"/>
    <mergeCell ref="P501:P501"/>
    <mergeCell ref="Q501:Q501"/>
    <mergeCell ref="R501:R501"/>
    <mergeCell ref="S501:S501"/>
    <mergeCell ref="X501:X501"/>
    <mergeCell ref="Y501:Y501"/>
    <mergeCell ref="Z501:Z501"/>
    <mergeCell ref="AA501:AA501"/>
    <mergeCell ref="AB501:AB501"/>
    <mergeCell ref="AC501:AC501"/>
    <mergeCell ref="AD501:AD501"/>
    <mergeCell ref="AE501:AE501"/>
    <mergeCell ref="AF501:AF501"/>
    <mergeCell ref="A502:A502"/>
    <mergeCell ref="B502:B502"/>
    <mergeCell ref="C502:C502"/>
    <mergeCell ref="F502:F502"/>
    <mergeCell ref="G502:G502"/>
    <mergeCell ref="H502:H502"/>
    <mergeCell ref="M502:M502"/>
    <mergeCell ref="N502:N502"/>
    <mergeCell ref="O502:O502"/>
    <mergeCell ref="P502:P502"/>
    <mergeCell ref="Q502:Q502"/>
    <mergeCell ref="R502:R502"/>
    <mergeCell ref="S502:S502"/>
    <mergeCell ref="X502:X502"/>
    <mergeCell ref="Y502:Y502"/>
    <mergeCell ref="Z502:Z502"/>
    <mergeCell ref="AA502:AA502"/>
    <mergeCell ref="AB502:AB502"/>
    <mergeCell ref="AC502:AC502"/>
    <mergeCell ref="AD502:AD502"/>
    <mergeCell ref="AE502:AE502"/>
    <mergeCell ref="AF502:AF502"/>
    <mergeCell ref="A503:A503"/>
    <mergeCell ref="B503:B503"/>
    <mergeCell ref="C503:C503"/>
    <mergeCell ref="F503:F503"/>
    <mergeCell ref="G503:G503"/>
    <mergeCell ref="H503:H503"/>
    <mergeCell ref="M503:M503"/>
    <mergeCell ref="N503:N503"/>
    <mergeCell ref="O503:O503"/>
    <mergeCell ref="P503:P503"/>
    <mergeCell ref="Q503:Q503"/>
    <mergeCell ref="R503:R503"/>
    <mergeCell ref="S503:S503"/>
    <mergeCell ref="X503:X503"/>
    <mergeCell ref="Y503:Y503"/>
    <mergeCell ref="Z503:Z503"/>
    <mergeCell ref="AA503:AA503"/>
    <mergeCell ref="AB503:AB503"/>
    <mergeCell ref="AC503:AC503"/>
    <mergeCell ref="AD503:AD503"/>
    <mergeCell ref="AE503:AE503"/>
    <mergeCell ref="AF503:AF503"/>
    <mergeCell ref="A504:A504"/>
    <mergeCell ref="B504:B504"/>
    <mergeCell ref="C504:C504"/>
    <mergeCell ref="F504:F504"/>
    <mergeCell ref="G504:G504"/>
    <mergeCell ref="H504:H504"/>
    <mergeCell ref="M504:M504"/>
    <mergeCell ref="N504:N504"/>
    <mergeCell ref="O504:O504"/>
    <mergeCell ref="P504:P504"/>
    <mergeCell ref="Q504:Q504"/>
    <mergeCell ref="R504:R504"/>
    <mergeCell ref="S504:S504"/>
    <mergeCell ref="X504:X504"/>
    <mergeCell ref="Y504:Y504"/>
    <mergeCell ref="Z504:Z504"/>
    <mergeCell ref="AA504:AA504"/>
    <mergeCell ref="AB504:AB504"/>
    <mergeCell ref="AC504:AC504"/>
    <mergeCell ref="AD504:AD504"/>
    <mergeCell ref="AE504:AE504"/>
    <mergeCell ref="AF504:AF504"/>
    <mergeCell ref="A505:A505"/>
    <mergeCell ref="B505:B505"/>
    <mergeCell ref="C505:C505"/>
    <mergeCell ref="F505:F505"/>
    <mergeCell ref="G505:G505"/>
    <mergeCell ref="H505:H505"/>
    <mergeCell ref="M505:M505"/>
    <mergeCell ref="N505:N505"/>
    <mergeCell ref="O505:O505"/>
    <mergeCell ref="P505:P505"/>
    <mergeCell ref="Q505:Q505"/>
    <mergeCell ref="R505:R505"/>
    <mergeCell ref="S505:S505"/>
    <mergeCell ref="X505:X505"/>
    <mergeCell ref="Y505:Y505"/>
    <mergeCell ref="Z505:Z505"/>
    <mergeCell ref="AA505:AA505"/>
    <mergeCell ref="AB505:AB505"/>
    <mergeCell ref="AC505:AC505"/>
    <mergeCell ref="AD505:AD505"/>
    <mergeCell ref="AE505:AE505"/>
    <mergeCell ref="AF505:AF505"/>
    <mergeCell ref="A506:A506"/>
    <mergeCell ref="B506:B506"/>
    <mergeCell ref="C506:C506"/>
    <mergeCell ref="F506:F506"/>
    <mergeCell ref="G506:G506"/>
    <mergeCell ref="H506:H506"/>
    <mergeCell ref="M506:M506"/>
    <mergeCell ref="N506:N506"/>
    <mergeCell ref="O506:O506"/>
    <mergeCell ref="P506:P506"/>
    <mergeCell ref="Q506:Q506"/>
    <mergeCell ref="R506:R506"/>
    <mergeCell ref="S506:S506"/>
    <mergeCell ref="X506:X506"/>
    <mergeCell ref="Y506:Y506"/>
    <mergeCell ref="Z506:Z506"/>
    <mergeCell ref="AA506:AA506"/>
    <mergeCell ref="AB506:AB506"/>
    <mergeCell ref="AC506:AC506"/>
    <mergeCell ref="AD506:AD506"/>
    <mergeCell ref="AE506:AE506"/>
    <mergeCell ref="AF506:AF506"/>
    <mergeCell ref="A507:A507"/>
    <mergeCell ref="B507:B507"/>
    <mergeCell ref="C507:C507"/>
    <mergeCell ref="F507:F507"/>
    <mergeCell ref="G507:G507"/>
    <mergeCell ref="H507:H507"/>
    <mergeCell ref="M507:M507"/>
    <mergeCell ref="N507:N507"/>
    <mergeCell ref="O507:O507"/>
    <mergeCell ref="P507:P507"/>
    <mergeCell ref="Q507:Q507"/>
    <mergeCell ref="R507:R507"/>
    <mergeCell ref="S507:S507"/>
    <mergeCell ref="X507:X507"/>
    <mergeCell ref="Y507:Y507"/>
    <mergeCell ref="Z507:Z507"/>
    <mergeCell ref="AA507:AA507"/>
    <mergeCell ref="AB507:AB507"/>
    <mergeCell ref="AC507:AC507"/>
    <mergeCell ref="AD507:AD507"/>
    <mergeCell ref="AE507:AE507"/>
    <mergeCell ref="AF507:AF507"/>
    <mergeCell ref="A508:A508"/>
    <mergeCell ref="B508:B508"/>
    <mergeCell ref="C508:C508"/>
    <mergeCell ref="F508:F508"/>
    <mergeCell ref="G508:G508"/>
    <mergeCell ref="H508:H508"/>
    <mergeCell ref="M508:M508"/>
    <mergeCell ref="N508:N508"/>
    <mergeCell ref="O508:O508"/>
    <mergeCell ref="P508:P508"/>
    <mergeCell ref="Q508:Q508"/>
    <mergeCell ref="R508:R508"/>
    <mergeCell ref="S508:S508"/>
    <mergeCell ref="X508:X508"/>
    <mergeCell ref="Y508:Y508"/>
    <mergeCell ref="Z508:Z508"/>
    <mergeCell ref="AA508:AA508"/>
    <mergeCell ref="AB508:AB508"/>
    <mergeCell ref="AC508:AC508"/>
    <mergeCell ref="AD508:AD508"/>
    <mergeCell ref="AE508:AE508"/>
    <mergeCell ref="AF508:AF508"/>
    <mergeCell ref="A509:A509"/>
    <mergeCell ref="B509:B509"/>
    <mergeCell ref="C509:C509"/>
    <mergeCell ref="F509:F509"/>
    <mergeCell ref="G509:G509"/>
    <mergeCell ref="H509:H509"/>
    <mergeCell ref="M509:M509"/>
    <mergeCell ref="N509:N509"/>
    <mergeCell ref="O509:O509"/>
    <mergeCell ref="P509:P509"/>
    <mergeCell ref="Q509:Q509"/>
    <mergeCell ref="R509:R509"/>
    <mergeCell ref="S509:S509"/>
    <mergeCell ref="X509:X509"/>
    <mergeCell ref="Y509:Y509"/>
    <mergeCell ref="Z509:Z509"/>
    <mergeCell ref="AA509:AA509"/>
    <mergeCell ref="AB509:AB509"/>
    <mergeCell ref="AC509:AC509"/>
    <mergeCell ref="AD509:AD509"/>
    <mergeCell ref="AE509:AE509"/>
    <mergeCell ref="AF509:AF509"/>
    <mergeCell ref="A510:A510"/>
    <mergeCell ref="B510:B510"/>
    <mergeCell ref="C510:C510"/>
    <mergeCell ref="F510:F510"/>
    <mergeCell ref="G510:G510"/>
    <mergeCell ref="H510:H510"/>
    <mergeCell ref="M510:M510"/>
    <mergeCell ref="N510:N510"/>
    <mergeCell ref="O510:O510"/>
    <mergeCell ref="P510:P510"/>
    <mergeCell ref="Q510:Q510"/>
    <mergeCell ref="R510:R510"/>
    <mergeCell ref="S510:S510"/>
    <mergeCell ref="X510:X510"/>
    <mergeCell ref="Y510:Y510"/>
    <mergeCell ref="Z510:Z510"/>
    <mergeCell ref="AA510:AA510"/>
    <mergeCell ref="AB510:AB510"/>
    <mergeCell ref="AC510:AC510"/>
    <mergeCell ref="AD510:AD510"/>
    <mergeCell ref="AE510:AE510"/>
    <mergeCell ref="AF510:AF510"/>
    <mergeCell ref="A511:A511"/>
    <mergeCell ref="B511:B511"/>
    <mergeCell ref="C511:C511"/>
    <mergeCell ref="F511:F511"/>
    <mergeCell ref="G511:G511"/>
    <mergeCell ref="H511:H511"/>
    <mergeCell ref="M511:M511"/>
    <mergeCell ref="N511:N511"/>
    <mergeCell ref="O511:O511"/>
    <mergeCell ref="P511:P511"/>
    <mergeCell ref="Q511:Q511"/>
    <mergeCell ref="R511:R511"/>
    <mergeCell ref="S511:S511"/>
    <mergeCell ref="X511:X511"/>
    <mergeCell ref="Y511:Y511"/>
    <mergeCell ref="Z511:Z511"/>
    <mergeCell ref="AA511:AA511"/>
    <mergeCell ref="AB511:AB511"/>
    <mergeCell ref="AC511:AC511"/>
    <mergeCell ref="AD511:AD511"/>
    <mergeCell ref="AE511:AE511"/>
    <mergeCell ref="AF511:AF511"/>
    <mergeCell ref="A512:A512"/>
    <mergeCell ref="B512:B512"/>
    <mergeCell ref="C512:C512"/>
    <mergeCell ref="F512:F512"/>
    <mergeCell ref="G512:G512"/>
    <mergeCell ref="H512:H512"/>
    <mergeCell ref="M512:M512"/>
    <mergeCell ref="N512:N512"/>
    <mergeCell ref="O512:O512"/>
    <mergeCell ref="P512:P512"/>
    <mergeCell ref="Q512:Q512"/>
    <mergeCell ref="R512:R512"/>
    <mergeCell ref="S512:S512"/>
    <mergeCell ref="X512:X512"/>
    <mergeCell ref="Y512:Y512"/>
    <mergeCell ref="Z512:Z512"/>
    <mergeCell ref="AA512:AA512"/>
    <mergeCell ref="AB512:AB512"/>
    <mergeCell ref="AC512:AC512"/>
    <mergeCell ref="AD512:AD512"/>
    <mergeCell ref="AE512:AE512"/>
    <mergeCell ref="AF512:AF512"/>
    <mergeCell ref="A513:A513"/>
    <mergeCell ref="B513:B513"/>
    <mergeCell ref="C513:C513"/>
    <mergeCell ref="F513:F513"/>
    <mergeCell ref="G513:G513"/>
    <mergeCell ref="H513:H513"/>
    <mergeCell ref="M513:M513"/>
    <mergeCell ref="N513:N513"/>
    <mergeCell ref="O513:O513"/>
    <mergeCell ref="P513:P513"/>
    <mergeCell ref="Q513:Q513"/>
    <mergeCell ref="R513:R513"/>
    <mergeCell ref="S513:S513"/>
    <mergeCell ref="X513:X513"/>
    <mergeCell ref="Y513:Y513"/>
    <mergeCell ref="Z513:Z513"/>
    <mergeCell ref="AA513:AA513"/>
    <mergeCell ref="AB513:AB513"/>
    <mergeCell ref="AC513:AC513"/>
    <mergeCell ref="AD513:AD513"/>
    <mergeCell ref="AE513:AE513"/>
    <mergeCell ref="AF513:AF513"/>
    <mergeCell ref="A514:A514"/>
    <mergeCell ref="B514:B514"/>
    <mergeCell ref="C514:C514"/>
    <mergeCell ref="F514:F514"/>
    <mergeCell ref="G514:G514"/>
    <mergeCell ref="H514:H514"/>
    <mergeCell ref="M514:M514"/>
    <mergeCell ref="N514:N514"/>
    <mergeCell ref="O514:O514"/>
    <mergeCell ref="P514:P514"/>
    <mergeCell ref="Q514:Q514"/>
    <mergeCell ref="R514:R514"/>
    <mergeCell ref="S514:S514"/>
    <mergeCell ref="X514:X514"/>
    <mergeCell ref="Y514:Y514"/>
    <mergeCell ref="Z514:Z514"/>
    <mergeCell ref="AA514:AA514"/>
    <mergeCell ref="AB514:AB514"/>
    <mergeCell ref="AC514:AC514"/>
    <mergeCell ref="AD514:AD514"/>
    <mergeCell ref="AE514:AE514"/>
    <mergeCell ref="AF514:AF514"/>
    <mergeCell ref="A515:A515"/>
    <mergeCell ref="B515:B515"/>
    <mergeCell ref="C515:C515"/>
    <mergeCell ref="F515:F515"/>
    <mergeCell ref="G515:G515"/>
    <mergeCell ref="H515:H515"/>
    <mergeCell ref="M515:M515"/>
    <mergeCell ref="N515:N515"/>
    <mergeCell ref="O515:O515"/>
    <mergeCell ref="P515:P515"/>
    <mergeCell ref="Q515:Q515"/>
    <mergeCell ref="R515:R515"/>
    <mergeCell ref="S515:S515"/>
    <mergeCell ref="X515:X515"/>
    <mergeCell ref="Y515:Y515"/>
    <mergeCell ref="Z515:Z515"/>
    <mergeCell ref="AA515:AA515"/>
    <mergeCell ref="AB515:AB515"/>
    <mergeCell ref="AC515:AC515"/>
    <mergeCell ref="AD515:AD515"/>
    <mergeCell ref="AE515:AE515"/>
    <mergeCell ref="AF515:AF515"/>
    <mergeCell ref="A516:A516"/>
    <mergeCell ref="B516:B516"/>
    <mergeCell ref="C516:C516"/>
    <mergeCell ref="F516:F516"/>
    <mergeCell ref="G516:G516"/>
    <mergeCell ref="H516:H516"/>
    <mergeCell ref="M516:M516"/>
    <mergeCell ref="N516:N516"/>
    <mergeCell ref="O516:O516"/>
    <mergeCell ref="P516:P516"/>
    <mergeCell ref="Q516:Q516"/>
    <mergeCell ref="R516:R516"/>
    <mergeCell ref="S516:S516"/>
    <mergeCell ref="X516:X516"/>
    <mergeCell ref="Y516:Y516"/>
    <mergeCell ref="Z516:Z516"/>
    <mergeCell ref="AA516:AA516"/>
    <mergeCell ref="AB516:AB516"/>
    <mergeCell ref="AC516:AC516"/>
    <mergeCell ref="AD516:AD516"/>
    <mergeCell ref="AE516:AE516"/>
    <mergeCell ref="AF516:AF516"/>
    <mergeCell ref="A517:A517"/>
    <mergeCell ref="B517:B517"/>
    <mergeCell ref="C517:C517"/>
    <mergeCell ref="F517:F517"/>
    <mergeCell ref="G517:G517"/>
    <mergeCell ref="H517:H517"/>
    <mergeCell ref="M517:M517"/>
    <mergeCell ref="N517:N517"/>
    <mergeCell ref="O517:O517"/>
    <mergeCell ref="P517:P517"/>
    <mergeCell ref="Q517:Q517"/>
    <mergeCell ref="R517:R517"/>
    <mergeCell ref="S517:S517"/>
    <mergeCell ref="X517:X517"/>
    <mergeCell ref="Y517:Y517"/>
    <mergeCell ref="Z517:Z517"/>
    <mergeCell ref="AA517:AA517"/>
    <mergeCell ref="AB517:AB517"/>
    <mergeCell ref="AC517:AC517"/>
    <mergeCell ref="AD517:AD517"/>
    <mergeCell ref="AE517:AE517"/>
    <mergeCell ref="AF517:AF517"/>
    <mergeCell ref="A518:A518"/>
    <mergeCell ref="B518:B518"/>
    <mergeCell ref="C518:C518"/>
    <mergeCell ref="F518:F518"/>
    <mergeCell ref="G518:G518"/>
    <mergeCell ref="H518:H518"/>
    <mergeCell ref="M518:M518"/>
    <mergeCell ref="N518:N518"/>
    <mergeCell ref="O518:O518"/>
    <mergeCell ref="P518:P518"/>
    <mergeCell ref="Q518:Q518"/>
    <mergeCell ref="R518:R518"/>
    <mergeCell ref="S518:S518"/>
    <mergeCell ref="X518:X518"/>
    <mergeCell ref="Y518:Y518"/>
    <mergeCell ref="Z518:Z518"/>
    <mergeCell ref="AA518:AA518"/>
    <mergeCell ref="AB518:AB518"/>
    <mergeCell ref="AC518:AC518"/>
    <mergeCell ref="AD518:AD518"/>
    <mergeCell ref="AE518:AE518"/>
    <mergeCell ref="AF518:AF518"/>
    <mergeCell ref="A519:A519"/>
    <mergeCell ref="B519:B519"/>
    <mergeCell ref="C519:C519"/>
    <mergeCell ref="F519:F519"/>
    <mergeCell ref="G519:G519"/>
    <mergeCell ref="H519:H519"/>
    <mergeCell ref="M519:M519"/>
    <mergeCell ref="N519:N519"/>
    <mergeCell ref="O519:O519"/>
    <mergeCell ref="P519:P519"/>
    <mergeCell ref="Q519:Q519"/>
    <mergeCell ref="R519:R519"/>
    <mergeCell ref="S519:S519"/>
    <mergeCell ref="X519:X519"/>
    <mergeCell ref="Y519:Y519"/>
    <mergeCell ref="Z519:Z519"/>
    <mergeCell ref="AA519:AA519"/>
    <mergeCell ref="AB519:AB519"/>
    <mergeCell ref="AC519:AC519"/>
    <mergeCell ref="AD519:AD519"/>
    <mergeCell ref="AE519:AE519"/>
    <mergeCell ref="AF519:AF519"/>
    <mergeCell ref="A520:A520"/>
    <mergeCell ref="B520:B520"/>
    <mergeCell ref="C520:C520"/>
    <mergeCell ref="F520:F520"/>
    <mergeCell ref="G520:G520"/>
    <mergeCell ref="H520:H520"/>
    <mergeCell ref="M520:M520"/>
    <mergeCell ref="N520:N520"/>
    <mergeCell ref="O520:O520"/>
    <mergeCell ref="P520:P520"/>
    <mergeCell ref="Q520:Q520"/>
    <mergeCell ref="R520:R520"/>
    <mergeCell ref="S520:S520"/>
    <mergeCell ref="X520:X520"/>
    <mergeCell ref="Y520:Y520"/>
    <mergeCell ref="Z520:Z520"/>
    <mergeCell ref="AA520:AA520"/>
    <mergeCell ref="AB520:AB520"/>
    <mergeCell ref="AC520:AC520"/>
    <mergeCell ref="AD520:AD520"/>
    <mergeCell ref="AE520:AE520"/>
    <mergeCell ref="AF520:AF520"/>
    <mergeCell ref="A521:A521"/>
    <mergeCell ref="B521:B521"/>
    <mergeCell ref="C521:C521"/>
    <mergeCell ref="F521:F521"/>
    <mergeCell ref="G521:G521"/>
    <mergeCell ref="H521:H521"/>
    <mergeCell ref="M521:M521"/>
    <mergeCell ref="N521:N521"/>
    <mergeCell ref="O521:O521"/>
    <mergeCell ref="P521:P521"/>
    <mergeCell ref="Q521:Q521"/>
    <mergeCell ref="R521:R521"/>
    <mergeCell ref="S521:S521"/>
    <mergeCell ref="X521:X521"/>
    <mergeCell ref="Y521:Y521"/>
    <mergeCell ref="Z521:Z521"/>
    <mergeCell ref="AA521:AA521"/>
    <mergeCell ref="AB521:AB521"/>
    <mergeCell ref="AC521:AC521"/>
    <mergeCell ref="AD521:AD521"/>
    <mergeCell ref="AE521:AE521"/>
    <mergeCell ref="AF521:AF521"/>
    <mergeCell ref="A522:A522"/>
    <mergeCell ref="B522:B522"/>
    <mergeCell ref="C522:C522"/>
    <mergeCell ref="F522:F522"/>
    <mergeCell ref="G522:G522"/>
    <mergeCell ref="H522:H522"/>
    <mergeCell ref="M522:M522"/>
    <mergeCell ref="N522:N522"/>
    <mergeCell ref="O522:O522"/>
    <mergeCell ref="P522:P522"/>
    <mergeCell ref="Q522:Q522"/>
    <mergeCell ref="R522:R522"/>
    <mergeCell ref="S522:S522"/>
    <mergeCell ref="X522:X522"/>
    <mergeCell ref="Y522:Y522"/>
    <mergeCell ref="Z522:Z522"/>
    <mergeCell ref="AA522:AA522"/>
    <mergeCell ref="AB522:AB522"/>
    <mergeCell ref="AC522:AC522"/>
    <mergeCell ref="AD522:AD522"/>
    <mergeCell ref="AE522:AE522"/>
    <mergeCell ref="AF522:AF522"/>
    <mergeCell ref="A523:A523"/>
    <mergeCell ref="B523:B523"/>
    <mergeCell ref="C523:C523"/>
    <mergeCell ref="F523:F523"/>
    <mergeCell ref="G523:G523"/>
    <mergeCell ref="H523:H523"/>
    <mergeCell ref="M523:M523"/>
    <mergeCell ref="N523:N523"/>
    <mergeCell ref="O523:O523"/>
    <mergeCell ref="P523:P523"/>
    <mergeCell ref="Q523:Q523"/>
    <mergeCell ref="R523:R523"/>
    <mergeCell ref="S523:S523"/>
    <mergeCell ref="X523:X523"/>
    <mergeCell ref="Y523:Y523"/>
    <mergeCell ref="Z523:Z523"/>
    <mergeCell ref="AA523:AA523"/>
    <mergeCell ref="AB523:AB523"/>
    <mergeCell ref="AC523:AC523"/>
    <mergeCell ref="AD523:AD523"/>
    <mergeCell ref="AE523:AE523"/>
    <mergeCell ref="AF523:AF523"/>
    <mergeCell ref="A524:A524"/>
    <mergeCell ref="B524:B524"/>
    <mergeCell ref="C524:C524"/>
    <mergeCell ref="F524:F524"/>
    <mergeCell ref="G524:G524"/>
    <mergeCell ref="H524:H524"/>
    <mergeCell ref="M524:M524"/>
    <mergeCell ref="N524:N524"/>
    <mergeCell ref="O524:O524"/>
    <mergeCell ref="P524:P524"/>
    <mergeCell ref="Q524:Q524"/>
    <mergeCell ref="R524:R524"/>
    <mergeCell ref="S524:S524"/>
    <mergeCell ref="X524:X524"/>
    <mergeCell ref="Y524:Y524"/>
    <mergeCell ref="Z524:Z524"/>
    <mergeCell ref="AA524:AA524"/>
    <mergeCell ref="AB524:AB524"/>
    <mergeCell ref="AC524:AC524"/>
    <mergeCell ref="AD524:AD524"/>
    <mergeCell ref="AE524:AE524"/>
    <mergeCell ref="AF524:AF524"/>
    <mergeCell ref="A525:A525"/>
    <mergeCell ref="B525:B525"/>
    <mergeCell ref="C525:C525"/>
    <mergeCell ref="F525:F525"/>
    <mergeCell ref="G525:G525"/>
    <mergeCell ref="H525:H525"/>
    <mergeCell ref="M525:M525"/>
    <mergeCell ref="N525:N525"/>
    <mergeCell ref="O525:O525"/>
    <mergeCell ref="P525:P525"/>
    <mergeCell ref="Q525:Q525"/>
    <mergeCell ref="R525:R525"/>
    <mergeCell ref="S525:S525"/>
    <mergeCell ref="X525:X525"/>
    <mergeCell ref="Y525:Y525"/>
    <mergeCell ref="Z525:Z525"/>
    <mergeCell ref="AA525:AA525"/>
    <mergeCell ref="AB525:AB525"/>
    <mergeCell ref="AC525:AC525"/>
    <mergeCell ref="AD525:AD525"/>
    <mergeCell ref="AE525:AE525"/>
    <mergeCell ref="AF525:AF525"/>
    <mergeCell ref="A526:A526"/>
    <mergeCell ref="B526:B526"/>
    <mergeCell ref="C526:C526"/>
    <mergeCell ref="F526:F526"/>
    <mergeCell ref="G526:G526"/>
    <mergeCell ref="H526:H526"/>
    <mergeCell ref="M526:M526"/>
    <mergeCell ref="N526:N526"/>
    <mergeCell ref="O526:O526"/>
    <mergeCell ref="P526:P526"/>
    <mergeCell ref="Q526:Q526"/>
    <mergeCell ref="R526:R526"/>
    <mergeCell ref="S526:S526"/>
    <mergeCell ref="X526:X526"/>
    <mergeCell ref="Y526:Y526"/>
    <mergeCell ref="Z526:Z526"/>
    <mergeCell ref="AA526:AA526"/>
    <mergeCell ref="AB526:AB526"/>
    <mergeCell ref="AC526:AC526"/>
    <mergeCell ref="AD526:AD526"/>
    <mergeCell ref="AE526:AE526"/>
    <mergeCell ref="AF526:AF526"/>
    <mergeCell ref="A527:A527"/>
    <mergeCell ref="B527:B527"/>
    <mergeCell ref="C527:C527"/>
    <mergeCell ref="F527:F527"/>
    <mergeCell ref="G527:G527"/>
    <mergeCell ref="H527:H527"/>
    <mergeCell ref="M527:M527"/>
    <mergeCell ref="N527:N527"/>
    <mergeCell ref="O527:O527"/>
    <mergeCell ref="P527:P527"/>
    <mergeCell ref="Q527:Q527"/>
    <mergeCell ref="R527:R527"/>
    <mergeCell ref="S527:S527"/>
    <mergeCell ref="X527:X527"/>
    <mergeCell ref="Y527:Y527"/>
    <mergeCell ref="Z527:Z527"/>
    <mergeCell ref="AA527:AA527"/>
    <mergeCell ref="AB527:AB527"/>
    <mergeCell ref="AC527:AC527"/>
    <mergeCell ref="AD527:AD527"/>
    <mergeCell ref="AE527:AE527"/>
    <mergeCell ref="AF527:AF527"/>
    <mergeCell ref="A528:A528"/>
    <mergeCell ref="B528:B528"/>
    <mergeCell ref="C528:C528"/>
    <mergeCell ref="F528:F528"/>
    <mergeCell ref="G528:G528"/>
    <mergeCell ref="H528:H528"/>
    <mergeCell ref="M528:M528"/>
    <mergeCell ref="N528:N528"/>
    <mergeCell ref="O528:O528"/>
    <mergeCell ref="P528:P528"/>
    <mergeCell ref="Q528:Q528"/>
    <mergeCell ref="R528:R528"/>
    <mergeCell ref="S528:S528"/>
    <mergeCell ref="X528:X528"/>
    <mergeCell ref="Y528:Y528"/>
    <mergeCell ref="Z528:Z528"/>
    <mergeCell ref="AA528:AA528"/>
    <mergeCell ref="AB528:AB528"/>
    <mergeCell ref="AC528:AC528"/>
    <mergeCell ref="AD528:AD528"/>
    <mergeCell ref="AE528:AE528"/>
    <mergeCell ref="AF528:AF528"/>
    <mergeCell ref="A529:A529"/>
    <mergeCell ref="B529:B529"/>
    <mergeCell ref="C529:C529"/>
    <mergeCell ref="F529:F529"/>
    <mergeCell ref="G529:G529"/>
    <mergeCell ref="H529:H529"/>
    <mergeCell ref="M529:M529"/>
    <mergeCell ref="N529:N529"/>
    <mergeCell ref="O529:O529"/>
    <mergeCell ref="P529:P529"/>
    <mergeCell ref="Q529:Q529"/>
    <mergeCell ref="R529:R529"/>
    <mergeCell ref="S529:S529"/>
    <mergeCell ref="X529:X529"/>
    <mergeCell ref="Y529:Y529"/>
    <mergeCell ref="Z529:Z529"/>
    <mergeCell ref="AA529:AA529"/>
    <mergeCell ref="AB529:AB529"/>
    <mergeCell ref="AC529:AC529"/>
    <mergeCell ref="AD529:AD529"/>
    <mergeCell ref="AE529:AE529"/>
    <mergeCell ref="AF529:AF529"/>
    <mergeCell ref="A530:A530"/>
    <mergeCell ref="B530:B530"/>
    <mergeCell ref="C530:C530"/>
    <mergeCell ref="F530:F530"/>
    <mergeCell ref="G530:G530"/>
    <mergeCell ref="H530:H530"/>
    <mergeCell ref="M530:M530"/>
    <mergeCell ref="N530:N530"/>
    <mergeCell ref="O530:O530"/>
    <mergeCell ref="P530:P530"/>
    <mergeCell ref="Q530:Q530"/>
    <mergeCell ref="R530:R530"/>
    <mergeCell ref="S530:S530"/>
    <mergeCell ref="X530:X530"/>
    <mergeCell ref="Y530:Y530"/>
    <mergeCell ref="Z530:Z530"/>
    <mergeCell ref="AA530:AA530"/>
    <mergeCell ref="AB530:AB530"/>
    <mergeCell ref="AC530:AC530"/>
    <mergeCell ref="AD530:AD530"/>
    <mergeCell ref="AE530:AE530"/>
    <mergeCell ref="AF530:AF530"/>
    <mergeCell ref="A531:A531"/>
    <mergeCell ref="B531:B531"/>
    <mergeCell ref="C531:C531"/>
    <mergeCell ref="F531:F531"/>
    <mergeCell ref="G531:G531"/>
    <mergeCell ref="H531:H531"/>
    <mergeCell ref="M531:M531"/>
    <mergeCell ref="N531:N531"/>
    <mergeCell ref="O531:O531"/>
    <mergeCell ref="P531:P531"/>
    <mergeCell ref="Q531:Q531"/>
    <mergeCell ref="R531:R531"/>
    <mergeCell ref="S531:S531"/>
    <mergeCell ref="X531:X531"/>
    <mergeCell ref="Y531:Y531"/>
    <mergeCell ref="Z531:Z531"/>
    <mergeCell ref="AA531:AA531"/>
    <mergeCell ref="AB531:AB531"/>
    <mergeCell ref="AC531:AC531"/>
    <mergeCell ref="AD531:AD531"/>
    <mergeCell ref="AE531:AE531"/>
    <mergeCell ref="AF531:AF531"/>
    <mergeCell ref="A532:A532"/>
    <mergeCell ref="B532:B532"/>
    <mergeCell ref="C532:C532"/>
    <mergeCell ref="F532:F532"/>
    <mergeCell ref="G532:G532"/>
    <mergeCell ref="H532:H532"/>
    <mergeCell ref="M532:M532"/>
    <mergeCell ref="N532:N532"/>
    <mergeCell ref="O532:O532"/>
    <mergeCell ref="P532:P532"/>
    <mergeCell ref="Q532:Q532"/>
    <mergeCell ref="R532:R532"/>
    <mergeCell ref="S532:S532"/>
    <mergeCell ref="X532:X532"/>
    <mergeCell ref="Y532:Y532"/>
    <mergeCell ref="Z532:Z532"/>
    <mergeCell ref="AA532:AA532"/>
    <mergeCell ref="AB532:AB532"/>
    <mergeCell ref="AC532:AC532"/>
    <mergeCell ref="AD532:AD532"/>
    <mergeCell ref="AE532:AE532"/>
    <mergeCell ref="AF532:AF532"/>
    <mergeCell ref="A533:A533"/>
    <mergeCell ref="B533:B533"/>
    <mergeCell ref="C533:C533"/>
    <mergeCell ref="F533:F533"/>
    <mergeCell ref="G533:G533"/>
    <mergeCell ref="H533:H533"/>
    <mergeCell ref="M533:M533"/>
    <mergeCell ref="N533:N533"/>
    <mergeCell ref="O533:O533"/>
    <mergeCell ref="P533:P533"/>
    <mergeCell ref="Q533:Q533"/>
    <mergeCell ref="R533:R533"/>
    <mergeCell ref="S533:S533"/>
    <mergeCell ref="X533:X533"/>
    <mergeCell ref="Y533:Y533"/>
    <mergeCell ref="Z533:Z533"/>
    <mergeCell ref="AA533:AA533"/>
    <mergeCell ref="AB533:AB533"/>
    <mergeCell ref="AC533:AC533"/>
    <mergeCell ref="AD533:AD533"/>
    <mergeCell ref="AE533:AE533"/>
    <mergeCell ref="AF533:AF533"/>
    <mergeCell ref="A534:A534"/>
    <mergeCell ref="B534:B534"/>
    <mergeCell ref="C534:C534"/>
    <mergeCell ref="F534:F534"/>
    <mergeCell ref="G534:G534"/>
    <mergeCell ref="H534:H534"/>
    <mergeCell ref="M534:M534"/>
    <mergeCell ref="N534:N534"/>
    <mergeCell ref="O534:O534"/>
    <mergeCell ref="P534:P534"/>
    <mergeCell ref="Q534:Q534"/>
    <mergeCell ref="R534:R534"/>
    <mergeCell ref="S534:S534"/>
    <mergeCell ref="X534:X534"/>
    <mergeCell ref="Y534:Y534"/>
    <mergeCell ref="Z534:Z534"/>
    <mergeCell ref="AA534:AA534"/>
    <mergeCell ref="AB534:AB534"/>
    <mergeCell ref="AC534:AC534"/>
    <mergeCell ref="AD534:AD534"/>
    <mergeCell ref="AE534:AE534"/>
    <mergeCell ref="AF534:AF534"/>
    <mergeCell ref="A535:A535"/>
    <mergeCell ref="B535:B535"/>
    <mergeCell ref="C535:C535"/>
    <mergeCell ref="F535:F535"/>
    <mergeCell ref="G535:G535"/>
    <mergeCell ref="H535:H535"/>
    <mergeCell ref="M535:M535"/>
    <mergeCell ref="N535:N535"/>
    <mergeCell ref="O535:O535"/>
    <mergeCell ref="P535:P535"/>
    <mergeCell ref="Q535:Q535"/>
    <mergeCell ref="R535:R535"/>
    <mergeCell ref="S535:S535"/>
    <mergeCell ref="X535:X535"/>
    <mergeCell ref="Y535:Y535"/>
    <mergeCell ref="Z535:Z535"/>
    <mergeCell ref="AA535:AA535"/>
    <mergeCell ref="AB535:AB535"/>
    <mergeCell ref="AC535:AC535"/>
    <mergeCell ref="AD535:AD535"/>
    <mergeCell ref="AE535:AE535"/>
    <mergeCell ref="AF535:AF535"/>
    <mergeCell ref="A536:A536"/>
    <mergeCell ref="B536:B536"/>
    <mergeCell ref="C536:C536"/>
    <mergeCell ref="F536:F536"/>
    <mergeCell ref="G536:G536"/>
    <mergeCell ref="H536:H536"/>
    <mergeCell ref="M536:M536"/>
    <mergeCell ref="N536:N536"/>
    <mergeCell ref="O536:O536"/>
    <mergeCell ref="P536:P536"/>
    <mergeCell ref="Q536:Q536"/>
    <mergeCell ref="R536:R536"/>
    <mergeCell ref="S536:S536"/>
    <mergeCell ref="X536:X536"/>
    <mergeCell ref="Y536:Y536"/>
    <mergeCell ref="Z536:Z536"/>
    <mergeCell ref="AA536:AA536"/>
    <mergeCell ref="AB536:AB536"/>
    <mergeCell ref="AC536:AC536"/>
    <mergeCell ref="AD536:AD536"/>
    <mergeCell ref="AE536:AE536"/>
    <mergeCell ref="AF536:AF536"/>
    <mergeCell ref="A537:A537"/>
    <mergeCell ref="B537:B537"/>
    <mergeCell ref="C537:C537"/>
    <mergeCell ref="F537:F537"/>
    <mergeCell ref="G537:G537"/>
    <mergeCell ref="H537:H537"/>
    <mergeCell ref="M537:M537"/>
    <mergeCell ref="N537:N537"/>
    <mergeCell ref="O537:O537"/>
    <mergeCell ref="P537:P537"/>
    <mergeCell ref="Q537:Q537"/>
    <mergeCell ref="R537:R537"/>
    <mergeCell ref="S537:S537"/>
    <mergeCell ref="X537:X537"/>
    <mergeCell ref="Y537:Y537"/>
    <mergeCell ref="Z537:Z537"/>
    <mergeCell ref="AA537:AA537"/>
    <mergeCell ref="AB537:AB537"/>
    <mergeCell ref="AC537:AC537"/>
    <mergeCell ref="AD537:AD537"/>
    <mergeCell ref="AE537:AE537"/>
    <mergeCell ref="AF537:AF537"/>
    <mergeCell ref="A538:A538"/>
    <mergeCell ref="B538:B538"/>
    <mergeCell ref="C538:C538"/>
    <mergeCell ref="F538:F538"/>
    <mergeCell ref="G538:G538"/>
    <mergeCell ref="H538:H538"/>
    <mergeCell ref="M538:M538"/>
    <mergeCell ref="N538:N538"/>
    <mergeCell ref="O538:O538"/>
    <mergeCell ref="P538:P538"/>
    <mergeCell ref="Q538:Q538"/>
    <mergeCell ref="R538:R538"/>
    <mergeCell ref="S538:S538"/>
    <mergeCell ref="X538:X538"/>
    <mergeCell ref="Y538:Y538"/>
    <mergeCell ref="Z538:Z538"/>
    <mergeCell ref="AA538:AA538"/>
    <mergeCell ref="AB538:AB538"/>
    <mergeCell ref="AC538:AC538"/>
    <mergeCell ref="AD538:AD538"/>
    <mergeCell ref="AE538:AE538"/>
    <mergeCell ref="AF538:AF538"/>
    <mergeCell ref="A539:A539"/>
    <mergeCell ref="B539:B539"/>
    <mergeCell ref="C539:C539"/>
    <mergeCell ref="F539:F539"/>
    <mergeCell ref="G539:G539"/>
    <mergeCell ref="H539:H539"/>
    <mergeCell ref="M539:M539"/>
    <mergeCell ref="N539:N539"/>
    <mergeCell ref="O539:O539"/>
    <mergeCell ref="P539:P539"/>
    <mergeCell ref="Q539:Q539"/>
    <mergeCell ref="R539:R539"/>
    <mergeCell ref="S539:S539"/>
    <mergeCell ref="X539:X539"/>
    <mergeCell ref="Y539:Y539"/>
    <mergeCell ref="Z539:Z539"/>
    <mergeCell ref="AA539:AA539"/>
    <mergeCell ref="AB539:AB539"/>
    <mergeCell ref="AC539:AC539"/>
    <mergeCell ref="AD539:AD539"/>
    <mergeCell ref="AE539:AE539"/>
    <mergeCell ref="AF539:AF539"/>
    <mergeCell ref="A540:A540"/>
    <mergeCell ref="B540:B540"/>
    <mergeCell ref="C540:C540"/>
    <mergeCell ref="F540:F540"/>
    <mergeCell ref="G540:G540"/>
    <mergeCell ref="H540:H540"/>
    <mergeCell ref="M540:M540"/>
    <mergeCell ref="N540:N540"/>
    <mergeCell ref="O540:O540"/>
    <mergeCell ref="P540:P540"/>
    <mergeCell ref="Q540:Q540"/>
    <mergeCell ref="R540:R540"/>
    <mergeCell ref="S540:S540"/>
    <mergeCell ref="X540:X540"/>
    <mergeCell ref="Y540:Y540"/>
    <mergeCell ref="Z540:Z540"/>
    <mergeCell ref="AA540:AA540"/>
    <mergeCell ref="AB540:AB540"/>
    <mergeCell ref="AC540:AC540"/>
    <mergeCell ref="AD540:AD540"/>
    <mergeCell ref="AE540:AE540"/>
    <mergeCell ref="AF540:AF540"/>
    <mergeCell ref="A541:A541"/>
    <mergeCell ref="B541:B541"/>
    <mergeCell ref="C541:C541"/>
    <mergeCell ref="F541:F541"/>
    <mergeCell ref="G541:G541"/>
    <mergeCell ref="H541:H541"/>
    <mergeCell ref="M541:M541"/>
    <mergeCell ref="N541:N541"/>
    <mergeCell ref="O541:O541"/>
    <mergeCell ref="P541:P541"/>
    <mergeCell ref="Q541:Q541"/>
    <mergeCell ref="R541:R541"/>
    <mergeCell ref="S541:S541"/>
    <mergeCell ref="X541:X541"/>
    <mergeCell ref="Y541:Y541"/>
    <mergeCell ref="Z541:Z541"/>
    <mergeCell ref="AA541:AA541"/>
    <mergeCell ref="AB541:AB541"/>
    <mergeCell ref="AC541:AC541"/>
    <mergeCell ref="AD541:AD541"/>
    <mergeCell ref="AE541:AE541"/>
    <mergeCell ref="AF541:AF541"/>
    <mergeCell ref="A542:A542"/>
    <mergeCell ref="B542:B542"/>
    <mergeCell ref="C542:C542"/>
    <mergeCell ref="F542:F542"/>
    <mergeCell ref="G542:G542"/>
    <mergeCell ref="H542:H542"/>
    <mergeCell ref="M542:M542"/>
    <mergeCell ref="N542:N542"/>
    <mergeCell ref="O542:O542"/>
    <mergeCell ref="P542:P542"/>
    <mergeCell ref="Q542:Q542"/>
    <mergeCell ref="R542:R542"/>
    <mergeCell ref="S542:S542"/>
    <mergeCell ref="X542:X542"/>
    <mergeCell ref="Y542:Y542"/>
    <mergeCell ref="Z542:Z542"/>
    <mergeCell ref="AA542:AA542"/>
    <mergeCell ref="AB542:AB542"/>
    <mergeCell ref="AC542:AC542"/>
    <mergeCell ref="AD542:AD542"/>
    <mergeCell ref="AE542:AE542"/>
    <mergeCell ref="AF542:AF542"/>
    <mergeCell ref="A543:A543"/>
    <mergeCell ref="B543:B543"/>
    <mergeCell ref="C543:C543"/>
    <mergeCell ref="F543:F543"/>
    <mergeCell ref="G543:G543"/>
    <mergeCell ref="H543:H543"/>
    <mergeCell ref="M543:M543"/>
    <mergeCell ref="N543:N543"/>
    <mergeCell ref="O543:O543"/>
    <mergeCell ref="P543:P543"/>
    <mergeCell ref="Q543:Q543"/>
    <mergeCell ref="R543:R543"/>
    <mergeCell ref="S543:S543"/>
    <mergeCell ref="X543:X543"/>
    <mergeCell ref="Y543:Y543"/>
    <mergeCell ref="Z543:Z543"/>
    <mergeCell ref="AA543:AA543"/>
    <mergeCell ref="AB543:AB543"/>
    <mergeCell ref="AC543:AC543"/>
    <mergeCell ref="AD543:AD543"/>
    <mergeCell ref="AE543:AE543"/>
    <mergeCell ref="AF543:AF543"/>
    <mergeCell ref="A544:A544"/>
    <mergeCell ref="B544:B544"/>
    <mergeCell ref="C544:C544"/>
    <mergeCell ref="F544:F544"/>
    <mergeCell ref="G544:G544"/>
    <mergeCell ref="H544:H544"/>
    <mergeCell ref="M544:M544"/>
    <mergeCell ref="N544:N544"/>
    <mergeCell ref="O544:O544"/>
    <mergeCell ref="P544:P544"/>
    <mergeCell ref="Q544:Q544"/>
    <mergeCell ref="R544:R544"/>
    <mergeCell ref="S544:S544"/>
    <mergeCell ref="X544:X544"/>
    <mergeCell ref="Y544:Y544"/>
    <mergeCell ref="Z544:Z544"/>
    <mergeCell ref="AA544:AA544"/>
    <mergeCell ref="AB544:AB544"/>
    <mergeCell ref="AC544:AC544"/>
    <mergeCell ref="AD544:AD544"/>
    <mergeCell ref="AE544:AE544"/>
    <mergeCell ref="AF544:AF544"/>
    <mergeCell ref="A545:A545"/>
    <mergeCell ref="B545:B545"/>
    <mergeCell ref="C545:C545"/>
    <mergeCell ref="F545:F545"/>
    <mergeCell ref="G545:G545"/>
    <mergeCell ref="H545:H545"/>
    <mergeCell ref="M545:M545"/>
    <mergeCell ref="N545:N545"/>
    <mergeCell ref="O545:O545"/>
    <mergeCell ref="P545:P545"/>
    <mergeCell ref="Q545:Q545"/>
    <mergeCell ref="R545:R545"/>
    <mergeCell ref="S545:S545"/>
    <mergeCell ref="X545:X545"/>
    <mergeCell ref="Y545:Y545"/>
    <mergeCell ref="Z545:Z545"/>
    <mergeCell ref="AA545:AA545"/>
    <mergeCell ref="AB545:AB545"/>
    <mergeCell ref="AC545:AC545"/>
    <mergeCell ref="AD545:AD545"/>
    <mergeCell ref="AE545:AE545"/>
    <mergeCell ref="AF545:AF545"/>
    <mergeCell ref="A546:A546"/>
    <mergeCell ref="B546:B546"/>
    <mergeCell ref="C546:C546"/>
    <mergeCell ref="F546:F546"/>
    <mergeCell ref="G546:G546"/>
    <mergeCell ref="H546:H546"/>
    <mergeCell ref="M546:M546"/>
    <mergeCell ref="N546:N546"/>
    <mergeCell ref="O546:O546"/>
    <mergeCell ref="P546:P546"/>
    <mergeCell ref="Q546:Q546"/>
    <mergeCell ref="R546:R546"/>
    <mergeCell ref="S546:S546"/>
    <mergeCell ref="X546:X546"/>
    <mergeCell ref="Y546:Y546"/>
    <mergeCell ref="Z546:Z546"/>
    <mergeCell ref="AA546:AA546"/>
    <mergeCell ref="AB546:AB546"/>
    <mergeCell ref="AC546:AC546"/>
    <mergeCell ref="AD546:AD546"/>
    <mergeCell ref="AE546:AE546"/>
    <mergeCell ref="AF546:AF546"/>
    <mergeCell ref="A547:A547"/>
    <mergeCell ref="B547:B547"/>
    <mergeCell ref="C547:C547"/>
    <mergeCell ref="F547:F547"/>
    <mergeCell ref="G547:G547"/>
    <mergeCell ref="H547:H547"/>
    <mergeCell ref="M547:M547"/>
    <mergeCell ref="N547:N547"/>
    <mergeCell ref="O547:O547"/>
    <mergeCell ref="P547:P547"/>
    <mergeCell ref="Q547:Q547"/>
    <mergeCell ref="R547:R547"/>
    <mergeCell ref="S547:S547"/>
    <mergeCell ref="X547:X547"/>
    <mergeCell ref="Y547:Y547"/>
    <mergeCell ref="Z547:Z547"/>
    <mergeCell ref="AA547:AA547"/>
    <mergeCell ref="AB547:AB547"/>
    <mergeCell ref="AC547:AC547"/>
    <mergeCell ref="AD547:AD547"/>
    <mergeCell ref="AE547:AE547"/>
    <mergeCell ref="AF547:AF547"/>
    <mergeCell ref="A548:A548"/>
    <mergeCell ref="B548:B548"/>
    <mergeCell ref="C548:C548"/>
    <mergeCell ref="F548:F548"/>
    <mergeCell ref="G548:G548"/>
    <mergeCell ref="H548:H548"/>
    <mergeCell ref="M548:M548"/>
    <mergeCell ref="N548:N548"/>
    <mergeCell ref="O548:O548"/>
    <mergeCell ref="P548:P548"/>
    <mergeCell ref="Q548:Q548"/>
    <mergeCell ref="R548:R548"/>
    <mergeCell ref="S548:S548"/>
    <mergeCell ref="X548:X548"/>
    <mergeCell ref="Y548:Y548"/>
    <mergeCell ref="Z548:Z548"/>
    <mergeCell ref="AA548:AA548"/>
    <mergeCell ref="AB548:AB548"/>
    <mergeCell ref="AC548:AC548"/>
    <mergeCell ref="AD548:AD548"/>
    <mergeCell ref="AE548:AE548"/>
    <mergeCell ref="AF548:AF548"/>
    <mergeCell ref="A549:A549"/>
    <mergeCell ref="B549:B549"/>
    <mergeCell ref="C549:C549"/>
    <mergeCell ref="F549:F549"/>
    <mergeCell ref="G549:G549"/>
    <mergeCell ref="H549:H549"/>
    <mergeCell ref="M549:M549"/>
    <mergeCell ref="N549:N549"/>
    <mergeCell ref="O549:O549"/>
    <mergeCell ref="P549:P549"/>
    <mergeCell ref="Q549:Q549"/>
    <mergeCell ref="R549:R549"/>
    <mergeCell ref="S549:S549"/>
    <mergeCell ref="X549:X549"/>
    <mergeCell ref="Y549:Y549"/>
    <mergeCell ref="Z549:Z549"/>
    <mergeCell ref="AA549:AA549"/>
    <mergeCell ref="AB549:AB549"/>
    <mergeCell ref="AC549:AC549"/>
    <mergeCell ref="AD549:AD549"/>
    <mergeCell ref="AE549:AE549"/>
    <mergeCell ref="AF549:AF549"/>
    <mergeCell ref="A550:A550"/>
    <mergeCell ref="B550:B550"/>
    <mergeCell ref="C550:C550"/>
    <mergeCell ref="F550:F550"/>
    <mergeCell ref="G550:G550"/>
    <mergeCell ref="H550:H550"/>
    <mergeCell ref="M550:M550"/>
    <mergeCell ref="N550:N550"/>
    <mergeCell ref="O550:O550"/>
    <mergeCell ref="P550:P550"/>
    <mergeCell ref="Q550:Q550"/>
    <mergeCell ref="R550:R550"/>
    <mergeCell ref="S550:S550"/>
    <mergeCell ref="X550:X550"/>
    <mergeCell ref="Y550:Y550"/>
    <mergeCell ref="Z550:Z550"/>
    <mergeCell ref="AA550:AA550"/>
    <mergeCell ref="AB550:AB550"/>
    <mergeCell ref="AC550:AC550"/>
    <mergeCell ref="AD550:AD550"/>
    <mergeCell ref="AE550:AE550"/>
    <mergeCell ref="AF550:AF550"/>
    <mergeCell ref="A551:A551"/>
    <mergeCell ref="B551:B551"/>
    <mergeCell ref="C551:C551"/>
    <mergeCell ref="F551:F551"/>
    <mergeCell ref="G551:G551"/>
    <mergeCell ref="H551:H551"/>
    <mergeCell ref="M551:M551"/>
    <mergeCell ref="N551:N551"/>
    <mergeCell ref="O551:O551"/>
    <mergeCell ref="P551:P551"/>
    <mergeCell ref="Q551:Q551"/>
    <mergeCell ref="R551:R551"/>
    <mergeCell ref="S551:S551"/>
    <mergeCell ref="X551:X551"/>
    <mergeCell ref="Y551:Y551"/>
    <mergeCell ref="Z551:Z551"/>
    <mergeCell ref="AA551:AA551"/>
    <mergeCell ref="AB551:AB551"/>
    <mergeCell ref="AC551:AC551"/>
    <mergeCell ref="AD551:AD551"/>
    <mergeCell ref="AE551:AE551"/>
    <mergeCell ref="AF551:AF551"/>
    <mergeCell ref="A552:A552"/>
    <mergeCell ref="B552:B552"/>
    <mergeCell ref="C552:C552"/>
    <mergeCell ref="F552:F552"/>
    <mergeCell ref="G552:G552"/>
    <mergeCell ref="H552:H552"/>
    <mergeCell ref="M552:M552"/>
    <mergeCell ref="N552:N552"/>
    <mergeCell ref="O552:O552"/>
    <mergeCell ref="P552:P552"/>
    <mergeCell ref="Q552:Q552"/>
    <mergeCell ref="R552:R552"/>
    <mergeCell ref="S552:S552"/>
    <mergeCell ref="X552:X552"/>
    <mergeCell ref="Y552:Y552"/>
    <mergeCell ref="Z552:Z552"/>
    <mergeCell ref="AA552:AA552"/>
    <mergeCell ref="AB552:AB552"/>
    <mergeCell ref="AC552:AC552"/>
    <mergeCell ref="AD552:AD552"/>
    <mergeCell ref="AE552:AE552"/>
    <mergeCell ref="AF552:AF552"/>
    <mergeCell ref="A553:A553"/>
    <mergeCell ref="B553:B553"/>
    <mergeCell ref="C553:C553"/>
    <mergeCell ref="F553:F553"/>
    <mergeCell ref="G553:G553"/>
    <mergeCell ref="H553:H553"/>
    <mergeCell ref="M553:M553"/>
    <mergeCell ref="N553:N553"/>
    <mergeCell ref="O553:O553"/>
    <mergeCell ref="P553:P553"/>
    <mergeCell ref="Q553:Q553"/>
    <mergeCell ref="R553:R553"/>
    <mergeCell ref="S553:S553"/>
    <mergeCell ref="X553:X553"/>
    <mergeCell ref="Y553:Y553"/>
    <mergeCell ref="Z553:Z553"/>
    <mergeCell ref="AA553:AA553"/>
    <mergeCell ref="AB553:AB553"/>
    <mergeCell ref="AC553:AC553"/>
    <mergeCell ref="AD553:AD553"/>
    <mergeCell ref="AE553:AE553"/>
    <mergeCell ref="AF553:AF553"/>
    <mergeCell ref="A554:A554"/>
    <mergeCell ref="B554:B554"/>
    <mergeCell ref="C554:C554"/>
    <mergeCell ref="F554:F554"/>
    <mergeCell ref="G554:G554"/>
    <mergeCell ref="H554:H554"/>
    <mergeCell ref="M554:M554"/>
    <mergeCell ref="N554:N554"/>
    <mergeCell ref="O554:O554"/>
    <mergeCell ref="P554:P554"/>
    <mergeCell ref="Q554:Q554"/>
    <mergeCell ref="R554:R554"/>
    <mergeCell ref="S554:S554"/>
    <mergeCell ref="X554:X554"/>
    <mergeCell ref="Y554:Y554"/>
    <mergeCell ref="Z554:Z554"/>
    <mergeCell ref="AA554:AA554"/>
    <mergeCell ref="AB554:AB554"/>
    <mergeCell ref="AC554:AC554"/>
    <mergeCell ref="AD554:AD554"/>
    <mergeCell ref="AE554:AE554"/>
    <mergeCell ref="AF554:AF554"/>
    <mergeCell ref="A555:A555"/>
    <mergeCell ref="B555:B555"/>
    <mergeCell ref="C555:C555"/>
    <mergeCell ref="F555:F555"/>
    <mergeCell ref="G555:G555"/>
    <mergeCell ref="H555:H555"/>
    <mergeCell ref="M555:M555"/>
    <mergeCell ref="N555:N555"/>
    <mergeCell ref="O555:O555"/>
    <mergeCell ref="P555:P555"/>
    <mergeCell ref="Q555:Q555"/>
    <mergeCell ref="R555:R555"/>
    <mergeCell ref="S555:S555"/>
    <mergeCell ref="X555:X555"/>
    <mergeCell ref="Y555:Y555"/>
    <mergeCell ref="Z555:Z555"/>
    <mergeCell ref="AA555:AA555"/>
    <mergeCell ref="AB555:AB555"/>
    <mergeCell ref="AC555:AC555"/>
    <mergeCell ref="AD555:AD555"/>
    <mergeCell ref="AE555:AE555"/>
    <mergeCell ref="AF555:AF555"/>
    <mergeCell ref="A556:A556"/>
    <mergeCell ref="B556:B556"/>
    <mergeCell ref="C556:C556"/>
    <mergeCell ref="F556:F556"/>
    <mergeCell ref="G556:G556"/>
    <mergeCell ref="H556:H556"/>
    <mergeCell ref="M556:M556"/>
    <mergeCell ref="N556:N556"/>
    <mergeCell ref="O556:O556"/>
    <mergeCell ref="P556:P556"/>
    <mergeCell ref="Q556:Q556"/>
    <mergeCell ref="R556:R556"/>
    <mergeCell ref="S556:S556"/>
    <mergeCell ref="X556:X556"/>
    <mergeCell ref="Y556:Y556"/>
    <mergeCell ref="Z556:Z556"/>
    <mergeCell ref="AA556:AA556"/>
    <mergeCell ref="AB556:AB556"/>
    <mergeCell ref="AC556:AC556"/>
    <mergeCell ref="AD556:AD556"/>
    <mergeCell ref="AE556:AE556"/>
    <mergeCell ref="AF556:AF556"/>
    <mergeCell ref="A557:A557"/>
    <mergeCell ref="B557:B557"/>
    <mergeCell ref="C557:C557"/>
    <mergeCell ref="F557:F557"/>
    <mergeCell ref="G557:G557"/>
    <mergeCell ref="H557:H557"/>
    <mergeCell ref="M557:M557"/>
    <mergeCell ref="N557:N557"/>
    <mergeCell ref="O557:O557"/>
    <mergeCell ref="P557:P557"/>
    <mergeCell ref="Q557:Q557"/>
    <mergeCell ref="R557:R557"/>
    <mergeCell ref="S557:S557"/>
    <mergeCell ref="X557:X557"/>
    <mergeCell ref="Y557:Y557"/>
    <mergeCell ref="Z557:Z557"/>
    <mergeCell ref="AA557:AA557"/>
    <mergeCell ref="AB557:AB557"/>
    <mergeCell ref="AC557:AC557"/>
    <mergeCell ref="AD557:AD557"/>
    <mergeCell ref="AE557:AE557"/>
    <mergeCell ref="AF557:AF557"/>
    <mergeCell ref="A558:A558"/>
    <mergeCell ref="B558:B558"/>
    <mergeCell ref="C558:C558"/>
    <mergeCell ref="F558:F558"/>
    <mergeCell ref="G558:G558"/>
    <mergeCell ref="H558:H558"/>
    <mergeCell ref="M558:M558"/>
    <mergeCell ref="N558:N558"/>
    <mergeCell ref="O558:O558"/>
    <mergeCell ref="P558:P558"/>
    <mergeCell ref="Q558:Q558"/>
    <mergeCell ref="R558:R558"/>
    <mergeCell ref="S558:S558"/>
    <mergeCell ref="X558:X558"/>
    <mergeCell ref="Y558:Y558"/>
    <mergeCell ref="Z558:Z558"/>
    <mergeCell ref="AA558:AA558"/>
    <mergeCell ref="AB558:AB558"/>
    <mergeCell ref="AC558:AC558"/>
    <mergeCell ref="AD558:AD558"/>
    <mergeCell ref="AE558:AE558"/>
    <mergeCell ref="AF558:AF558"/>
    <mergeCell ref="A559:A559"/>
    <mergeCell ref="B559:B559"/>
    <mergeCell ref="C559:C559"/>
    <mergeCell ref="F559:F559"/>
    <mergeCell ref="G559:G559"/>
    <mergeCell ref="H559:H559"/>
    <mergeCell ref="M559:M559"/>
    <mergeCell ref="N559:N559"/>
    <mergeCell ref="O559:O559"/>
    <mergeCell ref="P559:P559"/>
    <mergeCell ref="Q559:Q559"/>
    <mergeCell ref="R559:R559"/>
    <mergeCell ref="S559:S559"/>
    <mergeCell ref="X559:X559"/>
    <mergeCell ref="Y559:Y559"/>
    <mergeCell ref="Z559:Z559"/>
    <mergeCell ref="AA559:AA559"/>
    <mergeCell ref="AB559:AB559"/>
    <mergeCell ref="AC559:AC559"/>
    <mergeCell ref="AD559:AD559"/>
    <mergeCell ref="AE559:AE559"/>
    <mergeCell ref="AF559:AF559"/>
    <mergeCell ref="A560:A560"/>
    <mergeCell ref="B560:B560"/>
    <mergeCell ref="C560:C560"/>
    <mergeCell ref="F560:F560"/>
    <mergeCell ref="G560:G560"/>
    <mergeCell ref="H560:H560"/>
    <mergeCell ref="M560:M560"/>
    <mergeCell ref="N560:N560"/>
    <mergeCell ref="O560:O560"/>
    <mergeCell ref="P560:P560"/>
    <mergeCell ref="Q560:Q560"/>
    <mergeCell ref="R560:R560"/>
    <mergeCell ref="S560:S560"/>
    <mergeCell ref="X560:X560"/>
    <mergeCell ref="Y560:Y560"/>
    <mergeCell ref="Z560:Z560"/>
    <mergeCell ref="AA560:AA560"/>
    <mergeCell ref="AB560:AB560"/>
    <mergeCell ref="AC560:AC560"/>
    <mergeCell ref="AD560:AD560"/>
    <mergeCell ref="AE560:AE560"/>
    <mergeCell ref="AF560:AF560"/>
    <mergeCell ref="A561:A561"/>
    <mergeCell ref="B561:B561"/>
    <mergeCell ref="C561:C561"/>
    <mergeCell ref="F561:F561"/>
    <mergeCell ref="G561:G561"/>
    <mergeCell ref="H561:H561"/>
    <mergeCell ref="M561:M561"/>
    <mergeCell ref="N561:N561"/>
    <mergeCell ref="O561:O561"/>
    <mergeCell ref="P561:P561"/>
    <mergeCell ref="Q561:Q561"/>
    <mergeCell ref="R561:R561"/>
    <mergeCell ref="S561:S561"/>
    <mergeCell ref="X561:X561"/>
    <mergeCell ref="Y561:Y561"/>
    <mergeCell ref="Z561:Z561"/>
    <mergeCell ref="AA561:AA561"/>
    <mergeCell ref="AB561:AB561"/>
    <mergeCell ref="AC561:AC561"/>
    <mergeCell ref="AD561:AD561"/>
    <mergeCell ref="AE561:AE561"/>
    <mergeCell ref="AF561:AF561"/>
    <mergeCell ref="A562:A562"/>
    <mergeCell ref="B562:B562"/>
    <mergeCell ref="C562:C562"/>
    <mergeCell ref="F562:F562"/>
    <mergeCell ref="G562:G562"/>
    <mergeCell ref="H562:H562"/>
    <mergeCell ref="M562:M562"/>
    <mergeCell ref="N562:N562"/>
    <mergeCell ref="O562:O562"/>
    <mergeCell ref="P562:P562"/>
    <mergeCell ref="Q562:Q562"/>
    <mergeCell ref="R562:R562"/>
    <mergeCell ref="S562:S562"/>
    <mergeCell ref="X562:X562"/>
    <mergeCell ref="Y562:Y562"/>
    <mergeCell ref="Z562:Z562"/>
    <mergeCell ref="AA562:AA562"/>
    <mergeCell ref="AB562:AB562"/>
    <mergeCell ref="AC562:AC562"/>
    <mergeCell ref="AD562:AD562"/>
    <mergeCell ref="AE562:AE562"/>
    <mergeCell ref="AF562:AF562"/>
    <mergeCell ref="A563:A563"/>
    <mergeCell ref="B563:B563"/>
    <mergeCell ref="C563:C563"/>
    <mergeCell ref="F563:F563"/>
    <mergeCell ref="G563:G563"/>
    <mergeCell ref="H563:H563"/>
    <mergeCell ref="M563:M563"/>
    <mergeCell ref="N563:N563"/>
    <mergeCell ref="O563:O563"/>
    <mergeCell ref="P563:P563"/>
    <mergeCell ref="Q563:Q563"/>
    <mergeCell ref="R563:R563"/>
    <mergeCell ref="S563:S563"/>
    <mergeCell ref="X563:X563"/>
    <mergeCell ref="Y563:Y563"/>
    <mergeCell ref="Z563:Z563"/>
    <mergeCell ref="AA563:AA563"/>
    <mergeCell ref="AB563:AB563"/>
    <mergeCell ref="AC563:AC563"/>
    <mergeCell ref="AD563:AD563"/>
    <mergeCell ref="AE563:AE563"/>
    <mergeCell ref="AF563:AF563"/>
    <mergeCell ref="A564:A564"/>
    <mergeCell ref="B564:B564"/>
    <mergeCell ref="C564:C564"/>
    <mergeCell ref="F564:F564"/>
    <mergeCell ref="G564:G564"/>
    <mergeCell ref="H564:H564"/>
    <mergeCell ref="M564:M564"/>
    <mergeCell ref="N564:N564"/>
    <mergeCell ref="O564:O564"/>
    <mergeCell ref="P564:P564"/>
    <mergeCell ref="Q564:Q564"/>
    <mergeCell ref="R564:R564"/>
    <mergeCell ref="S564:S564"/>
    <mergeCell ref="X564:X564"/>
    <mergeCell ref="Y564:Y564"/>
    <mergeCell ref="Z564:Z564"/>
    <mergeCell ref="AA564:AA564"/>
    <mergeCell ref="AB564:AB564"/>
    <mergeCell ref="AC564:AC564"/>
    <mergeCell ref="AD564:AD564"/>
    <mergeCell ref="AE564:AE564"/>
    <mergeCell ref="AF564:AF564"/>
    <mergeCell ref="A565:A565"/>
    <mergeCell ref="B565:B565"/>
    <mergeCell ref="C565:C565"/>
    <mergeCell ref="F565:F565"/>
    <mergeCell ref="G565:G565"/>
    <mergeCell ref="H565:H565"/>
    <mergeCell ref="M565:M565"/>
    <mergeCell ref="N565:N565"/>
    <mergeCell ref="O565:O565"/>
    <mergeCell ref="P565:P565"/>
    <mergeCell ref="Q565:Q565"/>
    <mergeCell ref="R565:R565"/>
    <mergeCell ref="S565:S565"/>
    <mergeCell ref="X565:X565"/>
    <mergeCell ref="Y565:Y565"/>
    <mergeCell ref="Z565:Z565"/>
    <mergeCell ref="AA565:AA565"/>
    <mergeCell ref="AB565:AB565"/>
    <mergeCell ref="AC565:AC565"/>
    <mergeCell ref="AD565:AD565"/>
    <mergeCell ref="AE565:AE565"/>
    <mergeCell ref="AF565:AF565"/>
    <mergeCell ref="A566:A566"/>
    <mergeCell ref="B566:B566"/>
    <mergeCell ref="C566:C566"/>
    <mergeCell ref="F566:F566"/>
    <mergeCell ref="G566:G566"/>
    <mergeCell ref="H566:H566"/>
    <mergeCell ref="M566:M566"/>
    <mergeCell ref="N566:N566"/>
    <mergeCell ref="O566:O566"/>
    <mergeCell ref="P566:P566"/>
    <mergeCell ref="Q566:Q566"/>
    <mergeCell ref="R566:R566"/>
    <mergeCell ref="S566:S566"/>
    <mergeCell ref="X566:X566"/>
    <mergeCell ref="Y566:Y566"/>
    <mergeCell ref="Z566:Z566"/>
    <mergeCell ref="AA566:AA566"/>
    <mergeCell ref="AB566:AB566"/>
    <mergeCell ref="AC566:AC566"/>
    <mergeCell ref="AD566:AD566"/>
    <mergeCell ref="AE566:AE566"/>
    <mergeCell ref="AF566:AF566"/>
    <mergeCell ref="A567:A567"/>
    <mergeCell ref="B567:B567"/>
    <mergeCell ref="C567:C567"/>
    <mergeCell ref="F567:F567"/>
    <mergeCell ref="G567:G567"/>
    <mergeCell ref="H567:H567"/>
    <mergeCell ref="M567:M567"/>
    <mergeCell ref="N567:N567"/>
    <mergeCell ref="O567:O567"/>
    <mergeCell ref="P567:P567"/>
    <mergeCell ref="Q567:Q567"/>
    <mergeCell ref="R567:R567"/>
    <mergeCell ref="S567:S567"/>
    <mergeCell ref="X567:X567"/>
    <mergeCell ref="Y567:Y567"/>
    <mergeCell ref="Z567:Z567"/>
    <mergeCell ref="AA567:AA567"/>
    <mergeCell ref="AB567:AB567"/>
    <mergeCell ref="AC567:AC567"/>
    <mergeCell ref="AD567:AD567"/>
    <mergeCell ref="AE567:AE567"/>
    <mergeCell ref="AF567:AF567"/>
    <mergeCell ref="A568:A568"/>
    <mergeCell ref="B568:B568"/>
    <mergeCell ref="C568:C568"/>
    <mergeCell ref="F568:F568"/>
    <mergeCell ref="G568:G568"/>
    <mergeCell ref="H568:H568"/>
    <mergeCell ref="M568:M568"/>
    <mergeCell ref="N568:N568"/>
    <mergeCell ref="O568:O568"/>
    <mergeCell ref="P568:P568"/>
    <mergeCell ref="Q568:Q568"/>
    <mergeCell ref="R568:R568"/>
    <mergeCell ref="S568:S568"/>
    <mergeCell ref="X568:X568"/>
    <mergeCell ref="Y568:Y568"/>
    <mergeCell ref="Z568:Z568"/>
    <mergeCell ref="AA568:AA568"/>
    <mergeCell ref="AB568:AB568"/>
    <mergeCell ref="AC568:AC568"/>
    <mergeCell ref="AD568:AD568"/>
    <mergeCell ref="AE568:AE568"/>
    <mergeCell ref="AF568:AF568"/>
    <mergeCell ref="A569:A569"/>
    <mergeCell ref="B569:B569"/>
    <mergeCell ref="C569:C569"/>
    <mergeCell ref="F569:F569"/>
    <mergeCell ref="G569:G569"/>
    <mergeCell ref="H569:H569"/>
    <mergeCell ref="M569:M569"/>
    <mergeCell ref="N569:N569"/>
    <mergeCell ref="O569:O569"/>
    <mergeCell ref="P569:P569"/>
    <mergeCell ref="Q569:Q569"/>
    <mergeCell ref="R569:R569"/>
    <mergeCell ref="S569:S569"/>
    <mergeCell ref="X569:X569"/>
    <mergeCell ref="Y569:Y569"/>
    <mergeCell ref="Z569:Z569"/>
    <mergeCell ref="AA569:AA569"/>
    <mergeCell ref="AB569:AB569"/>
    <mergeCell ref="AC569:AC569"/>
    <mergeCell ref="AD569:AD569"/>
    <mergeCell ref="AE569:AE569"/>
    <mergeCell ref="AF569:AF569"/>
    <mergeCell ref="A570:A570"/>
    <mergeCell ref="B570:B570"/>
    <mergeCell ref="C570:C570"/>
    <mergeCell ref="F570:F570"/>
    <mergeCell ref="G570:G570"/>
    <mergeCell ref="H570:H570"/>
    <mergeCell ref="M570:M570"/>
    <mergeCell ref="N570:N570"/>
    <mergeCell ref="O570:O570"/>
    <mergeCell ref="P570:P570"/>
    <mergeCell ref="Q570:Q570"/>
    <mergeCell ref="R570:R570"/>
    <mergeCell ref="S570:S570"/>
    <mergeCell ref="X570:X570"/>
    <mergeCell ref="Y570:Y570"/>
    <mergeCell ref="Z570:Z570"/>
    <mergeCell ref="AA570:AA570"/>
    <mergeCell ref="AB570:AB570"/>
    <mergeCell ref="AC570:AC570"/>
    <mergeCell ref="AD570:AD570"/>
    <mergeCell ref="AE570:AE570"/>
    <mergeCell ref="AF570:AF570"/>
    <mergeCell ref="A571:A571"/>
    <mergeCell ref="B571:B571"/>
    <mergeCell ref="C571:C571"/>
    <mergeCell ref="F571:F571"/>
    <mergeCell ref="G571:G571"/>
    <mergeCell ref="H571:H571"/>
    <mergeCell ref="M571:M571"/>
    <mergeCell ref="N571:N571"/>
    <mergeCell ref="O571:O571"/>
    <mergeCell ref="P571:P571"/>
    <mergeCell ref="Q571:Q571"/>
    <mergeCell ref="R571:R571"/>
    <mergeCell ref="S571:S571"/>
    <mergeCell ref="X571:X571"/>
    <mergeCell ref="Y571:Y571"/>
    <mergeCell ref="Z571:Z571"/>
    <mergeCell ref="AA571:AA571"/>
    <mergeCell ref="AB571:AB571"/>
    <mergeCell ref="AC571:AC571"/>
    <mergeCell ref="AD571:AD571"/>
    <mergeCell ref="AE571:AE571"/>
    <mergeCell ref="AF571:AF571"/>
    <mergeCell ref="A572:A572"/>
    <mergeCell ref="B572:B572"/>
    <mergeCell ref="C572:C572"/>
    <mergeCell ref="F572:F572"/>
    <mergeCell ref="G572:G572"/>
    <mergeCell ref="H572:H572"/>
    <mergeCell ref="M572:M572"/>
    <mergeCell ref="N572:N572"/>
    <mergeCell ref="O572:O572"/>
    <mergeCell ref="P572:P572"/>
    <mergeCell ref="Q572:Q572"/>
    <mergeCell ref="R572:R572"/>
    <mergeCell ref="S572:S572"/>
    <mergeCell ref="X572:X572"/>
    <mergeCell ref="Y572:Y572"/>
    <mergeCell ref="Z572:Z572"/>
    <mergeCell ref="AA572:AA572"/>
    <mergeCell ref="AB572:AB572"/>
    <mergeCell ref="AC572:AC572"/>
    <mergeCell ref="AD572:AD572"/>
    <mergeCell ref="AE572:AE572"/>
    <mergeCell ref="AF572:AF572"/>
    <mergeCell ref="A573:A573"/>
    <mergeCell ref="B573:B573"/>
    <mergeCell ref="C573:C573"/>
    <mergeCell ref="F573:F573"/>
    <mergeCell ref="G573:G573"/>
    <mergeCell ref="H573:H573"/>
    <mergeCell ref="M573:M573"/>
    <mergeCell ref="N573:N573"/>
    <mergeCell ref="O573:O573"/>
    <mergeCell ref="P573:P573"/>
    <mergeCell ref="Q573:Q573"/>
    <mergeCell ref="R573:R573"/>
    <mergeCell ref="S573:S573"/>
    <mergeCell ref="X573:X573"/>
    <mergeCell ref="Y573:Y573"/>
    <mergeCell ref="Z573:Z573"/>
    <mergeCell ref="AA573:AA573"/>
    <mergeCell ref="AB573:AB573"/>
    <mergeCell ref="AC573:AC573"/>
    <mergeCell ref="AD573:AD573"/>
    <mergeCell ref="AE573:AE573"/>
    <mergeCell ref="AF573:AF573"/>
    <mergeCell ref="A574:A574"/>
    <mergeCell ref="B574:B574"/>
    <mergeCell ref="C574:C574"/>
    <mergeCell ref="F574:F574"/>
    <mergeCell ref="G574:G574"/>
    <mergeCell ref="H574:H574"/>
    <mergeCell ref="M574:M574"/>
    <mergeCell ref="N574:N574"/>
    <mergeCell ref="O574:O574"/>
    <mergeCell ref="P574:P574"/>
    <mergeCell ref="Q574:Q574"/>
    <mergeCell ref="R574:R574"/>
    <mergeCell ref="S574:S574"/>
    <mergeCell ref="X574:X574"/>
    <mergeCell ref="Y574:Y574"/>
    <mergeCell ref="Z574:Z574"/>
    <mergeCell ref="AA574:AA574"/>
    <mergeCell ref="AB574:AB574"/>
    <mergeCell ref="AC574:AC574"/>
    <mergeCell ref="AD574:AD574"/>
    <mergeCell ref="AE574:AE574"/>
    <mergeCell ref="AF574:AF574"/>
    <mergeCell ref="A575:A575"/>
    <mergeCell ref="B575:B575"/>
    <mergeCell ref="C575:C575"/>
    <mergeCell ref="F575:F575"/>
    <mergeCell ref="G575:G575"/>
    <mergeCell ref="H575:H575"/>
    <mergeCell ref="M575:M575"/>
    <mergeCell ref="N575:N575"/>
    <mergeCell ref="O575:O575"/>
    <mergeCell ref="P575:P575"/>
    <mergeCell ref="Q575:Q575"/>
    <mergeCell ref="R575:R575"/>
    <mergeCell ref="S575:S575"/>
    <mergeCell ref="X575:X575"/>
    <mergeCell ref="Y575:Y575"/>
    <mergeCell ref="Z575:Z575"/>
    <mergeCell ref="AA575:AA575"/>
    <mergeCell ref="AB575:AB575"/>
    <mergeCell ref="AC575:AC575"/>
    <mergeCell ref="AD575:AD575"/>
    <mergeCell ref="AE575:AE575"/>
    <mergeCell ref="AF575:AF575"/>
    <mergeCell ref="A576:A576"/>
    <mergeCell ref="B576:B576"/>
    <mergeCell ref="C576:C576"/>
    <mergeCell ref="F576:F576"/>
    <mergeCell ref="G576:G576"/>
    <mergeCell ref="H576:H576"/>
    <mergeCell ref="M576:M576"/>
    <mergeCell ref="N576:N576"/>
    <mergeCell ref="O576:O576"/>
    <mergeCell ref="P576:P576"/>
    <mergeCell ref="Q576:Q576"/>
    <mergeCell ref="R576:R576"/>
    <mergeCell ref="S576:S576"/>
    <mergeCell ref="X576:X576"/>
    <mergeCell ref="Y576:Y576"/>
    <mergeCell ref="Z576:Z576"/>
    <mergeCell ref="AA576:AA576"/>
    <mergeCell ref="AB576:AB576"/>
    <mergeCell ref="AC576:AC576"/>
    <mergeCell ref="AD576:AD576"/>
    <mergeCell ref="AE576:AE576"/>
    <mergeCell ref="AF576:AF576"/>
    <mergeCell ref="A577:A577"/>
    <mergeCell ref="B577:B577"/>
    <mergeCell ref="C577:C577"/>
    <mergeCell ref="F577:F577"/>
    <mergeCell ref="G577:G577"/>
    <mergeCell ref="H577:H577"/>
    <mergeCell ref="M577:M577"/>
    <mergeCell ref="N577:N577"/>
    <mergeCell ref="O577:O577"/>
    <mergeCell ref="P577:P577"/>
    <mergeCell ref="Q577:Q577"/>
    <mergeCell ref="R577:R577"/>
    <mergeCell ref="S577:S577"/>
    <mergeCell ref="X577:X577"/>
    <mergeCell ref="Y577:Y577"/>
    <mergeCell ref="Z577:Z577"/>
    <mergeCell ref="AA577:AA577"/>
    <mergeCell ref="AB577:AB577"/>
    <mergeCell ref="AC577:AC577"/>
    <mergeCell ref="AD577:AD577"/>
    <mergeCell ref="AE577:AE577"/>
    <mergeCell ref="AF577:AF577"/>
    <mergeCell ref="A578:A578"/>
    <mergeCell ref="B578:B578"/>
    <mergeCell ref="C578:C578"/>
    <mergeCell ref="F578:F578"/>
    <mergeCell ref="G578:G578"/>
    <mergeCell ref="H578:H578"/>
    <mergeCell ref="M578:M578"/>
    <mergeCell ref="N578:N578"/>
    <mergeCell ref="O578:O578"/>
    <mergeCell ref="P578:P578"/>
    <mergeCell ref="Q578:Q578"/>
    <mergeCell ref="R578:R578"/>
    <mergeCell ref="S578:S578"/>
    <mergeCell ref="X578:X578"/>
    <mergeCell ref="Y578:Y578"/>
    <mergeCell ref="Z578:Z578"/>
    <mergeCell ref="AA578:AA578"/>
    <mergeCell ref="AB578:AB578"/>
    <mergeCell ref="AC578:AC578"/>
    <mergeCell ref="AD578:AD578"/>
    <mergeCell ref="AE578:AE578"/>
    <mergeCell ref="AF578:AF578"/>
    <mergeCell ref="A579:A579"/>
    <mergeCell ref="B579:B579"/>
    <mergeCell ref="C579:C579"/>
    <mergeCell ref="F579:F579"/>
    <mergeCell ref="G579:G579"/>
    <mergeCell ref="H579:H579"/>
    <mergeCell ref="M579:M579"/>
    <mergeCell ref="N579:N579"/>
    <mergeCell ref="O579:O579"/>
    <mergeCell ref="P579:P579"/>
    <mergeCell ref="Q579:Q579"/>
    <mergeCell ref="R579:R579"/>
    <mergeCell ref="S579:S579"/>
    <mergeCell ref="X579:X579"/>
    <mergeCell ref="Y579:Y579"/>
    <mergeCell ref="Z579:Z579"/>
    <mergeCell ref="AA579:AA579"/>
    <mergeCell ref="AB579:AB579"/>
    <mergeCell ref="AC579:AC579"/>
    <mergeCell ref="AD579:AD579"/>
    <mergeCell ref="AE579:AE579"/>
    <mergeCell ref="AF579:AF579"/>
    <mergeCell ref="A580:A580"/>
    <mergeCell ref="B580:B580"/>
    <mergeCell ref="C580:C580"/>
    <mergeCell ref="F580:F580"/>
    <mergeCell ref="G580:G580"/>
    <mergeCell ref="H580:H580"/>
    <mergeCell ref="M580:M580"/>
    <mergeCell ref="N580:N580"/>
    <mergeCell ref="O580:O580"/>
    <mergeCell ref="P580:P580"/>
    <mergeCell ref="Q580:Q580"/>
    <mergeCell ref="R580:R580"/>
    <mergeCell ref="S580:S580"/>
    <mergeCell ref="X580:X580"/>
    <mergeCell ref="Y580:Y580"/>
    <mergeCell ref="Z580:Z580"/>
    <mergeCell ref="AA580:AA580"/>
    <mergeCell ref="AB580:AB580"/>
    <mergeCell ref="AC580:AC580"/>
    <mergeCell ref="AD580:AD580"/>
    <mergeCell ref="AE580:AE580"/>
    <mergeCell ref="AF580:AF580"/>
    <mergeCell ref="A581:A581"/>
    <mergeCell ref="B581:B581"/>
    <mergeCell ref="C581:C581"/>
    <mergeCell ref="F581:F581"/>
    <mergeCell ref="G581:G581"/>
    <mergeCell ref="H581:H581"/>
    <mergeCell ref="M581:M581"/>
    <mergeCell ref="N581:N581"/>
    <mergeCell ref="O581:O581"/>
    <mergeCell ref="P581:P581"/>
    <mergeCell ref="Q581:Q581"/>
    <mergeCell ref="R581:R581"/>
    <mergeCell ref="S581:S581"/>
    <mergeCell ref="X581:X581"/>
    <mergeCell ref="Y581:Y581"/>
    <mergeCell ref="Z581:Z581"/>
    <mergeCell ref="AA581:AA581"/>
    <mergeCell ref="AB581:AB581"/>
    <mergeCell ref="AC581:AC581"/>
    <mergeCell ref="AD581:AD581"/>
    <mergeCell ref="AE581:AE581"/>
    <mergeCell ref="AF581:AF581"/>
    <mergeCell ref="A582:A582"/>
    <mergeCell ref="B582:B582"/>
    <mergeCell ref="C582:C582"/>
    <mergeCell ref="F582:F582"/>
    <mergeCell ref="G582:G582"/>
    <mergeCell ref="H582:H582"/>
    <mergeCell ref="M582:M582"/>
    <mergeCell ref="N582:N582"/>
    <mergeCell ref="O582:O582"/>
    <mergeCell ref="P582:P582"/>
    <mergeCell ref="Q582:Q582"/>
    <mergeCell ref="R582:R582"/>
    <mergeCell ref="S582:S582"/>
    <mergeCell ref="X582:X582"/>
    <mergeCell ref="Y582:Y582"/>
    <mergeCell ref="Z582:Z582"/>
    <mergeCell ref="AA582:AA582"/>
    <mergeCell ref="AB582:AB582"/>
    <mergeCell ref="AC582:AC582"/>
    <mergeCell ref="AD582:AD582"/>
    <mergeCell ref="AE582:AE582"/>
    <mergeCell ref="AF582:AF582"/>
    <mergeCell ref="A583:A583"/>
    <mergeCell ref="B583:B583"/>
    <mergeCell ref="C583:C583"/>
    <mergeCell ref="F583:F583"/>
    <mergeCell ref="G583:G583"/>
    <mergeCell ref="H583:H583"/>
    <mergeCell ref="M583:M583"/>
    <mergeCell ref="N583:N583"/>
    <mergeCell ref="O583:O583"/>
    <mergeCell ref="P583:P583"/>
    <mergeCell ref="Q583:Q583"/>
    <mergeCell ref="R583:R583"/>
    <mergeCell ref="S583:S583"/>
    <mergeCell ref="X583:X583"/>
    <mergeCell ref="Y583:Y583"/>
    <mergeCell ref="Z583:Z583"/>
    <mergeCell ref="AA583:AA583"/>
    <mergeCell ref="AB583:AB583"/>
    <mergeCell ref="AC583:AC583"/>
    <mergeCell ref="AD583:AD583"/>
    <mergeCell ref="AE583:AE583"/>
    <mergeCell ref="AF583:AF583"/>
    <mergeCell ref="A584:A584"/>
    <mergeCell ref="B584:B584"/>
    <mergeCell ref="C584:C584"/>
    <mergeCell ref="F584:F584"/>
    <mergeCell ref="G584:G584"/>
    <mergeCell ref="H584:H584"/>
    <mergeCell ref="M584:M584"/>
    <mergeCell ref="N584:N584"/>
    <mergeCell ref="O584:O584"/>
    <mergeCell ref="P584:P584"/>
    <mergeCell ref="Q584:Q584"/>
    <mergeCell ref="R584:R584"/>
    <mergeCell ref="S584:S584"/>
    <mergeCell ref="X584:X584"/>
    <mergeCell ref="Y584:Y584"/>
    <mergeCell ref="Z584:Z584"/>
    <mergeCell ref="AA584:AA584"/>
    <mergeCell ref="AB584:AB584"/>
    <mergeCell ref="AC584:AC584"/>
    <mergeCell ref="AD584:AD584"/>
    <mergeCell ref="AE584:AE584"/>
    <mergeCell ref="AF584:AF584"/>
    <mergeCell ref="A585:A585"/>
    <mergeCell ref="B585:B585"/>
    <mergeCell ref="C585:C585"/>
    <mergeCell ref="F585:F585"/>
    <mergeCell ref="G585:G585"/>
    <mergeCell ref="H585:H585"/>
    <mergeCell ref="M585:M585"/>
    <mergeCell ref="N585:N585"/>
    <mergeCell ref="O585:O585"/>
    <mergeCell ref="P585:P585"/>
    <mergeCell ref="Q585:Q585"/>
    <mergeCell ref="R585:R585"/>
    <mergeCell ref="S585:S585"/>
    <mergeCell ref="X585:X585"/>
    <mergeCell ref="Y585:Y585"/>
    <mergeCell ref="Z585:Z585"/>
    <mergeCell ref="AA585:AA585"/>
    <mergeCell ref="AB585:AB585"/>
    <mergeCell ref="AC585:AC585"/>
    <mergeCell ref="AD585:AD585"/>
    <mergeCell ref="AE585:AE585"/>
    <mergeCell ref="AF585:AF585"/>
    <mergeCell ref="A586:A586"/>
    <mergeCell ref="B586:B586"/>
    <mergeCell ref="C586:C586"/>
    <mergeCell ref="F586:F586"/>
    <mergeCell ref="G586:G586"/>
    <mergeCell ref="H586:H586"/>
    <mergeCell ref="M586:M586"/>
    <mergeCell ref="N586:N586"/>
    <mergeCell ref="O586:O586"/>
    <mergeCell ref="P586:P586"/>
    <mergeCell ref="Q586:Q586"/>
    <mergeCell ref="R586:R586"/>
    <mergeCell ref="S586:S586"/>
    <mergeCell ref="X586:X586"/>
    <mergeCell ref="Y586:Y586"/>
    <mergeCell ref="Z586:Z586"/>
    <mergeCell ref="AA586:AA586"/>
    <mergeCell ref="AB586:AB586"/>
    <mergeCell ref="AC586:AC586"/>
    <mergeCell ref="AD586:AD586"/>
    <mergeCell ref="AE586:AE586"/>
    <mergeCell ref="AF586:AF586"/>
    <mergeCell ref="A587:A587"/>
    <mergeCell ref="B587:B587"/>
    <mergeCell ref="C587:C587"/>
    <mergeCell ref="F587:F587"/>
    <mergeCell ref="G587:G587"/>
    <mergeCell ref="H587:H587"/>
    <mergeCell ref="M587:M587"/>
    <mergeCell ref="N587:N587"/>
    <mergeCell ref="O587:O587"/>
    <mergeCell ref="P587:P587"/>
    <mergeCell ref="Q587:Q587"/>
    <mergeCell ref="R587:R587"/>
    <mergeCell ref="S587:S587"/>
    <mergeCell ref="X587:X587"/>
    <mergeCell ref="Y587:Y587"/>
    <mergeCell ref="Z587:Z587"/>
    <mergeCell ref="AA587:AA587"/>
    <mergeCell ref="AB587:AB587"/>
    <mergeCell ref="AC587:AC587"/>
    <mergeCell ref="AD587:AD587"/>
    <mergeCell ref="AE587:AE587"/>
    <mergeCell ref="AF587:AF587"/>
    <mergeCell ref="A588:A588"/>
    <mergeCell ref="B588:B588"/>
    <mergeCell ref="C588:C588"/>
    <mergeCell ref="F588:F588"/>
    <mergeCell ref="G588:G588"/>
    <mergeCell ref="H588:H588"/>
    <mergeCell ref="M588:M588"/>
    <mergeCell ref="N588:N588"/>
    <mergeCell ref="O588:O588"/>
    <mergeCell ref="P588:P588"/>
    <mergeCell ref="Q588:Q588"/>
    <mergeCell ref="R588:R588"/>
    <mergeCell ref="S588:S588"/>
    <mergeCell ref="X588:X588"/>
    <mergeCell ref="Y588:Y588"/>
    <mergeCell ref="Z588:Z588"/>
    <mergeCell ref="AA588:AA588"/>
    <mergeCell ref="AB588:AB588"/>
    <mergeCell ref="AC588:AC588"/>
    <mergeCell ref="AD588:AD588"/>
    <mergeCell ref="AE588:AE588"/>
    <mergeCell ref="AF588:AF588"/>
    <mergeCell ref="A589:A589"/>
    <mergeCell ref="B589:B589"/>
    <mergeCell ref="C589:C589"/>
    <mergeCell ref="F589:F589"/>
    <mergeCell ref="G589:G589"/>
    <mergeCell ref="H589:H589"/>
    <mergeCell ref="M589:M589"/>
    <mergeCell ref="N589:N589"/>
    <mergeCell ref="O589:O589"/>
    <mergeCell ref="P589:P589"/>
    <mergeCell ref="Q589:Q589"/>
    <mergeCell ref="R589:R589"/>
    <mergeCell ref="S589:S589"/>
    <mergeCell ref="X589:X589"/>
    <mergeCell ref="Y589:Y589"/>
    <mergeCell ref="Z589:Z589"/>
    <mergeCell ref="AA589:AA589"/>
    <mergeCell ref="AB589:AB589"/>
    <mergeCell ref="AC589:AC589"/>
    <mergeCell ref="AD589:AD589"/>
    <mergeCell ref="AE589:AE589"/>
    <mergeCell ref="AF589:AF589"/>
    <mergeCell ref="A590:A590"/>
    <mergeCell ref="B590:B590"/>
    <mergeCell ref="C590:C590"/>
    <mergeCell ref="F590:F590"/>
    <mergeCell ref="G590:G590"/>
    <mergeCell ref="H590:H590"/>
    <mergeCell ref="M590:M590"/>
    <mergeCell ref="N590:N590"/>
    <mergeCell ref="O590:O590"/>
    <mergeCell ref="P590:P590"/>
    <mergeCell ref="Q590:Q590"/>
    <mergeCell ref="R590:R590"/>
    <mergeCell ref="S590:S590"/>
    <mergeCell ref="X590:X590"/>
    <mergeCell ref="Y590:Y590"/>
    <mergeCell ref="Z590:Z590"/>
    <mergeCell ref="AA590:AA590"/>
    <mergeCell ref="AB590:AB590"/>
    <mergeCell ref="AC590:AC590"/>
    <mergeCell ref="AD590:AD590"/>
    <mergeCell ref="AE590:AE590"/>
    <mergeCell ref="AF590:AF590"/>
    <mergeCell ref="A591:A591"/>
    <mergeCell ref="B591:B591"/>
    <mergeCell ref="C591:C591"/>
    <mergeCell ref="F591:F591"/>
    <mergeCell ref="G591:G591"/>
    <mergeCell ref="H591:H591"/>
    <mergeCell ref="M591:M591"/>
    <mergeCell ref="N591:N591"/>
    <mergeCell ref="O591:O591"/>
    <mergeCell ref="P591:P591"/>
    <mergeCell ref="Q591:Q591"/>
    <mergeCell ref="R591:R591"/>
    <mergeCell ref="S591:S591"/>
    <mergeCell ref="X591:X591"/>
    <mergeCell ref="Y591:Y591"/>
    <mergeCell ref="Z591:Z591"/>
    <mergeCell ref="AA591:AA591"/>
    <mergeCell ref="AB591:AB591"/>
    <mergeCell ref="AC591:AC591"/>
    <mergeCell ref="AD591:AD591"/>
    <mergeCell ref="AE591:AE591"/>
    <mergeCell ref="AF591:AF591"/>
    <mergeCell ref="A592:A592"/>
    <mergeCell ref="B592:B592"/>
    <mergeCell ref="C592:C592"/>
    <mergeCell ref="F592:F592"/>
    <mergeCell ref="G592:G592"/>
    <mergeCell ref="H592:H592"/>
    <mergeCell ref="M592:M592"/>
    <mergeCell ref="N592:N592"/>
    <mergeCell ref="O592:O592"/>
    <mergeCell ref="P592:P592"/>
    <mergeCell ref="Q592:Q592"/>
    <mergeCell ref="R592:R592"/>
    <mergeCell ref="S592:S592"/>
    <mergeCell ref="X592:X592"/>
    <mergeCell ref="Y592:Y592"/>
    <mergeCell ref="Z592:Z592"/>
    <mergeCell ref="AA592:AA592"/>
    <mergeCell ref="AB592:AB592"/>
    <mergeCell ref="AC592:AC592"/>
    <mergeCell ref="AD592:AD592"/>
    <mergeCell ref="AE592:AE592"/>
    <mergeCell ref="AF592:AF592"/>
    <mergeCell ref="A593:A593"/>
    <mergeCell ref="B593:B593"/>
    <mergeCell ref="C593:C593"/>
    <mergeCell ref="F593:F593"/>
    <mergeCell ref="G593:G593"/>
    <mergeCell ref="H593:H593"/>
    <mergeCell ref="M593:M593"/>
    <mergeCell ref="N593:N593"/>
    <mergeCell ref="O593:O593"/>
    <mergeCell ref="P593:P593"/>
    <mergeCell ref="Q593:Q593"/>
    <mergeCell ref="R593:R593"/>
    <mergeCell ref="S593:S593"/>
    <mergeCell ref="X593:X593"/>
    <mergeCell ref="Y593:Y593"/>
    <mergeCell ref="Z593:Z593"/>
    <mergeCell ref="AA593:AA593"/>
    <mergeCell ref="AB593:AB593"/>
    <mergeCell ref="AC593:AC593"/>
    <mergeCell ref="AD593:AD593"/>
    <mergeCell ref="AE593:AE593"/>
    <mergeCell ref="AF593:AF593"/>
    <mergeCell ref="A594:A594"/>
    <mergeCell ref="B594:B594"/>
    <mergeCell ref="C594:C594"/>
    <mergeCell ref="F594:F594"/>
    <mergeCell ref="G594:G594"/>
    <mergeCell ref="H594:H594"/>
    <mergeCell ref="M594:M594"/>
    <mergeCell ref="N594:N594"/>
    <mergeCell ref="O594:O594"/>
    <mergeCell ref="P594:P594"/>
    <mergeCell ref="Q594:Q594"/>
    <mergeCell ref="R594:R594"/>
    <mergeCell ref="S594:S594"/>
    <mergeCell ref="X594:X594"/>
    <mergeCell ref="Y594:Y594"/>
    <mergeCell ref="Z594:Z594"/>
    <mergeCell ref="AA594:AA594"/>
    <mergeCell ref="AB594:AB594"/>
    <mergeCell ref="AC594:AC594"/>
    <mergeCell ref="AD594:AD594"/>
    <mergeCell ref="AE594:AE594"/>
    <mergeCell ref="AF594:AF594"/>
    <mergeCell ref="A595:A595"/>
    <mergeCell ref="B595:B595"/>
    <mergeCell ref="C595:C595"/>
    <mergeCell ref="F595:F595"/>
    <mergeCell ref="G595:G595"/>
    <mergeCell ref="H595:H595"/>
    <mergeCell ref="M595:M595"/>
    <mergeCell ref="N595:N595"/>
    <mergeCell ref="O595:O595"/>
    <mergeCell ref="P595:P595"/>
    <mergeCell ref="Q595:Q595"/>
    <mergeCell ref="R595:R595"/>
    <mergeCell ref="S595:S595"/>
    <mergeCell ref="X595:X595"/>
    <mergeCell ref="Y595:Y595"/>
    <mergeCell ref="Z595:Z595"/>
    <mergeCell ref="AA595:AA595"/>
    <mergeCell ref="AB595:AB595"/>
    <mergeCell ref="AC595:AC595"/>
    <mergeCell ref="AD595:AD595"/>
    <mergeCell ref="AE595:AE595"/>
    <mergeCell ref="AF595:AF595"/>
    <mergeCell ref="A596:A596"/>
    <mergeCell ref="B596:B596"/>
    <mergeCell ref="C596:C596"/>
    <mergeCell ref="F596:F596"/>
    <mergeCell ref="G596:G596"/>
    <mergeCell ref="H596:H596"/>
    <mergeCell ref="M596:M596"/>
    <mergeCell ref="N596:N596"/>
    <mergeCell ref="O596:O596"/>
    <mergeCell ref="P596:P596"/>
    <mergeCell ref="Q596:Q596"/>
    <mergeCell ref="R596:R596"/>
    <mergeCell ref="S596:S596"/>
    <mergeCell ref="X596:X596"/>
    <mergeCell ref="Y596:Y596"/>
    <mergeCell ref="Z596:Z596"/>
    <mergeCell ref="AA596:AA596"/>
    <mergeCell ref="AB596:AB596"/>
    <mergeCell ref="AC596:AC596"/>
    <mergeCell ref="AD596:AD596"/>
    <mergeCell ref="AE596:AE596"/>
    <mergeCell ref="AF596:AF596"/>
    <mergeCell ref="A597:A597"/>
    <mergeCell ref="B597:B597"/>
    <mergeCell ref="C597:C597"/>
    <mergeCell ref="F597:F597"/>
    <mergeCell ref="G597:G597"/>
    <mergeCell ref="H597:H597"/>
    <mergeCell ref="M597:M597"/>
    <mergeCell ref="N597:N597"/>
    <mergeCell ref="O597:O597"/>
    <mergeCell ref="P597:P597"/>
    <mergeCell ref="Q597:Q597"/>
    <mergeCell ref="R597:R597"/>
    <mergeCell ref="S597:S597"/>
    <mergeCell ref="X597:X597"/>
    <mergeCell ref="Y597:Y597"/>
    <mergeCell ref="Z597:Z597"/>
    <mergeCell ref="AA597:AA597"/>
    <mergeCell ref="AB597:AB597"/>
    <mergeCell ref="AC597:AC597"/>
    <mergeCell ref="AD597:AD597"/>
    <mergeCell ref="AE597:AE597"/>
    <mergeCell ref="AF597:AF597"/>
    <mergeCell ref="A598:A598"/>
    <mergeCell ref="B598:B598"/>
    <mergeCell ref="C598:C598"/>
    <mergeCell ref="F598:F598"/>
    <mergeCell ref="G598:G598"/>
    <mergeCell ref="H598:H598"/>
    <mergeCell ref="M598:M598"/>
    <mergeCell ref="N598:N598"/>
    <mergeCell ref="O598:O598"/>
    <mergeCell ref="P598:P598"/>
    <mergeCell ref="Q598:Q598"/>
    <mergeCell ref="R598:R598"/>
    <mergeCell ref="S598:S598"/>
    <mergeCell ref="X598:X598"/>
    <mergeCell ref="Y598:Y598"/>
    <mergeCell ref="Z598:Z598"/>
    <mergeCell ref="AA598:AA598"/>
    <mergeCell ref="AB598:AB598"/>
    <mergeCell ref="AC598:AC598"/>
    <mergeCell ref="AD598:AD598"/>
    <mergeCell ref="AE598:AE598"/>
    <mergeCell ref="AF598:AF598"/>
    <mergeCell ref="A599:A599"/>
    <mergeCell ref="B599:B599"/>
    <mergeCell ref="C599:C599"/>
    <mergeCell ref="F599:F599"/>
    <mergeCell ref="G599:G599"/>
    <mergeCell ref="H599:H599"/>
    <mergeCell ref="M599:M599"/>
    <mergeCell ref="N599:N599"/>
    <mergeCell ref="O599:O599"/>
    <mergeCell ref="P599:P599"/>
    <mergeCell ref="Q599:Q599"/>
    <mergeCell ref="R599:R599"/>
    <mergeCell ref="S599:S599"/>
    <mergeCell ref="X599:X599"/>
    <mergeCell ref="Y599:Y599"/>
    <mergeCell ref="Z599:Z599"/>
    <mergeCell ref="AA599:AA599"/>
    <mergeCell ref="AB599:AB599"/>
    <mergeCell ref="AC599:AC599"/>
    <mergeCell ref="AD599:AD599"/>
    <mergeCell ref="AE599:AE599"/>
    <mergeCell ref="AF599:AF599"/>
    <mergeCell ref="A600:A600"/>
    <mergeCell ref="B600:B600"/>
    <mergeCell ref="C600:C600"/>
    <mergeCell ref="F600:F600"/>
    <mergeCell ref="G600:G600"/>
    <mergeCell ref="H600:H600"/>
    <mergeCell ref="M600:M600"/>
    <mergeCell ref="N600:N600"/>
    <mergeCell ref="O600:O600"/>
    <mergeCell ref="P600:P600"/>
    <mergeCell ref="Q600:Q600"/>
    <mergeCell ref="R600:R600"/>
    <mergeCell ref="S600:S600"/>
    <mergeCell ref="X600:X600"/>
    <mergeCell ref="Y600:Y600"/>
    <mergeCell ref="Z600:Z600"/>
    <mergeCell ref="AA600:AA600"/>
    <mergeCell ref="AB600:AB600"/>
    <mergeCell ref="AC600:AC600"/>
    <mergeCell ref="AD600:AD600"/>
    <mergeCell ref="AE600:AE600"/>
    <mergeCell ref="AF600:AF600"/>
    <mergeCell ref="A601:A601"/>
    <mergeCell ref="B601:B601"/>
    <mergeCell ref="C601:C601"/>
    <mergeCell ref="F601:F601"/>
    <mergeCell ref="G601:G601"/>
    <mergeCell ref="H601:H601"/>
    <mergeCell ref="M601:M601"/>
    <mergeCell ref="N601:N601"/>
    <mergeCell ref="O601:O601"/>
    <mergeCell ref="P601:P601"/>
    <mergeCell ref="Q601:Q601"/>
    <mergeCell ref="R601:R601"/>
    <mergeCell ref="S601:S601"/>
    <mergeCell ref="X601:X601"/>
    <mergeCell ref="Y601:Y601"/>
    <mergeCell ref="Z601:Z601"/>
    <mergeCell ref="AA601:AA601"/>
    <mergeCell ref="AB601:AB601"/>
    <mergeCell ref="AC601:AC601"/>
    <mergeCell ref="AD601:AD601"/>
    <mergeCell ref="AE601:AE601"/>
    <mergeCell ref="AF601:AF601"/>
    <mergeCell ref="A602:A602"/>
    <mergeCell ref="B602:B602"/>
    <mergeCell ref="C602:C602"/>
    <mergeCell ref="F602:F602"/>
    <mergeCell ref="G602:G602"/>
    <mergeCell ref="H602:H602"/>
    <mergeCell ref="M602:M602"/>
    <mergeCell ref="N602:N602"/>
    <mergeCell ref="O602:O602"/>
    <mergeCell ref="P602:P602"/>
    <mergeCell ref="Q602:Q602"/>
    <mergeCell ref="R602:R602"/>
    <mergeCell ref="S602:S602"/>
    <mergeCell ref="X602:X602"/>
    <mergeCell ref="Y602:Y602"/>
    <mergeCell ref="Z602:Z602"/>
    <mergeCell ref="AA602:AA602"/>
    <mergeCell ref="AB602:AB602"/>
    <mergeCell ref="AC602:AC602"/>
    <mergeCell ref="AD602:AD602"/>
    <mergeCell ref="AE602:AE602"/>
    <mergeCell ref="AF602:AF602"/>
    <mergeCell ref="A603:A603"/>
    <mergeCell ref="B603:B603"/>
    <mergeCell ref="C603:C603"/>
    <mergeCell ref="F603:F603"/>
    <mergeCell ref="G603:G603"/>
    <mergeCell ref="H603:H603"/>
    <mergeCell ref="M603:M603"/>
    <mergeCell ref="N603:N603"/>
    <mergeCell ref="O603:O603"/>
    <mergeCell ref="P603:P603"/>
    <mergeCell ref="Q603:Q603"/>
    <mergeCell ref="R603:R603"/>
    <mergeCell ref="S603:S603"/>
    <mergeCell ref="X603:X603"/>
    <mergeCell ref="Y603:Y603"/>
    <mergeCell ref="Z603:Z603"/>
    <mergeCell ref="AA603:AA603"/>
    <mergeCell ref="AB603:AB603"/>
    <mergeCell ref="AC603:AC603"/>
    <mergeCell ref="AD603:AD603"/>
    <mergeCell ref="AE603:AE603"/>
    <mergeCell ref="AF603:AF603"/>
    <mergeCell ref="A604:A604"/>
    <mergeCell ref="B604:B604"/>
    <mergeCell ref="C604:C604"/>
    <mergeCell ref="F604:F604"/>
    <mergeCell ref="G604:G604"/>
    <mergeCell ref="H604:H604"/>
    <mergeCell ref="M604:M604"/>
    <mergeCell ref="N604:N604"/>
    <mergeCell ref="O604:O604"/>
    <mergeCell ref="P604:P604"/>
    <mergeCell ref="Q604:Q604"/>
    <mergeCell ref="R604:R604"/>
    <mergeCell ref="S604:S604"/>
    <mergeCell ref="X604:X604"/>
    <mergeCell ref="Y604:Y604"/>
    <mergeCell ref="Z604:Z604"/>
    <mergeCell ref="AA604:AA604"/>
    <mergeCell ref="AB604:AB604"/>
    <mergeCell ref="AC604:AC604"/>
    <mergeCell ref="AD604:AD604"/>
    <mergeCell ref="AE604:AE604"/>
    <mergeCell ref="AF604:AF604"/>
    <mergeCell ref="A605:A605"/>
    <mergeCell ref="B605:B605"/>
    <mergeCell ref="C605:C605"/>
    <mergeCell ref="F605:F605"/>
    <mergeCell ref="G605:G605"/>
    <mergeCell ref="H605:H605"/>
    <mergeCell ref="M605:M605"/>
    <mergeCell ref="N605:N605"/>
    <mergeCell ref="O605:O605"/>
    <mergeCell ref="P605:P605"/>
    <mergeCell ref="Q605:Q605"/>
    <mergeCell ref="R605:R605"/>
    <mergeCell ref="S605:S605"/>
    <mergeCell ref="X605:X605"/>
    <mergeCell ref="Y605:Y605"/>
    <mergeCell ref="Z605:Z605"/>
    <mergeCell ref="AA605:AA605"/>
    <mergeCell ref="AB605:AB605"/>
    <mergeCell ref="AC605:AC605"/>
    <mergeCell ref="AD605:AD605"/>
    <mergeCell ref="AE605:AE605"/>
    <mergeCell ref="AF605:AF605"/>
    <mergeCell ref="A606:A606"/>
    <mergeCell ref="B606:B606"/>
    <mergeCell ref="C606:C606"/>
    <mergeCell ref="F606:F606"/>
    <mergeCell ref="G606:G606"/>
    <mergeCell ref="H606:H606"/>
    <mergeCell ref="M606:M606"/>
    <mergeCell ref="N606:N606"/>
    <mergeCell ref="O606:O606"/>
    <mergeCell ref="P606:P606"/>
    <mergeCell ref="Q606:Q606"/>
    <mergeCell ref="R606:R606"/>
    <mergeCell ref="S606:S606"/>
    <mergeCell ref="X606:X606"/>
    <mergeCell ref="Y606:Y606"/>
    <mergeCell ref="Z606:Z606"/>
    <mergeCell ref="AA606:AA606"/>
    <mergeCell ref="AB606:AB606"/>
    <mergeCell ref="AC606:AC606"/>
    <mergeCell ref="AD606:AD606"/>
    <mergeCell ref="AE606:AE606"/>
    <mergeCell ref="AF606:AF606"/>
    <mergeCell ref="A607:A607"/>
    <mergeCell ref="B607:B607"/>
    <mergeCell ref="C607:C607"/>
    <mergeCell ref="F607:F607"/>
    <mergeCell ref="G607:G607"/>
    <mergeCell ref="H607:H607"/>
    <mergeCell ref="M607:M607"/>
    <mergeCell ref="N607:N607"/>
    <mergeCell ref="O607:O607"/>
    <mergeCell ref="P607:P607"/>
    <mergeCell ref="Q607:Q607"/>
    <mergeCell ref="R607:R607"/>
    <mergeCell ref="S607:S607"/>
    <mergeCell ref="X607:X607"/>
    <mergeCell ref="Y607:Y607"/>
    <mergeCell ref="Z607:Z607"/>
    <mergeCell ref="AA607:AA607"/>
    <mergeCell ref="AB607:AB607"/>
    <mergeCell ref="AC607:AC607"/>
    <mergeCell ref="AD607:AD607"/>
    <mergeCell ref="AE607:AE607"/>
    <mergeCell ref="AF607:AF607"/>
    <mergeCell ref="A608:A608"/>
    <mergeCell ref="B608:B608"/>
    <mergeCell ref="C608:C608"/>
    <mergeCell ref="F608:F608"/>
    <mergeCell ref="G608:G608"/>
    <mergeCell ref="H608:H608"/>
    <mergeCell ref="M608:M608"/>
    <mergeCell ref="N608:N608"/>
    <mergeCell ref="O608:O608"/>
    <mergeCell ref="P608:P608"/>
    <mergeCell ref="Q608:Q608"/>
    <mergeCell ref="R608:R608"/>
    <mergeCell ref="S608:S608"/>
    <mergeCell ref="X608:X608"/>
    <mergeCell ref="Y608:Y608"/>
    <mergeCell ref="Z608:Z608"/>
    <mergeCell ref="AA608:AA608"/>
    <mergeCell ref="AB608:AB608"/>
    <mergeCell ref="AC608:AC608"/>
    <mergeCell ref="AD608:AD608"/>
    <mergeCell ref="AE608:AE608"/>
    <mergeCell ref="AF608:AF608"/>
    <mergeCell ref="A609:A609"/>
    <mergeCell ref="B609:B609"/>
    <mergeCell ref="C609:C609"/>
    <mergeCell ref="F609:F609"/>
    <mergeCell ref="G609:G609"/>
    <mergeCell ref="H609:H609"/>
    <mergeCell ref="M609:M609"/>
    <mergeCell ref="N609:N609"/>
    <mergeCell ref="O609:O609"/>
    <mergeCell ref="P609:P609"/>
    <mergeCell ref="Q609:Q609"/>
    <mergeCell ref="R609:R609"/>
    <mergeCell ref="S609:S609"/>
    <mergeCell ref="X609:X609"/>
    <mergeCell ref="Y609:Y609"/>
    <mergeCell ref="Z609:Z609"/>
    <mergeCell ref="AA609:AA609"/>
    <mergeCell ref="AB609:AB609"/>
    <mergeCell ref="AC609:AC609"/>
    <mergeCell ref="AD609:AD609"/>
    <mergeCell ref="AE609:AE609"/>
    <mergeCell ref="AF609:AF609"/>
    <mergeCell ref="A610:A610"/>
    <mergeCell ref="B610:B610"/>
    <mergeCell ref="C610:C610"/>
    <mergeCell ref="F610:F610"/>
    <mergeCell ref="G610:G610"/>
    <mergeCell ref="H610:H610"/>
    <mergeCell ref="M610:M610"/>
    <mergeCell ref="N610:N610"/>
    <mergeCell ref="O610:O610"/>
    <mergeCell ref="P610:P610"/>
    <mergeCell ref="Q610:Q610"/>
    <mergeCell ref="R610:R610"/>
    <mergeCell ref="S610:S610"/>
    <mergeCell ref="X610:X610"/>
    <mergeCell ref="Y610:Y610"/>
    <mergeCell ref="Z610:Z610"/>
    <mergeCell ref="AA610:AA610"/>
    <mergeCell ref="AB610:AB610"/>
    <mergeCell ref="AC610:AC610"/>
    <mergeCell ref="AD610:AD610"/>
    <mergeCell ref="AE610:AE610"/>
    <mergeCell ref="AF610:AF610"/>
    <mergeCell ref="A611:A611"/>
    <mergeCell ref="B611:B611"/>
    <mergeCell ref="C611:C611"/>
    <mergeCell ref="F611:F611"/>
    <mergeCell ref="G611:G611"/>
    <mergeCell ref="H611:H611"/>
    <mergeCell ref="M611:M611"/>
    <mergeCell ref="N611:N611"/>
    <mergeCell ref="O611:O611"/>
    <mergeCell ref="P611:P611"/>
    <mergeCell ref="Q611:Q611"/>
    <mergeCell ref="R611:R611"/>
    <mergeCell ref="S611:S611"/>
    <mergeCell ref="X611:X611"/>
    <mergeCell ref="Y611:Y611"/>
    <mergeCell ref="Z611:Z611"/>
    <mergeCell ref="AA611:AA611"/>
    <mergeCell ref="AB611:AB611"/>
    <mergeCell ref="AC611:AC611"/>
    <mergeCell ref="AD611:AD611"/>
    <mergeCell ref="AE611:AE611"/>
    <mergeCell ref="AF611:AF611"/>
    <mergeCell ref="A612:A612"/>
    <mergeCell ref="B612:B612"/>
    <mergeCell ref="C612:C612"/>
    <mergeCell ref="F612:F612"/>
    <mergeCell ref="G612:G612"/>
    <mergeCell ref="H612:H612"/>
    <mergeCell ref="M612:M612"/>
    <mergeCell ref="N612:N612"/>
    <mergeCell ref="O612:O612"/>
    <mergeCell ref="P612:P612"/>
    <mergeCell ref="Q612:Q612"/>
    <mergeCell ref="R612:R612"/>
    <mergeCell ref="S612:S612"/>
    <mergeCell ref="X612:X612"/>
    <mergeCell ref="Y612:Y612"/>
    <mergeCell ref="Z612:Z612"/>
    <mergeCell ref="AA612:AA612"/>
    <mergeCell ref="AB612:AB612"/>
    <mergeCell ref="AC612:AC612"/>
    <mergeCell ref="AD612:AD612"/>
    <mergeCell ref="AE612:AE612"/>
    <mergeCell ref="AF612:AF612"/>
    <mergeCell ref="A613:A613"/>
    <mergeCell ref="B613:B613"/>
    <mergeCell ref="C613:C613"/>
    <mergeCell ref="F613:F613"/>
    <mergeCell ref="G613:G613"/>
    <mergeCell ref="H613:H613"/>
    <mergeCell ref="M613:M613"/>
    <mergeCell ref="N613:N613"/>
    <mergeCell ref="O613:O613"/>
    <mergeCell ref="P613:P613"/>
    <mergeCell ref="Q613:Q613"/>
    <mergeCell ref="R613:R613"/>
    <mergeCell ref="S613:S613"/>
    <mergeCell ref="X613:X613"/>
    <mergeCell ref="Y613:Y613"/>
    <mergeCell ref="Z613:Z613"/>
    <mergeCell ref="AA613:AA613"/>
    <mergeCell ref="AB613:AB613"/>
    <mergeCell ref="AC613:AC613"/>
    <mergeCell ref="AD613:AD613"/>
    <mergeCell ref="AE613:AE613"/>
    <mergeCell ref="AF613:AF613"/>
    <mergeCell ref="A614:A614"/>
    <mergeCell ref="B614:B614"/>
    <mergeCell ref="C614:C614"/>
    <mergeCell ref="F614:F614"/>
    <mergeCell ref="G614:G614"/>
    <mergeCell ref="H614:H614"/>
    <mergeCell ref="M614:M614"/>
    <mergeCell ref="N614:N614"/>
    <mergeCell ref="O614:O614"/>
    <mergeCell ref="P614:P614"/>
    <mergeCell ref="Q614:Q614"/>
    <mergeCell ref="R614:R614"/>
    <mergeCell ref="S614:S614"/>
    <mergeCell ref="X614:X614"/>
    <mergeCell ref="Y614:Y614"/>
    <mergeCell ref="Z614:Z614"/>
    <mergeCell ref="AA614:AA614"/>
    <mergeCell ref="AB614:AB614"/>
    <mergeCell ref="AC614:AC614"/>
    <mergeCell ref="AD614:AD614"/>
    <mergeCell ref="AE614:AE614"/>
    <mergeCell ref="AF614:AF614"/>
    <mergeCell ref="A615:A615"/>
    <mergeCell ref="B615:B615"/>
    <mergeCell ref="C615:C615"/>
    <mergeCell ref="F615:F615"/>
    <mergeCell ref="G615:G615"/>
    <mergeCell ref="H615:H615"/>
    <mergeCell ref="M615:M615"/>
    <mergeCell ref="N615:N615"/>
    <mergeCell ref="O615:O615"/>
    <mergeCell ref="P615:P615"/>
    <mergeCell ref="Q615:Q615"/>
    <mergeCell ref="R615:R615"/>
    <mergeCell ref="S615:S615"/>
    <mergeCell ref="X615:X615"/>
    <mergeCell ref="Y615:Y615"/>
    <mergeCell ref="Z615:Z615"/>
    <mergeCell ref="AA615:AA615"/>
    <mergeCell ref="AB615:AB615"/>
    <mergeCell ref="AC615:AC615"/>
    <mergeCell ref="AD615:AD615"/>
    <mergeCell ref="AE615:AE615"/>
    <mergeCell ref="AF615:AF615"/>
    <mergeCell ref="A616:A616"/>
    <mergeCell ref="B616:B616"/>
    <mergeCell ref="C616:C616"/>
    <mergeCell ref="F616:F616"/>
    <mergeCell ref="G616:G616"/>
    <mergeCell ref="H616:H616"/>
    <mergeCell ref="M616:M616"/>
    <mergeCell ref="N616:N616"/>
    <mergeCell ref="O616:O616"/>
    <mergeCell ref="P616:P616"/>
    <mergeCell ref="Q616:Q616"/>
    <mergeCell ref="R616:R616"/>
    <mergeCell ref="S616:S616"/>
    <mergeCell ref="X616:X616"/>
    <mergeCell ref="Y616:Y616"/>
    <mergeCell ref="Z616:Z616"/>
    <mergeCell ref="AA616:AA616"/>
    <mergeCell ref="AB616:AB616"/>
    <mergeCell ref="AC616:AC616"/>
    <mergeCell ref="AD616:AD616"/>
    <mergeCell ref="AE616:AE616"/>
    <mergeCell ref="AF616:AF616"/>
    <mergeCell ref="A617:A617"/>
    <mergeCell ref="B617:B617"/>
    <mergeCell ref="C617:C617"/>
    <mergeCell ref="F617:F617"/>
    <mergeCell ref="G617:G617"/>
    <mergeCell ref="H617:H617"/>
    <mergeCell ref="M617:M617"/>
    <mergeCell ref="N617:N617"/>
    <mergeCell ref="O617:O617"/>
    <mergeCell ref="P617:P617"/>
    <mergeCell ref="Q617:Q617"/>
    <mergeCell ref="R617:R617"/>
    <mergeCell ref="S617:S617"/>
    <mergeCell ref="X617:X617"/>
    <mergeCell ref="Y617:Y617"/>
    <mergeCell ref="Z617:Z617"/>
    <mergeCell ref="AA617:AA617"/>
    <mergeCell ref="AB617:AB617"/>
    <mergeCell ref="AC617:AC617"/>
    <mergeCell ref="AD617:AD617"/>
    <mergeCell ref="AE617:AE617"/>
    <mergeCell ref="AF617:AF617"/>
    <mergeCell ref="A618:A618"/>
    <mergeCell ref="B618:B618"/>
    <mergeCell ref="C618:C618"/>
    <mergeCell ref="F618:F618"/>
    <mergeCell ref="G618:G618"/>
    <mergeCell ref="H618:H618"/>
    <mergeCell ref="M618:M618"/>
    <mergeCell ref="N618:N618"/>
    <mergeCell ref="O618:O618"/>
    <mergeCell ref="P618:P618"/>
    <mergeCell ref="Q618:Q618"/>
    <mergeCell ref="R618:R618"/>
    <mergeCell ref="S618:S618"/>
    <mergeCell ref="X618:X618"/>
    <mergeCell ref="Y618:Y618"/>
    <mergeCell ref="Z618:Z618"/>
    <mergeCell ref="AA618:AA618"/>
    <mergeCell ref="AB618:AB618"/>
    <mergeCell ref="AC618:AC618"/>
    <mergeCell ref="AD618:AD618"/>
    <mergeCell ref="AE618:AE618"/>
    <mergeCell ref="AF618:AF618"/>
    <mergeCell ref="A619:A619"/>
    <mergeCell ref="B619:B619"/>
    <mergeCell ref="C619:C619"/>
    <mergeCell ref="F619:F619"/>
    <mergeCell ref="G619:G619"/>
    <mergeCell ref="H619:H619"/>
    <mergeCell ref="M619:M619"/>
    <mergeCell ref="N619:N619"/>
    <mergeCell ref="O619:O619"/>
    <mergeCell ref="P619:P619"/>
    <mergeCell ref="Q619:Q619"/>
    <mergeCell ref="R619:R619"/>
    <mergeCell ref="S619:S619"/>
    <mergeCell ref="X619:X619"/>
    <mergeCell ref="Y619:Y619"/>
    <mergeCell ref="Z619:Z619"/>
    <mergeCell ref="AA619:AA619"/>
    <mergeCell ref="AB619:AB619"/>
    <mergeCell ref="AC619:AC619"/>
    <mergeCell ref="AD619:AD619"/>
    <mergeCell ref="AE619:AE619"/>
    <mergeCell ref="AF619:AF619"/>
    <mergeCell ref="A620:A620"/>
    <mergeCell ref="B620:B620"/>
    <mergeCell ref="C620:C620"/>
    <mergeCell ref="F620:F620"/>
    <mergeCell ref="G620:G620"/>
    <mergeCell ref="H620:H620"/>
    <mergeCell ref="M620:M620"/>
    <mergeCell ref="N620:N620"/>
    <mergeCell ref="O620:O620"/>
    <mergeCell ref="P620:P620"/>
    <mergeCell ref="Q620:Q620"/>
    <mergeCell ref="R620:R620"/>
    <mergeCell ref="S620:S620"/>
    <mergeCell ref="X620:X620"/>
    <mergeCell ref="Y620:Y620"/>
    <mergeCell ref="Z620:Z620"/>
    <mergeCell ref="AA620:AA620"/>
    <mergeCell ref="AB620:AB620"/>
    <mergeCell ref="AC620:AC620"/>
    <mergeCell ref="AD620:AD620"/>
    <mergeCell ref="AE620:AE620"/>
    <mergeCell ref="AF620:AF620"/>
    <mergeCell ref="A621:A621"/>
    <mergeCell ref="B621:B621"/>
    <mergeCell ref="C621:C621"/>
    <mergeCell ref="F621:F621"/>
    <mergeCell ref="G621:G621"/>
    <mergeCell ref="H621:H621"/>
    <mergeCell ref="M621:M621"/>
    <mergeCell ref="N621:N621"/>
    <mergeCell ref="O621:O621"/>
    <mergeCell ref="P621:P621"/>
    <mergeCell ref="Q621:Q621"/>
    <mergeCell ref="R621:R621"/>
    <mergeCell ref="S621:S621"/>
    <mergeCell ref="X621:X621"/>
    <mergeCell ref="Y621:Y621"/>
    <mergeCell ref="Z621:Z621"/>
    <mergeCell ref="AA621:AA621"/>
    <mergeCell ref="AB621:AB621"/>
    <mergeCell ref="AC621:AC621"/>
    <mergeCell ref="AD621:AD621"/>
    <mergeCell ref="AE621:AE621"/>
    <mergeCell ref="AF621:AF621"/>
    <mergeCell ref="A622:A622"/>
    <mergeCell ref="B622:B622"/>
    <mergeCell ref="C622:C622"/>
    <mergeCell ref="F622:F622"/>
    <mergeCell ref="G622:G622"/>
    <mergeCell ref="H622:H622"/>
    <mergeCell ref="M622:M622"/>
    <mergeCell ref="N622:N622"/>
    <mergeCell ref="O622:O622"/>
    <mergeCell ref="P622:P622"/>
    <mergeCell ref="Q622:Q622"/>
    <mergeCell ref="R622:R622"/>
    <mergeCell ref="S622:S622"/>
    <mergeCell ref="X622:X622"/>
    <mergeCell ref="Y622:Y622"/>
    <mergeCell ref="Z622:Z622"/>
    <mergeCell ref="AA622:AA622"/>
    <mergeCell ref="AB622:AB622"/>
    <mergeCell ref="AC622:AC622"/>
    <mergeCell ref="AD622:AD622"/>
    <mergeCell ref="AE622:AE622"/>
    <mergeCell ref="AF622:AF622"/>
    <mergeCell ref="A623:A623"/>
    <mergeCell ref="B623:B623"/>
    <mergeCell ref="C623:C623"/>
    <mergeCell ref="F623:F623"/>
    <mergeCell ref="G623:G623"/>
    <mergeCell ref="H623:H623"/>
    <mergeCell ref="M623:M623"/>
    <mergeCell ref="N623:N623"/>
    <mergeCell ref="O623:O623"/>
    <mergeCell ref="P623:P623"/>
    <mergeCell ref="Q623:Q623"/>
    <mergeCell ref="R623:R623"/>
    <mergeCell ref="S623:S623"/>
    <mergeCell ref="X623:X623"/>
    <mergeCell ref="Y623:Y623"/>
    <mergeCell ref="Z623:Z623"/>
    <mergeCell ref="AA623:AA623"/>
    <mergeCell ref="AB623:AB623"/>
    <mergeCell ref="AC623:AC623"/>
    <mergeCell ref="AD623:AD623"/>
    <mergeCell ref="AE623:AE623"/>
    <mergeCell ref="AF623:AF623"/>
    <mergeCell ref="A624:A624"/>
    <mergeCell ref="B624:B624"/>
    <mergeCell ref="C624:C624"/>
    <mergeCell ref="F624:F624"/>
    <mergeCell ref="G624:G624"/>
    <mergeCell ref="H624:H624"/>
    <mergeCell ref="M624:M624"/>
    <mergeCell ref="N624:N624"/>
    <mergeCell ref="O624:O624"/>
    <mergeCell ref="P624:P624"/>
    <mergeCell ref="Q624:Q624"/>
    <mergeCell ref="R624:R624"/>
    <mergeCell ref="S624:S624"/>
    <mergeCell ref="X624:X624"/>
    <mergeCell ref="Y624:Y624"/>
    <mergeCell ref="Z624:Z624"/>
    <mergeCell ref="AA624:AA624"/>
    <mergeCell ref="AB624:AB624"/>
    <mergeCell ref="AC624:AC624"/>
    <mergeCell ref="AD624:AD624"/>
    <mergeCell ref="AE624:AE624"/>
    <mergeCell ref="AF624:AF624"/>
    <mergeCell ref="A625:A625"/>
    <mergeCell ref="B625:B625"/>
    <mergeCell ref="C625:C625"/>
    <mergeCell ref="F625:F625"/>
    <mergeCell ref="G625:G625"/>
    <mergeCell ref="H625:H625"/>
    <mergeCell ref="M625:M625"/>
    <mergeCell ref="N625:N625"/>
    <mergeCell ref="O625:O625"/>
    <mergeCell ref="P625:P625"/>
    <mergeCell ref="Q625:Q625"/>
    <mergeCell ref="R625:R625"/>
    <mergeCell ref="S625:S625"/>
    <mergeCell ref="X625:X625"/>
    <mergeCell ref="Y625:Y625"/>
    <mergeCell ref="Z625:Z625"/>
    <mergeCell ref="AA625:AA625"/>
    <mergeCell ref="AB625:AB625"/>
    <mergeCell ref="AC625:AC625"/>
    <mergeCell ref="AD625:AD625"/>
    <mergeCell ref="AE625:AE625"/>
    <mergeCell ref="AF625:AF625"/>
    <mergeCell ref="A626:A626"/>
    <mergeCell ref="B626:B626"/>
    <mergeCell ref="C626:C626"/>
    <mergeCell ref="F626:F626"/>
    <mergeCell ref="G626:G626"/>
    <mergeCell ref="H626:H626"/>
    <mergeCell ref="M626:M626"/>
    <mergeCell ref="N626:N626"/>
    <mergeCell ref="O626:O626"/>
    <mergeCell ref="P626:P626"/>
    <mergeCell ref="Q626:Q626"/>
    <mergeCell ref="R626:R626"/>
    <mergeCell ref="S626:S626"/>
    <mergeCell ref="X626:X626"/>
    <mergeCell ref="Y626:Y626"/>
    <mergeCell ref="Z626:Z626"/>
    <mergeCell ref="AA626:AA626"/>
    <mergeCell ref="AB626:AB626"/>
    <mergeCell ref="AC626:AC626"/>
    <mergeCell ref="AD626:AD626"/>
    <mergeCell ref="AE626:AE626"/>
    <mergeCell ref="AF626:AF626"/>
    <mergeCell ref="A627:A627"/>
    <mergeCell ref="B627:B627"/>
    <mergeCell ref="C627:C627"/>
    <mergeCell ref="F627:F627"/>
    <mergeCell ref="G627:G627"/>
    <mergeCell ref="H627:H627"/>
    <mergeCell ref="M627:M627"/>
    <mergeCell ref="N627:N627"/>
    <mergeCell ref="O627:O627"/>
    <mergeCell ref="P627:P627"/>
    <mergeCell ref="Q627:Q627"/>
    <mergeCell ref="R627:R627"/>
    <mergeCell ref="S627:S627"/>
    <mergeCell ref="X627:X627"/>
    <mergeCell ref="Y627:Y627"/>
    <mergeCell ref="Z627:Z627"/>
    <mergeCell ref="AA627:AA627"/>
    <mergeCell ref="AB627:AB627"/>
    <mergeCell ref="AC627:AC627"/>
    <mergeCell ref="AD627:AD627"/>
    <mergeCell ref="AE627:AE627"/>
    <mergeCell ref="AF627:AF627"/>
    <mergeCell ref="A628:A628"/>
    <mergeCell ref="B628:B628"/>
    <mergeCell ref="C628:C628"/>
    <mergeCell ref="F628:F628"/>
    <mergeCell ref="G628:G628"/>
    <mergeCell ref="H628:H628"/>
    <mergeCell ref="M628:M628"/>
    <mergeCell ref="N628:N628"/>
    <mergeCell ref="O628:O628"/>
    <mergeCell ref="P628:P628"/>
    <mergeCell ref="Q628:Q628"/>
    <mergeCell ref="R628:R628"/>
    <mergeCell ref="S628:S628"/>
    <mergeCell ref="X628:X628"/>
    <mergeCell ref="Y628:Y628"/>
    <mergeCell ref="Z628:Z628"/>
    <mergeCell ref="AA628:AA628"/>
    <mergeCell ref="AB628:AB628"/>
    <mergeCell ref="AC628:AC628"/>
    <mergeCell ref="AD628:AD628"/>
    <mergeCell ref="AE628:AE628"/>
    <mergeCell ref="AF628:AF628"/>
    <mergeCell ref="A629:A629"/>
    <mergeCell ref="B629:B629"/>
    <mergeCell ref="C629:C629"/>
    <mergeCell ref="F629:F629"/>
    <mergeCell ref="G629:G629"/>
    <mergeCell ref="H629:H629"/>
    <mergeCell ref="M629:M629"/>
    <mergeCell ref="N629:N629"/>
    <mergeCell ref="O629:O629"/>
    <mergeCell ref="P629:P629"/>
    <mergeCell ref="Q629:Q629"/>
    <mergeCell ref="R629:R629"/>
    <mergeCell ref="S629:S629"/>
    <mergeCell ref="X629:X629"/>
    <mergeCell ref="Y629:Y629"/>
    <mergeCell ref="Z629:Z629"/>
    <mergeCell ref="AA629:AA629"/>
    <mergeCell ref="AB629:AB629"/>
    <mergeCell ref="AC629:AC629"/>
    <mergeCell ref="AD629:AD629"/>
    <mergeCell ref="AE629:AE629"/>
    <mergeCell ref="AF629:AF629"/>
    <mergeCell ref="A630:A630"/>
    <mergeCell ref="B630:B630"/>
    <mergeCell ref="C630:C630"/>
    <mergeCell ref="F630:F630"/>
    <mergeCell ref="G630:G630"/>
    <mergeCell ref="H630:H630"/>
    <mergeCell ref="M630:M630"/>
    <mergeCell ref="N630:N630"/>
    <mergeCell ref="O630:O630"/>
    <mergeCell ref="P630:P630"/>
    <mergeCell ref="Q630:Q630"/>
    <mergeCell ref="R630:R630"/>
    <mergeCell ref="S630:S630"/>
    <mergeCell ref="X630:X630"/>
    <mergeCell ref="Y630:Y630"/>
    <mergeCell ref="Z630:Z630"/>
    <mergeCell ref="AA630:AA630"/>
    <mergeCell ref="AB630:AB630"/>
    <mergeCell ref="AC630:AC630"/>
    <mergeCell ref="AD630:AD630"/>
    <mergeCell ref="AE630:AE630"/>
    <mergeCell ref="AF630:AF630"/>
    <mergeCell ref="A631:A631"/>
    <mergeCell ref="B631:B631"/>
    <mergeCell ref="C631:C631"/>
    <mergeCell ref="F631:F631"/>
    <mergeCell ref="G631:G631"/>
    <mergeCell ref="H631:H631"/>
    <mergeCell ref="M631:M631"/>
    <mergeCell ref="N631:N631"/>
    <mergeCell ref="O631:O631"/>
    <mergeCell ref="P631:P631"/>
    <mergeCell ref="Q631:Q631"/>
    <mergeCell ref="R631:R631"/>
    <mergeCell ref="S631:S631"/>
    <mergeCell ref="X631:X631"/>
    <mergeCell ref="Y631:Y631"/>
    <mergeCell ref="Z631:Z631"/>
    <mergeCell ref="AA631:AA631"/>
    <mergeCell ref="AB631:AB631"/>
    <mergeCell ref="AC631:AC631"/>
    <mergeCell ref="AD631:AD631"/>
    <mergeCell ref="AE631:AE631"/>
    <mergeCell ref="AF631:AF631"/>
    <mergeCell ref="A632:A632"/>
    <mergeCell ref="B632:B632"/>
    <mergeCell ref="C632:C632"/>
    <mergeCell ref="F632:F632"/>
    <mergeCell ref="G632:G632"/>
    <mergeCell ref="H632:H632"/>
    <mergeCell ref="M632:M632"/>
    <mergeCell ref="N632:N632"/>
    <mergeCell ref="O632:O632"/>
    <mergeCell ref="P632:P632"/>
    <mergeCell ref="Q632:Q632"/>
    <mergeCell ref="R632:R632"/>
    <mergeCell ref="S632:S632"/>
    <mergeCell ref="X632:X632"/>
    <mergeCell ref="Y632:Y632"/>
    <mergeCell ref="Z632:Z632"/>
    <mergeCell ref="AA632:AA632"/>
    <mergeCell ref="AB632:AB632"/>
    <mergeCell ref="AC632:AC632"/>
    <mergeCell ref="AD632:AD632"/>
    <mergeCell ref="AE632:AE632"/>
    <mergeCell ref="AF632:AF632"/>
    <mergeCell ref="A633:A633"/>
    <mergeCell ref="B633:B633"/>
    <mergeCell ref="C633:C633"/>
    <mergeCell ref="F633:F633"/>
    <mergeCell ref="G633:G633"/>
    <mergeCell ref="H633:H633"/>
    <mergeCell ref="M633:M633"/>
    <mergeCell ref="N633:N633"/>
    <mergeCell ref="O633:O633"/>
    <mergeCell ref="P633:P633"/>
    <mergeCell ref="Q633:Q633"/>
    <mergeCell ref="R633:R633"/>
    <mergeCell ref="S633:S633"/>
    <mergeCell ref="X633:X633"/>
    <mergeCell ref="Y633:Y633"/>
    <mergeCell ref="Z633:Z633"/>
    <mergeCell ref="AA633:AA633"/>
    <mergeCell ref="AB633:AB633"/>
    <mergeCell ref="AC633:AC633"/>
    <mergeCell ref="AD633:AD633"/>
    <mergeCell ref="AE633:AE633"/>
    <mergeCell ref="AF633:AF633"/>
    <mergeCell ref="A634:A634"/>
    <mergeCell ref="B634:B634"/>
    <mergeCell ref="C634:C634"/>
    <mergeCell ref="F634:F634"/>
    <mergeCell ref="G634:G634"/>
    <mergeCell ref="H634:H634"/>
    <mergeCell ref="M634:M634"/>
    <mergeCell ref="N634:N634"/>
    <mergeCell ref="O634:O634"/>
    <mergeCell ref="P634:P634"/>
    <mergeCell ref="Q634:Q634"/>
    <mergeCell ref="R634:R634"/>
    <mergeCell ref="S634:S634"/>
    <mergeCell ref="X634:X634"/>
    <mergeCell ref="Y634:Y634"/>
    <mergeCell ref="Z634:Z634"/>
    <mergeCell ref="AA634:AA634"/>
    <mergeCell ref="AB634:AB634"/>
    <mergeCell ref="AC634:AC634"/>
    <mergeCell ref="AD634:AD634"/>
    <mergeCell ref="AE634:AE634"/>
    <mergeCell ref="AF634:AF634"/>
    <mergeCell ref="A635:A635"/>
    <mergeCell ref="B635:B635"/>
    <mergeCell ref="C635:C635"/>
    <mergeCell ref="F635:F635"/>
    <mergeCell ref="G635:G635"/>
    <mergeCell ref="H635:H635"/>
    <mergeCell ref="M635:M635"/>
    <mergeCell ref="N635:N635"/>
    <mergeCell ref="O635:O635"/>
    <mergeCell ref="P635:P635"/>
    <mergeCell ref="Q635:Q635"/>
    <mergeCell ref="R635:R635"/>
    <mergeCell ref="S635:S635"/>
    <mergeCell ref="X635:X635"/>
    <mergeCell ref="Y635:Y635"/>
    <mergeCell ref="Z635:Z635"/>
    <mergeCell ref="AA635:AA635"/>
    <mergeCell ref="AB635:AB635"/>
    <mergeCell ref="AC635:AC635"/>
    <mergeCell ref="AD635:AD635"/>
    <mergeCell ref="AE635:AE635"/>
    <mergeCell ref="AF635:AF635"/>
    <mergeCell ref="A636:A636"/>
    <mergeCell ref="B636:B636"/>
    <mergeCell ref="C636:C636"/>
    <mergeCell ref="F636:F636"/>
    <mergeCell ref="G636:G636"/>
    <mergeCell ref="H636:H636"/>
    <mergeCell ref="M636:M636"/>
    <mergeCell ref="N636:N636"/>
    <mergeCell ref="O636:O636"/>
    <mergeCell ref="P636:P636"/>
    <mergeCell ref="Q636:Q636"/>
    <mergeCell ref="R636:R636"/>
    <mergeCell ref="S636:S636"/>
    <mergeCell ref="X636:X636"/>
    <mergeCell ref="Y636:Y636"/>
    <mergeCell ref="Z636:Z636"/>
    <mergeCell ref="AA636:AA636"/>
    <mergeCell ref="AB636:AB636"/>
    <mergeCell ref="AC636:AC636"/>
    <mergeCell ref="AD636:AD636"/>
    <mergeCell ref="AE636:AE636"/>
    <mergeCell ref="AF636:AF636"/>
    <mergeCell ref="A637:A637"/>
    <mergeCell ref="B637:B637"/>
    <mergeCell ref="C637:C637"/>
    <mergeCell ref="F637:F637"/>
    <mergeCell ref="G637:G637"/>
    <mergeCell ref="H637:H637"/>
    <mergeCell ref="M637:M637"/>
    <mergeCell ref="N637:N637"/>
    <mergeCell ref="O637:O637"/>
    <mergeCell ref="P637:P637"/>
    <mergeCell ref="Q637:Q637"/>
    <mergeCell ref="R637:R637"/>
    <mergeCell ref="S637:S637"/>
    <mergeCell ref="X637:X637"/>
    <mergeCell ref="Y637:Y637"/>
    <mergeCell ref="Z637:Z637"/>
    <mergeCell ref="AA637:AA637"/>
    <mergeCell ref="AB637:AB637"/>
    <mergeCell ref="AC637:AC637"/>
    <mergeCell ref="AD637:AD637"/>
    <mergeCell ref="AE637:AE637"/>
    <mergeCell ref="AF637:AF637"/>
    <mergeCell ref="A638:A638"/>
    <mergeCell ref="B638:B638"/>
    <mergeCell ref="C638:C638"/>
    <mergeCell ref="F638:F638"/>
    <mergeCell ref="G638:G638"/>
    <mergeCell ref="H638:H638"/>
    <mergeCell ref="M638:M638"/>
    <mergeCell ref="N638:N638"/>
    <mergeCell ref="O638:O638"/>
    <mergeCell ref="P638:P638"/>
    <mergeCell ref="Q638:Q638"/>
    <mergeCell ref="R638:R638"/>
    <mergeCell ref="S638:S638"/>
    <mergeCell ref="X638:X638"/>
    <mergeCell ref="Y638:Y638"/>
    <mergeCell ref="Z638:Z638"/>
    <mergeCell ref="AA638:AA638"/>
    <mergeCell ref="AB638:AB638"/>
    <mergeCell ref="AC638:AC638"/>
    <mergeCell ref="AD638:AD638"/>
    <mergeCell ref="AE638:AE638"/>
    <mergeCell ref="AF638:AF638"/>
    <mergeCell ref="A639:A639"/>
    <mergeCell ref="B639:B639"/>
    <mergeCell ref="C639:C639"/>
    <mergeCell ref="F639:F639"/>
    <mergeCell ref="G639:G639"/>
    <mergeCell ref="H639:H639"/>
    <mergeCell ref="M639:M639"/>
    <mergeCell ref="N639:N639"/>
    <mergeCell ref="O639:O639"/>
    <mergeCell ref="P639:P639"/>
    <mergeCell ref="Q639:Q639"/>
    <mergeCell ref="R639:R639"/>
    <mergeCell ref="S639:S639"/>
    <mergeCell ref="X639:X639"/>
    <mergeCell ref="Y639:Y639"/>
    <mergeCell ref="Z639:Z639"/>
    <mergeCell ref="AA639:AA639"/>
    <mergeCell ref="AB639:AB639"/>
    <mergeCell ref="AC639:AC639"/>
    <mergeCell ref="AD639:AD639"/>
    <mergeCell ref="AE639:AE639"/>
    <mergeCell ref="AF639:AF639"/>
    <mergeCell ref="A640:A640"/>
    <mergeCell ref="B640:B640"/>
    <mergeCell ref="C640:C640"/>
    <mergeCell ref="F640:F640"/>
    <mergeCell ref="G640:G640"/>
    <mergeCell ref="H640:H640"/>
    <mergeCell ref="M640:M640"/>
    <mergeCell ref="N640:N640"/>
    <mergeCell ref="O640:O640"/>
    <mergeCell ref="P640:P640"/>
    <mergeCell ref="Q640:Q640"/>
    <mergeCell ref="R640:R640"/>
    <mergeCell ref="S640:S640"/>
    <mergeCell ref="X640:X640"/>
    <mergeCell ref="Y640:Y640"/>
    <mergeCell ref="Z640:Z640"/>
    <mergeCell ref="AA640:AA640"/>
    <mergeCell ref="AB640:AB640"/>
    <mergeCell ref="AC640:AC640"/>
    <mergeCell ref="AD640:AD640"/>
    <mergeCell ref="AE640:AE640"/>
    <mergeCell ref="AF640:AF640"/>
    <mergeCell ref="A641:A641"/>
    <mergeCell ref="B641:B641"/>
    <mergeCell ref="C641:C641"/>
    <mergeCell ref="F641:F641"/>
    <mergeCell ref="G641:G641"/>
    <mergeCell ref="H641:H641"/>
    <mergeCell ref="M641:M641"/>
    <mergeCell ref="N641:N641"/>
    <mergeCell ref="O641:O641"/>
    <mergeCell ref="P641:P641"/>
    <mergeCell ref="Q641:Q641"/>
    <mergeCell ref="R641:R641"/>
    <mergeCell ref="S641:S641"/>
    <mergeCell ref="X641:X641"/>
    <mergeCell ref="Y641:Y641"/>
    <mergeCell ref="Z641:Z641"/>
    <mergeCell ref="AA641:AA641"/>
    <mergeCell ref="AB641:AB641"/>
    <mergeCell ref="AC641:AC641"/>
    <mergeCell ref="AD641:AD641"/>
    <mergeCell ref="AE641:AE641"/>
    <mergeCell ref="AF641:AF641"/>
    <mergeCell ref="A642:A642"/>
    <mergeCell ref="B642:B642"/>
    <mergeCell ref="C642:C642"/>
    <mergeCell ref="F642:F642"/>
    <mergeCell ref="G642:G642"/>
    <mergeCell ref="H642:H642"/>
    <mergeCell ref="M642:M642"/>
    <mergeCell ref="N642:N642"/>
    <mergeCell ref="O642:O642"/>
    <mergeCell ref="P642:P642"/>
    <mergeCell ref="Q642:Q642"/>
    <mergeCell ref="R642:R642"/>
    <mergeCell ref="S642:S642"/>
    <mergeCell ref="X642:X642"/>
    <mergeCell ref="Y642:Y642"/>
    <mergeCell ref="Z642:Z642"/>
    <mergeCell ref="AA642:AA642"/>
    <mergeCell ref="AB642:AB642"/>
    <mergeCell ref="AC642:AC642"/>
    <mergeCell ref="AD642:AD642"/>
    <mergeCell ref="AE642:AE642"/>
    <mergeCell ref="AF642:AF642"/>
    <mergeCell ref="A643:A643"/>
    <mergeCell ref="B643:B643"/>
    <mergeCell ref="C643:C643"/>
    <mergeCell ref="F643:F643"/>
    <mergeCell ref="G643:G643"/>
    <mergeCell ref="H643:H643"/>
    <mergeCell ref="M643:M643"/>
    <mergeCell ref="N643:N643"/>
    <mergeCell ref="O643:O643"/>
    <mergeCell ref="P643:P643"/>
    <mergeCell ref="Q643:Q643"/>
    <mergeCell ref="R643:R643"/>
    <mergeCell ref="S643:S643"/>
    <mergeCell ref="X643:X643"/>
    <mergeCell ref="Y643:Y643"/>
    <mergeCell ref="Z643:Z643"/>
    <mergeCell ref="AA643:AA643"/>
    <mergeCell ref="AB643:AB643"/>
    <mergeCell ref="AC643:AC643"/>
    <mergeCell ref="AD643:AD643"/>
    <mergeCell ref="AE643:AE643"/>
    <mergeCell ref="AF643:AF643"/>
    <mergeCell ref="A644:A644"/>
    <mergeCell ref="B644:B644"/>
    <mergeCell ref="C644:C644"/>
    <mergeCell ref="F644:F644"/>
    <mergeCell ref="G644:G644"/>
    <mergeCell ref="H644:H644"/>
    <mergeCell ref="M644:M644"/>
    <mergeCell ref="N644:N644"/>
    <mergeCell ref="O644:O644"/>
    <mergeCell ref="P644:P644"/>
    <mergeCell ref="Q644:Q644"/>
    <mergeCell ref="R644:R644"/>
    <mergeCell ref="S644:S644"/>
    <mergeCell ref="X644:X644"/>
    <mergeCell ref="Y644:Y644"/>
    <mergeCell ref="Z644:Z644"/>
    <mergeCell ref="AA644:AA644"/>
    <mergeCell ref="AB644:AB644"/>
    <mergeCell ref="AC644:AC644"/>
    <mergeCell ref="AD644:AD644"/>
    <mergeCell ref="AE644:AE644"/>
    <mergeCell ref="AF644:AF644"/>
    <mergeCell ref="A645:A645"/>
    <mergeCell ref="B645:B645"/>
    <mergeCell ref="C645:C645"/>
    <mergeCell ref="F645:F645"/>
    <mergeCell ref="G645:G645"/>
    <mergeCell ref="H645:H645"/>
    <mergeCell ref="M645:M645"/>
    <mergeCell ref="N645:N645"/>
    <mergeCell ref="O645:O645"/>
    <mergeCell ref="P645:P645"/>
    <mergeCell ref="Q645:Q645"/>
    <mergeCell ref="R645:R645"/>
    <mergeCell ref="S645:S645"/>
    <mergeCell ref="X645:X645"/>
    <mergeCell ref="Y645:Y645"/>
    <mergeCell ref="Z645:Z645"/>
    <mergeCell ref="AA645:AA645"/>
    <mergeCell ref="AB645:AB645"/>
    <mergeCell ref="AC645:AC645"/>
    <mergeCell ref="AD645:AD645"/>
    <mergeCell ref="AE645:AE645"/>
    <mergeCell ref="AF645:AF645"/>
    <mergeCell ref="A646:A646"/>
    <mergeCell ref="B646:B646"/>
    <mergeCell ref="C646:C646"/>
    <mergeCell ref="F646:F646"/>
    <mergeCell ref="G646:G646"/>
    <mergeCell ref="H646:H646"/>
    <mergeCell ref="M646:M646"/>
    <mergeCell ref="N646:N646"/>
    <mergeCell ref="O646:O646"/>
    <mergeCell ref="P646:P646"/>
    <mergeCell ref="Q646:Q646"/>
    <mergeCell ref="R646:R646"/>
    <mergeCell ref="S646:S646"/>
    <mergeCell ref="X646:X646"/>
    <mergeCell ref="Y646:Y646"/>
    <mergeCell ref="Z646:Z646"/>
    <mergeCell ref="AA646:AA646"/>
    <mergeCell ref="AB646:AB646"/>
    <mergeCell ref="AC646:AC646"/>
    <mergeCell ref="AD646:AD646"/>
    <mergeCell ref="AE646:AE646"/>
    <mergeCell ref="AF646:AF646"/>
    <mergeCell ref="A647:A647"/>
    <mergeCell ref="B647:B647"/>
    <mergeCell ref="C647:C647"/>
    <mergeCell ref="F647:F647"/>
    <mergeCell ref="G647:G647"/>
    <mergeCell ref="H647:H647"/>
    <mergeCell ref="M647:M647"/>
    <mergeCell ref="N647:N647"/>
    <mergeCell ref="O647:O647"/>
    <mergeCell ref="P647:P647"/>
    <mergeCell ref="Q647:Q647"/>
    <mergeCell ref="R647:R647"/>
    <mergeCell ref="S647:S647"/>
    <mergeCell ref="X647:X647"/>
    <mergeCell ref="Y647:Y647"/>
    <mergeCell ref="Z647:Z647"/>
    <mergeCell ref="AA647:AA647"/>
    <mergeCell ref="AB647:AB647"/>
    <mergeCell ref="AC647:AC647"/>
    <mergeCell ref="AD647:AD647"/>
    <mergeCell ref="AE647:AE647"/>
    <mergeCell ref="AF647:AF647"/>
    <mergeCell ref="A648:A648"/>
    <mergeCell ref="B648:B648"/>
    <mergeCell ref="C648:C648"/>
    <mergeCell ref="F648:F648"/>
    <mergeCell ref="G648:G648"/>
    <mergeCell ref="H648:H648"/>
    <mergeCell ref="M648:M648"/>
    <mergeCell ref="N648:N648"/>
    <mergeCell ref="O648:O648"/>
    <mergeCell ref="P648:P648"/>
    <mergeCell ref="Q648:Q648"/>
    <mergeCell ref="R648:R648"/>
    <mergeCell ref="S648:S648"/>
    <mergeCell ref="X648:X648"/>
    <mergeCell ref="Y648:Y648"/>
    <mergeCell ref="Z648:Z648"/>
    <mergeCell ref="AA648:AA648"/>
    <mergeCell ref="AB648:AB648"/>
    <mergeCell ref="AC648:AC648"/>
    <mergeCell ref="AD648:AD648"/>
    <mergeCell ref="AE648:AE648"/>
    <mergeCell ref="AF648:AF648"/>
    <mergeCell ref="A649:A649"/>
    <mergeCell ref="B649:B649"/>
    <mergeCell ref="C649:C649"/>
    <mergeCell ref="F649:F649"/>
    <mergeCell ref="G649:G649"/>
    <mergeCell ref="H649:H649"/>
    <mergeCell ref="M649:M649"/>
    <mergeCell ref="N649:N649"/>
    <mergeCell ref="O649:O649"/>
    <mergeCell ref="P649:P649"/>
    <mergeCell ref="Q649:Q649"/>
    <mergeCell ref="R649:R649"/>
    <mergeCell ref="S649:S649"/>
    <mergeCell ref="X649:X649"/>
    <mergeCell ref="Y649:Y649"/>
    <mergeCell ref="Z649:Z649"/>
    <mergeCell ref="AA649:AA649"/>
    <mergeCell ref="AB649:AB649"/>
    <mergeCell ref="AC649:AC649"/>
    <mergeCell ref="AD649:AD649"/>
    <mergeCell ref="AE649:AE649"/>
    <mergeCell ref="AF649:AF649"/>
    <mergeCell ref="A650:A650"/>
    <mergeCell ref="B650:B650"/>
    <mergeCell ref="C650:C650"/>
    <mergeCell ref="F650:F650"/>
    <mergeCell ref="G650:G650"/>
    <mergeCell ref="H650:H650"/>
    <mergeCell ref="M650:M650"/>
    <mergeCell ref="N650:N650"/>
    <mergeCell ref="O650:O650"/>
    <mergeCell ref="P650:P650"/>
    <mergeCell ref="Q650:Q650"/>
    <mergeCell ref="R650:R650"/>
    <mergeCell ref="S650:S650"/>
    <mergeCell ref="X650:X650"/>
    <mergeCell ref="Y650:Y650"/>
    <mergeCell ref="Z650:Z650"/>
    <mergeCell ref="AA650:AA650"/>
    <mergeCell ref="AB650:AB650"/>
    <mergeCell ref="AC650:AC650"/>
    <mergeCell ref="AD650:AD650"/>
    <mergeCell ref="AE650:AE650"/>
    <mergeCell ref="AF650:AF650"/>
    <mergeCell ref="A651:A651"/>
    <mergeCell ref="B651:B651"/>
    <mergeCell ref="C651:C651"/>
    <mergeCell ref="F651:F651"/>
    <mergeCell ref="G651:G651"/>
    <mergeCell ref="H651:H651"/>
    <mergeCell ref="M651:M651"/>
    <mergeCell ref="N651:N651"/>
    <mergeCell ref="O651:O651"/>
    <mergeCell ref="P651:P651"/>
    <mergeCell ref="Q651:Q651"/>
    <mergeCell ref="R651:R651"/>
    <mergeCell ref="S651:S651"/>
    <mergeCell ref="X651:X651"/>
    <mergeCell ref="Y651:Y651"/>
    <mergeCell ref="Z651:Z651"/>
    <mergeCell ref="AA651:AA651"/>
    <mergeCell ref="AB651:AB651"/>
    <mergeCell ref="AC651:AC651"/>
    <mergeCell ref="AD651:AD651"/>
    <mergeCell ref="AE651:AE651"/>
    <mergeCell ref="AF651:AF651"/>
    <mergeCell ref="A652:A652"/>
    <mergeCell ref="B652:B652"/>
    <mergeCell ref="C652:C652"/>
    <mergeCell ref="F652:F652"/>
    <mergeCell ref="G652:G652"/>
    <mergeCell ref="H652:H652"/>
    <mergeCell ref="M652:M652"/>
    <mergeCell ref="N652:N652"/>
    <mergeCell ref="O652:O652"/>
    <mergeCell ref="P652:P652"/>
    <mergeCell ref="Q652:Q652"/>
    <mergeCell ref="R652:R652"/>
    <mergeCell ref="S652:S652"/>
    <mergeCell ref="X652:X652"/>
    <mergeCell ref="Y652:Y652"/>
    <mergeCell ref="Z652:Z652"/>
    <mergeCell ref="AA652:AA652"/>
    <mergeCell ref="AB652:AB652"/>
    <mergeCell ref="AC652:AC652"/>
    <mergeCell ref="AD652:AD652"/>
    <mergeCell ref="AE652:AE652"/>
    <mergeCell ref="AF652:AF652"/>
    <mergeCell ref="A653:A653"/>
    <mergeCell ref="B653:B653"/>
    <mergeCell ref="C653:C653"/>
    <mergeCell ref="F653:F653"/>
    <mergeCell ref="G653:G653"/>
    <mergeCell ref="H653:H653"/>
    <mergeCell ref="M653:M653"/>
    <mergeCell ref="N653:N653"/>
    <mergeCell ref="O653:O653"/>
    <mergeCell ref="P653:P653"/>
    <mergeCell ref="Q653:Q653"/>
    <mergeCell ref="R653:R653"/>
    <mergeCell ref="S653:S653"/>
    <mergeCell ref="X653:X653"/>
    <mergeCell ref="Y653:Y653"/>
    <mergeCell ref="Z653:Z653"/>
    <mergeCell ref="AA653:AA653"/>
    <mergeCell ref="AB653:AB653"/>
    <mergeCell ref="AC653:AC653"/>
    <mergeCell ref="AD653:AD653"/>
    <mergeCell ref="AE653:AE653"/>
    <mergeCell ref="AF653:AF653"/>
    <mergeCell ref="A654:A654"/>
    <mergeCell ref="B654:B654"/>
    <mergeCell ref="C654:C654"/>
    <mergeCell ref="F654:F654"/>
    <mergeCell ref="G654:G654"/>
    <mergeCell ref="H654:H654"/>
    <mergeCell ref="M654:M654"/>
    <mergeCell ref="N654:N654"/>
    <mergeCell ref="O654:O654"/>
    <mergeCell ref="P654:P654"/>
    <mergeCell ref="Q654:Q654"/>
    <mergeCell ref="R654:R654"/>
    <mergeCell ref="S654:S654"/>
    <mergeCell ref="X654:X654"/>
    <mergeCell ref="Y654:Y654"/>
    <mergeCell ref="Z654:Z654"/>
    <mergeCell ref="AA654:AA654"/>
    <mergeCell ref="AB654:AB654"/>
    <mergeCell ref="AC654:AC654"/>
    <mergeCell ref="AD654:AD654"/>
    <mergeCell ref="AE654:AE654"/>
    <mergeCell ref="AF654:AF654"/>
    <mergeCell ref="A655:A655"/>
    <mergeCell ref="B655:B655"/>
    <mergeCell ref="C655:C655"/>
    <mergeCell ref="F655:F655"/>
    <mergeCell ref="G655:G655"/>
    <mergeCell ref="H655:H655"/>
    <mergeCell ref="M655:M655"/>
    <mergeCell ref="N655:N655"/>
    <mergeCell ref="O655:O655"/>
    <mergeCell ref="P655:P655"/>
    <mergeCell ref="Q655:Q655"/>
    <mergeCell ref="R655:R655"/>
    <mergeCell ref="S655:S655"/>
    <mergeCell ref="X655:X655"/>
    <mergeCell ref="Y655:Y655"/>
    <mergeCell ref="Z655:Z655"/>
    <mergeCell ref="AA655:AA655"/>
    <mergeCell ref="AB655:AB655"/>
    <mergeCell ref="AC655:AC655"/>
    <mergeCell ref="AD655:AD655"/>
    <mergeCell ref="AE655:AE655"/>
    <mergeCell ref="AF655:AF655"/>
    <mergeCell ref="A656:A656"/>
    <mergeCell ref="B656:B656"/>
    <mergeCell ref="C656:C656"/>
    <mergeCell ref="F656:F656"/>
    <mergeCell ref="G656:G656"/>
    <mergeCell ref="H656:H656"/>
    <mergeCell ref="M656:M656"/>
    <mergeCell ref="N656:N656"/>
    <mergeCell ref="O656:O656"/>
    <mergeCell ref="P656:P656"/>
    <mergeCell ref="Q656:Q656"/>
    <mergeCell ref="R656:R656"/>
    <mergeCell ref="S656:S656"/>
    <mergeCell ref="X656:X656"/>
    <mergeCell ref="Y656:Y656"/>
    <mergeCell ref="Z656:Z656"/>
    <mergeCell ref="AA656:AA656"/>
    <mergeCell ref="AB656:AB656"/>
    <mergeCell ref="AC656:AC656"/>
    <mergeCell ref="AD656:AD656"/>
    <mergeCell ref="AE656:AE656"/>
    <mergeCell ref="AF656:AF656"/>
    <mergeCell ref="A657:A657"/>
    <mergeCell ref="B657:B657"/>
    <mergeCell ref="C657:C657"/>
    <mergeCell ref="F657:F657"/>
    <mergeCell ref="G657:G657"/>
    <mergeCell ref="H657:H657"/>
    <mergeCell ref="M657:M657"/>
    <mergeCell ref="N657:N657"/>
    <mergeCell ref="O657:O657"/>
    <mergeCell ref="P657:P657"/>
    <mergeCell ref="Q657:Q657"/>
    <mergeCell ref="R657:R657"/>
    <mergeCell ref="S657:S657"/>
    <mergeCell ref="X657:X657"/>
    <mergeCell ref="Y657:Y657"/>
    <mergeCell ref="Z657:Z657"/>
    <mergeCell ref="AA657:AA657"/>
    <mergeCell ref="AB657:AB657"/>
    <mergeCell ref="AC657:AC657"/>
    <mergeCell ref="AD657:AD657"/>
    <mergeCell ref="AE657:AE657"/>
    <mergeCell ref="AF657:AF657"/>
    <mergeCell ref="A658:A658"/>
    <mergeCell ref="B658:B658"/>
    <mergeCell ref="C658:C658"/>
    <mergeCell ref="F658:F658"/>
    <mergeCell ref="G658:G658"/>
    <mergeCell ref="H658:H658"/>
    <mergeCell ref="M658:M658"/>
    <mergeCell ref="N658:N658"/>
    <mergeCell ref="O658:O658"/>
    <mergeCell ref="P658:P658"/>
    <mergeCell ref="Q658:Q658"/>
    <mergeCell ref="R658:R658"/>
    <mergeCell ref="S658:S658"/>
    <mergeCell ref="X658:X658"/>
    <mergeCell ref="Y658:Y658"/>
    <mergeCell ref="Z658:Z658"/>
    <mergeCell ref="AA658:AA658"/>
    <mergeCell ref="AB658:AB658"/>
    <mergeCell ref="AC658:AC658"/>
    <mergeCell ref="AD658:AD658"/>
    <mergeCell ref="AE658:AE658"/>
    <mergeCell ref="AF658:AF658"/>
    <mergeCell ref="A659:A659"/>
    <mergeCell ref="B659:B659"/>
    <mergeCell ref="C659:C659"/>
    <mergeCell ref="F659:F659"/>
    <mergeCell ref="G659:G659"/>
    <mergeCell ref="H659:H659"/>
    <mergeCell ref="M659:M659"/>
    <mergeCell ref="N659:N659"/>
    <mergeCell ref="O659:O659"/>
    <mergeCell ref="P659:P659"/>
    <mergeCell ref="Q659:Q659"/>
    <mergeCell ref="R659:R659"/>
    <mergeCell ref="S659:S659"/>
    <mergeCell ref="X659:X659"/>
    <mergeCell ref="Y659:Y659"/>
    <mergeCell ref="Z659:Z659"/>
    <mergeCell ref="AA659:AA659"/>
    <mergeCell ref="AB659:AB659"/>
    <mergeCell ref="AC659:AC659"/>
    <mergeCell ref="AD659:AD659"/>
    <mergeCell ref="AE659:AE659"/>
    <mergeCell ref="AF659:AF659"/>
    <mergeCell ref="A660:A660"/>
    <mergeCell ref="B660:B660"/>
    <mergeCell ref="C660:C660"/>
    <mergeCell ref="F660:F660"/>
    <mergeCell ref="G660:G660"/>
    <mergeCell ref="H660:H660"/>
    <mergeCell ref="M660:M660"/>
    <mergeCell ref="N660:N660"/>
    <mergeCell ref="O660:O660"/>
    <mergeCell ref="P660:P660"/>
    <mergeCell ref="Q660:Q660"/>
    <mergeCell ref="R660:R660"/>
    <mergeCell ref="S660:S660"/>
    <mergeCell ref="X660:X660"/>
    <mergeCell ref="Y660:Y660"/>
    <mergeCell ref="Z660:Z660"/>
    <mergeCell ref="AA660:AA660"/>
    <mergeCell ref="AB660:AB660"/>
    <mergeCell ref="AC660:AC660"/>
    <mergeCell ref="AD660:AD660"/>
    <mergeCell ref="AE660:AE660"/>
    <mergeCell ref="AF660:AF660"/>
    <mergeCell ref="A661:A661"/>
    <mergeCell ref="B661:B661"/>
    <mergeCell ref="C661:C661"/>
    <mergeCell ref="F661:F661"/>
    <mergeCell ref="G661:G661"/>
    <mergeCell ref="H661:H661"/>
    <mergeCell ref="M661:M661"/>
    <mergeCell ref="N661:N661"/>
    <mergeCell ref="O661:O661"/>
    <mergeCell ref="P661:P661"/>
    <mergeCell ref="Q661:Q661"/>
    <mergeCell ref="R661:R661"/>
    <mergeCell ref="S661:S661"/>
    <mergeCell ref="X661:X661"/>
    <mergeCell ref="Y661:Y661"/>
    <mergeCell ref="Z661:Z661"/>
    <mergeCell ref="AA661:AA661"/>
    <mergeCell ref="AB661:AB661"/>
    <mergeCell ref="AC661:AC661"/>
    <mergeCell ref="AD661:AD661"/>
    <mergeCell ref="AE661:AE661"/>
    <mergeCell ref="AF661:AF661"/>
  </mergeCells>
  <hyperlinks>
    <hyperlink ref="D6" r:id="rId_hyperlink_1" tooltip="假如一名脱硝操作人员巡检时不慎踏入电缆沟内，小腿部分磕碰到电缆沟沟壁，造成小腿流血，送医治疗休养3天后恢复健康"/>
    <hyperlink ref="D7" r:id="rId_hyperlink_2" tooltip="东风机房一楼东侧窗户上部（一号风机煤气进口阀门下部）有一小块彩钢瓦倾斜，如果操作人员在擦窗户时彩钢瓦掉落，砸到操作人员左侧肩膀，造成左侧肩膀擦伤，轻微人身伤害，不影响工作"/>
    <hyperlink ref="D8" r:id="rId_hyperlink_3" tooltip="北供水5#循环泵由于长时间使用，联轴器防护罩固定螺栓发生松动，螺母掉落，造成防护罩不牢靠，起不到防护作用，如果一名操作人员在巡检或擦拭该设备时不注意，可能被联轴器伤到手，住院治疗15天康复，损工半月！"/>
    <hyperlink ref="D9" r:id="rId_hyperlink_4" tooltip="加药间废弃的阀门太低，外来人来卸药时需要用清水，进去开阀门时由于空间太窄正好被废弃的阀门碰到头，造成头部磕伤"/>
    <hyperlink ref="D10" r:id="rId_hyperlink_5" tooltip="南风机2#电捕高压发生器进线口电缆线裸露，如果与铁壳长期磨擦造成绝缘层破损可能引起短路，引发电器火灾烧坏电捕高压发生器和控制柜"/>
    <hyperlink ref="D11" r:id="rId_hyperlink_6" tooltip="粗苯终冷器东水封液下泵电机接线盒绝缘胶布与穿线软管脱落，进水连电，一名操作工在巡检过程中发现电机冒烟，立即用手触摸，可能造成当场触电身亡"/>
    <hyperlink ref="D12" r:id="rId_hyperlink_7" tooltip="一名操作工在蒸氨塔底放空焦油时，由于蒸汽管道破裂，假如操作工躲闪不及，会造成蒸汽烫伤，去医务室敷药后在家休养两天复工。"/>
    <hyperlink ref="D13" r:id="rId_hyperlink_8" tooltip="南脱硫洗眼器喷淋阀门坏，如果一操作工在操作时上身溅上脱硫液，由于喷淋阀门坏无法及时冲洗，致使皮肤轻微灼伤，医务室简单处理，正常工作。"/>
    <hyperlink ref="D14" r:id="rId_hyperlink_9" tooltip="干熄焦地下室冷焦带北侧台阶处照明不良，存在死角，巡检人员清理冷焦带下部卫生，沿北侧向上行走时被台阶绊倒，右臂被皮带支架尖锐处割伤，创口10公分大量出血，送医治疗，缝合创口，损工7天"/>
    <hyperlink ref="D15" r:id="rId_hyperlink_10" tooltip="压缩更换活门维修未及时清理现场，巡检人员在夜间巡检经过时被绊倒，扭伤脚踝送医救治。"/>
    <hyperlink ref="D16" r:id="rId_hyperlink_11" tooltip="吸氨岗位氨水循环槽处地沟盖板损坏，一名操作工巡检过程中，不慎踩空跌入地沟内，造成腿部擦伤脚腕扭伤的轻伤事故。"/>
    <hyperlink ref="D17" r:id="rId_hyperlink_12" tooltip="超浓水水池西侧蒸汽阀门无保温层，一员工在清理池子夹缝卫生后返回时，因空间较窄，右肩及上臂与高温阀门接触，造成烫伤，离岗就医治疗，在家休养5天后复工。"/>
    <hyperlink ref="D18" r:id="rId_hyperlink_13" tooltip="除盐水污水池排污沟杂物隔网上部钢筋凸起，夜间光线不良一巡检人员进行巡检时因地沟盖板不平整摔倒，腹部被凸起钢筋刺入，送医治疗抢救及时，损工100天。"/>
    <hyperlink ref="D19" r:id="rId_hyperlink_14" tooltip="一员工在巡检3#减温减压时，由于减温水管道破裂，不慎被104℃的汽水混合物喷溅至左小腿，送医救治，诊断为左小腿浅二度烫伤。"/>
    <hyperlink ref="D20" r:id="rId_hyperlink_15" tooltip="DEC碱再生排水管道有漏点，泄露到管道沟内，造成管道沟内管道腐蚀，及时发现，一天内处理完毕。"/>
    <hyperlink ref="D21" r:id="rId_hyperlink_16" tooltip="汽轮机油箱溢油阀阀杆漏油，如果漏油量过大会造成汽轮机润滑油压降低，导致汽轮机轴瓦烧毁、停机，甚至引发火灾。"/>
    <hyperlink ref="D22" r:id="rId_hyperlink_17" tooltip="操作工在调节蒸汽旁通阀门时，正对蒸汽管线，因未发现黑胶管老化，阀门开启过大，蒸汽压力升高，导致黑胶管炸裂，蒸汽喷出，由于区域空间障碍物较多，人员躲避不及时，造成人员小腿灼伤，住院治疗一个月。"/>
    <hyperlink ref="D23" r:id="rId_hyperlink_18" tooltip="化验用电炉恒温器开关电源防护罩脱落，化验员在频繁蒸样合闸过程中，不小心触碰开关金属片"/>
    <hyperlink ref="D24" r:id="rId_hyperlink_19" tooltip="北脱硫西南角氨水泵电机护罩破损，螺栓掉落，如果操作工在擦拭设备时，脱落的电机护罩起不到防护作用，会让风扇翅子划伤手指，造成右手手指划伤，经医务室包扎后继续工作。，"/>
    <hyperlink ref="D25" r:id="rId_hyperlink_20" tooltip="除盐水池四周无防护栏，人员操作或巡检时存在坠落危险，造成人员伤害"/>
    <hyperlink ref="D26" r:id="rId_hyperlink_21" tooltip="下段冷凝液罐平台腐蚀破损。如果一名操作工廵检时，不慎踩入破损处，造成腿部划伤，住院治疗。"/>
    <hyperlink ref="D27" r:id="rId_hyperlink_22" tooltip="东硫铵小母液泵电机后防护罩损坏变形，造成电机后降温风扇破损，无法起到降温效果。巡检人员未发现长时间使用会造成电机发热烧毁。"/>
    <hyperlink ref="D28" r:id="rId_hyperlink_23" tooltip="化工厂氨水储槽浓氨槽氨水取样阀乳胶管老化，一名操作工在取样时，氨水不慎溅入眼内，送医务室救治。"/>
    <hyperlink ref="D29" r:id="rId_hyperlink_24" tooltip="西硫铵地沟水泥盖板腐蚀，操作工晚上经过此处时没住意，不慎掉入地沟，造成左腿皮肤擦伤和骨折。"/>
    <hyperlink ref="D30" r:id="rId_hyperlink_25" tooltip="维修人员维修碱液泵，未按要求佩戴防护罩，以及防护手套，如果碱液泵拆卸过程中有碱液喷溅，会造成维修人员脸部被碱液灼伤红肿，上医务室处理后回家休养三天后复工，正常上班。"/>
    <hyperlink ref="D31" r:id="rId_hyperlink_26" tooltip="阿特拉斯空压机供油温度高，操作工加降温水冷却，通知维修清洗油冷器后，冷却水管未及时收起，夜间操作工巡检时，由于视线不清，不慎被水管绊倒，造成脚踝扭伤，送医救治。"/>
    <hyperlink ref="D32" r:id="rId_hyperlink_27" tooltip="一名巡检工到2号废锅液位计处巡检发现法兰电传液位计垫子破蒸汽泄露通知维修，维修工维修时防护不当被蒸汽烫伤脸部送医院治疗"/>
    <hyperlink ref="D33" r:id="rId_hyperlink_28" tooltip="离心晶分池入口管线阀门泄露，一名操作工在夜间操作时因为光线暗，又没有佩戴防护镜导致泄露的氨水溅入眼中，导致眼睛灼伤，紧急清理后送医治疗一周。"/>
    <hyperlink ref="D34" r:id="rId_hyperlink_29" tooltip="操作工往液氧储槽排放液氧时发现取样阀垫子泄露，通知维修。维修工维修时因防护不当不慎被液氧冻伤右手，送医院简单治疗。"/>
    <hyperlink ref="D35" r:id="rId_hyperlink_30" tooltip="叉车停车后未拉手刹，叉车司机在上车时突然溜车，压伤右脚拇指，送医院治疗。"/>
    <hyperlink ref="D36" r:id="rId_hyperlink_31" tooltip="化工厂2#压缩机电机基础侧有宽缝隙，未进行覆盖。如果压缩机巡检工对压缩机电机进行巡检时，脚不慎掉入该缝隙，造成崴伤脚腕，损工治疗。"/>
    <hyperlink ref="D37" r:id="rId_hyperlink_32" tooltip="3#初冷器冲洗下液管的蒸汽阀门盘根漏蒸汽，一名操作工在开蒸汽冲洗下液管时如果手部防护措施不到位导致蒸汽把右手面烫伤，经医务室简单处理，正常工作。"/>
    <hyperlink ref="D38" r:id="rId_hyperlink_33" tooltip="焦护栏因使用年限较长，腐蚀严重，造成人员摔伤"/>
    <hyperlink ref="D39" r:id="rId_hyperlink_34" tooltip="4.3米焦炉脱硫脱硝风机联轴器护罩未复位，假如一名操作人员在设备运转时，靠近设备检查轴承温度，可能会造成手臂骨折，住院治疗30天"/>
    <hyperlink ref="D40" r:id="rId_hyperlink_35" tooltip="4.3米脱硫脱硝高压风机护栏及降温水管绑有多处铁丝，如果一名巡检工高速行走时不慎碰触铁丝，造成脸部被铁丝划伤，送医务室轻微包扎后恢复健康。"/>
    <hyperlink ref="D41" r:id="rId_hyperlink_36" tooltip="冰机操作工在停2号冰机期间，突然出口阀填料漏氨气，操作工当时感到胸闷，呼吸困难，立即跑到空气流畅地方休息片刻，并送医务室救治。"/>
    <hyperlink ref="D42" r:id="rId_hyperlink_37" tooltip="在操作过程中由于工具放置不牢一名操作工巡检时工具滑落将操作工脚面砸伤送院治疗"/>
    <hyperlink ref="D43" r:id="rId_hyperlink_38" tooltip="一号初冷器下液管蒸汽吹扫阀门盘根漏蒸汽，一名操作人员开蒸汽吹散管道时防护措施不到位会导致双手烫伤，不影响正常工作"/>
    <hyperlink ref="D44" r:id="rId_hyperlink_39" tooltip="保运人员在离地面3米高的管线上置换螺丝，未佩戴安全带，如果人员在作业中不慎绊倒摔落地面，左手臂先着地，造成左手臂骨折，住院一个月康复出院。"/>
    <hyperlink ref="D45" r:id="rId_hyperlink_40" tooltip="西硫铵蒸汽水包压力表没有红线，假如操作人员在开蒸汽时蒸汽压力过高，蒸汽压力表垫子松动造成操作人员胳膊烫伤，住院治疗一星期出院，在家修养十天恢复，造成一人损工事故。"/>
    <hyperlink ref="D46" r:id="rId_hyperlink_41" tooltip="综合供水老加药间一配电盘门未关闭，一操作工在巡检过程中不小心碰到裸露的开关上触电死亡。"/>
    <hyperlink ref="D47" r:id="rId_hyperlink_42" tooltip="一名操作工在东澄槽巡检时，东管架处蒸汽阀门垫子突然破损，喷出大量蒸汽，一旦操作人员躲闪不及，可能导致脸部轻微烫伤。"/>
    <hyperlink ref="D48" r:id="rId_hyperlink_43" tooltip="脱硫区域屋后地上有钢筋，一名操作工夜晚走路时被地上的突出钢筋绊倒，导致手部擦伤，手肘磕伤，涂药后复工"/>
    <hyperlink ref="D49" r:id="rId_hyperlink_44" tooltip="2#炉机侧平台81#碳化室处，地面平台砖翘起，人员从此处经过易被翘起的砖绊倒，造成人员跌落"/>
    <hyperlink ref="D50" r:id="rId_hyperlink_45" tooltip="1#煤气下液管法兰连接处漏煤气，一名操作人员巡检到此处，防护措施不到位吸入煤气，造成身体轻微不适，到空气新鲜处休息片刻，不影响工作。"/>
    <hyperlink ref="D51" r:id="rId_hyperlink_46" tooltip="南脱硫熔硫釜回液阀门垫子破损，假如一名操作工巡检到此处，未佩戴防护面罩，脱硫液喷溅到操作工面部，造成眼部灼伤，用清水冲洗后就医，住院治疗5天。"/>
    <hyperlink ref="D52" r:id="rId_hyperlink_47" tooltip="南冷凝氨水管道有铝皮，操作人员巡查经过下方，铝皮掉落在巡检人手上划伤手，送医务室包扎处理，轻微伤已复工。"/>
    <hyperlink ref="D53" r:id="rId_hyperlink_48" tooltip="卸酸泵出口阀门没有防护措施，在打酸过程中如果法兰垫子坏，硫酸泄露，可能会造成人员灼伤，环保事故！"/>
    <hyperlink ref="D54" r:id="rId_hyperlink_49" tooltip="北风机2#初冷器二层平台处间隙大，如果操作人员在开关初冷器出口阀门时，不小心踩空轻微划伤腿部，经包扎后正常工作。"/>
    <hyperlink ref="D55" r:id="rId_hyperlink_50" tooltip="东硫铵离心机冲洗管外保温铝皮开裂，人员上下爬梯不小心划伤手臂，冬季防冻措施不足，冻坏管道，离心机无法冲洗，设备损坏！"/>
    <hyperlink ref="D56" r:id="rId_hyperlink_51" tooltip="东硫铵1号饱和器顶部阀门螺栓缺失，若法兰垫子损坏母液泄露，造成环境污染，环保事故！"/>
    <hyperlink ref="D57" r:id="rId_hyperlink_52" tooltip="蒸氨塔蒸汽吹扫胶管破裂，假如一名巡检工途经此处，胶管阻力增大，胶管断裂摆动造成腿粗烫伤，去医院简单治疗后上班，无损工"/>
    <hyperlink ref="D58" r:id="rId_hyperlink_53" tooltip="生化污水池搅拌器，封盖开口大，开口处未闭合，一小片封盖拆下未安装，人员经过失足掉落，溺亡"/>
    <hyperlink ref="D59" r:id="rId_hyperlink_54" tooltip="外包人员对苯罐进行氮封安装，收工后未对现场进行整理，中夜班操作工进行巡检时，由于光线太暗，被横七竖八的气路管拌倒，造成膝盖擦伤，送往医务室消炎后回岗位继续操作。"/>
    <hyperlink ref="D60" r:id="rId_hyperlink_55" tooltip="西硫铵西侧南北路管架管道保温铝皮松动，未及时处置，遇大风天气容易坠落，划伤一名操作工"/>
    <hyperlink ref="D61" r:id="rId_hyperlink_56" tooltip="离心机配电箱接触器，进线接触不好发热，造成短路火灾触电事故，离心机停车。"/>
    <hyperlink ref="D62" r:id="rId_hyperlink_57" tooltip="北脱硫泵房循环泵联轴器防护罩松动。一名操作工擦拭设备时，手部被转动设备擦伤，送医院治疗包扎后。回岗位继续工作。"/>
    <hyperlink ref="D63" r:id="rId_hyperlink_58" tooltip="西硫铵热水槽顶部蒸汽回水管有漏点，回水温度高，不开车时，蒸汽回水漏点难发现，若维修在周围作业，又不知情状态下，造成轻微烫伤。"/>
    <hyperlink ref="D64" r:id="rId_hyperlink_59" tooltip="合成取暖罐爬梯安全警示牌缺失，当操作工爬爬梯操作时脚底打滑不慎跌倒，造成右小腿骨折。"/>
    <hyperlink ref="D65" r:id="rId_hyperlink_60" tooltip="南脱硫泡沫槽搅拌器接线盒处老化腐蚀，如果下雨天下雨雨水渗入，可能造成电机烧毁，设备损坏"/>
    <hyperlink ref="D66" r:id="rId_hyperlink_61" tooltip="人员从煤塔下方来回经过，不慎被高处坠落物铁件击伤头部。当时昏迷送医治疗"/>
    <hyperlink ref="D67" r:id="rId_hyperlink_62" tooltip="爬梯上方蒸汽阀门管道破损，如果有操作工上下爬梯经过，由于蒸汽温度过高，就有可能被滳.落下的冷凝水滳到颈部轻微烫伤。经医务室简单处理后，能正常上班，无损工。"/>
    <hyperlink ref="D68" r:id="rId_hyperlink_63" tooltip="仪表操作工在操作的过程中，由于仪表盘未接地线，发生漏电，造成操作人员轻微触电，休息片刻继续工作。"/>
    <hyperlink ref="D69" r:id="rId_hyperlink_64" tooltip="操作工从配电箱中，开照明灯时，由于天黑看不清配电箱内的情况，不小心手碰到电源接线螺丝触电，漏电保护器动作跳闸，操作工及时脱离电源。"/>
    <hyperlink ref="D70" r:id="rId_hyperlink_65" tooltip="一名操作工在擦试废气回收喷淋泵时，因泵子机械密封漏液，漏出的废水随高速旋转的轴体甩溅到操作工眼睛内，立即到洗眼器处冲洗，送医院救治，诊断为视网膜灼伤，治疗2个月出院，限工2个月。"/>
    <hyperlink ref="D71" r:id="rId_hyperlink_66" tooltip="一名工人从5.5米干熄车的应急爬梯下车时，在爬梯上滑倒，滑跌至地面，至该工人腿部受伤"/>
    <hyperlink ref="D72" r:id="rId_hyperlink_67" tooltip="干熄炉东侧北边除尘上部平台通道踏板腐烂缺失，一名职工巡检时没有注意脚下，不慎踩空，从8米的高度坠落地面，头部受伤，送医治疗。"/>
    <hyperlink ref="D73" r:id="rId_hyperlink_68" tooltip="5.5米炉顶北侧间台盖板缺失，如果一名操作工在巡检过程没有注意脚下不慎踩空，造成大腿骨折，送往医院治疗。"/>
    <hyperlink ref="D74" r:id="rId_hyperlink_69" tooltip="东焦场除尘施工时，未设置警戒带，一名工人路过时被上方掉落的工具砸伤头部"/>
    <hyperlink ref="D75" r:id="rId_hyperlink_70" tooltip="5.5米焦炉炉顶焦侧29号清理上升管桥管小平台倾斜晃动比较严重，如果一名操作工在清理上升管桥管时不慎闪落，从六米高处坠落，严重摔伤，送院治疗。"/>
    <hyperlink ref="D76" r:id="rId_hyperlink_71" tooltip="一职工在东焦场打扫地面卫生时，被高处20多米的筛焦楼窗台上的铁件掉落砸中头部，流血过多，送医院抢救无效死亡。"/>
    <hyperlink ref="D77" r:id="rId_hyperlink_72" tooltip="南再生器顶部护栏腐蚀严重，操作人员登高开关阀门时如不慎踩空易跌落地面，造成腿部骨折，送医后住院治疗3个月"/>
    <hyperlink ref="D78" r:id="rId_hyperlink_73" tooltip="一测换工在夜间巡检经过此处时，由于光钱昏暗未发现地面有坑，不惧一脚踩入坑内跌倒，造成右脚受伤，送医诊断为右脚骨折。"/>
    <hyperlink ref="D79" r:id="rId_hyperlink_74" tooltip="转化装置地面消防沙袋未及时清理，夜间操作工巡检时，由于视线昏暗，操作工不慎将脚踝扭伤，送医救治。"/>
    <hyperlink ref="D80" r:id="rId_hyperlink_75" tooltip="北脱硫溶液换热器封头因垫子有裂缝，造成脱硫液外渗，假如换热器压力高，造成垫子破裂，导致脱硫液大量外溢。"/>
    <hyperlink ref="D81" r:id="rId_hyperlink_76" tooltip="北脱硫东管架保温铝皮脱落，假如大风天气一名巡检工途径此处，铝皮被风吹落轻微划伤颈部，去医院简单治疗后上班，无损工"/>
    <hyperlink ref="D82" r:id="rId_hyperlink_77" tooltip="导烟车北侧无视窗且无视频监控，车辆北行时无法有效观察到行人，一员工向北行驶车辆是，未注意到北侧给水封加水的人员，车辆导套护栏将其别倒"/>
    <hyperlink ref="D83" r:id="rId_hyperlink_78" tooltip="余热锅炉前烟道保温外层铁皮未握边，一职工夜间巡检经过此处时被未握边的铁皮割伤面部，送医清洗、缝合伤口7针，在家休养7天。"/>
    <hyperlink ref="D84" r:id="rId_hyperlink_79" tooltip="粗苯北管式炉南侧地沟盖板破损有坑洞，一员工夜间巡检时不慎踩空致小腿擦伤，送医务室包扎后继续工作"/>
    <hyperlink ref="D85" r:id="rId_hyperlink_80" tooltip="粗苯地下放空槽存放易燃易爆气体物质，施工人员违章放置配电盘无有效安全距离，无接地装置，无防雨措施可能导致一名施工人员在接线时开关老化短路产生电火花与周围可燃气体接触发生爆炸，造成该施工人员因爆炸当场死"/>
    <hyperlink ref="D86" r:id="rId_hyperlink_81" tooltip="一名操作工在操作关阀门时，因管道与阀门法兰处长时间腐蚀泄漏，物料喷溅脸部及时用清水清洗送往医院，诊断脸部烧伤住院一个月治疗。"/>
    <hyperlink ref="D87" r:id="rId_hyperlink_82" tooltip="三号熔硫釜放料阀门盘根处漏液"/>
    <hyperlink ref="D88" r:id="rId_hyperlink_83" tooltip="一名操作工在巡检操作时，攀爬爬梯时因爬梯腐蚀严重断裂右脚踩空受伤送往医院救治，诊断为脚踝扭伤住院治疗一个月。"/>
    <hyperlink ref="D89" r:id="rId_hyperlink_84" tooltip="风机西侧外墙7米高处彩钢瓦腐蚀严重，在巡检中一名人员从这里经过被坠落的彩钢瓦砸伤头部，当场昏迷，送医院治疗。"/>
    <hyperlink ref="D90" r:id="rId_hyperlink_85" tooltip="一作业人员在高于两米处进行电焊作业由于安全意识不强没系安全带，在脚手架上移动时踩空坠落。"/>
    <hyperlink ref="D91" r:id="rId_hyperlink_86" tooltip="一名操作工在巡检过程中发现管式炉炉头突然熄灭，如果长时间未发现可能会造成煤气泄漏达到爆炸极限，造成管式炉炉膛爆燃，富油着火造成人员伤亡，设备损毁长时间停产事故。"/>
    <hyperlink ref="D92" r:id="rId_hyperlink_87" tooltip="人员夜间巡逻时，因视线不好，未戴安全帽，被螺栓绊倒"/>
    <hyperlink ref="D93" r:id="rId_hyperlink_88" tooltip="脱硫泵放气处螺帽腐蚀严重导致漏液，一名操作工巡检时，由于劳保防护不当，导致喷射出的脱硫液将右眼灼伤。"/>
    <hyperlink ref="D94" r:id="rId_hyperlink_89" tooltip="一名操作工在初冷器下段冷凝液泵处巡检时，因泵出口管道漏点粘补处老化开裂，冷凝液喷溅到该操作工脸部，造成眼睛灼伤，清洗后送医诊断为视网膜灼伤，治疗3个月后出院复工，损工3个月。"/>
    <hyperlink ref="D95" r:id="rId_hyperlink_90" tooltip="一操作人员在置换冷凝液开关阀门时，因安全意识不强、风险辩识不到位，被旁边蒸汽阀门泄露的蒸汽烫伤面部。"/>
    <hyperlink ref="D96" r:id="rId_hyperlink_91" tooltip="一名操作工在东澄清槽巡检时，一废水管线因腐蚀严重突然破裂，喷出大量氨水，如果操作人员躲闪不及会造成人员轻微烫伤。"/>
    <hyperlink ref="D97" r:id="rId_hyperlink_92" tooltip="接班室照明灯管连接线松动，操作工清理地面卫生时，被坠落灯管划伤颈部皮肤，去医务室包扎休假三天。"/>
    <hyperlink ref="D98" r:id="rId_hyperlink_93" tooltip="炉顶机侧集气管道，42#上升管处的支架偏离掉落，正好砸中一名出炉工头部，紧急送医。"/>
    <hyperlink ref="D99" r:id="rId_hyperlink_94" tooltip="焦侧8#、29#上升管平台不牢固，且腐蚀严重，一操作工在工作时由此跌落，且头部着地受重伤，随即送医。"/>
    <hyperlink ref="D100" r:id="rId_hyperlink_95" tooltip="一名维修人员在循环水池附近干活，休息时倚靠在无危险警示标志的硫酸桶旁，硫酸桶一旦老化可能引起泄露，造成维修人员灼伤，简单冲洗后无碍。"/>
    <hyperlink ref="D101" r:id="rId_hyperlink_96" tooltip="结晶槽回流管法兰垫破损，加酸时漏液严重，若巡检人员发现不及时，地面会被大量母液腐蚀，造成环境污染。"/>
    <hyperlink ref="D102" r:id="rId_hyperlink_97" tooltip="冷凝液罐蒸汽吹扫主管由于腐蚀变形下垂，操作工巡检时途经此处，若管线突然断裂造成蒸汽外泄，可能引起人员轻微烫伤，不影响正常工作。"/>
    <hyperlink ref="D103" r:id="rId_hyperlink_98" tooltip="脱硫岗位开蒸汽处理堵塞的蒸氨塔底放空管道，因周围无警戒线，若外来人员从附近行走喷溅到身上，可能引起轻微烫伤。"/>
    <hyperlink ref="D104" r:id="rId_hyperlink_99" tooltip="配电室警戒线未起到防护作用，检修作业完成后未回复位置"/>
    <hyperlink ref="D105" r:id="rId_hyperlink_100" tooltip="一名作业人员手持磨光机切割管件，磨光机无防护罩，导致切伤手部"/>
    <hyperlink ref="D106" r:id="rId_hyperlink_101" tooltip="深度脱硫三号熔硫釜放料阀门盘根处漏硫磺，外协人员放硫磺时，泄漏的硫磺有可能溅到他的身上将其烫伤。"/>
    <hyperlink ref="D107" r:id="rId_hyperlink_102" tooltip="一名操作工在巡检过程中，假如经过腐蚀严重的爬梯时右脚踩空造成脚踝扭伤送医务室医务室治疗后回家休养一周后复工"/>
    <hyperlink ref="D108" r:id="rId_hyperlink_103" tooltip="位于煤八室外爬梯20米高处损坏的电缆桥架盖板，被风吹落后，砸中下方行人右侧肩部。送医确诊为右侧肩关节严重受伤，住院治疗15天，回家休养3个月后复工。"/>
    <hyperlink ref="D109" r:id="rId_hyperlink_104" tooltip="风向标破损。如果操作工到塔顶开关放散阀门时，无法根据风向标辨别风向，可能导致操作人员轻微煤气中毒"/>
    <hyperlink ref="D110" r:id="rId_hyperlink_105" tooltip="碳化岗位回收塔西侧楼板，用后未复原在卡槽内，操作工巡检到此处，楼板因与设备共震，脱落，操作工躲闪不及，砸伤操作工肩膀及手臂"/>
    <hyperlink ref="D111" r:id="rId_hyperlink_106" tooltip="一名操作工在进行盐酸储罐阀门关闭操作时，因管道晃动而下方法兰螺栓长时间腐蚀松动而造成盐酸少量泄露，因操作工佩戴了防护面具及手套仅腿部溅上少量盐酸就近用清水冲洗后无碍。"/>
    <hyperlink ref="D112" r:id="rId_hyperlink_107" tooltip="排水沟盖板缺失，周围没有警示标志，有人路经此处，不慎踩空滑落沟内造成小腿骨拆，送医治疗10天，休息3个月复工"/>
    <hyperlink ref="D113" r:id="rId_hyperlink_108" tooltip="一名操作工在清理压滤机滤板过程中，两脚踩在压滤机两侧大梁上，一不小心从大梁上摔下，造成脚部扭伤，但不影响工作。"/>
    <hyperlink ref="D114" r:id="rId_hyperlink_109" tooltip="西区化水老系统水池约4米，池顶楼梯平台腐蚀严重有破洞，不牢固，一名操作工在工作时由此跌落，腿先着地受伤，随即送医院治疗。"/>
    <hyperlink ref="D115" r:id="rId_hyperlink_110" tooltip="熔硫釜旁边留有空隙，一名操作工在夜间操作时由于光线不好右脚踩到空隙，造成右小腿轻微伤到医务室简单消毒包扎之后继续工作。"/>
    <hyperlink ref="D116" r:id="rId_hyperlink_111" tooltip="南脱硫2#脱硫塔平台有维修检修完剩余的木板等杂物。如果操作人员在巡检时不注意，有可能被绊倒摔伤右手手腕，入院治疗一天，休息三天复工。"/>
    <hyperlink ref="D117" r:id="rId_hyperlink_112" tooltip="5.5米焦炉拦焦车除尘船撑架开焊断开，一名操作工巡检踩过时，不慎跌落水槽，受伤送医。"/>
    <hyperlink ref="D118" r:id="rId_hyperlink_113" tooltip="高处的煤仓护瓦腐蚀严重，突然掉落，正好砸在一名操作工头上，划伤脸部，送医。"/>
    <hyperlink ref="D119" r:id="rId_hyperlink_114" tooltip="焦侧上升管一平台铺板翘起，1操作工经过时不慎绊倒，头部磕在扁铁上，受伤送医。"/>
    <hyperlink ref="D120" r:id="rId_hyperlink_115" tooltip="机侧平台南头端台处，出现一段裂缝塌陷，掉落的水泥块砸在从下面经过的1名员工头上，员工受伤送医。"/>
    <hyperlink ref="D121" r:id="rId_hyperlink_116" tooltip="送煤车前头运送余煤的刮板机篦子盖板变形，1操作工工作时不慎跌入左脚，造成左小腿骨折，送医。"/>
    <hyperlink ref="D122" r:id="rId_hyperlink_117" tooltip="拦焦车配电室东头爬梯处平台腐蚀严重，1操作工经过时平台不负重，人员跌落，受伤送医。"/>
    <hyperlink ref="D123" r:id="rId_hyperlink_118" tooltip="4.3米焦炉放散管道及护栏和底部腐蚀严重。人员在负责正常巡逻检修时，由于铁皮腐蚀严重，护栏缺失，导致巡逻检修人员从放散管道掉落"/>
    <hyperlink ref="D124" r:id="rId_hyperlink_119" tooltip="放散管道腐蚀严重。当大风吹开始，由于放散管道铁皮腐蚀严重，导致放散管道被大风吹断，从炉顶上方掉落，正好将从下方经过的一名员工砸在底下"/>
    <hyperlink ref="D125" r:id="rId_hyperlink_120" tooltip="母液贮槽人孔法兰垫片破损，若巡检人员不能及时发现，可能引发大量母液泄露，造成环境污染。"/>
    <hyperlink ref="D126" r:id="rId_hyperlink_121" tooltip="在巡检中发现仪表管腐蚀严重，两处破解，仪表穿线管和仪表传感器进水，造成仪表数据不准，影响生产。"/>
    <hyperlink ref="D127" r:id="rId_hyperlink_122" tooltip="北脱硫泡沫管道上脱硫液回液阀门漏液，一名操作工巡检时系统压力升高，脱硫液回液阀门密封垫子坏，脱硫液喷出溅到操作工身上脸上和眼部，造成脸部皮肤眼睛被脱硫液侵蚀红肿，经过冲洗去医院处理眼部，损工两天"/>
    <hyperlink ref="D128" r:id="rId_hyperlink_123" tooltip="水洗车平台没有护栏，一名职工在平台上清理焦末时，脚底打滑踏空跌落，造成腿部骨折，就医治疗修养。"/>
    <hyperlink ref="D129" r:id="rId_hyperlink_124" tooltip="碳化三楼操作平台分析仪器箱门锈蚀严重合叶脱落，操作人员在更换分析药品时由于风险辨识不到位门子掉落，不慎砸伤操作员右脚脚面骨折住院治疗。"/>
    <hyperlink ref="D130" r:id="rId_hyperlink_125" tooltip="电捕三层平台腐蚀烂透，一名操作工在训练过程中，经过腐蚀处踏空，扭伤脚踝，外皮有轻伤。"/>
    <hyperlink ref="D131" r:id="rId_hyperlink_126" tooltip="在巡检中发现南空压站制冷水管道泵电机轴承声音有杂音并伴有震动若不能及时发现可能引起因空压机制冷水管道泵电机跳闸造成水温过高空压机自动停机的事故"/>
    <hyperlink ref="D132" r:id="rId_hyperlink_127" tooltip="5.5米机侧平台处，一铲车司机清理废料时，将铲伸至平台处，下方是摩电轨，假如油缸失灵铲自动下落，导致车辆联电，人员触电，当场死亡。"/>
    <hyperlink ref="D133" r:id="rId_hyperlink_128" tooltip="循环氨水罐西罐顶部因部分位置腐蚀严重，可能造成废气外泄，给环境造成污染"/>
    <hyperlink ref="D134" r:id="rId_hyperlink_129" tooltip="高压氨水管线插入集气道吹扫集气道，因插口大，用岩棉堵塞。操作工在清理上升管时，因集气道压力突然增高，造成岩棉松动，致使煤气泄露，操作工吸入煤气，中毒晕倒，头部着地摔倒在炉面上。"/>
    <hyperlink ref="D135" r:id="rId_hyperlink_130" tooltip="高压氨水管线插入集气道吹扫集气道，因高压氨水管及固定氨水管的横管高于平台，操作工行走时不注意绊倒，摔倒在顺水槽上，造成面部摔伤。"/>
    <hyperlink ref="D136" r:id="rId_hyperlink_131" tooltip="手持切割机没有防护罩，一名工人在使用切割机作业时切割片破损，切割片碎片划伤工人手臂."/>
    <hyperlink ref="D137" r:id="rId_hyperlink_132" tooltip="水加热器爬梯上悬挂旧包温铝皮，由于风大铝皮坠落到一名巡检人员脸部，造成脸部划破流血事故。"/>
    <hyperlink ref="D138" r:id="rId_hyperlink_133" tooltip="母液槽爬梯上方回流液管道太低，查看母液液位上爬梯时，若精力不集中会碰到头部，无损伤，正常上班"/>
    <hyperlink ref="D139" r:id="rId_hyperlink_134" tooltip="一工人在距地面5米高处翻新宣传牌时，未佩带安全帽，未挂安全带，行走时不慎踩空摔落地面，造成右手臂骨折，送医住院十天，休养三月"/>
    <hyperlink ref="D140" r:id="rId_hyperlink_135" tooltip="化产车间北风机岗位电捕操作平台一处护栏开焊，已明显脱离平台，导致护栏松动并且空隙变大，假如操作人员从此处经过时，有可能重心不稳，脚部踩空，导致人员右腿擦伤，去医务室做简单处理后继续工作。"/>
    <hyperlink ref="D141" r:id="rId_hyperlink_136" tooltip="地下室巡检人员，巡检过程中由于视线不好被清水软皮管绊倒磕到肩膀，造成肩膀骨折！"/>
    <hyperlink ref="D142" r:id="rId_hyperlink_137" tooltip="因废旧铁板未及时清理，直接铺上了新铁板，造成铁板高出地面太多，人员在巡检时，走到此处被绊倒，人员因重心不稳而前倾，造成头部撞击除尘孔盖，人员头部重伤，送医院抢救无效死亡。"/>
    <hyperlink ref="D143" r:id="rId_hyperlink_138" tooltip="假如一操作工巡检引风机时，因无爬梯需要攀爬，当爬到平台时因没抓牢后仰跌落，头部被铁板边角戳伤送医院抢救。"/>
    <hyperlink ref="D144" r:id="rId_hyperlink_139" tooltip="一名外协人员在拦焦水槽顶部维修时，未按规定使用安全带，导致从7米高处失足坠落地面，送至医院。"/>
    <hyperlink ref="D145" r:id="rId_hyperlink_140" tooltip="5.5米脱硫脱硝，高压风机平台无防护栏，一名操作人员在巡检时，从平台跌落，头部与铁器撞击昏迷不醒，送医院抢救。"/>
    <hyperlink ref="D146" r:id="rId_hyperlink_141" tooltip="推焦车三层平台腐蚀严重"/>
    <hyperlink ref="D147" r:id="rId_hyperlink_142" tooltip="5米5焦炉推焦操作工，在出焦操作过程中，被集气管道管托掉落砸中头部，当场昏迷，送医抢救。"/>
    <hyperlink ref="D148" r:id="rId_hyperlink_143" tooltip="一名电仪人员在除尘管道上更换热电欧，因安全带年久失效，加之脚底打滑，造成人员高空坠落。"/>
    <hyperlink ref="D149" r:id="rId_hyperlink_144" tooltip="护栏栏杆固定位置开焊，1人作业中不慎跌落，因正确佩戴安全带，仅造成左臂扭伤，入院治疗7天。"/>
    <hyperlink ref="D150" r:id="rId_hyperlink_145" tooltip="平台护栏栏杆开焊，一人作业中未系安全带，失足坠落，造成头部重伤，送医院抢救。"/>
    <hyperlink ref="D151" r:id="rId_hyperlink_146" tooltip="熄焦罐回水沟盖板未盖严，留有20公分左右的缺口，如果一名职工水熄巡检时未注意脚下，不慎踩空，一条腿掉入滚烫的熄焦水中，简单处理后紧急送医院抢救，诊断为三级烫伤，休养三月。"/>
    <hyperlink ref="D152" r:id="rId_hyperlink_147" tooltip="4米3    丨号炉焦侧蒸汽阀门漏蒸汽"/>
    <hyperlink ref="D153" r:id="rId_hyperlink_148" tooltip="再开取暖泵时，取暖泵不能正常开启，打开控制箱，检查线路时发现有一相烧坏，螺丝松动，线路发热绝缘皮烧坏，线路短路跳闸，设备无法启动。"/>
    <hyperlink ref="D154" r:id="rId_hyperlink_149" tooltip="干熄车车顶吊鼻高出铁板面十公分，未及时割掉，当职工清理车顶卫生时，若被绊倒，可能会跌落车下，造成人员死亡事故。"/>
    <hyperlink ref="D155" r:id="rId_hyperlink_150" tooltip="在送煤过程中，如果托煤板线位故障，送煤过头顶落炉门，将拦焦正在处理焦炭的操作工砸到，救治无效死亡。"/>
    <hyperlink ref="D156" r:id="rId_hyperlink_151" tooltip="焦一皮带护栏缺失，一名操作人员在清理卫生时，不慎将手臂卷入皮带，造成手臂骨折，就医救治。"/>
    <hyperlink ref="D157" r:id="rId_hyperlink_152" tooltip="外协人员在给一次水管线保温后，未及时将梯子撤走，当一名操作工夜间巡检时，由于视线不好，不慎碰到梯子，造成梯子倒塌，肩胛骨被砸伤"/>
    <hyperlink ref="D158" r:id="rId_hyperlink_153" tooltip="烟道闸板配电柜电缆随地放置，如果一名职工未注意从此经过拌倒摔伤，就会造成手臂骨折，休息3个月。"/>
    <hyperlink ref="D159" r:id="rId_hyperlink_154" tooltip="合成循环机操作室顶有废弃铝皮，一名巡检工在巡检时从下方走过，由于刮风，铝皮掉落，划伤巡检工脸部，到医务室处理后，立即复工。"/>
    <hyperlink ref="D160" r:id="rId_hyperlink_155" tooltip="软水预热器爬梯上端有脱落保温铁皮未清除，一巡检工巡检经过被掉落铁皮划伤手部造成局部划伤出血，医务室就医包扎后复工。"/>
    <hyperlink ref="D161" r:id="rId_hyperlink_156" tooltip="假如一名工人下爬梯时，右手抓护栏，护栏突然断裂，人员不慎坠落至距离车辆12米高的地面，头部着地当场昏迷，经医院抢救无效死亡"/>
    <hyperlink ref="D162" r:id="rId_hyperlink_157" tooltip="假如一名操作工夜间在机侧平台作业，为躲避平台处积水，沿平台西侧行走，脚底打滑不慎坠落至地面，头部着地，当场昏迷，经医院抢救无效死亡"/>
    <hyperlink ref="D163" r:id="rId_hyperlink_158" tooltip="假如一名操作工到余热锅炉工段巡检，未注意到地面电缆，不小心被电缆绊倒，导致右手臂骨折，住院治疗15天，回家休养80天"/>
    <hyperlink ref="D164" r:id="rId_hyperlink_159" tooltip="变换一名操作工在排放二热交换器倒淋时，因阀门开度过大，使热水及蒸汽快速冒出，地沟缝隙较小，蒸汽向四周喷射，造成操作工脚腕处烫伤，送医务室处理后，休息三天后复工。"/>
    <hyperlink ref="D165" r:id="rId_hyperlink_160" tooltip="炉顶爬梯电缆杂乱，如果一名职工巡检下楼梯时未注意脚下，且双手未扶牢扶手，被电缆绊倒身体失去平衡前倾摔倒，头部撞击在地面上，送医院抢救，颈椎粉碎性骨折，抢救无效死亡。"/>
    <hyperlink ref="D166" r:id="rId_hyperlink_161" tooltip="南放散平台留有一根铁棍，目前秋季多大风，如果一名职工巡检时从此处经过，大风恰巧将铁棍刮落，铁棍从2米多高的平台坠落砸在职工头部，虽佩带安全帽，但人员昏迷，送医院抢救苏醒，轻微脑震荡，休养1个月。"/>
    <hyperlink ref="D167" r:id="rId_hyperlink_162" tooltip="南炉门修理站电线穿线管上部用槽钢覆盖，裸露在地面上，如果一名职工夜间巡检时照明度差，且未注意脚下，不慎被槽钢绊倒，前倾摔倒，人员下意识用手支撑时，造成右手手腕骨折，送医院治疗休养3个月。"/>
    <hyperlink ref="D168" r:id="rId_hyperlink_163" tooltip="假如一名操作在2号送煤车车载除尘器作业，手扶护栏时，护栏突然断裂，人员不慎摔倒至地面，头部着地，当场昏迷，经医院抢救无效死亡"/>
    <hyperlink ref="D169" r:id="rId_hyperlink_164" tooltip="假如一名操作工在1号集气道操作平台作业，行走时踩到清扫孔盖板，盖板脱落，恰巧砸在下方推焦作业人员头部，当场昏迷经医院枪救无效死亡，"/>
    <hyperlink ref="D170" r:id="rId_hyperlink_165" tooltip="氨水制备器入口管线阀门专用扳手未拿下，一名操作工巡检时碰落扳手，砸在右脚，医务室检查轻微外伤，接着复工"/>
    <hyperlink ref="D171" r:id="rId_hyperlink_166" tooltip="粗苯南在生器一层平台底部有一根未固定的铁管，一名操作工巡检经过此处，有可能被因再生器震动而突然掉落的铁管砸伤肩部，造成肩部轻微疼痛’红肿，不影响生产。"/>
    <hyperlink ref="D172" r:id="rId_hyperlink_167" tooltip="维修人员为方便检修1#空压机，将机房北面两扇门摘下后未及时安上，致使中间门柱上部失去支撑，底部固定螺栓又出现了松动，一名操作工在此巡检时，门柱发生倾倒，所幸人员躲避及时，未造成损伤。"/>
    <hyperlink ref="D173" r:id="rId_hyperlink_168" tooltip="1#转化炉废锅顶部人孔保护罩在检查时未盖好，人孔温度100°以上，一名操作工在巡检时，脚下打滑，滑入人孔边的空间，造成小腿下部被人孔盖烫伤，送医务室处理后就医治疗7天，损工7天"/>
    <hyperlink ref="D174" r:id="rId_hyperlink_169" tooltip="假如取暖罐回水管线保温铝皮脱落，正巧一操作工巡检经过，被铝皮砸中颈部。造成颈部轻微划伤。简单处理，不影响正常工作。"/>
    <hyperlink ref="D175" r:id="rId_hyperlink_170" tooltip="煤棚西侧路面中间篦子缺失，人员行走不慎掉落水沟造成腿部骨折，住院治疗一个月，在家休养2个月，误工90天"/>
    <hyperlink ref="D176" r:id="rId_hyperlink_171" tooltip="精炼分离器上部，检修时用的脚手板及铁管等，未及时清理干净。1名巡检人员在上去巡检时，不小心被脚手板绊倒，手臂擦伤，经医务人员包扎后继续上班。"/>
    <hyperlink ref="D177" r:id="rId_hyperlink_172" tooltip="东六后尾除尘管线清理门开关缺失，造成喷煤现象，造成环境污染"/>
    <hyperlink ref="D178" r:id="rId_hyperlink_173" tooltip="三万气柜地沟盖板缺失，一名操作工在巡检时不慎踏入地沟，造成小腿骨折住院10天，休息90天。"/>
    <hyperlink ref="D179" r:id="rId_hyperlink_174" tooltip="精炼地缸处加醋酸，由于倒淋管高出地面，操作工往地缸盖上提放醋酸桶时被倒淋管绊倒，轻微擦伤。"/>
    <hyperlink ref="D180" r:id="rId_hyperlink_175" tooltip="循环机操作室顶蒸汽管线保温破损，一名巡检工在开关阀门时小腿被烫伤，住院治疗30天后复工上班。"/>
    <hyperlink ref="D181" r:id="rId_hyperlink_176" tooltip="加热器倒淋管的弯头处经长期使用出现裂痕，造成蒸汽泄漏，水汽从保温层冒出滴落，一名巡检人员在下方巡检维护设备时，被烫伤，送医务室处理后复工。"/>
    <hyperlink ref="D182" r:id="rId_hyperlink_177" tooltip="循环水污水处理站平台，有一木棍横在平台上，夜间有一操作工，巡检时，不慎拌倒，造成手腕扑伤，经去医院检查，手腕脱臼，休息三天，损工三天。"/>
    <hyperlink ref="D183" r:id="rId_hyperlink_178" tooltip="操作工夜间巡查时，经过冷却泵时，被地面杂乱的黑皮管绊倒，造成小腿骨折"/>
    <hyperlink ref="D184" r:id="rId_hyperlink_179" tooltip="软水加热器爬梯上悬挂旧包温铝皮，一名操作工巡检时，被旧铝皮砸中颈部，造成颈部划伤。"/>
    <hyperlink ref="D185" r:id="rId_hyperlink_180" tooltip="夜间操作工巡查时，路过冷却泵时被地面杂乱的黑皮管绊倒，造成小腿骨折"/>
    <hyperlink ref="D186" r:id="rId_hyperlink_181" tooltip="外协人员在粗苯区域西距离地面约4米的框架上安装废气回收管道时，安全意识不强，安全带未按规定规范使用，如果不注意，可能从框架上坠落，造成左小腿骨折，送医治疗15天出院，在家休养3个月复工。"/>
    <hyperlink ref="D187" r:id="rId_hyperlink_182" tooltip="干熄焦环境除尘西侧除尘管道.距地面七米框架处有一废旧钢筋，若遇大风天气，钢筋掉落，砸伤过路行人肩部，在家修养两天"/>
    <hyperlink ref="D188" r:id="rId_hyperlink_183" tooltip="炉顶旋臂吊处，一槽钢横放在端台上，一名职工在夜间工作时，因视线不好被槽钢绊倒，致使肩膀碰在旋臂吊铁架上，造成肩膀骨折。"/>
    <hyperlink ref="D189" r:id="rId_hyperlink_184" tooltip="南脱硫泡沫槽爬梯护拦损坏，操作人员下爬梯时脚下打滑从破损处跌落"/>
    <hyperlink ref="D190" r:id="rId_hyperlink_185" tooltip="粗苯操作室东侧电缆桥架盖板没有固定，一名巡检工在巡检时从下方经过，由于刮风，盖板掉落，砸到巡检工肩部造成巡检工肩部骨折，住院治疗3个月后复工上班。"/>
    <hyperlink ref="D191" r:id="rId_hyperlink_186" tooltip="南脱硫一层照明灯损坏，视线不清，如果操作工从此出上楼时，就有可能由于安全意识不强在楼梯处摔伤手臂，就医，误工三天。"/>
    <hyperlink ref="D192" r:id="rId_hyperlink_187" tooltip="变换操作工在排放二热交换器倒淋时，因倒淋管出口离地沟存在距离，使排出的热水和蒸汽向四周喷溅，造成操作人员脚腕部轻微烫伤，立即用冷水冲洗，到医务室清洗上药后复工。"/>
    <hyperlink ref="D193" r:id="rId_hyperlink_188" tooltip="西硫铵卸酸槽往硫酸储槽打液管道因长年使用腐蚀严重并泄露，如果一名操作工在巡检时路过此处，可能被喷溅出来的少量硫酸溅到脸部，因个人防护意识较强加之立即用大量清水清洗，就医处理后在家休养五天复工，损工五天"/>
    <hyperlink ref="D194" r:id="rId_hyperlink_189" tooltip="废气回收蒸汽吹扫与放空管道安装离地面过高，一名操作工在夜间巡检时，若注意力不集中，不慎被管道绊倒，可能造成手腕擦伤，送医务室上药后复工。"/>
    <hyperlink ref="D195" r:id="rId_hyperlink_190" tooltip="1#循环水泵出口南侧排地沟盖板破损，一操作工巡检检查压力表时，不慎踩空摔倒，造成脚踝扭伤，损工5天"/>
    <hyperlink ref="D196" r:id="rId_hyperlink_191" tooltip="电工人员到楼顶检查天窗电机，右肩上挎着工具包，爬至到一半时，工具包不慎滑落，人员下意识的用右手去拿，另一只手没有抓紧爬梯从爬梯上跌落，身体右侧着地，造成身体右侧多处骨折，送医治疗损工150天。"/>
    <hyperlink ref="D197" r:id="rId_hyperlink_192" tooltip="雨雪天气，员工在夜间操作3号4号减温减压时，由于照明灯（220v）线路未加防护套管 线头裸露，操作工脚底打滑，手扶漏电处，造成触电，经医院抢救无效死亡！"/>
    <hyperlink ref="D198" r:id="rId_hyperlink_193" tooltip="北脱硫事故B槽爬梯顶部距地面约4米位置有一段护栏缺失，一名操作工到上面开关阀门或在巡检时，没有扶好护栏，脚底不稳，可能会从爬梯上滑落，造成右小腿骨折，住院治疗15天，回家修养3个月复工，损工3个月。"/>
    <hyperlink ref="D199" r:id="rId_hyperlink_194" tooltip="冬季雨雪天气较多，爬梯台阶湿滑，一巡检人员通过循环水北侧爬梯去循环水池加药时，由于爬梯台阶未安装防滑条，台阶湿滑，巡检人员脚底打滑，从爬梯滑落至地面，送医治疗，脚踝扭伤，损工十天。"/>
    <hyperlink ref="D200" r:id="rId_hyperlink_195" tooltip="空分工段药剂桶盖破裂，一名巡检工在搬运药剂桶时，药剂桶盖掉落导致药剂大量喷出，喷溅到巡检工身上，造成皮肤灼伤。"/>
    <hyperlink ref="D201" r:id="rId_hyperlink_196" tooltip="转化罗茨风机处地面撬棍用完未及时清理，夜间一名巡检人员不小心被绊倒，手掌磕到地面皮肤出血，到医务室检查处理后，回家休息2天."/>
    <hyperlink ref="D202" r:id="rId_hyperlink_197" tooltip="四号离心机皮带破损，一名操作工在巡检擦拭离心机时，皮带在高速运转中突然断裂打出，致使操作工手部受伤，去医院包扎后，损工两天。"/>
    <hyperlink ref="D203" r:id="rId_hyperlink_198" tooltip="西硫铵1#硫酸储槽焊缝处腐蚀严重、泄露硫酸，假如一名操作工在巡检至此处时未佩戴防护面罩，可能被泄露的硫酸烧伤左脸皮肤，送医敷药并在家休养七天后复工。"/>
    <hyperlink ref="D204" r:id="rId_hyperlink_199" tooltip="4.3米焦虑熄焦塔南侧一爬梯护栏开焊，假如巡检人员经过时不注意被扎伤小腿，去医院包扎后复工"/>
    <hyperlink ref="D205" r:id="rId_hyperlink_200" tooltip="焦侧通廊地面水泥块凸起，一夜班员工通过时被绊倒，送医检查后左前臂骨折，需住院治疗十天，休养三个月。"/>
    <hyperlink ref="D206" r:id="rId_hyperlink_201" tooltip="洗焦泵房窗户合页腐烂严重，万一巡检人员经过时坠落砸伤头部。去医院包扎，限工3天。"/>
    <hyperlink ref="D207" r:id="rId_hyperlink_202" tooltip="2号炉通廊南头紧急疏散门向里开，如遇突发事件，人员紧急疏散开门受阻，错过逃生时机，造成五人中毒送医院治疗十五天，在家修养两个月。"/>
    <hyperlink ref="D208" r:id="rId_hyperlink_203" tooltip="1#炉机侧南头应急门开关困难，万一发生煤气泄漏、着火,难以起到逃生作用，造成人员死亡。"/>
    <hyperlink ref="D209" r:id="rId_hyperlink_204" tooltip="4.3m焦炉机侧烟道通廊北头！安全门因为难以快速开启！假如大量煤气泄露！难以快速撤离！造成人员死亡！"/>
    <hyperlink ref="D210" r:id="rId_hyperlink_205" tooltip="压缩岗位因检修更换旧阀门未及时清理现场，夜间一名巡检工在巡查过程中，因夜间视线不好，没能发现安全通道处阀门，被阀门拌倒造成手腕扭伤，立即就医治疗。"/>
    <hyperlink ref="D211" r:id="rId_hyperlink_206" tooltip="液氨打槽爬梯底部未与地面固定，一名操作工在攀爬时，由于爬梯晃动，脚踩空跌落地面。造成手臂骨折。"/>
    <hyperlink ref="D212" r:id="rId_hyperlink_207" tooltip="缝包机接头处电缆裸露，当操作工在使用缝包机时不慎触电"/>
    <hyperlink ref="D213" r:id="rId_hyperlink_208" tooltip="风机2#电捕绝缘箱保温铝皮脱落，如果下雨淋湿内部保温层，使电捕绝缘箱温度降低，可能造成停电捕事故，影响正常生产3小时。"/>
    <hyperlink ref="D214" r:id="rId_hyperlink_209" tooltip="压缩巡检室内静电地板塌陷，巡检工外出巡检时，没能及时发现不慎踩空，造成一名巡检工脚腕扭伤，立即就医诊断脚腕骨折，住院治疗。"/>
    <hyperlink ref="D215" r:id="rId_hyperlink_210" tooltip="一名操作工在巡检时，因踏板塌陷打滑扭伤脚踝，到医务室治疗。"/>
    <hyperlink ref="D216" r:id="rId_hyperlink_211" tooltip="两盐大屋北侧窗户玻璃破裂，如果在五级大风天气一名操作工在巡检时经过此处，可能被破裂掉落的玻璃轻微划伤手臂，送医务室简单包扎后正常工作"/>
    <hyperlink ref="D217" r:id="rId_hyperlink_212" tooltip="西硫铵饱和器母液加热器出口法兰因长时间使用被母液腐蚀严重，造成法兰焊缝漏液，一名维修人员在维修过程中，若未佩戴防护面罩可能会造成母液溅入眼内，立即用大量清水冲洗后无碍，正常工作"/>
    <hyperlink ref="D218" r:id="rId_hyperlink_213" tooltip="4.3米1#炉地下室南头地面油污较多，人员进入地下室经过此处时，发生人员跌倒，造成人员局部骨折住院治疗一周的损工事故"/>
    <hyperlink ref="D219" r:id="rId_hyperlink_214" tooltip="1#分馏塔二层平台有外协人员刷漆时遗落的漆桶，大风天一名操作工巡检时被刮落的漆桶砸中右肩部，立即送医治疗。"/>
    <hyperlink ref="D220" r:id="rId_hyperlink_215" tooltip="4.3米焦炉地下室北头门子合页断裂，万一一名员工经过时门子倾倒砸到手臂，造成手臂擦伤，去医务室包扎处理"/>
    <hyperlink ref="D221" r:id="rId_hyperlink_216" tooltip="西硫铵东框架一废弃管线因无法拆除，长年在管架上已腐蚀断裂，如果一名操作工巡检经过此处时，废弃管线可能从管架上掉落，砸到巡检人员，因劳保穿戴规范，仅头部被轻微砸伤，送医院治疗5天康复。"/>
    <hyperlink ref="D222" r:id="rId_hyperlink_217" tooltip="焦炉预热器管架有维修时未清理的保温材料，一名操作工巡检时被掉落的保温材料砸伤胳膊，造成骨折住院治疗"/>
    <hyperlink ref="D223" r:id="rId_hyperlink_218" tooltip="1号吸氨泵机械密封漏液，一名操作工在巡检过程中氨水不慎溅入眼内，送医院救治"/>
    <hyperlink ref="D224" r:id="rId_hyperlink_219" tooltip="一名巡检工在巡检码垛机运转情况过程中，由于护栏门未锁闭将护栏门向里推开被运行中的机械手重击头部当场昏迷，另一名巡检工发现立即通知班长将其送往医院抢救。"/>
    <hyperlink ref="D225" r:id="rId_hyperlink_220" tooltip="一名操作工巡检过程中，接线箱接线柱无防爆泥，现场可燃气体进入接线箱，引发防爆箱爆炸。"/>
    <hyperlink ref="D226" r:id="rId_hyperlink_221" tooltip="东硫铵2#小母液泵因长时间使用，管道法兰焊缝处腐蚀严重造成法兰焊缝喷母液，假如一名操作工在夜间擦拭泵体卫生时，被法兰焊缝喷溅出来的母液溅入眼中，立即用大量清水冲洗后无碍，正常工作"/>
    <hyperlink ref="D227" r:id="rId_hyperlink_222" tooltip="低压配电室，380v配电柜柜门与柜体接地线脱落，导致柜门带电，电运人员在巡检时未带绝缘手套，用双手向两侧开启柜门上观察内部情况时，触电倒地经医院抢救无效死亡。"/>
    <hyperlink ref="D228" r:id="rId_hyperlink_223" tooltip="低压配电室，380v配电柜柜门与柜体接地线脱落，电缆破皮导致柜门带电，电运人员在巡检时未戴绝缘手套，用双手向两侧开启柜门时左手与带电柜门接触，触电倒地，送医抢救无效死亡。"/>
    <hyperlink ref="D229" r:id="rId_hyperlink_224" tooltip="晶分地池入口阀门扳手未及时撤除，一操作工巡检途径此处因刮大风扳手卡的不紧掉下来砸伤脚，及时送往医务室治疗。"/>
    <hyperlink ref="D230" r:id="rId_hyperlink_225" tooltip="主控楼顶3#减温减压无行走平台，巡检人员巡检3#减温减压时踩踏翻越高温高压管线，高温高压管线泄露蒸汽由下至上吹割巡检人员全身，巡检人员全身重度烫伤，呼吸道烫伤，部分肢体割裂伤，送医治疗15天后死亡。"/>
    <hyperlink ref="D231" r:id="rId_hyperlink_226" tooltip="精脱硫脱硫泵防护罩松动为加固牢"/>
    <hyperlink ref="D232" r:id="rId_hyperlink_227" tooltip="东澄清槽压焦油平台腐蚀严重断裂，一名操作工在压焦油上下台阶时一不小心可能会从四米高的平台坠落至地面，造成腿部骨折，住院治疗十五天，在家休养三个月后复工。"/>
    <hyperlink ref="D233" r:id="rId_hyperlink_228" tooltip="浓氨槽输出管线焊口腐蚀严重有砂眼，一名操作工在氨水输出时巡检到此处，没有戴防护镜，管线砂眼处因为压力作用出现喷溅现象，不慎溅入操作工眼里造成眼睛灼伤，紧急清洗后送医救治。"/>
    <hyperlink ref="D234" r:id="rId_hyperlink_229" tooltip="泵房内洗脱液管道腐蚀严重有砂眼，操作工在确定漏点时没带防护眼镜，在管道有压力作用下喷溅入操作工眼内，经医院检查轻度灼伤造成红肿，在家休养两天后复工"/>
    <hyperlink ref="D235" r:id="rId_hyperlink_230" tooltip="西硫铵热交换器管道阀门有漏点，一名维修工在更换阀门时，没有加模板没有完全卸压，让热水伤害到脸部，造成住院治疗15天后出院，在家休养1个月下了康复。造成一人损工事故。"/>
    <hyperlink ref="D236" r:id="rId_hyperlink_231" tooltip="碳化一楼凉水塔平台人孔盖板未及时复位，一名巡检人员夜间巡检时不慎掉入池内溺水，送医院抢救无效死亡。"/>
    <hyperlink ref="D237" r:id="rId_hyperlink_232" tooltip="巡检工经过电缆沟时盖板断裂造成巡检工掉入电缆沟摔伤。"/>
    <hyperlink ref="D238" r:id="rId_hyperlink_233" tooltip="巡检工经过电缆沟时盖板断裂造成巡检工掉入电缆沟摔伤。"/>
    <hyperlink ref="D239" r:id="rId_hyperlink_234" tooltip="5.5米焦一皮带护栏一段缺失，假如一巡检人员经过时，衣服下摆或袖口没有系紧，被转动皮带辊子绞住，将人员带入，被皮带与辊子挤压，导致人员死亡。"/>
    <hyperlink ref="D240" r:id="rId_hyperlink_235" tooltip="超浓水水池高5.5米，爬梯无安全护笼，无防护门及安全警示牌，一员工清理池底后水靴和橡胶手套沾水防滑性能降低，清理完后攀登爬梯至出口时脚底打滑，手抓握不牢坠落池底，脚踝骨折，送医治疗后休养4个月。"/>
    <hyperlink ref="D241" r:id="rId_hyperlink_236" tooltip="南风机初冷器施工现场，氧气瓶直立放置无固定，如果施工人员经过，恰巧氧气瓶放置不稳倾倒，砸伤施工人员右脚小拇指骨折，住院治疗30天，在家休养60天，损工90天。"/>
    <hyperlink ref="D242" r:id="rId_hyperlink_237" tooltip="一巡检人员巡检蒸汽管线时，左胳膊被1#减温减压前电动门阀杆处漏出约535℃的蒸汽烫伤，送医院救治，诊断为深二度烫伤，住院治疗28天。"/>
    <hyperlink ref="D243" r:id="rId_hyperlink_238" tooltip="一操作工在巡检减温减压时，因2#减温减压后电动门法兰处漏汽，不慎被漏出的蒸汽（约360℃）烫伤右胳膊，送医院救治。"/>
    <hyperlink ref="D244" r:id="rId_hyperlink_239" tooltip="直流油泵联轴器、止回阀损坏，停电期间，油泵无法正常给汽轮机提供润滑用油，导致汽轮机各轴瓦烧毁、转子两端磨损。"/>
    <hyperlink ref="D245" r:id="rId_hyperlink_240" tooltip="南冷凝液下泵接地线翘起，一操作工如果巡检经过此处，可能被接地线绊倒导致膝盖擦伤，经医务室检查包扎后无大碍，不影响正常工作复工。"/>
    <hyperlink ref="D246" r:id="rId_hyperlink_241" tooltip="提升机变频室充电屏经常性故障报警，如不及时查找排除故障隐患，会引起直流电源无法正常供电，致使使用直流电源控制的设备不能正常操作，影响生产造成财产损失"/>
    <hyperlink ref="D247" r:id="rId_hyperlink_242" tooltip="一操作工巡查主控楼顶设备设施时，因爬梯未加装护栏，爬至离地面4米处时不慎跌落，送医救治，诊断为左腿骨折。"/>
    <hyperlink ref="D248" r:id="rId_hyperlink_243" tooltip="5.5米拦焦磨电轨总开关上方挡板太小，无法起防泥水作用，雨雪天气，一旦泥水进入配电箱会造成内部380伏电器短路跳闸，烧坏开关无法出焦"/>
    <hyperlink ref="D249" r:id="rId_hyperlink_244" tooltip="导烟车操作室门坏。下大雨时，因操作室门坏，导致大量雨水进入操作室，致使操作台电路连电，导烟车全车断电，无法使用"/>
    <hyperlink ref="D250" r:id="rId_hyperlink_245" tooltip="粗苯区域施工人员操作时安全帽未挂绳，假设旁边人操作时出现失误，设备发生倒塌掉落，可能将未挂绳人员安全帽打落，造成头部伤害，送医检查，轻微脑震荡，损工半个月。"/>
    <hyperlink ref="D251" r:id="rId_hyperlink_246" tooltip="巡检人员巡检超滤设备时，因超滤排污管道处无盖板，导致巡检过程中一脚踏入排污沟导致小腿骨折"/>
    <hyperlink ref="D252" r:id="rId_hyperlink_247" tooltip="一操作工在打扫行车爬梯时，因未安装防滑条，操作工脚底打滑，不慎从四米高爬梯摔落至下方平台，送医救治，诊断为左小腿骨折，住院治疗20天，休养三个月。"/>
    <hyperlink ref="D253" r:id="rId_hyperlink_248" tooltip="精炼操作工在日常巡检时，踩到盖板处，突然破裂，操作工掉入地沟内，并砸伤腿部"/>
    <hyperlink ref="D254" r:id="rId_hyperlink_249" tooltip="煤八皮带机岗位110#消防箱破损"/>
    <hyperlink ref="D255" r:id="rId_hyperlink_250" tooltip="拐弯处，水沟盖板未盖，行人通过时陷入沟中，造成脚腕扭伤。"/>
    <hyperlink ref="D256" r:id="rId_hyperlink_251" tooltip="岗位胶带通过过桥开焊，操作工扶过桥护栏通过时，侧身跌入胶带，造成人员面部擦伤。"/>
    <hyperlink ref="D257" r:id="rId_hyperlink_252" tooltip="深度处理加药间放盐酸阀门坏，盐酸泄漏到地面，形成酸雾，如操作人员巡检至此未带防护口罩，吸入酸雾，造成短暂的口鼻咽喉部位黏膜不适。"/>
    <hyperlink ref="D258" r:id="rId_hyperlink_253" tooltip="一巡检工巡检至提升机七层西侧平台时，不慎被脚底蛇皮管拌到，由于缺少护栏，从40米高处跌落至地面，当场死亡"/>
    <hyperlink ref="D259" r:id="rId_hyperlink_254" tooltip="冷却塔顶部无护栏，平台湿滑，一维修工在清理顶部风机皮带时，未系安全带，脚底打滑，从4米高塔顶跌落，送医救治，诊断为右小腿骨折，住院治疗20天，回家休养三个月。"/>
    <hyperlink ref="D260" r:id="rId_hyperlink_255" tooltip="除盐水站一楼加药间窗户玻璃破裂，大风天气，一名员工巡检至此时，玻璃被风吹落掉到该员工右胳膊处，将该员工右胳膊割伤，送医后缝合十针，损工3天。"/>
    <hyperlink ref="D261" r:id="rId_hyperlink_256" tooltip="包装间平台清理料仓用的不锈钢管未及时撤除，当夜班操作工巡检时，因视线不清被不锈钢管拌倒右臂磕到旁边铁件上，造成右臂骨折，住院治疗。"/>
    <hyperlink ref="D262" r:id="rId_hyperlink_257" tooltip="周转库北门，托盘放置太高不齐，操作工在打扫路面卫生时，因辩识不到位，托盘落下，砸伤右脚，住院治疗"/>
    <hyperlink ref="D263" r:id="rId_hyperlink_258" tooltip="3#减温减压电动阀未设防雨罩，雨雪天气造成锈蚀损坏，财产损失5万元"/>
    <hyperlink ref="D264" r:id="rId_hyperlink_259" tooltip="柴油机消防泵电瓶线夹处电缆破损，柴油机本体及地面有油污，在做柴油机启动试验时破损处打火引起火灾烧坏电瓶，造成财产损失5000元"/>
    <hyperlink ref="D265" r:id="rId_hyperlink_260" tooltip="循环水消防水池原自动上水管弃用与主管分离后，悬挂在消防水池上部进水口，一巡检人员巡检经过时，水管从进水口向外脱落与巡检人员正面相对，将巡检人员左耳下部擦伤，经简单处理后继续工作。"/>
    <hyperlink ref="D266" r:id="rId_hyperlink_261" tooltip="地下室冷焦带减速机联轴器未加防护罩，一名员工给电机时，手臂抬落手套不甚卷入联轴器，造成手指骨折住院治疗十天后回家休养三个月，造成损工事故"/>
    <hyperlink ref="D267" r:id="rId_hyperlink_262" tooltip="由于循环水池补水管高50厘米，横跨走廊，补水管没有跨越阶梯，一巡检人员巡检跨越时，不慎绊倒，身体前倾，双手撑地，导致左手手腕扭伤，损工五天。"/>
    <hyperlink ref="D268" r:id="rId_hyperlink_263" tooltip="汽机房西门南排水管管道松动，大风天气一人员巡检此处时排水管掉落砸至巡检人员右肩部，送医治疗诊断为右肩肩胛骨骨折，损工两个月"/>
    <hyperlink ref="D269" r:id="rId_hyperlink_264" tooltip="一维修人员在进行气割作业时，因未佩戴防护眼镜或面罩，导致飞起的铁渣不慎溅落在其右眼里，造成眼睛灼伤，住院治疗三个月。"/>
    <hyperlink ref="D270" r:id="rId_hyperlink_265" tooltip="地沟盖板破碎，路过时不小心踩到，盖板塌陷，会掉入其中！一名操作工在巡检过程中，踩到破裂地沟盖板，盖板塌陷，把脚歪伤，在家休息一周后复工！"/>
    <hyperlink ref="D271" r:id="rId_hyperlink_266" tooltip="吸氨罐区氨水罐取样阀未按规定设置双截止阀，操作工取样后关闭截止阀失灵，造成氨水罐内20立方氨水流入围堰内，立刻关闭氨水罐进口阀用清水稀释清理2小时后，更换双截止阀后恢复生产。"/>
    <hyperlink ref="D272" r:id="rId_hyperlink_267" tooltip="一职工冲刷磅体作业，因冬季气温较低，磅体表面瞬间结冰，作业人员移动过程中脚下打滑，后仰跌倒受伤，送医院检查尾骨骨折，住院治疗一个月，休息两个月。"/>
    <hyperlink ref="D273" r:id="rId_hyperlink_268" tooltip="一名岗位操作人员在巡检设备时，发现托辊停止转动，用手将其转动，导致右手挤伤，送医院检查，右臂手部骨折，住院15天，休养2个月。"/>
    <hyperlink ref="D274" r:id="rId_hyperlink_269" tooltip="由于水沟盖板缺失，操作人员经过时，不慎掉入水沟内，造成左腿受伤。送往医院检查经确诊为左腿肌肉擦伤，住院两天，在家休养五天后复工"/>
    <hyperlink ref="D275" r:id="rId_hyperlink_270" tooltip="深度处理加药间还原剂变频器故障，深度处理工段不能正常启动，生化因长时间停车液位上涨，导致污水外溢，对周边环境造成轻度污染，车间通报批评。"/>
    <hyperlink ref="D276" r:id="rId_hyperlink_271" tooltip="焦油罐蒸汽输水管道垫子破损造成蒸汽外漏，如果操作工在夜班期间在操作时不慎被蒸汽烫到，立即送到医务室进行处理，经处理后不影响工作"/>
    <hyperlink ref="D277" r:id="rId_hyperlink_272" tooltip="西硫铵泡沫槽支架腐蚀严重，一名操作工在上平台时，槽体倾斜不慎坠落，造成小腿骨折，住院治疗半月，回家休息三月后正常工作。"/>
    <hyperlink ref="D278" r:id="rId_hyperlink_273" tooltip="一操作工在煤九通廊下部擦玻璃时，由于彩钢包边腐蚀严重，突然脱落，砸中正在下方作业的操作工，班组立即组织人员送医救治，经医诊断，确诊为脸部肌肉划伤，缝合三针，住院治疗七天，休养五天后复工"/>
    <hyperlink ref="D279" r:id="rId_hyperlink_274" tooltip="蒸汽过热器法兰螺丝松动蒸汽泄露，一名巡检工到附近巡检被蒸汽烫伤手部"/>
    <hyperlink ref="D280" r:id="rId_hyperlink_275" tooltip="除尘设备吊装过程中，未设隔离区且无人监护，一人路过吊装设备底部，设备脱钩坠落，砸中头部"/>
    <hyperlink ref="D281" r:id="rId_hyperlink_276" tooltip="一名职工在机侧通廊巡检时，不慎被顶部脱落的水泥块砸重又臂，造成前小臂骨折，住院治疗15天，休养2个月。"/>
    <hyperlink ref="D282" r:id="rId_hyperlink_277" tooltip="老化水工业水泵接触器连接线接点发热"/>
    <hyperlink ref="D283" r:id="rId_hyperlink_278" tooltip="干熄车接焦操作时，若掉出的红焦从缺少防护网处，掉入通廊内恰巧掉到在此清扫卫生的一名职工脖子上，送医院治疗一天休养七天。"/>
    <hyperlink ref="D284" r:id="rId_hyperlink_279" tooltip="一名巡检工巡检至2#循环水泵处时由于地面电缆散落，导致巡检工绊倒，致使左手手面挫伤，简单处理包扎后，继续工作。。"/>
    <hyperlink ref="D285" r:id="rId_hyperlink_280" tooltip="热力老化水电源柜隔离刀闸灭弧罩缺失，在拉合过程中造成短路，使上一级开关跳闸，造成大面积停电"/>
    <hyperlink ref="D286" r:id="rId_hyperlink_281" tooltip="二次风机排风扇口被异物堵塞，易造成设备温度升高，长时间运行，设备过热停止运行"/>
    <hyperlink ref="D287" r:id="rId_hyperlink_282" tooltip="一名操作工在巡检时由于新操作室操作盘后无盖板不慎踩空，造成脚腕脱臼"/>
    <hyperlink ref="D288" r:id="rId_hyperlink_283" tooltip="电缆没有规范架起或者埋设"/>
    <hyperlink ref="D289" r:id="rId_hyperlink_284" tooltip="一名外协施工人员，在修补炉墙过程中，高度2.5米，未系安全带，假如不慎从简易架子掉落，造成手臂骨折，住院30天，休养4个月康复"/>
    <hyperlink ref="D290" r:id="rId_hyperlink_285" tooltip="一工人经过机侧通廊时，通廊顶部混凝土恰巧大面积脱落砸中其身上，安全帽没有承受住压力导致破裂后混凝土直接砸到他头上导致当场昏迷不醒，现场救援无果后医院人员鉴定其瞳孔放大确定死亡。"/>
    <hyperlink ref="D291" r:id="rId_hyperlink_286" tooltip="2#循环泵处电缆杂乱，容易造成巡检人员绊倒，需截裁处理"/>
    <hyperlink ref="D292" r:id="rId_hyperlink_287" tooltip="电缆仪表线路因无盖下雨时进雨水，使电线老化漏电，造成锅炉压火停炉"/>
    <hyperlink ref="D293" r:id="rId_hyperlink_288" tooltip="煤场抓斗主绳串柱销受长期磨损，抓斗脱落，将一名巡检人员砸伤，送医院抢救无效死亡"/>
    <hyperlink ref="D294" r:id="rId_hyperlink_289" tooltip="化学水操作室地板破裂，一维修工在维修设备时，可能导致右脚扭伤，送医院就医，在家休养7天，损工7天"/>
    <hyperlink ref="D295" r:id="rId_hyperlink_290" tooltip="中班一名操作工天黑送照明灯时，手碰触到照明配电箱裸露的接线处，因触电倒地及时脱离，除感觉浑身乏力外，未造成大的伤害。"/>
    <hyperlink ref="D296" r:id="rId_hyperlink_291" tooltip="照明箱内接线排未用绝缘板防护"/>
    <hyperlink ref="D297" r:id="rId_hyperlink_292" tooltip="炉顶电缆盖损失，旁边蒸汽阀门一旦泄露，烫坏电缆。"/>
    <hyperlink ref="D298" r:id="rId_hyperlink_293" tooltip="输煤1号皮带楼梯处电源开关盒盖缺失，一名操作工上煤时巡检到此处，由于楼梯狭窄，光线不够充足，马虎大意，肩膀不慎碰到配电盒，索性反应迅速，没有被电到。"/>
    <hyperlink ref="D299" r:id="rId_hyperlink_294" tooltip="下雨时深井屋子内电缆都在雨水里泡着，抄数时如果有漏电的容易发生触电事故"/>
    <hyperlink ref="D300" r:id="rId_hyperlink_295" tooltip="脱硫塔闸板电机防护罩脱落，时间长了造成电机损坏，造成闸板下落，造成锅炉停车"/>
    <hyperlink ref="D301" r:id="rId_hyperlink_296" tooltip="电动葫芦电源线破损露线，一操作工操作时触电"/>
    <hyperlink ref="D302" r:id="rId_hyperlink_297" tooltip="锅炉平台西接线盒无封堵，下雨时可能导致进水引起设备短路跳闸，造成不必要的损失"/>
    <hyperlink ref="D303" r:id="rId_hyperlink_298" tooltip="硫酸罐腐蚀破损，一操作工放硫酸时不慎溅到右腿上，腐蚀破工作服及皮肤，就医后住院治疗一天，休息一周后复工"/>
    <hyperlink ref="D304" r:id="rId_hyperlink_299" tooltip="一名操作工在巡检时，不慎被乱放的电缆架盖板给绊倒，造成右手前臂骨折。"/>
    <hyperlink ref="D305" r:id="rId_hyperlink_300" tooltip="干熄焦焦粉仓二层北边侧部分护栏缺失，离地高度约10米，一名巡检人员巡检经过时，假如不慎跌落，造成一人头部着地，当场死亡。"/>
    <hyperlink ref="D306" r:id="rId_hyperlink_301" tooltip="焦四机头滚筒联轴器无护罩，未设警示标志。设备运转时，一操作人员清扫该设备，右前臂不慎被击伤，造成右前臂骨折，住院治疗90天。"/>
    <hyperlink ref="D307" r:id="rId_hyperlink_302" tooltip="机侧二层平台南部地面破裂，一旦一名工作人员在清理卫生时地面塌陷，将会造成一人坠落死亡"/>
    <hyperlink ref="D308" r:id="rId_hyperlink_303" tooltip="干熄焦环境除尘爬梯护栏底部锈蚀严重，部分断裂，巡检人员巡检经过时，一旦护栏掉落，砸中巡检人员，造成一名人员肩部骨折，住院治疗60天。"/>
    <hyperlink ref="D309" r:id="rId_hyperlink_304" tooltip="导烟车1号机爪油缸长期使用，油封老化无法使用，造成装煤作业时机侧冒烟的环保事故被集团公司通报"/>
    <hyperlink ref="D310" r:id="rId_hyperlink_305" tooltip="脱硫塔控制电源箱防雨罩脱落，容易造成雨水进入配电盘，造成电器短路，导致脱硫工段停止运行"/>
    <hyperlink ref="D311" r:id="rId_hyperlink_306" tooltip="干熄车余煤箱漏煤粉，一名操作工在底部清理卫生时，煤粉落入眼睛，眼部红肿，去医务室清洗用药休息一天后复工。"/>
    <hyperlink ref="D312" r:id="rId_hyperlink_307" tooltip="5.5米焦炉送煤车一号刮板机机头箱体多年使用变形严重，盖板盖不到位。一职工在清理余煤残焦时盖板翻落，躲避不及掉入运动的链条中，两脚掌当场被绞断，造成终身残废。"/>
    <hyperlink ref="D313" r:id="rId_hyperlink_308" tooltip="夜晚巡查人员不小心掉进下水道中造成伤害"/>
    <hyperlink ref="D314" r:id="rId_hyperlink_309" tooltip="一名操作工操作上下爬梯时，没有引起重视，脚底打滑不慎跌倒，造成小腿磕伤破皮渗血，医务室包扎后损工一天"/>
    <hyperlink ref="D315" r:id="rId_hyperlink_310" tooltip="焦侧33号上升管水封破损，装煤时集气管压力高水封漏水严重出现水封内无水导致上升管无法被封堵被荒煤气顶开时恰巧有一人经过此处被点燃的煤气烧到脸部，后送医治疗，住院两个月康复复工，但脸部无法恢复原来样子。"/>
    <hyperlink ref="D316" r:id="rId_hyperlink_311" tooltip="一名工人在软水箱上操作手动阀门时，被管线绊倒，从软水箱上面掉落到地面，造成胳膊骨折"/>
    <hyperlink ref="D317" r:id="rId_hyperlink_312" tooltip="焦三皮带斜桥西侧外部一彩钢瓦腐蚀开裂，假如刮大风时掉落，恰巧砸中一名由此经过的巡检工右手臂。"/>
    <hyperlink ref="D318" r:id="rId_hyperlink_313" tooltip="5.5米煤仓东墙彩钢瓦开裂，如遇大风天气彩钢瓦高处坠落，恰巧砸中由此经过的操作工左肩，送医检查骨折。"/>
    <hyperlink ref="D319" r:id="rId_hyperlink_314" tooltip="因汽轮机电动门无操作平台操作工站在不固定的物体上操作，不慎摔倒导致左小腿骨折需住院治疗。"/>
    <hyperlink ref="D320" r:id="rId_hyperlink_315" tooltip="一名巡检工在开二号减温减压到分汽缸进汽阀门时，因阀门漏气造成烫伤送医院治疗"/>
    <hyperlink ref="D321" r:id="rId_hyperlink_316" tooltip="送煤车刮板机篦子钢筋横梁锈蚀损毁，一操作工经过时不慎踩入刮板机，送医院治疗，住院6个月，修养6个月。"/>
    <hyperlink ref="D322" r:id="rId_hyperlink_317" tooltip="炉门修理站卷扬机连触器出现裂缝如果在使用过程中断裂会造成电机烧损"/>
    <hyperlink ref="D323" r:id="rId_hyperlink_318" tooltip="拦焦车平台堵烟梯子处锈蚀严重，一操作工在堵完烟从梯子上下来时踩在上面，因锈蚀严重，不负重力，右脚跌落，造成腿部受伤，随即送医，经诊断为小腿骨折，皮肉划伤，住院治疗1个月，回家休养3个月。"/>
    <hyperlink ref="D324" r:id="rId_hyperlink_319" tooltip="疏水阀疏水管断开，易发生烫伤"/>
    <hyperlink ref="D325" r:id="rId_hyperlink_320" tooltip="拦焦除尘水封槽干管上部腐蚀严重，一名操作工在清理水槽经过此处时恰巧左腿落入干管内划伤，送医治疗7天。"/>
    <hyperlink ref="D326" r:id="rId_hyperlink_321" tooltip="由于炉顶上升管平台严重腐蚀变形，操作人员站在此处干活，平台断裂，导致操作人员摔下去，造成腿部骨折。"/>
    <hyperlink ref="D327" r:id="rId_hyperlink_322" tooltip="干熄车停车送罐定位点，由于长时间摩擦碰撞把道轨磨平导致定位误差大，在送焦罐时车辆摆动幅度较大容易导致夹紧碰坏，影响正常生产。"/>
    <hyperlink ref="D328" r:id="rId_hyperlink_323" tooltip="在巡检过程中发现絮凝剂加药管道破裂漏液，如果不小心喷到胳膊上将会损害皮肤"/>
    <hyperlink ref="D329" r:id="rId_hyperlink_324" tooltip="75t锅炉三楼平台通向渣库的爬梯未按装安全警示牌，一名锅炉操作工在爬此爬梯准备去渣库顶部看料位时不小心踩空从爬梯上滑落到地下。"/>
    <hyperlink ref="D330" r:id="rId_hyperlink_325" tooltip="推焦岗位更换下的炉门横栓没有下靠到挂耳内，员工在此经过或是工作时不慎炉门脱落，造成伤人事故。"/>
    <hyperlink ref="D331" r:id="rId_hyperlink_326" tooltip="机侧除尘备件摆放杂乱，一操作工巡检翻越时摔倒，造成肋骨骨折，就医治疗。"/>
    <hyperlink ref="D332" r:id="rId_hyperlink_327" tooltip="扒焦平台北头废料杂乱，操作工在操作时，被绊倒造成膝盖半月板破裂，就医治疗。"/>
    <hyperlink ref="D333" r:id="rId_hyperlink_328" tooltip="炉顶北头悬臂吊处废料未及时清理，一操作工在操作时，被废料绊倒，小臂与铁器撞击，造成粉碎性骨折，就医治疗。"/>
    <hyperlink ref="D334" r:id="rId_hyperlink_329" tooltip="焦三巡检通道现场杂乱，夜班一操作人员巡检时，不慎被绊倒，脑部与铁器撞击，当场昏迷不醒，送医救治。"/>
    <hyperlink ref="D335" r:id="rId_hyperlink_330" tooltip="35锅炉操作平台爬梯警示标语缺失致操作人员摔伤"/>
    <hyperlink ref="D336" r:id="rId_hyperlink_331" tooltip="熄焦道轨东侧，裸露在地面的管线未刷安全漆，操作工在巡检过程中被绊倒"/>
    <hyperlink ref="D337" r:id="rId_hyperlink_332" tooltip="在离地5米拦焦除尘管道处有一扫帚，假如刮大风时坠落，刚好一名职工路过划伤脸部，造成事故！"/>
    <hyperlink ref="D338" r:id="rId_hyperlink_333" tooltip="因爬梯无警示牌，一名操作工夜间上煤时，不慎从爬梯滑落到地面，造成左小腿骨折。"/>
    <hyperlink ref="D339" r:id="rId_hyperlink_334" tooltip="粗苯计量槽西框架爬梯护笼腐蚀缺失，假如一名操作工上下爬梯时由于爬梯护笼缺失，护笼未能起到防护作用导致一名操作人员从爬梯坠落造成左脚脚腕崴伤，去医院治疗7天在家休息7天后正常上班损工14天"/>
    <hyperlink ref="D340" r:id="rId_hyperlink_335" tooltip="北脱硫北边路面上有一玻璃钢瓦横放在路中间，如果巡检人员走到此处不注意，被路面上的玻璃钢瓦绊倒，造成巡检人员左腿膝盖轻微擦伤，不影响工作，轻微人身伤害。"/>
    <hyperlink ref="D341" r:id="rId_hyperlink_336" tooltip="干熄炉四层油桶倾斜歪倒（三个叠加），遇大风天气，一名员工从地面经过时，油桶从23米平台被刮落，砸到员工头部"/>
    <hyperlink ref="D342" r:id="rId_hyperlink_337" tooltip="干熄焦一次除尘二层与干熄炉链接通道护栏护板开焊伸出，一巡检人员巡检经过时，未及时发现，将其拌倒，身体前俯爬在平台上，导致右手撑轻微擦伤，经简单处理后继续工作。"/>
    <hyperlink ref="D343" r:id="rId_hyperlink_338" tooltip="因旋密南侧导轨凸起，缺少警示牌，巡检人员夜间到旋密巡检时，由于视线不良被导轨绊倒，面部着地，造成面部擦伤，送医务室进行包扎，休养7天"/>
    <hyperlink ref="D344" r:id="rId_hyperlink_339" tooltip="因干熄焦六层至七层平台西侧护栏踢脚板开焊翘起，一巡检工从此处经过查看装入装置装焦平台时，被翘起的踢脚板绊倒，左侧膝盖着地，送医治疗确诊为左侧膝盖骨裂，治疗一周，休养三个半月后，恢复工作。"/>
    <hyperlink ref="D345" r:id="rId_hyperlink_340" tooltip="维修管道时把管道支架横放在生产现场，假设一名操作工在夜间巡检时，未发现横放的管道支架被其绊倒，造成右腿膝盖擦伤，简单包扎后休息10分钟复工"/>
    <hyperlink ref="D346" r:id="rId_hyperlink_341" tooltip="南冷凝泵房2#高压氨水泵电机风扇断裂，高压氨水泵高压运行起不到散热作用，导致电机过热发生电机损坏，烧毁电机，财产损失价值20万。"/>
    <hyperlink ref="D347" r:id="rId_hyperlink_342" tooltip="干熄焦PLC室地板缺少支撑杠，地板不平衡，一名电气人员巡检至此拨表，不慎踩空造成脚踝扭伤。损工三十天。"/>
    <hyperlink ref="D348" r:id="rId_hyperlink_343" tooltip="因干熄焦锅炉喷水减温阀北侧手阀漏汽，一巡检人员在开关手阀时，540℃的蒸汽突然喷出，将该人员左臂烫伤，送医治疗确诊为深Ⅱ度烫伤，治疗一周，休养两周后恢复工作。"/>
    <hyperlink ref="D349" r:id="rId_hyperlink_344" tooltip="夜晚，一名巡检人员在巡检环境除尘刮板机时，不慎被杂乱的钢筋戳伤右腿，后送医务室进行包扎"/>
    <hyperlink ref="D350" r:id="rId_hyperlink_345" tooltip="环境除尘四层护栏边一铁皮未清理，若遇大风天气晃动，该铁皮从10米高空坠落，击中下方通行的巡检人员头部。"/>
    <hyperlink ref="D351" r:id="rId_hyperlink_346" tooltip="2号提升机变压器室轴流风扇开关防护盖板缺失，一员工在给轴流风扇送电时右手碰触到裸导线，造成右手电灼伤事故，送医治疗在家休养15天"/>
    <hyperlink ref="D352" r:id="rId_hyperlink_347" tooltip="3号减温减压平台铁件摆放不规范，一巡检人员经过此处时不慎被铁件拌到，造成左脚脚踝扭伤。送医治疗，在家休养10天"/>
    <hyperlink ref="D353" r:id="rId_hyperlink_348" tooltip="除盐水站室外污水地沟铁管盖板缝隙过大，一名员工巡检至此时，脚部不慎踩进缝隙里，扭伤，送医务室治疗后，回到岗位，未发生损工事件，但不能从事重体力劳动。"/>
    <hyperlink ref="D354" r:id="rId_hyperlink_349" tooltip="絮凝剂管线漏液，巡检时打滑不慎摔倒"/>
    <hyperlink ref="D355" r:id="rId_hyperlink_350" tooltip="一操作工巡检时，被35吨锅炉一楼筛网一角翘起拌倒，造成手部擦伤"/>
    <hyperlink ref="D356" r:id="rId_hyperlink_351" tooltip="一维修工在厂房二楼焊接管道时火花溅入衣领，烫伤脖子"/>
    <hyperlink ref="D357" r:id="rId_hyperlink_352" tooltip="分汽缸蒸汽阀门处漏气未处理好，保温未恢复，操作人员在开关阀门时不小心，可能被蒸汽烫伤右手，去医务室处理后，回家休养一周复工"/>
    <hyperlink ref="D358" r:id="rId_hyperlink_353" tooltip="一级反渗透清洗管线漏水，水喷到反渗透配电盘，设备断电停运"/>
    <hyperlink ref="D359" r:id="rId_hyperlink_354" tooltip="空压机旁一铁管未定置存放，操作工巡检时不慎被绊倒，造成左手手腕轻微扭伤，休息一会后继续工作。"/>
    <hyperlink ref="D360" r:id="rId_hyperlink_355" tooltip="西侧滑触线绝缘棒脱离，起不到固定作用"/>
    <hyperlink ref="D361" r:id="rId_hyperlink_356" tooltip="风机初冷器下液管法兰缺失螺栓。容易导致泄漏煤气，维修工在周边进行检修作业后，可能造成轻微中毒。"/>
    <hyperlink ref="D362" r:id="rId_hyperlink_357" tooltip="一操作工巡检时，被35吨锅炉鼓风机旁铁板翘起处拌倒，手腕受伤，送医治疗。"/>
    <hyperlink ref="D363" r:id="rId_hyperlink_358" tooltip="35吨锅炉一层楼梯东侧地沟盖板破损，一名巡检工巡检时，不慎将盖板踩破掉入地沟，脚腕扭伤"/>
    <hyperlink ref="D364" r:id="rId_hyperlink_359" tooltip="5.5米焦炉干熄车南侧夹紧油缸销子锁帽松动，销子部分脱出，一旦油缸固定销轴全部脱落，会造成夹紧装置无法回位，被干熄车撞击扭曲变形，造成焦炉停运2.5小时，财产损失7万元。"/>
    <hyperlink ref="D365" r:id="rId_hyperlink_360" tooltip="浓水阀门内漏造成浓水渗入地沟，被环保部门查获，造成公司财产损失三万元。"/>
    <hyperlink ref="D366" r:id="rId_hyperlink_361" tooltip="一名操作工在进行接电操作时，由于不小心触碰到其他电源，造成漏电伤害，从两米高处掉了下来，造成左手骨折，休息75天"/>
    <hyperlink ref="D367" r:id="rId_hyperlink_362" tooltip="污水池观察孔盖板缺失，异味散出，造成周边区域异味大，对环境产生污染。"/>
    <hyperlink ref="D368" r:id="rId_hyperlink_363" tooltip="一名脱硫操作工在夜间巡检时，由于光线暗，不慎掉入地沟内造成左腿小腿骨折。"/>
    <hyperlink ref="D369" r:id="rId_hyperlink_364" tooltip="点名室门口玻璃滑落，如果一名操作人员从里面拉开门，有可能玻璃坠落划伤右手，迸医务室包扎后复工。"/>
    <hyperlink ref="D370" r:id="rId_hyperlink_365" tooltip="南化产电捕后煤气下液管道阀门法兰处出现漏点，煤气泄露，当操作工到此处巡检作业时，处在下风口，造成1名操作工轻微煤气中毒，送医务室吸氧，去医院检查治疗，后在家休养2天后复工。"/>
    <hyperlink ref="D371" r:id="rId_hyperlink_366" tooltip="南脱硫1#脱硫塔煤气出口压力变送器接线口未封堵，接线松动产生火花，邻近排污阀煤气泄露达到一定浓度发生着火事故！"/>
    <hyperlink ref="D372" r:id="rId_hyperlink_367" tooltip="电伴热线裸露，造成触电事故"/>
    <hyperlink ref="D373" r:id="rId_hyperlink_368" tooltip="发苯电动阀气源管道为塑料材质，风吹日晒老化泄露，导致发苯阀关闭，造成粗苯计量槽溢流，发生粗苯泄露事故，操作人员巡检至此吸入高浓度苯气造成苯中毒。"/>
    <hyperlink ref="D374" r:id="rId_hyperlink_369" tooltip="机侧道轨接头开焊，推焦车在行走过程中卡住，导致不能正常出焦，停工检修历时1小时，少出3孔焦，造成经济损失约5万元。"/>
    <hyperlink ref="D375" r:id="rId_hyperlink_370" tooltip="罗瓷鼓风机吹灰管道若不加装法兰一旦管道堵塞鼓风机吹灰吹不动，导致鼓风机压力过大，导致电机烧坏"/>
    <hyperlink ref="D376" r:id="rId_hyperlink_371" tooltip="南化产风机施工现场气割线路施工完毕后未按规定收起，造成夜班一名职工巡检到此时，被线路拌倒，造成脸部擦伤，去医务室处理后正常上班"/>
    <hyperlink ref="D377" r:id="rId_hyperlink_372" tooltip="粗苯东废水罐顶部管道腐蚀泄漏，如果操作工向罐内抽水时发现不及时，有可能会造成废水顺着罐体泄漏至地面造成环境污染。"/>
    <hyperlink ref="D378" r:id="rId_hyperlink_373" tooltip="深度脱硫加碱槽盖板放置不规范没有及时归位，如果夜间视线不良一名操作工从楼梯上下来巡检，没有发现此盖板，有可能会被绊倒，造成膝盖轻微擦伤，简单处理后复工，不影响生产。"/>
    <hyperlink ref="D379" r:id="rId_hyperlink_374" tooltip="汽轮机排气阀漏蒸气，一巡检工在打扫卫生时，可能导致右手烫伤，立即用清水冲洗后恢复正常，无损工。"/>
    <hyperlink ref="D380" r:id="rId_hyperlink_375" tooltip="外协保温人员登高未系安全带，假如在管道上人员工作时重心不稳，从管道上掉跳落，距离地面三米，落地时造成右脚扭伤，去医院简单治疗后继续上班，无损工。"/>
    <hyperlink ref="D381" r:id="rId_hyperlink_376" tooltip="一名冷凝操作工在巡检时发现2#高压氨水泵电机风扇破裂，假如巡检人员发现不及时，电机温度会逐渐升高，造成2＃高压氨水泵电机烧坏，影响生产，造成財产损失约5-10万元"/>
    <hyperlink ref="D382" r:id="rId_hyperlink_377" tooltip="冷凝泵房拆除时掉落护栏未及时清理，施工人员行走时划伤颈部，及时处理包扎"/>
    <hyperlink ref="D383" r:id="rId_hyperlink_378" tooltip="35吨锅炉脱硫池上方雨水槽腐烂严重，导致裂开下垂，一名操作工在巡检经过时，雨水槽突然掉落划伤操作工右臂约十厘米，立即送往医院。"/>
    <hyperlink ref="D384" r:id="rId_hyperlink_379" tooltip="汽机一操作工从办公楼扛大桶水经过时，办公楼前一块大理石翘起，将其绊倒。"/>
    <hyperlink ref="D385" r:id="rId_hyperlink_380" tooltip="电捕后下液管阀门破损泄漏，一名操作人员在清理下液管附近卫生时，阀门破损，喷出的冷凝液进入操作人员的眼睛里，去医务室简单治疗后返工。"/>
    <hyperlink ref="D386" r:id="rId_hyperlink_381" tooltip="除尘器二层平台空隙过大，一名巡检工巡检时脚不慎掉入空隙，脚腕划伤出血"/>
    <hyperlink ref="D387" r:id="rId_hyperlink_382" tooltip="因为因吹灰器电缆套管腐蚀严重，会造成连电烧坏电机。"/>
    <hyperlink ref="D388" r:id="rId_hyperlink_383" tooltip="制氮机组处阿特拉斯空压机二级过滤滤芯堵塞，进气量不足，导致空压机喘振停机。杰富意，干熄焦，日升等单位无法正常使用氮气4小时，造成经济损失3万元。"/>
    <hyperlink ref="D389" r:id="rId_hyperlink_384" tooltip="一名锅炉操作工去锅炉顶部巡检时过热器压力变送器连接蒸汽管突然泄漏，烫伤操作工左腿造成左腿大面积烫伤，需住院治疗。"/>
    <hyperlink ref="D390" r:id="rId_hyperlink_385" tooltip="东三废料未及时清理，操作人员清理卫生时，不慎被绊倒，造成手臂受伤，送医治疗。"/>
    <hyperlink ref="D391" r:id="rId_hyperlink_386" tooltip="料筛使用后不按规定定点放置且不加以固定，夜班一员工在巡检时，不慎被筛子拌倒，前臂碰到水泥立柱造成左前臂骨折住院"/>
    <hyperlink ref="D392" r:id="rId_hyperlink_387" tooltip="煤九平台处料仓除尘管道防雨帽腐烂，遇大风天气容易掉落，造成人员伤害"/>
    <hyperlink ref="D393" r:id="rId_hyperlink_388" tooltip="煤九机头刮板磨损严重，一旦开启设备，会造成划伤皮带"/>
    <hyperlink ref="D394" r:id="rId_hyperlink_389" tooltip="东五后尾挡煤板支架腐烂错位，一旦皮带机运转，会造成划伤皮带"/>
    <hyperlink ref="D395" r:id="rId_hyperlink_390" tooltip="煤五机头门板脱落散架，人员经过时门板脱落选成人员脚部砸伤"/>
    <hyperlink ref="D396" r:id="rId_hyperlink_391" tooltip="煤五机头门板脱落散架，人员经过时门板脱落选成人员脚部砸伤"/>
    <hyperlink ref="D397" r:id="rId_hyperlink_392" tooltip="下调心托辊磨损严重"/>
    <hyperlink ref="D398" r:id="rId_hyperlink_393" tooltip="发焦除尘废气排放口旋转爬梯顶部护栏开焊，护铁脱落，假如一操作工爬上顶部进行巡检作业时，立足不稳，不慎从10多米高的护栏处坠落，头部着地，简单包扎后立即送医治疗。"/>
    <hyperlink ref="D399" r:id="rId_hyperlink_394" tooltip="装煤车刮板机盖板松动，假如一员工在清理刮板机上的余煤时，因盖板松动没有起到防护作用，导致该员工右脚不慎掉入转动的刮板机内。经确认右脚骨折，送医治疗。"/>
    <hyperlink ref="D400" r:id="rId_hyperlink_395" tooltip="装煤车车载除尘阻火网处未安装照明灯，因无照明灯视线不良，一员工在更换车载除尘阻火网时被地面的杂物绊倒摔断左手臂，送医治疗。"/>
    <hyperlink ref="D401" r:id="rId_hyperlink_396" tooltip="炉顶机侧有维修梯架，操作工扣上升管盖被梯架妨碍，被水封沸水浅出烫伤，送医务室处理，发现操作工背部大面积烫伤，需住院修养。"/>
    <hyperlink ref="D402" r:id="rId_hyperlink_397" tooltip="导烟水槽补水管北头凸起无警示措施，夜间光线弱，假如一人从此处经过没有看到凸起的管道被绊倒，用手支撑身体不慎，造成右手臂骨折。"/>
    <hyperlink ref="D403" r:id="rId_hyperlink_398" tooltip="在风机上下段罐平台上有一处氨水泄漏点，一名操作工开阀门时碰倒了接氨水的桶，导致氨水洒在操作工左腿处，造成轻微烫伤送医务室简单处理后，重返岗位。"/>
    <hyperlink ref="D404" r:id="rId_hyperlink_399" tooltip="行走轮检查孔盖板底部支撑腐蚀严重，操作工在对除尘干管水位及水泵检查时，踩到盖板上，造成侧翻，身体右倾，右手磕到旁边的支架上，右手顿感疼痛，经送医检查发现右手腕骨折，在医治疗半个月后回家休养三个半月复工"/>
    <hyperlink ref="D405" r:id="rId_hyperlink_400" tooltip="机侧通廊顶部水泥块脱落，假如有人从此处经过，恰巧被水泥块砸重右臂，造成小臂骨折，住院治疗15天，休养2个月。"/>
    <hyperlink ref="D406" r:id="rId_hyperlink_401" tooltip="煤气输送管线泄露"/>
    <hyperlink ref="D407" r:id="rId_hyperlink_402" tooltip="值班室东侧仓库电线线头裸露，一人员搬运物品时，不小心碰触，造成轻微电击伤害。"/>
    <hyperlink ref="D408" r:id="rId_hyperlink_403" tooltip="东一南侧挡风墙网脱落，一人员经过时被掉落的网板砸伤肩部，造成肩部外伤，经包扎后继续工作"/>
    <hyperlink ref="D409" r:id="rId_hyperlink_404" tooltip="2号皮带机尾部未挂警示牌"/>
    <hyperlink ref="D410" r:id="rId_hyperlink_405" tooltip="煤气水封未作保温"/>
    <hyperlink ref="D411" r:id="rId_hyperlink_406" tooltip="导烟水槽补水管北头凸起无警示措施，夜间光线弱，假如一人从此处经过没有看到凸起的管道被绊倒，用手支撑身体不慎，造成右手臂骨折。"/>
    <hyperlink ref="D412" r:id="rId_hyperlink_407" tooltip="机侧地面除尘防爆板开裂，假如送煤时由于防爆板处泄压除尘管道吸力不足，造成加煤冒黑烟，被集团公司通报。"/>
    <hyperlink ref="D413" r:id="rId_hyperlink_408" tooltip="5.5米焦炉炉顶南头焦侧，高压氨水阀门安装低无安全警示标识，假若操作工在观察焦侧车辆时，正好被阀门碰到面部，经医务室简单处理后继续上班"/>
    <hyperlink ref="D414" r:id="rId_hyperlink_409" tooltip="西一地沟托辊腐烂严重，在开车过程中，容易造成皮带划伤"/>
    <hyperlink ref="D415" r:id="rId_hyperlink_410" tooltip="外协工在更换冷凝液槽时现场线路乱，一旦巡检时一名职工不小心被绊倒碰到地面的管子上，造成右小臂骨折，送医院冶疗一个月，休养2个月，损工3个月。"/>
    <hyperlink ref="D416" r:id="rId_hyperlink_411" tooltip="北供水配电室电缆沟盖板未盖好，当电仪人员巡查此处时，一不小心掉入电缆沟内，造成一名电仪人员腿部轻微擦伤，简单处理后继续工作。"/>
    <hyperlink ref="D417" r:id="rId_hyperlink_412" tooltip="西一岗位一托辊磨损严重，长时间开车会划伤皮带，造成财产损失3万元。"/>
    <hyperlink ref="D418" r:id="rId_hyperlink_413" tooltip="西一机头平面铁板腐烂，一旦职工经过会必成人员伤害"/>
    <hyperlink ref="D419" r:id="rId_hyperlink_414" tooltip="饱和器加酸管道漏，岗位操作人员巡检或在满流槽操作时，发现不及时，硫酸滴在左裤腿，裤腿破，无人员受伤！"/>
    <hyperlink ref="D420" r:id="rId_hyperlink_415" tooltip="接线排裸露易发生触电伤害"/>
    <hyperlink ref="D421" r:id="rId_hyperlink_416" tooltip="地面盖板腐烂严重，人员经过时容易造成人员伤害。"/>
    <hyperlink ref="D422" r:id="rId_hyperlink_417" tooltip="管架输送苯阀门裸露，冬季来临，一旦气温太低，会冻堵管道造成苯输送不出，影响安全生产"/>
    <hyperlink ref="D423" r:id="rId_hyperlink_418" tooltip="蒸氨废水阀门泄露，阀杆长期接触腐蚀性阀杆断裂闸板脱落造成电动阀全关，蒸氨废水外溢。"/>
    <hyperlink ref="D424" r:id="rId_hyperlink_419" tooltip="在巡检过程中发现8组EDI软管断裂"/>
    <hyperlink ref="D425" r:id="rId_hyperlink_420" tooltip="西二岗位机头一托辊磨损严重，长时间不换托辊可能划伤皮带，造成财产损坏2万元。"/>
    <hyperlink ref="D426" r:id="rId_hyperlink_421" tooltip="正常使用中的2号减温减压法兰处突然发生漏气将巡检职工烫伤"/>
    <hyperlink ref="D427" r:id="rId_hyperlink_422" tooltip="一职工攀登爬梯作业无人监护，一旦爬梯打滑倾倒，会导致职工掉落地面受伤，经医务室检查右小腿轻微擦伤，敷药后继续上岗作业。"/>
    <hyperlink ref="D428" r:id="rId_hyperlink_423" tooltip="1#分分汽缸出口阀门漏汽维修，分汽缸正常运行高温高压，维修人员工作中未戴防高温手套"/>
    <hyperlink ref="D429" r:id="rId_hyperlink_424" tooltip="员工开停减温水时，不慎被过道障碍物碰伤"/>
    <hyperlink ref="D430" r:id="rId_hyperlink_425" tooltip="南风机冷却器东侧管架爬梯处无警示牌，如果一名操作工攀登时，不慎摔落，可能造成腿部骨折，送往医院治疗，回家静养三个月，损工三个月"/>
    <hyperlink ref="D431" r:id="rId_hyperlink_426" tooltip="二号带机头照明灯不亮，中夜班在此操作、巡查时易发生事故。一职工在巡查时因照明灯不亮，被台阶绊倒，造成小腿膝盖擦伤，脚踝扭伤。"/>
    <hyperlink ref="D432" r:id="rId_hyperlink_427" tooltip="蒸氨废水冷却器漏水，假如一名操作工巡检经过此处，漏水突然加大，可能会造成右手轻微烫伤，去医务室包扎后复工。"/>
    <hyperlink ref="D433" r:id="rId_hyperlink_428" tooltip="集气道平台废旧电缆杂乱，一名操作工在清理上升管时被杂乱的电缆绊倒摔伤，造成左臂骨折。"/>
    <hyperlink ref="D434" r:id="rId_hyperlink_429" tooltip="输煤2号皮带机机头联轴器防护罩未按装在有效位置，一名操作工在清理此处卫生时左臂不小心碰到了正在转动的联轴器。"/>
    <hyperlink ref="D435" r:id="rId_hyperlink_430" tooltip="换向室缺少“有人工作禁止换向”警示牌，若一名常调工润滑交换考克手柄时，未放置警示牌，进行换向将右手挤伤。"/>
    <hyperlink ref="D436" r:id="rId_hyperlink_431" tooltip="1#脱硫塔煤气出口压力损害不准，变送器零点漂移，多次校准仍不准，一旦不能提供准确数值可能导致误操作"/>
    <hyperlink ref="D437" r:id="rId_hyperlink_432" tooltip="煤四顶部彩钢瓦包边老化断裂，一旦脱落，造成过往行人面部擦伤，消毒处理后继续宏运。"/>
    <hyperlink ref="D438" r:id="rId_hyperlink_433" tooltip="东四一护栏套管缺失，一旦职工误操作手扶护栏时，护栏起不到应有的支撑作用，将会造成右手卷入托辊的伤害，送医院检查右手手骨骨折，住院7天，在家修养3个月。月"/>
    <hyperlink ref="D439" r:id="rId_hyperlink_434" tooltip="中班时间，一卸煤司机未穿戴反光马甲，一旦天黑以后，煤场光线不好、来往车辆多，将会造成人员碰伤，送医院检查，小腿骨折，住院10天，在家修养3个月。"/>
    <hyperlink ref="D440" r:id="rId_hyperlink_435" tooltip="炉顶歪倒的脚手架未及时清走，一名操作工夜间控托盘时万一被绊倒，右手掌碰到除尘孔盖上烫伤，经医院治疗在家休养二个月。"/>
    <hyperlink ref="D441" r:id="rId_hyperlink_436" tooltip="巡检人员巡检时躲避不及时容易造成人员伤害，存在安全隐患。"/>
    <hyperlink ref="D442" r:id="rId_hyperlink_437" tooltip="楼梯与风道间隙过小，可能导致巡检人员头部碰伤"/>
    <hyperlink ref="D443" r:id="rId_hyperlink_438" tooltip="砂轮机砂轮片破裂，如果一名操作工开启砂轮机恰巧破裂的砂轮片打到操作工右手臂造成骨折住院治疗一个月在家休养三个月。"/>
    <hyperlink ref="D444" r:id="rId_hyperlink_439" tooltip="外协施工队切割机把手不规范，若一名人员在切砖时，恰巧被突出的钢筋剐伤右侧面部送医院治疗一个月，在家休养15天"/>
    <hyperlink ref="D445" r:id="rId_hyperlink_440" tooltip="焦侧平台水管未按规定放置，若一名操作工经过时不慎被绊倒，右手臂着地造成骨折，住院治疗一个月，在家休养2个月。"/>
    <hyperlink ref="D446" r:id="rId_hyperlink_441" tooltip="焦炉地下室跨越梯处有黄油，假如一名职工在巡检时恰巧踩到黄油滑倒，造成左手臂骨折，住院治疗7天，在家休养2个月。"/>
    <hyperlink ref="D447" r:id="rId_hyperlink_442" tooltip="5.5米焦炉熄焦道轨南端西侧铁管头翘起，一名员工巡检路过此处，不慎被绊倒，左手臂碰到道轨上，造成左手腕错位，送医治疗。"/>
    <hyperlink ref="D448" r:id="rId_hyperlink_443" tooltip="75t锅炉分汽缸压力表根部泄露蒸汽，一维修工在维修设备时，可能导致左脚烫伤，送医院就医后，在家休养三天，损工三天。"/>
    <hyperlink ref="D449" r:id="rId_hyperlink_444" tooltip="西三卸料车行走轮安全护罩脱落，操作工操作时，一旦不注意造成左手挤伤，住院治疗一个月，回家休养两个月后康复！"/>
    <hyperlink ref="D450" r:id="rId_hyperlink_445" tooltip="电机线护套管脱开，会造成电源线老化"/>
    <hyperlink ref="D451" r:id="rId_hyperlink_446" tooltip="一名工人在换向室打扫卫生时，踩到无防护的电缆时，电缆外皮破损，造成该工人触电受伤"/>
    <hyperlink ref="D452" r:id="rId_hyperlink_447" tooltip="拦焦车二层平台行走系统检修孔盖板未盖好、错位，一边翘起，如果一操作工巡检经过时不慎被绊倒，磕伤头部，随即送医包扎、治疗，然后回家休养10天，复工"/>
    <hyperlink ref="D453" r:id="rId_hyperlink_448" tooltip="焦炉南头端台处的应急水管随意乱丢乱放，如果一操作工夜间巡检经过时不慎被绊，倒摔伤头部，随即送医包扎、治疗，然后回家休养12天，复工"/>
    <hyperlink ref="D454" r:id="rId_hyperlink_449" tooltip="引风机周围下水道盖板缺失选成巡检人员不小心掉入"/>
    <hyperlink ref="D455" r:id="rId_hyperlink_450" tooltip="推焦三层平台护栏开焊，如果一员工去堵烟，不慎摔落平台，造成右小腿骨折，住院15天，回家休养3个月，复工。"/>
    <hyperlink ref="D456" r:id="rId_hyperlink_451" tooltip="干熄车平台容易积攒灰尘和焦炭块，空间狭小没有防护栏。本岗位一名操作工在清理卫生时左脚不慎踩到焦块，从2米高的平台处坠落地面，导致左腿骨折。住院一个月在家疗养两个月，一人损工事故。"/>
    <hyperlink ref="D457" r:id="rId_hyperlink_452" tooltip="化产车间粗苯终冷塔处废水管道铝皮开裂，如果一名巡检工从开裂铝皮下面经过，铝皮不慎掉落，砸到巡检工头部，经送医确诊，巡检工头部轻微脑震荡。"/>
    <hyperlink ref="D458" r:id="rId_hyperlink_453" tooltip="因防护栏套管缺失，起不到防护作用，一旦操作工在清理皮带机卫生时误操作，容易造成右手卷入托辊的伤害，送医院检查：右手手指骨折，住院治疗7天，在家修养2个月"/>
    <hyperlink ref="D459" r:id="rId_hyperlink_454" tooltip="西四岗位南边水沟盖板安装不到位，一职工路过时一旦脚踩空掉入，造成右脚脚踝擦伤，去医务室敷药后不影响工作"/>
    <hyperlink ref="D460" r:id="rId_hyperlink_455" tooltip="送煤车接煤板南侧平台腐蚀漏洞，操作工铲煤时不小心落入，造成脚部骨折"/>
    <hyperlink ref="D461" r:id="rId_hyperlink_456" tooltip="熄焦道轨西侧一块废弃的衬板，假设一名操作工在巡检时被拌倒致使右手臂骨折就医"/>
    <hyperlink ref="D462" r:id="rId_hyperlink_457" tooltip="西硫铵工段终冷器蒸汽管道保温铝皮脱落，如果在大风天气人员从此处经过可能被掉落的铝皮轻微划伤脸部，简单包扎后能正常工作"/>
    <hyperlink ref="D463" r:id="rId_hyperlink_458" tooltip="新化学水地面货物底座破损，一名巡检工，巡检时不小心绊倒，导致右手臂骨折，送医院救治。"/>
    <hyperlink ref="D464" r:id="rId_hyperlink_459" tooltip="3#皮带输煤通廊安装普通照明，存在火灾爆炸安全隐患，造成设备损坏，人员受伤。"/>
    <hyperlink ref="D465" r:id="rId_hyperlink_460" tooltip="化产车间粗苯南泵房管架上部铝皮未清理，大风天气，如果一名巡检工巡检到铝皮下面时，铝皮被大风刮落，砸到巡检工头部，经送医诊断，巡检工头部轻微伤。"/>
    <hyperlink ref="D466" r:id="rId_hyperlink_461" tooltip="碳化塔北侧地沟盖板缺失，夜班1名巡检人员在巡检时不小心掉入地沟膝盖及小腿多处擦伤"/>
    <hyperlink ref="D467" r:id="rId_hyperlink_462" tooltip="污水2#站推拉大门，因大门北头没有焊接安全限位销，一名巡检人员在关闭大门时，南头没有进入关闭固定扣内，大门脱离两端固定扣后，砸到推拉人员身上，造成肩部骨折住院治疗，休养三个月。"/>
    <hyperlink ref="D468" r:id="rId_hyperlink_463" tooltip="一名工人在进行巡查时，未注意护栏腐烂严重开焊，一条腿滑入护栏池中，造成腿擦伤无损工事故。"/>
    <hyperlink ref="D469" r:id="rId_hyperlink_464" tooltip="一名操作工在巡检过程中，不慎跌落平台，造成脚踝骨折，住院治疗十五天，在家修养三个月后复工"/>
    <hyperlink ref="D470" r:id="rId_hyperlink_465" tooltip="新化学水锅炉加药间灯不亮取样时不慎造成手臂大面积烫伤"/>
    <hyperlink ref="D471" r:id="rId_hyperlink_466" tooltip="新化学水加药间浓水排水地沟盖板缺失，巡检时掉入地沟造成小腿骨折"/>
    <hyperlink ref="D472" r:id="rId_hyperlink_467" tooltip="脱硫塔中部离地面约30米处一照明灯支架因腐蚀掉落，只有一根电线连接。当岗位巡检人员巡检到脱硫塔下部，照明灯支架一旦坠落会击中巡检人员头部"/>
    <hyperlink ref="D473" r:id="rId_hyperlink_468" tooltip="焦三斜桥由于铁皮腐蚀，悬挂于半空中，有一巡检工从此处经过，遇到大风天气，悬挂的铁皮掉落巡检工肩部，致使巡检工肩部受轻微伤"/>
    <hyperlink ref="D474" r:id="rId_hyperlink_469" tooltip="焦四机尾，接线盒电线杂乱裸露在外，如果一操作人员在巡检时不慎触电，昏迷不醒，送医抢救。"/>
    <hyperlink ref="D475" r:id="rId_hyperlink_470" tooltip="东五分料器刀头磨损，一旦开启皮带机容易划伤，撕裂皮带。"/>
    <hyperlink ref="D476" r:id="rId_hyperlink_471" tooltip="一名操作工在置换熄焦水池水位时，假如被熄焦水池北侧倾倒的围挡拌倒，身体前倾，双手扶地，造成右手臂骨折"/>
    <hyperlink ref="D477" r:id="rId_hyperlink_472" tooltip="东四机头刮煤板因长期使用变形，运行中从侧面漏煤，一旦巡检不到位造成带料偏带，胶带磨损撕裂80余米，换带损失21000余元。"/>
    <hyperlink ref="D478" r:id="rId_hyperlink_473" tooltip="主控楼南楼体口及通道被保温棉、铝皮等杂物堵塞，若1名职工巡检时自此处避让穿过时，因重心不稳被杂物绊倒，身体前倾胸部磕碰至周边铁件物。"/>
    <hyperlink ref="D479" r:id="rId_hyperlink_474" tooltip="焦炉北端炉门站爬梯处存放一堆炉门碎砖，假如有员工从此经过不慎被绊倒，手部着地造成伤害。"/>
    <hyperlink ref="D480" r:id="rId_hyperlink_475" tooltip="装煤车1#刮板机链条维修后未及时按装防护罩，假如员工在工作时不慎将手碰到转动的链条上，就会造成人身伤害。"/>
    <hyperlink ref="D481" r:id="rId_hyperlink_476" tooltip="5.5米焦炉筛焦楼一爬梯踩板开焊撬起，假如有员工从此处经过不慎摔倒，造成脚踝扭伤。"/>
    <hyperlink ref="D482" r:id="rId_hyperlink_477" tooltip="5.5米焦炉炉顶南端废旧物料摆放杂乱，假如员工在工作时不慎被绊倒，手部着地造成伤害。"/>
    <hyperlink ref="D483" r:id="rId_hyperlink_478" tooltip="一名操作工在排污时，不慎将左手烫伤。"/>
    <hyperlink ref="D484" r:id="rId_hyperlink_479" tooltip="炉顶面上的自动控制测温线缆盒开裂，炉顶面高温，造成里面的光纤电缆线损坏，"/>
    <hyperlink ref="D485" r:id="rId_hyperlink_480" tooltip="一名巡检工在巡检油站时，由于振动上方的铁棍掉下，砸到头部跟肩部，造成肩部出血，送医院治疗"/>
    <hyperlink ref="D486" r:id="rId_hyperlink_481" tooltip="烘干加热器泄露一操作工巡检时被蒸汽烫伤腿部，导致皮肤大面积损伤，送医治疗二周损工两周"/>
    <hyperlink ref="D487" r:id="rId_hyperlink_482" tooltip="东五有好几个窗户插销损坏，窗扇容易脱落，一旦有人从底下经过，就会造成头部砸伤，送医敷药包扎，回家休养三天后复工"/>
    <hyperlink ref="D488" r:id="rId_hyperlink_483" tooltip="纤子未按照规定摆放，一员工在巡检过程中被绊倒，导致胳膊轻微划伤，经送医务室包扎后继续工作。"/>
    <hyperlink ref="D489" r:id="rId_hyperlink_484" tooltip="破碎机除尘器铰刀连轴销挡盘脱落，开机期间一旦连轴销脱出，造成除尘器非正常停机30分钟。"/>
    <hyperlink ref="D490" r:id="rId_hyperlink_485" tooltip="东五护栏套管缺失，一职工清理机架卫生时，一旦晃动过大，会造成右手磨蹭托辊受伤，送医务室检查右手轻微擦伤，敷药后继续上岗作业。"/>
    <hyperlink ref="D491" r:id="rId_hyperlink_486" tooltip="化工厂吸氨岗母液槽液位计显示不准，容易引起操作工误操作，母液槽抽空，液氨泄露，造成人员中毒，送医院救治，损工七天"/>
    <hyperlink ref="D492" r:id="rId_hyperlink_487" tooltip="西五机头一照明灯损坏，夜班操作工巡检时，因光线不好没看清脚下被绊倒，扭伤脚踝，休息一会继续工作。"/>
    <hyperlink ref="D493" r:id="rId_hyperlink_488" tooltip="焦三带除尘站东侧输焦通廊上方一处彩钢瓦包边脱落半空吊挂，高度10m左右，若1名职工巡检路过时该铁件掉落，砸中职工肩部。"/>
    <hyperlink ref="D494" r:id="rId_hyperlink_489" tooltip="场地石头未清理，一职工巡检时不慎摔倒，脸部受伤。"/>
    <hyperlink ref="D495" r:id="rId_hyperlink_490" tooltip="煤八皮带带边开裂，运行中一旦监护不到位会刮带撕裂胶带，造成换带损失72000余元。"/>
    <hyperlink ref="D496" r:id="rId_hyperlink_491" tooltip="5号减温减压分汽缸阀门处保温缺失，一巡检人员经过时右小臂不慎碰到高温阀门，送医治疗。"/>
    <hyperlink ref="D497" r:id="rId_hyperlink_492" tooltip="主控楼PLC室一块地板翘起，一电气人员巡检时不慎被绊倒，造成右脚轻微扭伤，送医治疗！"/>
    <hyperlink ref="D498" r:id="rId_hyperlink_493" tooltip="一名职工中班在冷凝澄清槽巡检时由于天气比较潮湿照明穿线管破损造成爬梯扶手处有电压造成触电，该职工迅速摆脱爬梯扶手后未造成人员伤害，继续上班。"/>
    <hyperlink ref="D499" r:id="rId_hyperlink_494" tooltip="对讲机垫着报纸等易燃物充电，由于线路老化漏电，将易燃物引燃进而引发了火灾"/>
    <hyperlink ref="D500" r:id="rId_hyperlink_495" tooltip="挡风墙铁架有杂物，一旦职工经过杂物不慎落到左肩，擦伤皮肤，送医务室敷药后继续回岗位工作。"/>
    <hyperlink ref="D501" r:id="rId_hyperlink_496" tooltip="东四护栏开焊，一旦操作工在清理卫生时，可能右手食指被护栏划伤，去医务室敷药包扎后回岗位继续工作。"/>
    <hyperlink ref="D502" r:id="rId_hyperlink_497" tooltip="西三楼道照明灯坏 夜班操作工上下楼梯时看不清脚下不慎踩空摔倒造成右脚脚踝扭伤休息一会不影响工作"/>
    <hyperlink ref="D503" r:id="rId_hyperlink_498" tooltip="西一带电机护罩螺丝脱落 开车时如果螺丝都震动掉落造成护罩脱落风扇叶片外露 操作工经过时不慎碰触到 造成右手被叶片打伤从医院包扎在家修养一个月"/>
    <hyperlink ref="D504" r:id="rId_hyperlink_499" tooltip="煤厂一钢筋翘起外露 夜班操作工经过时不慎被拌倒 造成右手手腕扭伤休息一会不影响工作"/>
    <hyperlink ref="D505" r:id="rId_hyperlink_500" tooltip="1618油站油管外皮老化 油管继续老化破损漏油流到地上操作工经过时踩到油上脚底打滑摔倒 造成右脚脚踝扭伤休息一会不影响工作"/>
    <hyperlink ref="D506" r:id="rId_hyperlink_501" tooltip="煤厂钢筋翘起外露 夜班操作工经过时 没看清不慎被拌倒造成右脚脚踝扭伤休息一会不影响工作"/>
    <hyperlink ref="D507" r:id="rId_hyperlink_502" tooltip="西一铁爬梯腐蚀破损 人员上下楼梯铁板开裂踩空摔下 造成右腿小腿骨折送医院治疗住院一个月在家修养91天"/>
    <hyperlink ref="D508" r:id="rId_hyperlink_503" tooltip="输煤楼三楼窗户玻璃破损，一名操作工在去抓煤途中经过此处，由于风大，致使破损的玻璃刮落，掉落时划伤操作工手部。"/>
    <hyperlink ref="D509" r:id="rId_hyperlink_504" tooltip="锅炉二层取样阀门关不严漏水，长时间漏水积水滴到锅炉给水泵电机上，渗入接线盒内，造成短路。"/>
    <hyperlink ref="D510" r:id="rId_hyperlink_505" tooltip="锅炉二层取样阀门关不严漏水，长时间漏水积水滴到锅炉给水泵电机上，渗入接线盒内，造成短路。"/>
    <hyperlink ref="D511" r:id="rId_hyperlink_506" tooltip="射水泵出口阀门套管过长，一巡检人员经过此处时，被过长的套管划伤右上臂，去医务室处理。"/>
    <hyperlink ref="D512" r:id="rId_hyperlink_507" tooltip="干熄焦七层汽包南侧有保温铁皮未清理，遇大风天气，铁皮吹落，巡检工在六层巡检时，被吹落得铁皮划伤脸部。送医务室涂药，休息2小时返工。"/>
    <hyperlink ref="D513" r:id="rId_hyperlink_508" tooltip="汽轮机七米平台盖板不完善，一巡检工在此经过，不慎绊倒，左膝盖右手腕擦伤，送医务室包扎，损工两天。"/>
    <hyperlink ref="D514" r:id="rId_hyperlink_509" tooltip="深度脱硫塔15米处平台人孔处有铁悬挂，当大风天气，操作工在塔底巡检时，铁棍被大风吹落，砸到在此处巡检的操作工右胳膊，造成操作工右胳膊砸伤，去医院检查骨头正常，上药后回家休养15天后复工"/>
    <hyperlink ref="D515" r:id="rId_hyperlink_510" tooltip="外来卸煤司机在卸煤打挡板时，未戴安全帽，一旦挡板突然弹开，造成头部轻微撞伤，休息一会儿，继续卸煤"/>
    <hyperlink ref="D516" r:id="rId_hyperlink_511" tooltip="深度脱硫4#熔硫釜回液管线泄露，假如一名操作工在放硫磺时因回液管线泄露造成一名操作工左边脸部烫伤，送医院治疗15天在家休息15天后正常上班"/>
    <hyperlink ref="D517" r:id="rId_hyperlink_512" tooltip="西四除铁器线路未按规定加装套管，一旦线路老化易造成人员电伤！"/>
    <hyperlink ref="D518" r:id="rId_hyperlink_513" tooltip="除盐水站配电室内两块盖板间缝隙过大，一电气运行人员巡检时不慎右脚掉入缝隙内，右脚脚踝扭伤，送医治疗7天，回家休养15天。"/>
    <hyperlink ref="D519" r:id="rId_hyperlink_514" tooltip="西四西墙边水沟清完盖板未盖，一旦职工疏忽大意经过水沟，一脚踩入水沟，造成右小脚擦伤，消毒处理休息一会儿后，继续工作"/>
    <hyperlink ref="D520" r:id="rId_hyperlink_515" tooltip="西一通廊包边老化脱落，一旦行人路过，造成行人脸部擦伤，消毒处理后继续工作"/>
    <hyperlink ref="D521" r:id="rId_hyperlink_516" tooltip="碳化塔北侧一处塌陷，一名操作工在夜间巡检时不慎跌落，造成腿部多处擦伤，送医务室包扎后立即复工"/>
    <hyperlink ref="D522" r:id="rId_hyperlink_517" tooltip="操作工在巡检过程中，由于光线比较暗，一只脚调入水沟内，造成右脚踝扭伤，去医务室简单治疗，回家休养五天。"/>
    <hyperlink ref="D523" r:id="rId_hyperlink_518" tooltip="四楼结晶槽进口管道漏母液，如果一操作人员在巡检时未发现，母液从四楼流到三楼造成环境污染。"/>
    <hyperlink ref="D524" r:id="rId_hyperlink_519" tooltip="一拉煤车辆在拐弯时把管道碰弯，造成管道变形无法正常使用，巡检人员及时发现汇报，经过维修后正常使用。"/>
    <hyperlink ref="D525" r:id="rId_hyperlink_520" tooltip="夜班一巡检工路过精脱硫拆除现场时，踏入精脱硫拆除配液罐中，送往医院救治，巡检工右小腿骨折，住院治疗一个月，在家休息三个月"/>
    <hyperlink ref="D526" r:id="rId_hyperlink_521" tooltip="一巡检工路过精脱硫拆除现场时，不小心踏入塌陷缺失的地沟中，巡检工左脸脚踝扭伤，住院治疗十五天，在家修养一个月"/>
    <hyperlink ref="D527" r:id="rId_hyperlink_522" tooltip="低压室配电柜接地线由于维护不良断开，由于线路漏电接触柜体，导致柜体带电，某员工在操作开关时，触碰柜体而触电！"/>
    <hyperlink ref="D528" r:id="rId_hyperlink_523" tooltip="碳化一楼二氧化碳气化器循环水管架支撑断裂，造成循环水管线下垂，影响正常生产，生产损失两万元"/>
    <hyperlink ref="D529" r:id="rId_hyperlink_524" tooltip="脱硫操作室二楼爬梯，一名外协人员人员在使用磨光机除锈时未带防护镜，造成钢丝脱落刺入眼中。"/>
    <hyperlink ref="D530" r:id="rId_hyperlink_525" tooltip="洗车机水池东北角护栏缺失，操作工巡检时不小心掉入水池，造成人员伤亡"/>
    <hyperlink ref="D531" r:id="rId_hyperlink_526" tooltip="初冷器检修过程中一废弃管道遗落现场，一操作工巡检过程中被其拌倒，造成左脚踝扭伤，送医简单处理后回家休养一周后复工。"/>
    <hyperlink ref="D532" r:id="rId_hyperlink_527" tooltip="皮带运行过程中，一员工不慎被卸料车碰倒，造成右脚受伤，经医生确诊为右脚腕扭伤，回家休养三天后复工。"/>
    <hyperlink ref="D533" r:id="rId_hyperlink_528" tooltip="由于给水泵处没照明，夜间巡查视线不好，导致人员受伤"/>
    <hyperlink ref="D534" r:id="rId_hyperlink_529" tooltip="西一铁爬梯处照明灯坏 夜班操作工上下爬梯时看不清脚下不慎踩空摔倒造成右前臂骨折送医院治疗住院一个月在家修养91天"/>
    <hyperlink ref="D535" r:id="rId_hyperlink_530" tooltip="西一操作室吊装处铁板腐蚀 操作工经过时被破损处拌倒造成右脚脚踝扭伤休息一会不影响工作"/>
    <hyperlink ref="D536" r:id="rId_hyperlink_531" tooltip="点名室门口台阶处照明灯损坏 夜班经过时看不清脚下不慎踩空摔倒造成右脚脚踝扭伤休息一会不影响工作"/>
    <hyperlink ref="D537" r:id="rId_hyperlink_532" tooltip="1618下料筒处破损漏煤 夜班有人员经过时不慎踩上脚下打滑摔倒造成右前臂骨折送医院治疗住院一个月在家修养92天"/>
    <hyperlink ref="D538" r:id="rId_hyperlink_533" tooltip="煤七铁平台下照明灯损坏 夜班操作工工巡查时经过光线暗看不清脚下不慎摔倒造成右脚脚踝扭伤休息一会不影响工作"/>
    <hyperlink ref="D539" r:id="rId_hyperlink_534" tooltip="汽轮机一楼仓库玻璃破裂，一员工在推门进入仓库时，破裂的玻璃突然掉落，造成该员工右手臂被玻璃轻微划伤，经医务室包扎处理后可从事简单劳动。"/>
    <hyperlink ref="D540" r:id="rId_hyperlink_535" tooltip="因地沟盖板缺失，一操作工在巡查至综合水池过道时，左脚落入地沟中，送医院救治，确诊为左侧脚踝扭伤，治疗十五天，修养三十天后恢复工作。"/>
    <hyperlink ref="D541" r:id="rId_hyperlink_536" tooltip="刮板机内进入杂物，一旦开启，极易造成刮板变形，被迫停机更换刮板一小时，经济损失200元。"/>
    <hyperlink ref="D542" r:id="rId_hyperlink_537" tooltip="因提升机七层西侧护栏一处踢脚板开焊翘起，雨雪天气，一巡检工在护栏内向道轨撒沙防滑时，不慎被翘起的踢脚板绊倒，右侧膝盖着地，送医治疗确诊为右侧膝盖骨骨裂，治疗7天，修养三个月后恢复工作。"/>
    <hyperlink ref="D543" r:id="rId_hyperlink_538" tooltip="除盐水站主控室内西墙暖气片破裂拆除后遗留挂钩未清理，一员工擦西墙玻璃时被挂钩钩伤手背，流血不止，送医务室简单包扎后送医院缝合，又回到岗位，但不能从事重体力劳动。"/>
    <hyperlink ref="D544" r:id="rId_hyperlink_539" tooltip="主控楼南楼梯处分气缸排污管摆放不规整，一巡检人员上楼梯时，未及时发现将其拌倒，身体前俯右手小臂与楼梯台阶碰撞，送医治疗确诊为右手小臂骨裂，治疗7天，修养三个月后恢复工作。"/>
    <hyperlink ref="D545" r:id="rId_hyperlink_540" tooltip="东四吊装门未关闭，一员工经过爬梯时头部磕碰门上，身体倾斜顺着爬梯滑落地面，造成右腿擦伤，休息一会继续工作"/>
    <hyperlink ref="D546" r:id="rId_hyperlink_541" tooltip="东五操作室旁边的沉淀池盖板安装不到位，一操作工巡检时被翘起的盖板绊倒，右手腕扭伤，在家修养2天"/>
    <hyperlink ref="D547" r:id="rId_hyperlink_542" tooltip="维修工在进行登高作业时未设置监护人，在维修时不慎从梯子上滑落造成左脚踝擦伤经医务室清理伤口后返回岗位"/>
    <hyperlink ref="D548" r:id="rId_hyperlink_543" tooltip="东五岗位分料器刀头磨损严重，一旦磨损至铁板处，将会造成胶带磨损加快，缩短使用寿命。"/>
    <hyperlink ref="D549" r:id="rId_hyperlink_544" tooltip="西一岗位机头铁板破损，岗位职工从上方经过，一旦踩空，右腿跌落，造成划伤，送医检查，右小腿轻微划伤，敷药包扎后回到岗位继续工作。"/>
    <hyperlink ref="D550" r:id="rId_hyperlink_545" tooltip="管道架上方有杂物，一旦职工经过杂物不慎落在右肩，擦伤皮肤，送医务室敷药后回岗位继续工作。"/>
    <hyperlink ref="D551" r:id="rId_hyperlink_546" tooltip="南脱硫设备安装现场，有一电焊机一次线接头破损脱落，如果遇到雷雨天气，会造成设备连电，将一名正在作业的工作人员电击休克，送医治疗7天，休养15天后复工。"/>
    <hyperlink ref="D552" r:id="rId_hyperlink_547" tooltip="3号站操作室内一流量计积算仪未正确安装，放到盘顶部，一操作人员在清理卫生时造成电源短路，引起电弧烧伤手部，送医处理后在家休息5天后复工。"/>
    <hyperlink ref="D553" r:id="rId_hyperlink_548" tooltip="碳铵三楼楼顶干燥管保温铝皮破损，由于风大，铝皮掉落至一楼，正好一名巡检工经过，被铝皮划伤脸部。"/>
    <hyperlink ref="D554" r:id="rId_hyperlink_549" tooltip="生化污泥浓缩池爬梯平台无踢脚线，平台护栏间隙过大，如果一名操作人员在雨雪天经过不慎滑倒，造成左小腿多处轻微划伤，休息一会后不影响工作。"/>
    <hyperlink ref="D555" r:id="rId_hyperlink_550" tooltip="8000方东侧管架一保温铝皮脱落，如果一名操作人员在巡检过程中经过，不慎被掉落的铝皮砸中肩部，休息一会后不影响工作。"/>
    <hyperlink ref="D556" r:id="rId_hyperlink_551" tooltip="硫铵引风机断裂开焊不能正常使用，损失工时"/>
    <hyperlink ref="D557" r:id="rId_hyperlink_552" tooltip="化学水浓水回收过滤器人孔垫子泄漏不能使用"/>
    <hyperlink ref="D558" r:id="rId_hyperlink_553" tooltip="四点班一名巡检工，在前往三楼顶巡检时，因照明不足，下楼梯时踩蹭，造成右脚脚踝扭伤，在家休养7天。"/>
    <hyperlink ref="D559" r:id="rId_hyperlink_554" tooltip="西五斜桥南边一彩钢瓦脱落，如果不及时清理容易造成人员划伤"/>
    <hyperlink ref="D560" r:id="rId_hyperlink_555" tooltip="输水管高于地面十公分，夜班巡检人员经过时不慎绊倒，造成膝盖擦伤，简单处理后不影响工作。"/>
    <hyperlink ref="D561" r:id="rId_hyperlink_556" tooltip="除盐水站一楼泵房一盖板钢筋翘起，一名操作工巡检时，不慎被翘起钢筋绊倒，造成右脚脚踝扭伤，送医治疗7天，休养10天。"/>
    <hyperlink ref="D562" r:id="rId_hyperlink_557" tooltip="环境除尘卸灰平台临时用电电缆架在平地，当职工卸灰操作经过时，不慎绊倒，导致膝盖、面部擦伤，立即到送医务室进行治疗"/>
    <hyperlink ref="D563" r:id="rId_hyperlink_558" tooltip="煤七电动葫芦吊钩舌片失效，吊装滚筒过程中，一旦脱钩，滚筒掉落，造成损害，经济损失800元。"/>
    <hyperlink ref="D564" r:id="rId_hyperlink_559" tooltip="汽封加热器出水阀套管过长，一操作工前往测量轴加风机电机温度时，被过长的套管擦伤右手，经简单消毒包扎后恢复工作。"/>
    <hyperlink ref="D565" r:id="rId_hyperlink_560" tooltip="一次除尘三层铁板摆放不规范，一巡检人员经过此处时不慎被铁板绊倒，造成左脚脚踝扭伤。送医治疗，在家休养10天"/>
    <hyperlink ref="D566" r:id="rId_hyperlink_561" tooltip="消防水池上部放水阀门裸露，若不采取措施造成阀门卡涩  锈蚀 无法正常开关"/>
    <hyperlink ref="D567" r:id="rId_hyperlink_562" tooltip="35吨锅炉操作室地面电缆裸露在外，操作人员经过时被裸露在外的电缆绊倒，手部着地，造成手部轻微擦伤。"/>
    <hyperlink ref="D568" r:id="rId_hyperlink_563" tooltip="3号循环水泵轴流风扇电缆现场摆放杂乱，一名员工巡检至此处时，左脚被电缆磕绊，造成身体前倾，双手撑地，致使左手腕扭伤。送医治疗，休养五天。"/>
    <hyperlink ref="D569" r:id="rId_hyperlink_564" tooltip="MVR原料液换热器渗漏原料液,如果巡检时未发现，不及时处理，有可能会造成原料液长时间泄漏导致污染环境。"/>
    <hyperlink ref="D570" r:id="rId_hyperlink_565" tooltip="MVR原料管道腐蚀泄漏原料液，如果夜间巡检时发现不及时，有可能会造成大量原料液泄漏至地面，造成环境污染。"/>
    <hyperlink ref="D571" r:id="rId_hyperlink_566" tooltip="煤九护栏外置楼梯护栏接头腐蚀开焊裂开缝隙变大，巡检人员经过此处时容易造成坠落事故。"/>
    <hyperlink ref="D572" r:id="rId_hyperlink_567" tooltip="东五皮带机卸料器底部托辊损坏，一旦不及时更换，将造成皮带磨损划伤。"/>
    <hyperlink ref="D573" r:id="rId_hyperlink_568" tooltip="水沟盖板缺失，一职工经过此处不小心踩空掉落，造成轻微擦伤，送医务室简单包扎后回岗继续工作！"/>
    <hyperlink ref="D574" r:id="rId_hyperlink_569" tooltip="一行人路过水沟时 不小心踩破盖板  掉入水沟，造成左脚擦伤送医务室简单包扎处理，不影响工作"/>
    <hyperlink ref="D575" r:id="rId_hyperlink_570" tooltip="2号水封下液管保温铝皮破损，假如一名操作工巡检经过此处时可能被破损的铝皮划伤脚踝，去医务室包扎处理"/>
    <hyperlink ref="D576" r:id="rId_hyperlink_571" tooltip="检修后铁件未能及时得到清理，假如一名人员从此处经过，铁件不甚跌落砸到人员脚面上，虽然穿着劳保鞋，但是脚面无防护铁板。"/>
    <hyperlink ref="D577" r:id="rId_hyperlink_572" tooltip="供精馏蒸汽疏水管腐烂巡检人员未及时发现，造成蒸汽泄漏。"/>
    <hyperlink ref="D578" r:id="rId_hyperlink_573" tooltip="吸氨母液槽顶部人孔未盖，操作人员夜班巡检时踩空掉入槽中导致人员窒息，抢救无效死亡。"/>
    <hyperlink ref="D579" r:id="rId_hyperlink_574" tooltip="使用后的铁锨未按要求定置摆放，一旦岗位人员巡检过程中被铁锨绊倒，造成左手手腕轻微扭伤，休息一会继续工作"/>
    <hyperlink ref="D580" r:id="rId_hyperlink_575" tooltip="1618加湿罐旁边防护栏开焊，一旦操作工巡检过程中手扶栏杆，身体倾斜跌落地面，送医院检查；右脚脚踝错位，住院7天，在家修养2个月"/>
    <hyperlink ref="D581" r:id="rId_hyperlink_576" tooltip="原精脱硫塔地池未盖夜间操作人员巡检此处踩空掉入池中导致腿部骨折 及时抢救住院治疗三个月损工三个月！"/>
    <hyperlink ref="D582" r:id="rId_hyperlink_577" tooltip="西硫铵硫酸卸酸槽往硫酸储槽打硫酸管道，因长年使用腐蚀严重并泄露硫酸，如果一名操作工在巡检时经过此处，可能被喷溅出来的硫酸溅到脸部，及时用生活水冲洗后，送医检查右脸大面积灼伤，住院治疗两个月后康复。"/>
    <hyperlink ref="D583" r:id="rId_hyperlink_578" tooltip="一楼排水地沟盖板缝隙过大，一员工巡检时从此经过不小心踩到缝隙中被绊倒，造成右手掌擦伤去医务室涂药处理不影响工作"/>
    <hyperlink ref="D584" r:id="rId_hyperlink_579" tooltip="南冷凝1#循环氨水泵变频坏，导致氨水泵不运转，巡检人员发现不及时，造成集团公司通报的焦炉冒烟环保事故。"/>
    <hyperlink ref="D585" r:id="rId_hyperlink_580" tooltip="西三一小托辊出现异响，如继续使用，会导致其内部结构损坏不能转动，造成皮带非正常磨损，被迫停车更换，经济损失50元。"/>
    <hyperlink ref="D586" r:id="rId_hyperlink_581" tooltip="新化学水2号原水箱补水电动阀坏，造成水资源浪费"/>
    <hyperlink ref="D587" r:id="rId_hyperlink_582" tooltip="深度脱硫水封有F扳手悬挂，假如一名操作工巡检此处时，F扳手脱落砸到操作工脚部。"/>
    <hyperlink ref="D588" r:id="rId_hyperlink_583" tooltip="射水泵联轴器防护罩松动未固定，若一名员工在进行巡检射水泵时，由于联轴器防护罩螺丝未固定，防护罩被转动的联轴器甩出，击中该员工左腿，导致左腿骨折，送医治疗，休养100天。"/>
    <hyperlink ref="D589" r:id="rId_hyperlink_584" tooltip="一名操作工在巡检时不慎掉入地沟内造成右腿骨拆立刻送往医院。"/>
    <hyperlink ref="D590" r:id="rId_hyperlink_585" tooltip="蒸汽管线保温铝皮缺失，若一名员工巡检至该管线时，左臂不慎触碰到管线，该管线温度约300℃，导致该员工左臂烫伤，送医治疗，休养15天。"/>
    <hyperlink ref="D591" r:id="rId_hyperlink_586" tooltip="电解水废水池护栏门未关闭，池水深二米。.当操作工发现池内有垃圾探身捞取时坠池。被发现救起，终因溺水过久死亡。"/>
    <hyperlink ref="D592" r:id="rId_hyperlink_587" tooltip="巡环水泵房现场电缆杂乱，若巡检人员巡检到此被电缆拌到，手部着地造成手部擦伤，送医务室简单包扎继续工作。"/>
    <hyperlink ref="D593" r:id="rId_hyperlink_588" tooltip="东四配料秤下方挡煤板螺丝脱落导致损坏，容易造成配料秤皮带划伤，影响生产。"/>
    <hyperlink ref="D594" r:id="rId_hyperlink_589" tooltip="南脱硫上下楼梯施工用电缆线杂乱，如果一名操作人员在上下爬梯时会不小心让电缆线绊倒，腿部轻微擦伤，简单处理后正常上班。"/>
    <hyperlink ref="D595" r:id="rId_hyperlink_590" tooltip="锅炉六层楼梯与顶部距离小约为1.2米，若巡检人员巡检完下楼梯时，为躲避顶部身体前倾，脚下打滑造成左脚脚踝骨折，送医治疗在家休养100天。"/>
    <hyperlink ref="D596" r:id="rId_hyperlink_591" tooltip="热力车间东区配电室抄表的椅子坏了，上去踩着抄表的时候椅子容易散架"/>
    <hyperlink ref="D597" r:id="rId_hyperlink_592" tooltip="西二托辊轴承损坏，一旦操作工巡检未及时发现，造成皮带偏带撕裂"/>
    <hyperlink ref="D598" r:id="rId_hyperlink_593" tooltip="东一一号给料机北侧有一托辊损坏，一旦操作工巡检未及时发现，皮带在运行中易造成皮带偏带、撕裂"/>
    <hyperlink ref="D599" r:id="rId_hyperlink_594" tooltip="煤八机头吊装门销子退出，若发现不及时，销子掉下来发生危险事故"/>
    <hyperlink ref="D600" r:id="rId_hyperlink_595" tooltip="西五皮带机分料器缺失一托辊，皮带运行过程中很容易完成皮带划伤或撕裂"/>
    <hyperlink ref="D601" r:id="rId_hyperlink_596" tooltip="两盐北大门地沟盖板严重破损，操作工在经过此处时，踩空坠落，造成腿部擦伤，休息片刻后继续工作。"/>
    <hyperlink ref="D602" r:id="rId_hyperlink_597" tooltip="冷凝液泵电机防护罩螺丝缺失，长期震动防护罩移动，造成电机磨损，缩短使用寿命。"/>
    <hyperlink ref="D603" r:id="rId_hyperlink_598" tooltip="1618破碎机下料筒爬梯防护栏开焊，因开焊部位起不到防护作用，一旦岗位人员上爬梯时手扶护栏造成身体倾斜滑落地面，导致左腿擦伤，送医务室敷药后继续工作。"/>
    <hyperlink ref="D604" r:id="rId_hyperlink_599" tooltip="煤棚周边一块盖板破碎，一旦职工踩踏，将会陷入沟中造成职工左小腿擦伤，消毒处理后继续继续工作"/>
    <hyperlink ref="D605" r:id="rId_hyperlink_600" tooltip="给料机连杆销螺母脱落，在运行中连杆销脱落，停机半小时更换后复工生产，"/>
    <hyperlink ref="D606" r:id="rId_hyperlink_601" tooltip="南脱硫熔硫釜改造现场铁件废料混乱存放，一名操作工夜班在此巡检时，因夜间光线不好有可能被混乱放置的铁件拌倒摔伤，造成右手腕骨折，送医治疗十天休息三月上班一"/>
    <hyperlink ref="D607" r:id="rId_hyperlink_602" tooltip="泵房排水沟盖板未盖好，一名巡检工巡检时不慎踩入"/>
    <hyperlink ref="D608" r:id="rId_hyperlink_603" tooltip="化学水工业泵房楼梯口处盖板翘起，一名操作工巡检时，不慎被翘起的盖板绊倒，造成右前臂骨折，送医院治疗。"/>
    <hyperlink ref="D609" r:id="rId_hyperlink_604" tooltip="一名操作工在锅炉底部巡检时不慎掉入水沟，造成右小腿骨折。"/>
    <hyperlink ref="D610" r:id="rId_hyperlink_605" tooltip="东三卸料车未按装安全档，一名工人在操作时，一旦经过卸料车，造成一人受伤，送医院检查，右腿骨折，休养3个月"/>
    <hyperlink ref="D611" r:id="rId_hyperlink_606" tooltip="挡风网卡销腐烂严重脱落，一人员经过时被掉落的挡风网砸伤肩部，造成肩部外伤，经包扎后继续工作。"/>
    <hyperlink ref="D612" r:id="rId_hyperlink_607" tooltip="煤棚西南角水沟盖板缺失，一名操作工在夜间巡查过程中不慎掉落到缺失盖板的水沟内，导致小腿骨折。"/>
    <hyperlink ref="D613" r:id="rId_hyperlink_608" tooltip="干熄焦提升机走行限位保护薄膜破损，一次雨雪天气，该处限位连电导致提升机走行出现故障，影响正常生产。"/>
    <hyperlink ref="D614" r:id="rId_hyperlink_609" tooltip="捣煤仓的铁杆用完未按要求摆放"/>
    <hyperlink ref="D615" r:id="rId_hyperlink_610" tooltip="汽轮机滤油机旁电缆未规范敷设，一操作人员在巡检过程中被电缆绊倒，右膝盖着地导致粉粹性骨折，住院治疗一个月，在家休养半年。"/>
    <hyperlink ref="D616" r:id="rId_hyperlink_611" tooltip="环境除尘减速机电机护罩腐烂破损，起不到安全防护作用。如巡检人员疏忽触碰到旋转的叶片，易造成手指挤伤，造成一人损工事故。"/>
    <hyperlink ref="D617" r:id="rId_hyperlink_612" tooltip="干熄焦环境除尘三层西侧踏板锈蚀破损，离地高约10米，未设防护措施，假如一巡检人员经过，踏板断裂，造成一人员高处坠落，送医抢救无效死亡。"/>
    <hyperlink ref="D618" r:id="rId_hyperlink_613" tooltip="炼焦车间汽轮机一层滤油机处滤油电机无接地线，操作人员在滤油时，触碰到电机，因电机漏电导致人员触电造成电伤害，经现场紧急抢救后送医院治疗"/>
    <hyperlink ref="D619" r:id="rId_hyperlink_614" tooltip="5.5米焦炉炉顶南侧一蒸汽阀门有裂缝，导致蒸汽泄露，烫伤巡检人员腿部，送医治疗，休养7天后复工。"/>
    <hyperlink ref="D620" r:id="rId_hyperlink_615" tooltip="脱硫塔护栏在检修时打开，完工后未恢复，一操作工在巡查时，不慎自护栏断开处，掉到地上，摔伤腰部，住院二月，损工半年！"/>
    <hyperlink ref="D621" r:id="rId_hyperlink_616" tooltip="5.5米焦炉筛焦除尘烟囱出现裂痕，一旦裂痕扩大可能造成上部的烟囱掉落，损坏筛焦除尘气缸及反吹系统，造成财产损失及环境污染事件。"/>
    <hyperlink ref="D622" r:id="rId_hyperlink_617" tooltip="配电室内漏水，一旦水滴落在电气设备上造成短路导致引起火灾，烧损电缆，送煤车无法正常运行，5.5米焦炉停止出焦。"/>
    <hyperlink ref="D623" r:id="rId_hyperlink_618" tooltip="东一3#给料机电机接地线在使用中脱落，如电机在使用中出现漏电，易造成烧毁电机等设备损坏。"/>
    <hyperlink ref="D624" r:id="rId_hyperlink_619" tooltip="2#煤场2#料口基础钢筋外漏，操作工一旦不注意在操作时易绊倒磕伤！"/>
    <hyperlink ref="D625" r:id="rId_hyperlink_620" tooltip="一操作工巡检时不慎踩破盖板，跌入地沟，小腿骨折"/>
    <hyperlink ref="D626" r:id="rId_hyperlink_621" tooltip="两盐门前地沟盖板缺失"/>
    <hyperlink ref="D627" r:id="rId_hyperlink_622" tooltip="西硫铵1＃满流槽顶部加酸管道，因长年使用造成加酸管道弯头焊口处腐蚀严重并泄露硫酸，如果一名操作工巡检满流槽时，正好被弯头焊口处喷溅出来硫酸，喷溅到脸上造成人员脸部大面积灼伤，送医治疗三个月后康复。"/>
    <hyperlink ref="D628" r:id="rId_hyperlink_623" tooltip="西三一备用滚筒存放未固定，职工途经时，一旦滚筒因振动移动位置，会造成职工脚部轻微擦伤，到医务室敷药后继续上岗作业。"/>
    <hyperlink ref="D629" r:id="rId_hyperlink_624" tooltip="2020年11月27日早上7点30分东风机拆除现场一施工人员未系安全带爬到框架顶进行高空施工，框架下废材摆放杂乱存在很大的安全隐患，人员一但踩空或框架倒塌将会造成伤亡事故。发现后及时制止并对其批评教育"/>
    <hyperlink ref="D630" r:id="rId_hyperlink_625" tooltip="中控室墙边一电线接头破损，一职工经过时误触接头，由于摆脱及时，造成左腿短时间麻痹，休息一会后，继续工作"/>
    <hyperlink ref="D631" r:id="rId_hyperlink_626" tooltip="清理卫生的拖把未定置摆放，放在皮带机护栏上，一旦掉在皮带上，造成皮带划伤。"/>
    <hyperlink ref="D632" r:id="rId_hyperlink_627" tooltip="校正工具未按规定放置，人员路过工具倾倒时，对人员造成伤害，"/>
    <hyperlink ref="D633" r:id="rId_hyperlink_628" tooltip="东五卸料器底部的托辊轴承损坏，一旦损坏的托辊受压脱落两侧的卡槽，托辊卷入机尾滚筒中，会造成皮带划伤，停车检修"/>
    <hyperlink ref="D634" r:id="rId_hyperlink_629" tooltip="巡检时发现污水反渗透ORP探头接头处漏水"/>
    <hyperlink ref="D635" r:id="rId_hyperlink_630" tooltip="操作人员在综合泵房巡检时左小腿不小心碰到横放爬梯，左小腿外伤流血"/>
    <hyperlink ref="D636" r:id="rId_hyperlink_631" tooltip="东一 1#给料机连杆销固定螺栓缺失，如果继续使用，就会造成连接装置损坏，停车检修一小时，经济损失500元。"/>
    <hyperlink ref="D637" r:id="rId_hyperlink_632" tooltip="线路断口无防护措施，如果一名操作人员在作业时不小心碰到。就可能导致操作人员触电死亡。"/>
    <hyperlink ref="D638" r:id="rId_hyperlink_633" tooltip="管道架上方支撑腐蚀断裂，如果支撑掉落，砸伤右臂休息三天"/>
    <hyperlink ref="D639" r:id="rId_hyperlink_634" tooltip="东二钎子在料仓横放，工作中掉落砸伤操作工脚面休息三天后上班。"/>
    <hyperlink ref="D640" r:id="rId_hyperlink_635" tooltip="满流槽加酸管道腐蚀漏酸，假如一名操作工到满流槽捞焦油时，一时不注意被漏出的浓硫酸蹭到腿部，因穿防酸碱工作服，用清水冲洗后只造成腿部皮肤轻微灼伤，简单处理后继续上班，无损工。"/>
    <hyperlink ref="D641" r:id="rId_hyperlink_636" tooltip="水井潜水泵维修时，水井井盖未及时关靠，操作工不小心掉落"/>
    <hyperlink ref="D642" r:id="rId_hyperlink_637" tooltip="3#煤场地面钢筋外露，一旦职工路过，将会被绊倒，造成手掌擦伤，消毒处理后继续工作"/>
    <hyperlink ref="D643" r:id="rId_hyperlink_638" tooltip="因挡风网锁扣腐烂脱落，挡风网片无法固定，一旦网片脱落，造成行人颈部轻微擦伤，消毒处理后继续工作。"/>
    <hyperlink ref="D644" r:id="rId_hyperlink_639" tooltip="有一挂梯挂在暖气管道上，有一人经过被挂梯拌倒摔伤，经去医院检查胳膊骨折，住院3条，在家修养3"/>
    <hyperlink ref="D645" r:id="rId_hyperlink_640" tooltip="北加药间半面罩损坏，一操作工打液碱过程中，由于半面罩起不到防护作用，液碱溅到脸上，灼伤面部送医就诊后确诊面部轻微烧伤，住院三天后复工。"/>
    <hyperlink ref="D646" r:id="rId_hyperlink_641" tooltip="南脱硫溶液泵西侧护栏开焊倾倒在地，此处光线查，操作工在夜间巡检时不慎绊倒导致左腿擦伤，送医务室敷药继续工作。"/>
    <hyperlink ref="D647" r:id="rId_hyperlink_642" tooltip="西四小井使用完后篦子未复位，职工巡检经过时，左脚陷入小井，造成左腿膝盖磕伤，消毒处理后继续工作"/>
    <hyperlink ref="D648" r:id="rId_hyperlink_643" tooltip="钎子工具使用时未按要求放置，操作人员经过时拌倒造成手部受伤"/>
    <hyperlink ref="D649" r:id="rId_hyperlink_644" tooltip="回转筛电机进油"/>
    <hyperlink ref="D650" r:id="rId_hyperlink_645" tooltip="南冷凝废水池处有废铁管杂物，夜班一名巡检人员视线不清可能会绊倒，去医务室处理后正常上班。"/>
    <hyperlink ref="D651" r:id="rId_hyperlink_646" tooltip="皮带内侧有积煤，致使皮带跑偏后磨损，造成经济损失1000元。"/>
    <hyperlink ref="D652" r:id="rId_hyperlink_647" tooltip="苯回流槽安装废气回收管道过程中一跳板遗落现场，离地高约10米，假如一名巡检工经过，跳板腐烂掉落砸中一人员，送医抢救无效死亡。"/>
    <hyperlink ref="D653" r:id="rId_hyperlink_648" tooltip="巡检人员巡检到35吨锅炉分气缸处时，被地面的输水管道绊倒，手部着地，造成手部轻微擦伤。"/>
    <hyperlink ref="D654" r:id="rId_hyperlink_649" tooltip="两盐门前地沟盖板破损，夜班操作工经过此处时不慎坠入，造成小腿轻微擦伤，未影响正常工作。"/>
    <hyperlink ref="D655" r:id="rId_hyperlink_650" tooltip="小母液泵泵头垫子因母液腐蚀，导致垫子坏往外渗液，如果不及时处理，母液会大量冒出造成环保事故。"/>
    <hyperlink ref="D656" r:id="rId_hyperlink_651" tooltip="南风机风机房西侧风机机后下液管处有漏点，如果未能及时发现，可能造成一名巡检经过此处的操作人员轻微煤气中毒，送医治疗后在家休息3天复工。"/>
    <hyperlink ref="D657" r:id="rId_hyperlink_652" tooltip="深度脱硫塔三层平台处有电焊机线，未清理，当大风天气，电焊机线被大风吹落，砸在此处干活的操作工，造成右手砸肿，去医务室包扎后回家休养2天后复工。"/>
    <hyperlink ref="D658" r:id="rId_hyperlink_653" tooltip="一名操作工夜间巡查时，氨水制备器出口法兰漏液，贱入操作工眼中，送往医院救治，住院一周，在家休息十五天"/>
    <hyperlink ref="D659" r:id="rId_hyperlink_654" tooltip="粗苯南系统框架上有一保温铝皮破裂，如果在大风天气，一名操作工巡检经过此处有可能被大风吹落的铝皮划伤脸部，造成轻微伤，医务室简单处理后复工。"/>
    <hyperlink ref="D660" r:id="rId_hyperlink_655" tooltip="终冷塔管架一块保温材料脱落，一巡检工路过此地不慎被保温材料砸中右肩，导致肩部轻微砸伤，休息一会后继续工作"/>
    <hyperlink ref="D661" r:id="rId_hyperlink_656" tooltip="南冷凝泵房内地沟盖板未盖好，假如一名巡检人员经过此处，踩到盖板，造成左脚踝扭伤，在家休养五天，康复上班。"/>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隐患动态跟踪表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丁杰</dc:creator>
  <cp:lastModifiedBy>丁杰</cp:lastModifiedBy>
  <dcterms:created xsi:type="dcterms:W3CDTF">2020-12-19T08:19:48+08:00</dcterms:created>
  <dcterms:modified xsi:type="dcterms:W3CDTF">2020-12-19T08:19:48+08:00</dcterms:modified>
  <dc:title>潍坊振兴焦化有限公司隐患动态跟踪</dc:title>
  <dc:description>file generated using system</dc:description>
  <dc:subject>2020年11月报告</dc:subject>
  <cp:keywords>隐患排查</cp:keywords>
  <cp:category/>
</cp:coreProperties>
</file>