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隐患动态跟踪表" sheetId="1" r:id="rId4"/>
  </sheets>
  <definedNames/>
  <calcPr calcId="999999" calcMode="auto" calcCompleted="1" fullCalcOnLoad="0"/>
</workbook>
</file>

<file path=xl/sharedStrings.xml><?xml version="1.0" encoding="utf-8"?>
<sst xmlns="http://schemas.openxmlformats.org/spreadsheetml/2006/main" uniqueCount="988">
  <si>
    <t>潍坊振兴焦化有限公司安全生产KPI指标报表（隐患动态跟踪表）</t>
  </si>
  <si>
    <t>2020年3月</t>
  </si>
  <si>
    <t>隐患基本信息</t>
  </si>
  <si>
    <t>隐患特征</t>
  </si>
  <si>
    <t>数据分析</t>
  </si>
  <si>
    <t>整改方向</t>
  </si>
  <si>
    <t>整改情况</t>
  </si>
  <si>
    <t>序号</t>
  </si>
  <si>
    <t>发现日期</t>
  </si>
  <si>
    <t>区域</t>
  </si>
  <si>
    <t>隐患描述</t>
  </si>
  <si>
    <t>潜在后果</t>
  </si>
  <si>
    <t>状态</t>
  </si>
  <si>
    <t>紧急程度</t>
  </si>
  <si>
    <t>来源</t>
  </si>
  <si>
    <t>隐患类型1</t>
  </si>
  <si>
    <t>隐患类型2</t>
  </si>
  <si>
    <t>隐患类型3</t>
  </si>
  <si>
    <t>隐患类型4</t>
  </si>
  <si>
    <t>发现单位</t>
  </si>
  <si>
    <t>发现人</t>
  </si>
  <si>
    <t>责任部门</t>
  </si>
  <si>
    <t>责任领导</t>
  </si>
  <si>
    <t>整改期限</t>
  </si>
  <si>
    <t>具体位置</t>
  </si>
  <si>
    <t>核查评语</t>
  </si>
  <si>
    <t>后果类别</t>
  </si>
  <si>
    <t>严重性</t>
  </si>
  <si>
    <t>可能性</t>
  </si>
  <si>
    <t>风险级别</t>
  </si>
  <si>
    <t>整改方向1</t>
  </si>
  <si>
    <t>整改方向2</t>
  </si>
  <si>
    <t>整改措施</t>
  </si>
  <si>
    <t>措施数</t>
  </si>
  <si>
    <t>完成数</t>
  </si>
  <si>
    <t>整改进度</t>
  </si>
  <si>
    <t>复查人员</t>
  </si>
  <si>
    <t>复查日期</t>
  </si>
  <si>
    <t>说明</t>
  </si>
  <si>
    <t>19-11-9</t>
  </si>
  <si>
    <t>化学水除盐水池</t>
  </si>
  <si>
    <t>造成一名操作工双腿骨折，损工六个月。</t>
  </si>
  <si>
    <t>已整改</t>
  </si>
  <si>
    <t>一般</t>
  </si>
  <si>
    <t>隐患排查</t>
  </si>
  <si>
    <t>其他行为性危险和有害因素</t>
  </si>
  <si>
    <t>设备、设施、工具、附件缺陷</t>
  </si>
  <si>
    <t>室外作业场地环境不良</t>
  </si>
  <si>
    <t>其他管理因素缺陷</t>
  </si>
  <si>
    <t>热力车间</t>
  </si>
  <si>
    <t>张雨安</t>
  </si>
  <si>
    <t>于连成</t>
  </si>
  <si>
    <t>20-2-3</t>
  </si>
  <si>
    <t>西区老系统水池平台</t>
  </si>
  <si>
    <t>人员伤害</t>
  </si>
  <si>
    <t>C3</t>
  </si>
  <si>
    <t>F4</t>
  </si>
  <si>
    <t>I</t>
  </si>
  <si>
    <t>机械完整性</t>
  </si>
  <si>
    <t>√ 重新制作铁质盖板，刷漆防腐
× 注意安全</t>
  </si>
  <si>
    <t>100%</t>
  </si>
  <si>
    <t>20-3-20</t>
  </si>
  <si>
    <t>平台用防滑板重铺刷漆。</t>
  </si>
  <si>
    <t>19-11-21</t>
  </si>
  <si>
    <t>锅炉及发电装置</t>
  </si>
  <si>
    <t>巡检工小腿骨拆，身体多处擦伤入院治疗损工三个月。</t>
  </si>
  <si>
    <t>辨识功能缺陷</t>
  </si>
  <si>
    <t>20-1-20</t>
  </si>
  <si>
    <t>75T锅炉零米电缆沟</t>
  </si>
  <si>
    <t>F2</t>
  </si>
  <si>
    <t>III</t>
  </si>
  <si>
    <t>√ 重新制作盖板
× 规范盖好盖板</t>
  </si>
  <si>
    <t>制作防滑板代替水泥盖板。</t>
  </si>
  <si>
    <t>拆除坏板用防滑板代替。</t>
  </si>
  <si>
    <t>19-11-22</t>
  </si>
  <si>
    <t>热力东区</t>
  </si>
  <si>
    <t>导致巡检人员小腿骨折，损工3个月</t>
  </si>
  <si>
    <t>防护缺陷</t>
  </si>
  <si>
    <t>崔艳艳</t>
  </si>
  <si>
    <t>化学水超滤装置</t>
  </si>
  <si>
    <t>F3</t>
  </si>
  <si>
    <t>II</t>
  </si>
  <si>
    <t>√ 重新制作铁质盖板，刷漆防腐
× 盖好，保持盖板齐全</t>
  </si>
  <si>
    <t>割铁板履盖。</t>
  </si>
  <si>
    <t>19-11-24</t>
  </si>
  <si>
    <t>汽轮机</t>
  </si>
  <si>
    <t>右小腿骨折，住院治疗20天，回家修养三个月，损工110天。</t>
  </si>
  <si>
    <t>炼焦车间</t>
  </si>
  <si>
    <t>董国庆</t>
  </si>
  <si>
    <t>王安博</t>
  </si>
  <si>
    <t>19-12-26</t>
  </si>
  <si>
    <t>循环水冷却塔顶</t>
  </si>
  <si>
    <t>高处作业安全带规范使用是防止高处坠落事故的有效手段</t>
  </si>
  <si>
    <t>标准、流程</t>
  </si>
  <si>
    <t>√ 高处作业必须规范佩戴安全带，防止人员高处坠落</t>
  </si>
  <si>
    <t>20-3-24</t>
  </si>
  <si>
    <t>19-11-25</t>
  </si>
  <si>
    <t>循环水系统</t>
  </si>
  <si>
    <t>一名员工左手手腕扭伤，损工五天</t>
  </si>
  <si>
    <t>脚手架、阶梯或活动梯架缺陷</t>
  </si>
  <si>
    <t>禚金伟</t>
  </si>
  <si>
    <t>19-12-27</t>
  </si>
  <si>
    <t>循环水冷却塔</t>
  </si>
  <si>
    <t>操作不便、环境不良也是造成事故的一个原因</t>
  </si>
  <si>
    <t>√ 加装过桥，方便人员通过，防止事故</t>
  </si>
  <si>
    <t>20-1-13</t>
  </si>
  <si>
    <t>砸中头部，抢救无效死亡。</t>
  </si>
  <si>
    <t>中等</t>
  </si>
  <si>
    <t>行为性危险有害因素</t>
  </si>
  <si>
    <t>物理性危险和有害因素</t>
  </si>
  <si>
    <t>职业安全卫生责任制未落实</t>
  </si>
  <si>
    <t>董永涛</t>
  </si>
  <si>
    <t>20-3-7</t>
  </si>
  <si>
    <t>熄焦泵房</t>
  </si>
  <si>
    <t>C4</t>
  </si>
  <si>
    <t>√ 现场人员禁止通行
√ 及时维修处理</t>
  </si>
  <si>
    <t>20-3-15</t>
  </si>
  <si>
    <t>20-1-18</t>
  </si>
  <si>
    <t>干熄焦</t>
  </si>
  <si>
    <t>触电导致一人死亡！</t>
  </si>
  <si>
    <t>秦海伟</t>
  </si>
  <si>
    <t>20-2-20</t>
  </si>
  <si>
    <t>汽轮机零米</t>
  </si>
  <si>
    <t>接地线必须接好达到安全电阻值</t>
  </si>
  <si>
    <t>√ 连接好接地线，防止漏电触电事故</t>
  </si>
  <si>
    <t>管道水冲击，损坏设备。</t>
  </si>
  <si>
    <t>操作错误</t>
  </si>
  <si>
    <t>建筑物和其他结构缺陷</t>
  </si>
  <si>
    <t>郭峰祥</t>
  </si>
  <si>
    <t>20-3-2</t>
  </si>
  <si>
    <t>汽轮机房零米排地沟</t>
  </si>
  <si>
    <t>充分利用现有管道改造，消除因人为操作不当造成设备损坏</t>
  </si>
  <si>
    <t>财产损失</t>
  </si>
  <si>
    <t>C1</t>
  </si>
  <si>
    <t>IV</t>
  </si>
  <si>
    <t>√ 利用现有管道改装疏水管，消除人为操作不当造成的事故</t>
  </si>
  <si>
    <t>膝盖手腕碰伤，损工1天</t>
  </si>
  <si>
    <t>室内作业环境不良</t>
  </si>
  <si>
    <t>刘丽丽</t>
  </si>
  <si>
    <t>照明不良造成操作视线差，易出事故</t>
  </si>
  <si>
    <t>技术变更管理</t>
  </si>
  <si>
    <t>√ 加装照明灯，提高现场亮度达到安全操作</t>
  </si>
  <si>
    <t>绊倒膝盖擦伤，送医务室治疗</t>
  </si>
  <si>
    <t>祝国杰</t>
  </si>
  <si>
    <t>汽轮机七米</t>
  </si>
  <si>
    <t>作业区保持照明亮度，防止失足摔伤的保证</t>
  </si>
  <si>
    <t>C2</t>
  </si>
  <si>
    <t>除盐水站</t>
  </si>
  <si>
    <t>套管脱落划伤右侧肩膀及胳膊</t>
  </si>
  <si>
    <t>钱江红</t>
  </si>
  <si>
    <t>一楼中控室南侧</t>
  </si>
  <si>
    <t>线缆敷设必须规范固定</t>
  </si>
  <si>
    <t>√ 对脱落电缆套管牢固固定，防止脱落</t>
  </si>
  <si>
    <t>20-1-25</t>
  </si>
  <si>
    <t>汽轮机系统</t>
  </si>
  <si>
    <t>人员面部烫伤，住院治疗一周在家休养十五天</t>
  </si>
  <si>
    <t>其他物理性危险和有害因素</t>
  </si>
  <si>
    <t>刘彬</t>
  </si>
  <si>
    <t>分汽缸上方去除氧器阀</t>
  </si>
  <si>
    <t>消防泄漏既是节能措施也是安全措施</t>
  </si>
  <si>
    <t>√ 处理漏点，防止能源浪费及人身伤害</t>
  </si>
  <si>
    <t>20-3-17</t>
  </si>
  <si>
    <t>漏点已处理，并做好保温。</t>
  </si>
  <si>
    <t>20-2-6</t>
  </si>
  <si>
    <t>5.5.炼焦车间</t>
  </si>
  <si>
    <t>电缆连电无法生产，经济损失50万元</t>
  </si>
  <si>
    <t>职业安全卫生管理规章制度不完善</t>
  </si>
  <si>
    <t>王军</t>
  </si>
  <si>
    <t>捣固机南端</t>
  </si>
  <si>
    <t>工艺安全信息</t>
  </si>
  <si>
    <t>√ 恢复电缆盖板
√ 加强用电设施防护</t>
  </si>
  <si>
    <t>20-3-19</t>
  </si>
  <si>
    <t>头部着地，造成一人死亡</t>
  </si>
  <si>
    <t>其他作业环境不良</t>
  </si>
  <si>
    <t>孙希昱</t>
  </si>
  <si>
    <t>焦炉机侧烟道走廊南端</t>
  </si>
  <si>
    <t>√ 移除支架
√ 清理现场</t>
  </si>
  <si>
    <t>20-2-8</t>
  </si>
  <si>
    <t>一名职工触电身亡。</t>
  </si>
  <si>
    <t>20-3-9</t>
  </si>
  <si>
    <t>洗焦泵房</t>
  </si>
  <si>
    <t>√ 清理电缆
√ 规范接线</t>
  </si>
  <si>
    <t>20-3-16</t>
  </si>
  <si>
    <t>5.5米炉顶</t>
  </si>
  <si>
    <t>造成膝盖骨骨裂，住院治疗30天，在家修养60天的损工事件</t>
  </si>
  <si>
    <t>秦有杰</t>
  </si>
  <si>
    <t>焦侧集气管平台</t>
  </si>
  <si>
    <t>√ 焊接开焊铁板
√ 加强日常巡检巡查</t>
  </si>
  <si>
    <t>一人触电死亡</t>
  </si>
  <si>
    <t>王胜</t>
  </si>
  <si>
    <t>炉顶南头</t>
  </si>
  <si>
    <t>√ 规范接线
√ 保障线路绝缘良好</t>
  </si>
  <si>
    <t>人员受伤或死亡吊装物损坏</t>
  </si>
  <si>
    <t>秦国平</t>
  </si>
  <si>
    <t>20-4-9</t>
  </si>
  <si>
    <t>炉顶北头</t>
  </si>
  <si>
    <t>√ 更换吊钩
√ 加强检查</t>
  </si>
  <si>
    <t>5.5米焦炉</t>
  </si>
  <si>
    <t>致使一人跌落，重伤头部，送医抢救无效死亡</t>
  </si>
  <si>
    <t>宋华秀</t>
  </si>
  <si>
    <t>焦炉炉顶</t>
  </si>
  <si>
    <t>√ 加固平台
√ 更换铁板</t>
  </si>
  <si>
    <t>化产车间粗苯</t>
  </si>
  <si>
    <t>致使一名操作人员煤气轻微中毒，经过四个小时休息恢复正常</t>
  </si>
  <si>
    <t>化产车间</t>
  </si>
  <si>
    <t>任成华</t>
  </si>
  <si>
    <t>刘永鹏</t>
  </si>
  <si>
    <t>20-3-10</t>
  </si>
  <si>
    <t>外供煤气水封</t>
  </si>
  <si>
    <t>F1</t>
  </si>
  <si>
    <t>√ 维修人员进行堵漏或更换水封
√ 设立警戒线，巡检人员佩戴便携式CO报警仪</t>
  </si>
  <si>
    <t>20-2-11</t>
  </si>
  <si>
    <t>造成1人小腿骨折，住院治疗一月，在家休养2月，损工3个月</t>
  </si>
  <si>
    <t>李爱华</t>
  </si>
  <si>
    <t>焦侧上升管通廊平台</t>
  </si>
  <si>
    <t>√ 整平铺板
√ 焊接加固</t>
  </si>
  <si>
    <t>20-2-12</t>
  </si>
  <si>
    <t>5.5煤塔</t>
  </si>
  <si>
    <t>抢救无效，当场死亡</t>
  </si>
  <si>
    <t>孙洪涛</t>
  </si>
  <si>
    <t>√ 割除钢筋
√ 加强监控</t>
  </si>
  <si>
    <t>20-3-11</t>
  </si>
  <si>
    <t>环保事故</t>
  </si>
  <si>
    <t>熄焦道轨</t>
  </si>
  <si>
    <t>环境污染</t>
  </si>
  <si>
    <t>√ 封堵漏点
√ 清理现场积水</t>
  </si>
  <si>
    <t>污水处理三号站</t>
  </si>
  <si>
    <t>造成右手麻痹，手臂酸痛的轻微医疗伤害事件</t>
  </si>
  <si>
    <t>电伤害</t>
  </si>
  <si>
    <t>污水处理车间</t>
  </si>
  <si>
    <t>鹿敏敏</t>
  </si>
  <si>
    <t>张林蕾</t>
  </si>
  <si>
    <t>20-3-12</t>
  </si>
  <si>
    <t>污水处理3#站</t>
  </si>
  <si>
    <t>排查隐患合理，有很好的警示作用</t>
  </si>
  <si>
    <t>√ 更换穿线管，规范接地线</t>
  </si>
  <si>
    <t>化产车间西硫铵</t>
  </si>
  <si>
    <t>造成右手麻痹，胳膊麻木的轻微医疗事件。</t>
  </si>
  <si>
    <t>潘曰山</t>
  </si>
  <si>
    <t>西硫铵三楼操作室</t>
  </si>
  <si>
    <t>√ 更换线路</t>
  </si>
  <si>
    <t>20-2-13</t>
  </si>
  <si>
    <t>污水处理预处理</t>
  </si>
  <si>
    <t>右手腕骨折，损工60天</t>
  </si>
  <si>
    <t>于刚华</t>
  </si>
  <si>
    <t>20-3-14</t>
  </si>
  <si>
    <t>压滤机房</t>
  </si>
  <si>
    <t>√ 防护罩恢复原位，加强巡检</t>
  </si>
  <si>
    <t>20-2-29</t>
  </si>
  <si>
    <t>整改完成</t>
  </si>
  <si>
    <t>20-2-14</t>
  </si>
  <si>
    <t>就医抢救无效死亡。</t>
  </si>
  <si>
    <t>送煤车除尘</t>
  </si>
  <si>
    <t>√ 增设护栏
√ 按照高处作业规范办理票证，安全带高挂低用</t>
  </si>
  <si>
    <t>20-2-16</t>
  </si>
  <si>
    <t>造成设备损坏，经济损失50万元</t>
  </si>
  <si>
    <t>孙文鹏</t>
  </si>
  <si>
    <t>2号提升井2层</t>
  </si>
  <si>
    <t>信号线关系到提升机的稳定运行，需加强保护</t>
  </si>
  <si>
    <t>√ 对信号线裸露部分进行套管保护，防止老化失灵</t>
  </si>
  <si>
    <t>20-2-19</t>
  </si>
  <si>
    <t>2万-10万的财产损失</t>
  </si>
  <si>
    <t>安全环保处</t>
  </si>
  <si>
    <t>王玉辉</t>
  </si>
  <si>
    <t>刘宁</t>
  </si>
  <si>
    <t>熄焦车不得进入提升中的罐下</t>
  </si>
  <si>
    <t>√ 干熄罐上下提升过程中，熄焦司机不得将熄焦车开入提升机下</t>
  </si>
  <si>
    <t>20-3-3</t>
  </si>
  <si>
    <t>对干熄车重申要求干熄罐下下提升过程中车辆需在提升机外，防止罐掉落伤人</t>
  </si>
  <si>
    <t>一人员烫伤，损工一个月</t>
  </si>
  <si>
    <t>主控楼东南角主蒸汽疏</t>
  </si>
  <si>
    <t>处理漏点防止伤人</t>
  </si>
  <si>
    <t>√ 处理漏点，防止高温蒸汽烫伤</t>
  </si>
  <si>
    <t>20-2-21</t>
  </si>
  <si>
    <t>一人损工7天</t>
  </si>
  <si>
    <t>丁杰</t>
  </si>
  <si>
    <t>20-3-25</t>
  </si>
  <si>
    <t>3号站</t>
  </si>
  <si>
    <t>√ 更换盖板</t>
  </si>
  <si>
    <t>20-2-22</t>
  </si>
  <si>
    <t>致使阀门损坏，经济损失1万元</t>
  </si>
  <si>
    <t>20-3-23</t>
  </si>
  <si>
    <t>主控楼楼顶</t>
  </si>
  <si>
    <t>限位块方便操作观察阀门开启度，应保持正常</t>
  </si>
  <si>
    <t>√ 固定限位块，方便操作观察阀门开启度</t>
  </si>
  <si>
    <t>限位块已固定。</t>
  </si>
  <si>
    <t>20-2-25</t>
  </si>
  <si>
    <t>干熄焦区域</t>
  </si>
  <si>
    <t>人员烫伤</t>
  </si>
  <si>
    <t>紧急</t>
  </si>
  <si>
    <t>李刚</t>
  </si>
  <si>
    <t>20-3-26</t>
  </si>
  <si>
    <t>干熄焦锅炉</t>
  </si>
  <si>
    <t>员工责任心强，定时巡检及时发现问题。</t>
  </si>
  <si>
    <t>√ 巡检关闭蒸汽阀门，联系仪表工立即更换新电接点。</t>
  </si>
  <si>
    <t>已更换新电接点。</t>
  </si>
  <si>
    <t>20-2-26</t>
  </si>
  <si>
    <t>高压油泵电机烧毁，经济损失35000元。</t>
  </si>
  <si>
    <t>戴晓宁</t>
  </si>
  <si>
    <t>干熄焦汽轮机零米</t>
  </si>
  <si>
    <t>电气设备需保持干燥，防止进水</t>
  </si>
  <si>
    <t>√ 处理漏水点，防止电机进水造成电气损坏</t>
  </si>
  <si>
    <t>漏水点已处理。</t>
  </si>
  <si>
    <t>左腿小腿骨骨裂</t>
  </si>
  <si>
    <t>张海娜</t>
  </si>
  <si>
    <t>20-3-27</t>
  </si>
  <si>
    <t>预处理水解酸化池</t>
  </si>
  <si>
    <t>20-2-28</t>
  </si>
  <si>
    <t>污水处理车间深度处理</t>
  </si>
  <si>
    <t>接地线未连接电机老化漏电导致触电身亡</t>
  </si>
  <si>
    <t>李娟娟</t>
  </si>
  <si>
    <t>20-4-3</t>
  </si>
  <si>
    <t>泵房</t>
  </si>
  <si>
    <t>√ 连接接地线</t>
  </si>
  <si>
    <t>20-3-13</t>
  </si>
  <si>
    <t>备煤西线岗位及配电室</t>
  </si>
  <si>
    <t>电伤！损工五天！</t>
  </si>
  <si>
    <t>备煤车间</t>
  </si>
  <si>
    <t>张立德</t>
  </si>
  <si>
    <t>刘冲</t>
  </si>
  <si>
    <t>收发室</t>
  </si>
  <si>
    <t>电暖气线路破损，容易电伤人员，引起触电事故</t>
  </si>
  <si>
    <t>√ 重新固定包扎线路
√ 人员使用过程中注意安全</t>
  </si>
  <si>
    <t>电暖气线路重新包扎，防止线头裸露，引起触电事故。同时人员使用时注意安全。</t>
  </si>
  <si>
    <t>1号站</t>
  </si>
  <si>
    <t>一名取样工脸部擦伤，右臂骨折，损工30天</t>
  </si>
  <si>
    <t>关闭</t>
  </si>
  <si>
    <t>张娜</t>
  </si>
  <si>
    <t>陶瓷过滤器取样点</t>
  </si>
  <si>
    <t>后果类别填写错误，应该为人员伤害</t>
  </si>
  <si>
    <t>0%</t>
  </si>
  <si>
    <t>一名取样工脸部、手部擦伤，经医务室处理后返岗复工</t>
  </si>
  <si>
    <t>20-4-5</t>
  </si>
  <si>
    <t>√ 修改放气阀
√ 更换取样地点</t>
  </si>
  <si>
    <t>20-3-4</t>
  </si>
  <si>
    <t>备煤东线岗位及配电室</t>
  </si>
  <si>
    <t>一人右前臂骨折 损工92天</t>
  </si>
  <si>
    <t>郭焕雷</t>
  </si>
  <si>
    <t>东四</t>
  </si>
  <si>
    <t>简述区域描写不一致</t>
  </si>
  <si>
    <t>一人右前臂骨折 损工91天</t>
  </si>
  <si>
    <t>张永生</t>
  </si>
  <si>
    <t>20-4-6</t>
  </si>
  <si>
    <t>√ 抓紧修理
√ 加强巡查</t>
  </si>
  <si>
    <t>20-3-6</t>
  </si>
  <si>
    <t>一人头部擦伤 损工10天</t>
  </si>
  <si>
    <t>√ 套管注意安全
√ 抓紧整改</t>
  </si>
  <si>
    <t>泵体泄漏造成室内环境污染</t>
  </si>
  <si>
    <t>董永琴</t>
  </si>
  <si>
    <t>20-4-4</t>
  </si>
  <si>
    <t>√ 更换机封</t>
  </si>
  <si>
    <t>手腕皮肤擦伤，不影响工作。</t>
  </si>
  <si>
    <t>逯洪帅</t>
  </si>
  <si>
    <t>加药间</t>
  </si>
  <si>
    <t>√ 安装盖板</t>
  </si>
  <si>
    <t>20-3-5</t>
  </si>
  <si>
    <t>脊柱受损失去工作能力</t>
  </si>
  <si>
    <t>房军</t>
  </si>
  <si>
    <t>20-4-19</t>
  </si>
  <si>
    <t>拦焦车</t>
  </si>
  <si>
    <t>√ 焊接加固
√ 加强巡查</t>
  </si>
  <si>
    <t>皮肉划伤、小腿骨骨裂，损工2 个月</t>
  </si>
  <si>
    <t>20-4-10</t>
  </si>
  <si>
    <t>水熄车</t>
  </si>
  <si>
    <t>√ 焊补漏洞
√ 加强检查</t>
  </si>
  <si>
    <t>操作工在巡检过程会造成烫伤事故。</t>
  </si>
  <si>
    <t>高温物质</t>
  </si>
  <si>
    <t>高士国</t>
  </si>
  <si>
    <t>25t锅炉</t>
  </si>
  <si>
    <t>√ 维修紧固
× 维持锅炉正常运行</t>
  </si>
  <si>
    <t>拆水位计换垫子紧固。</t>
  </si>
  <si>
    <t>新浓水泵房</t>
  </si>
  <si>
    <t>皮肤大面积灼伤，损工1个月</t>
  </si>
  <si>
    <t>于佳佳</t>
  </si>
  <si>
    <t>20-4-13</t>
  </si>
  <si>
    <t>污水泵房</t>
  </si>
  <si>
    <t>√ 处理泄漏点
× 擦拭干净</t>
  </si>
  <si>
    <t>还原剂量泵漏点换垫子整改。</t>
  </si>
  <si>
    <t>化学水超滤室</t>
  </si>
  <si>
    <t>小腿骨折，损工1个月</t>
  </si>
  <si>
    <t>王国花</t>
  </si>
  <si>
    <t>化学水</t>
  </si>
  <si>
    <t>√ 恢复盖板
× 巡检注意避让</t>
  </si>
  <si>
    <t>割铁制盖板覆盖。</t>
  </si>
  <si>
    <t>一操作工右手全部烫伤超严重，住院治疗两个月</t>
  </si>
  <si>
    <t>刘建卫</t>
  </si>
  <si>
    <t>热力车间东区</t>
  </si>
  <si>
    <t>现场自行整改，后期加强培训教育和防护</t>
  </si>
  <si>
    <t>没有什么伤害休息一会儿继续工作</t>
  </si>
  <si>
    <t>标志缺陷</t>
  </si>
  <si>
    <t>刘宝安</t>
  </si>
  <si>
    <t>主控室10千伏控制室</t>
  </si>
  <si>
    <t>由当事人就地整改</t>
  </si>
  <si>
    <t>一人扭伤脚踝，休养一周的损工事件</t>
  </si>
  <si>
    <t>√ 焊补平台铁板
√ 行走注意安全</t>
  </si>
  <si>
    <t>一人死亡事故</t>
  </si>
  <si>
    <t>机侧集气管平台</t>
  </si>
  <si>
    <t>√ 焊补护栏
√ 加强监管，人员禁止靠近</t>
  </si>
  <si>
    <t>人员腿部擦伤或蹭伤</t>
  </si>
  <si>
    <t>王忠亮</t>
  </si>
  <si>
    <t>赵明</t>
  </si>
  <si>
    <t>20-4-7</t>
  </si>
  <si>
    <t>煤棚周边水沟</t>
  </si>
  <si>
    <t>√ 联系维修更换</t>
  </si>
  <si>
    <t>20-3-8</t>
  </si>
  <si>
    <t>一人手部擦伤，休息后继续工作</t>
  </si>
  <si>
    <t>201水池</t>
  </si>
  <si>
    <t>√ 联系维修焊补</t>
  </si>
  <si>
    <t>一人手部割伤，住院1个月，修养3个月</t>
  </si>
  <si>
    <t>东一地沟</t>
  </si>
  <si>
    <t>√ 联系维修补全做好防护</t>
  </si>
  <si>
    <t>一人绊倒，未造成伤害</t>
  </si>
  <si>
    <t>生化好氧池</t>
  </si>
  <si>
    <t>√ 清理杂物</t>
  </si>
  <si>
    <t>跌倒脚踝轻微扭伤，休息片刻后正常工作</t>
  </si>
  <si>
    <t>吴玉才</t>
  </si>
  <si>
    <t>刘振志</t>
  </si>
  <si>
    <t>预处理气浮机走道盖板</t>
  </si>
  <si>
    <t>质量保证</t>
  </si>
  <si>
    <t>√ 维修更换踏板</t>
  </si>
  <si>
    <t>人员左脚扭伤，送医处理15天后复工，损工15天</t>
  </si>
  <si>
    <t>赵兴家</t>
  </si>
  <si>
    <t>硫酸储槽过桥爬梯</t>
  </si>
  <si>
    <t>√ 更换加固爬梯踏板</t>
  </si>
  <si>
    <t>造成1人死亡</t>
  </si>
  <si>
    <t>待整改</t>
  </si>
  <si>
    <t>炉门维修站</t>
  </si>
  <si>
    <t>× 插保险销
× 加强检查</t>
  </si>
  <si>
    <t>化产车间，深度脫硫</t>
  </si>
  <si>
    <t>去医务室治疗后在家休养15天后正常上班</t>
  </si>
  <si>
    <t>王海国</t>
  </si>
  <si>
    <t>熔硫釜一层</t>
  </si>
  <si>
    <t>√ 处理泄漏点</t>
  </si>
  <si>
    <t>右脚脚踝骨折，住院15天，限工3月！</t>
  </si>
  <si>
    <t>邢玉坤</t>
  </si>
  <si>
    <t>硫酸贮槽东南侧爬梯</t>
  </si>
  <si>
    <t>√ 维修加固踏板</t>
  </si>
  <si>
    <t>腐蚀、环境污染</t>
  </si>
  <si>
    <t>李栋</t>
  </si>
  <si>
    <t>两盐屋内</t>
  </si>
  <si>
    <t>× 更换管线泄露点</t>
  </si>
  <si>
    <t>左脚脚腕扭伤住院治疗三天，在家休息十天</t>
  </si>
  <si>
    <t>夏海美</t>
  </si>
  <si>
    <t>粗苯冷凝液罐</t>
  </si>
  <si>
    <t>√ 加固护笼</t>
  </si>
  <si>
    <t>人员被活动栏杆拌倒摔伤，休息半天后继续工作。</t>
  </si>
  <si>
    <t>王彩红</t>
  </si>
  <si>
    <t>北门消防通道</t>
  </si>
  <si>
    <t>√ 挪走移动护栏</t>
  </si>
  <si>
    <t>风机中控室</t>
  </si>
  <si>
    <t>造成冒烟冒火，风机停机重大环保事故，影响正常生产</t>
  </si>
  <si>
    <t>杨兰</t>
  </si>
  <si>
    <t>中控室操作台</t>
  </si>
  <si>
    <t>√ 维修保养，更换手操器</t>
  </si>
  <si>
    <t>一名操作工轻微划伤手臂简单包扎后能正常工作。</t>
  </si>
  <si>
    <t>刘良永</t>
  </si>
  <si>
    <t>西硫铵</t>
  </si>
  <si>
    <t>√ 清理管架铝皮。</t>
  </si>
  <si>
    <t>5.5米焦炉机侧</t>
  </si>
  <si>
    <t>设备损坏</t>
  </si>
  <si>
    <t>机侧摩电轨</t>
  </si>
  <si>
    <t>√ 检修处理
√ 加强巡查</t>
  </si>
  <si>
    <t>一名操作人员轻微划伤手臂，简单包扎后正常工作。</t>
  </si>
  <si>
    <t>高联名</t>
  </si>
  <si>
    <t>深度脱硫3号熔硫釜</t>
  </si>
  <si>
    <t>√ 加固保温铝皮。</t>
  </si>
  <si>
    <t>20-3-18</t>
  </si>
  <si>
    <t>一人右小腿骨折  损工122天</t>
  </si>
  <si>
    <t>20-4-15</t>
  </si>
  <si>
    <t>煤棚西排水沟</t>
  </si>
  <si>
    <t>√ 更换注意安全</t>
  </si>
  <si>
    <t>一人手臂扭伤 损工15天</t>
  </si>
  <si>
    <t>东一</t>
  </si>
  <si>
    <t>√ 加强巡查
√ 维修注意安全</t>
  </si>
  <si>
    <t>化产车间南脱硫</t>
  </si>
  <si>
    <t>空气管道破裂造成设备损坏，环境污染</t>
  </si>
  <si>
    <t>秦顺东</t>
  </si>
  <si>
    <t>20-4-14</t>
  </si>
  <si>
    <t>南脱硫</t>
  </si>
  <si>
    <t>√ 更换管线</t>
  </si>
  <si>
    <t>锅炉</t>
  </si>
  <si>
    <t>住院治疗，损工三个月。</t>
  </si>
  <si>
    <t>热力西区煤场</t>
  </si>
  <si>
    <t>√ 焊接开焊处
√ 人员加强注意</t>
  </si>
  <si>
    <t>天车栏杆焊接加固。</t>
  </si>
  <si>
    <t>一人膝盖破皮，不影响工作</t>
  </si>
  <si>
    <t>刘清明</t>
  </si>
  <si>
    <t>20-5-1</t>
  </si>
  <si>
    <t>锅炉一次风机南侧地沟</t>
  </si>
  <si>
    <t>× 提报物资计划，购进耐用盖板
√ 盖好，保持盖板齐全</t>
  </si>
  <si>
    <t>20-3-22</t>
  </si>
  <si>
    <t>更换地沟盖2块。</t>
  </si>
  <si>
    <t>蹭伤手臂，损工半天</t>
  </si>
  <si>
    <t>闫庚全</t>
  </si>
  <si>
    <t>加药管道</t>
  </si>
  <si>
    <t>√ 维修更换活接</t>
  </si>
  <si>
    <t>一名操作人员溺水身亡</t>
  </si>
  <si>
    <t>崔建东</t>
  </si>
  <si>
    <t>1号站生化</t>
  </si>
  <si>
    <t>√ 增加防护栏</t>
  </si>
  <si>
    <t>造成面部灼伤，损工三天</t>
  </si>
  <si>
    <t>滕秀河</t>
  </si>
  <si>
    <t>深度处理加药间</t>
  </si>
  <si>
    <t>培训和表现</t>
  </si>
  <si>
    <t>√ 立即整改，加强培训和管理</t>
  </si>
  <si>
    <t>东焦场筛焦楼</t>
  </si>
  <si>
    <t>肩部骨折，就医修养6个月</t>
  </si>
  <si>
    <t>张国行</t>
  </si>
  <si>
    <t>南部围栏</t>
  </si>
  <si>
    <t>√ 去除破损的挡板
√ 在破损点周围新增安装彩钢板，堵住漏洞，恢复围栏防护作用</t>
  </si>
  <si>
    <t>皮带断裂生产无法进行</t>
  </si>
  <si>
    <t>地下（含水下）作业环境不良</t>
  </si>
  <si>
    <t>刘清磊</t>
  </si>
  <si>
    <t>扒焦焦一皮带</t>
  </si>
  <si>
    <t>√ 更换处理
√ 加强巡查</t>
  </si>
  <si>
    <t>一人绊倒划伤腿部，简单包扎处理，不影响工作</t>
  </si>
  <si>
    <t>赵建军</t>
  </si>
  <si>
    <t>35吨锅炉一层</t>
  </si>
  <si>
    <t>设备变更管理</t>
  </si>
  <si>
    <t>× 割除裸露钢筋
√ 教育职工注意提高防范意识</t>
  </si>
  <si>
    <t>20-3-30</t>
  </si>
  <si>
    <t>更换铁制防滑板盖板。</t>
  </si>
  <si>
    <t>检查休息后不影响工作</t>
  </si>
  <si>
    <t>杨振斌</t>
  </si>
  <si>
    <t>锅炉北水沟盖板</t>
  </si>
  <si>
    <t>√ 固定盖板
√ 教育职工注意提高防范意识</t>
  </si>
  <si>
    <t>用水泥盖板更换。</t>
  </si>
  <si>
    <t>经诊断脚腕骨折住院治疗15天，限工2个月。</t>
  </si>
  <si>
    <t>刘强</t>
  </si>
  <si>
    <t>北脱硫</t>
  </si>
  <si>
    <t>√ 清扫地面积水</t>
  </si>
  <si>
    <t>脚部受伤，损工两天</t>
  </si>
  <si>
    <t>胡红梅</t>
  </si>
  <si>
    <t>刘锡玉</t>
  </si>
  <si>
    <t>班长室西侧</t>
  </si>
  <si>
    <t>备煤煤线岗位及配电室</t>
  </si>
  <si>
    <t>腿部受伤，损工七天。</t>
  </si>
  <si>
    <t>刘顺亭</t>
  </si>
  <si>
    <t>煤棚北侧水沟盖板损坏</t>
  </si>
  <si>
    <t>√ 更换盖板。</t>
  </si>
  <si>
    <t>脚部受伤，损工105天。</t>
  </si>
  <si>
    <t>郭才喜</t>
  </si>
  <si>
    <t>破碎机</t>
  </si>
  <si>
    <t>√ 严格按照工具存放规定进行存放。</t>
  </si>
  <si>
    <t>风机初冷器</t>
  </si>
  <si>
    <t>一人员手腕脱臼，损工一周</t>
  </si>
  <si>
    <t>张昆</t>
  </si>
  <si>
    <t>初冷器二层平台</t>
  </si>
  <si>
    <t>√ 整理线路</t>
  </si>
  <si>
    <t>粗苯</t>
  </si>
  <si>
    <t>该操作工因长时间吸入大量煤气无人发现造成中毒死亡</t>
  </si>
  <si>
    <t>煤气外供站</t>
  </si>
  <si>
    <t>√ 置换后更换阀门
√ 悬挂警示牌，采取紧急措施后更换阀门</t>
  </si>
  <si>
    <t>热力，汽轮机</t>
  </si>
  <si>
    <t>腿部受伤，损工三天。</t>
  </si>
  <si>
    <t>赵坤</t>
  </si>
  <si>
    <t>20-4-17</t>
  </si>
  <si>
    <t>二号减温减压西侧</t>
  </si>
  <si>
    <t>× 重新盖好铁质盖板
× 教育职工注意提高防范意识</t>
  </si>
  <si>
    <t>小臂骨折住院修养，损工三个月。</t>
  </si>
  <si>
    <t>张冬梅</t>
  </si>
  <si>
    <t>焦渣掺配处</t>
  </si>
  <si>
    <t>√ 安装防护罩</t>
  </si>
  <si>
    <t>头部流血，在家休养一周</t>
  </si>
  <si>
    <t>王占伟</t>
  </si>
  <si>
    <t>粗苯操作室</t>
  </si>
  <si>
    <t>× 加固盖板
√ 移走高处盖板</t>
  </si>
  <si>
    <t>轻微划伤，包扎后继续上班</t>
  </si>
  <si>
    <t>王璇</t>
  </si>
  <si>
    <t>再生器一层平台</t>
  </si>
  <si>
    <t>× 清除钢筋铁管</t>
  </si>
  <si>
    <t>安全意识不强，爬梯断裂造成脚部轻度扭伤，休养二天。</t>
  </si>
  <si>
    <t>刘洪光</t>
  </si>
  <si>
    <t>硫酸贮槽处爬梯</t>
  </si>
  <si>
    <t>√ 更换爬梯踏板</t>
  </si>
  <si>
    <t>用汽单位无法正常生产造成财产损失240万元。</t>
  </si>
  <si>
    <t>汽轮机一层</t>
  </si>
  <si>
    <t>需待停炉后街进行检修</t>
  </si>
  <si>
    <t>脱硫液喷出，造成重大环保事故。</t>
  </si>
  <si>
    <t>李贞涛</t>
  </si>
  <si>
    <t>2#再生塔</t>
  </si>
  <si>
    <t>√ 降低也为进行检修，更换管线</t>
  </si>
  <si>
    <t>20-4-11</t>
  </si>
  <si>
    <t>肋骨骨折，就医修养3个月</t>
  </si>
  <si>
    <t>炉门修理架顶部护栏</t>
  </si>
  <si>
    <t>√ 未整改前，提醒职工规避该区域站位巡检
√ 焊接恢复护栏</t>
  </si>
  <si>
    <t>眼球腐伤</t>
  </si>
  <si>
    <t>化学性危险和有害因素</t>
  </si>
  <si>
    <t>张伟波</t>
  </si>
  <si>
    <t>20-4-16</t>
  </si>
  <si>
    <t>四楼结晶槽</t>
  </si>
  <si>
    <t>√ 加固焊接漏点</t>
  </si>
  <si>
    <t>南冷凝</t>
  </si>
  <si>
    <t>被三角铁绊倒，无误工</t>
  </si>
  <si>
    <t>刘永先</t>
  </si>
  <si>
    <t>1#轴流风扇平台</t>
  </si>
  <si>
    <t>√ 清理地面杂物，加固支架</t>
  </si>
  <si>
    <t>化产车间北脱硫</t>
  </si>
  <si>
    <t>送医护室简单包扎不影响工作</t>
  </si>
  <si>
    <t>高德钦</t>
  </si>
  <si>
    <t>北脱硫南下水道</t>
  </si>
  <si>
    <t>× 对地沟破损的水泥盖板更换或者遮挡铁板</t>
  </si>
  <si>
    <t>黄兆华</t>
  </si>
  <si>
    <t>北脱硫南</t>
  </si>
  <si>
    <t>√ 更换管线法兰</t>
  </si>
  <si>
    <t>备煤焦渣掺配系统</t>
  </si>
  <si>
    <t>人员拌倒，膝盖受伤，损坏三天</t>
  </si>
  <si>
    <t>焦查掺配处</t>
  </si>
  <si>
    <t>煤厂人员较多，路面钢筋裸露，人员经过易引起摔伤划伤</t>
  </si>
  <si>
    <t>√ 维修人员拆除裸露的钢筋
√ 人员经过时注意脚下</t>
  </si>
  <si>
    <t>20-3-21</t>
  </si>
  <si>
    <t>维修人员对裸露的钢筋进行切割清理，防止人员车辆经过时出现伤害事故</t>
  </si>
  <si>
    <t>南风机岗位及配电室</t>
  </si>
  <si>
    <t>一人被平台上铁皮绊倒磕伤膝盖不影响工作</t>
  </si>
  <si>
    <t>刘建平</t>
  </si>
  <si>
    <t>初冷器平台</t>
  </si>
  <si>
    <t>√ 清除平台上铁皮杂物</t>
  </si>
  <si>
    <t>腿部皮肉划伤，包扎处理，损工一天。</t>
  </si>
  <si>
    <t>汽机房零米</t>
  </si>
  <si>
    <t>确保操作现场良好，防止人员失足受伤</t>
  </si>
  <si>
    <t>× 尽快加装盖板，确保地沟处于盖板全覆盖状态，防止人员失足受伤</t>
  </si>
  <si>
    <t>北班长室东侧管架</t>
  </si>
  <si>
    <t>一名操作工轻微划伤手臂，简单包扎后正常工作</t>
  </si>
  <si>
    <t>胡福颖</t>
  </si>
  <si>
    <t>× 清除框架铝皮</t>
  </si>
  <si>
    <t>该操作工轻微煤气中毒，医务室吸氧后复工</t>
  </si>
  <si>
    <t>刘少勇</t>
  </si>
  <si>
    <t>√ 停止供气，吹扫置换后加固焊接短接</t>
  </si>
  <si>
    <t>化产车间，综合供水</t>
  </si>
  <si>
    <t>该操作工肩部轻微骨折，住院治疗后在家休养3个月复工</t>
  </si>
  <si>
    <t>高卫东</t>
  </si>
  <si>
    <t>老凉水架顶部</t>
  </si>
  <si>
    <t>√ 加固线缆盖板</t>
  </si>
  <si>
    <t>污水2#站</t>
  </si>
  <si>
    <t>压伤脚面休息2天</t>
  </si>
  <si>
    <t>李强</t>
  </si>
  <si>
    <t>20-3-31</t>
  </si>
  <si>
    <t>2#站</t>
  </si>
  <si>
    <t>隐患很有现实教育意义</t>
  </si>
  <si>
    <t>√ 添加泊车木</t>
  </si>
  <si>
    <t>立即整改</t>
  </si>
  <si>
    <t>操作工左腿骨折入院治疗损工三个月</t>
  </si>
  <si>
    <t>田怀成</t>
  </si>
  <si>
    <t>煤场行车</t>
  </si>
  <si>
    <t>√ 更换玻璃或用铁板遮挡，固定
√ 教育职工注意提高防范意识</t>
  </si>
  <si>
    <t>行车观察玻璃用钢筋焊补。</t>
  </si>
  <si>
    <t>南化产风机岗位</t>
  </si>
  <si>
    <t>造成一人轻微擦伤</t>
  </si>
  <si>
    <t>20-4-18</t>
  </si>
  <si>
    <t>电捕焦油器王军</t>
  </si>
  <si>
    <t>√ 清除吹扫管及铁器杂物</t>
  </si>
  <si>
    <t>干熄炉</t>
  </si>
  <si>
    <t>损工半天</t>
  </si>
  <si>
    <t>董孝文</t>
  </si>
  <si>
    <t>干熄炉二层</t>
  </si>
  <si>
    <t>巡检细致，能发现细微处隐患</t>
  </si>
  <si>
    <t>× 联系维修进行焊补，防止人员受伤</t>
  </si>
  <si>
    <t>药品灼伤皮肤</t>
  </si>
  <si>
    <t>二楼加药间</t>
  </si>
  <si>
    <t>× 固定计量泵
× 教育职工注意提高防范意识</t>
  </si>
  <si>
    <t>住院7天，限工1月</t>
  </si>
  <si>
    <t>刘桂亮</t>
  </si>
  <si>
    <t>√ 清理盖板上铁棍</t>
  </si>
  <si>
    <t>铝皮坠落脸部伤害</t>
  </si>
  <si>
    <t>杨光伟</t>
  </si>
  <si>
    <t>空压站东管架</t>
  </si>
  <si>
    <t>√ 清理管架上部铝皮</t>
  </si>
  <si>
    <t>一人擦伤右小腿，去医务室治疗。</t>
  </si>
  <si>
    <t>超滤设备南侧地沟</t>
  </si>
  <si>
    <t>√ 重新制作更换盖板
× 盖好，保持盖板齐全</t>
  </si>
  <si>
    <t>20-4-1</t>
  </si>
  <si>
    <t>地沟盖板断裂处制作铁制盖板覆盖。</t>
  </si>
  <si>
    <t>一人右手部划伤不影响工作</t>
  </si>
  <si>
    <t>党传清</t>
  </si>
  <si>
    <t>初冷器东北角</t>
  </si>
  <si>
    <t>× 清除线路板</t>
  </si>
  <si>
    <t>铁皮被风吹落，划伤行人脖颈，损工七天！</t>
  </si>
  <si>
    <t>煤六</t>
  </si>
  <si>
    <t>彩钢瓦上方边子脱落，春季风大，易引起伤害事故</t>
  </si>
  <si>
    <t>√ 提醒人员经过高层建筑时，不要逗留和从有可能掉落物体的地方经过
√ 安排人员将破损边子拆除</t>
  </si>
  <si>
    <t>安排人员将刮开的边子进行清理，并提醒职工风大不要从高层建筑处行走或者逗留</t>
  </si>
  <si>
    <t>人员腿部划伤，损工三天</t>
  </si>
  <si>
    <t>煤棚西北角</t>
  </si>
  <si>
    <t>水沟篦子破损人员经过引起伤害事故，应立即更换</t>
  </si>
  <si>
    <t>√ 提醒人员行走注意脚下隐患
√ 更换水沟篦子，防止事故发生</t>
  </si>
  <si>
    <t>更换水沟篦子，防止人员经过出现伤害事故</t>
  </si>
  <si>
    <t>经抢救无效死亡</t>
  </si>
  <si>
    <t>刘青松</t>
  </si>
  <si>
    <t>20-5-19</t>
  </si>
  <si>
    <t>5#减温减压</t>
  </si>
  <si>
    <t>能发现边缘区域隐患，安全意识强</t>
  </si>
  <si>
    <t>√ 维修班焊接护栏，防止人员掉落</t>
  </si>
  <si>
    <t>已加装护栏，有效防止人员跌落</t>
  </si>
  <si>
    <t>脚部骨折，住院一个月，回家休养两个月，损工三个月</t>
  </si>
  <si>
    <t>李振英</t>
  </si>
  <si>
    <t>20-4-20</t>
  </si>
  <si>
    <t>溶液缓冲泵西侧</t>
  </si>
  <si>
    <t>√ 添加管托支撑</t>
  </si>
  <si>
    <t>一人脚踝受伤 休息一会不影响工作</t>
  </si>
  <si>
    <t>20-4-21</t>
  </si>
  <si>
    <t>煤八后尾</t>
  </si>
  <si>
    <t>√ 尽快整改
√ 加强巡查</t>
  </si>
  <si>
    <t>一人右前臂骨折 损工122天</t>
  </si>
  <si>
    <t>煤五</t>
  </si>
  <si>
    <t>右手被烫伤，紧急用凉水冲洗后送医治疗，在家修养七天后正常上班</t>
  </si>
  <si>
    <t>西硫铵三楼</t>
  </si>
  <si>
    <t>√ 悬挂警示牌</t>
  </si>
  <si>
    <t>人员电伤，损工三天</t>
  </si>
  <si>
    <t>杨春鹏</t>
  </si>
  <si>
    <t>西四</t>
  </si>
  <si>
    <t>电缆过线处必须安装套管，防止破损漏电，造成人员伤害</t>
  </si>
  <si>
    <t>√ 将电缆安装套管
√ 人员注意加强防范意识</t>
  </si>
  <si>
    <t>穿窗电缆加装套管，防止破皮引起电伤害事故</t>
  </si>
  <si>
    <t>冷凝液低位槽内有易挥发的氨气，浓度达到上限后遇火花会产生爆炸</t>
  </si>
  <si>
    <t>付晓寺</t>
  </si>
  <si>
    <t>冷凝液低位槽</t>
  </si>
  <si>
    <t>√ 查明原因，更换线路</t>
  </si>
  <si>
    <t>送医后确诊身体多处骨折，住院治疗30天，回家休养180天复工</t>
  </si>
  <si>
    <t>戴立军</t>
  </si>
  <si>
    <t>20-4-24</t>
  </si>
  <si>
    <t>2#站主副塔</t>
  </si>
  <si>
    <t>√ 安装护栏</t>
  </si>
  <si>
    <t>南风机</t>
  </si>
  <si>
    <t>造成操作工右臂砸伤，住院治疗5天，出院后返工，损工5天。</t>
  </si>
  <si>
    <t>夏园园</t>
  </si>
  <si>
    <t>风机房内支撑柱上方</t>
  </si>
  <si>
    <t>√ 清除复合板</t>
  </si>
  <si>
    <t>铝皮高处坠落，造成人员轻微擦伤，不影响工作</t>
  </si>
  <si>
    <t>刘国强</t>
  </si>
  <si>
    <t>20-4-22</t>
  </si>
  <si>
    <t>初冷器东南角框架上</t>
  </si>
  <si>
    <t>√ 清除高处杂物</t>
  </si>
  <si>
    <t>静电着火</t>
  </si>
  <si>
    <t>乔玉杰</t>
  </si>
  <si>
    <t>硫酸低位槽</t>
  </si>
  <si>
    <t>√ 加固接地装置</t>
  </si>
  <si>
    <t>职工划伤手，损工三天！</t>
  </si>
  <si>
    <t>车间宣传栏</t>
  </si>
  <si>
    <t>宣传栏玻璃破裂，人员擦玻璃时容易划伤手，及时更换防止人员伤害</t>
  </si>
  <si>
    <t>√ 更换宣传栏玻璃
√ 教育人员擦玻璃时注意防护</t>
  </si>
  <si>
    <t>宣传栏玻璃及时更换，防止人员擦玻璃时划伤手部，引起伤害事故</t>
  </si>
  <si>
    <t>长时间吸入空气 造成含氧超标 影响电捕使用 有爆炸的可能</t>
  </si>
  <si>
    <t>刘立聪</t>
  </si>
  <si>
    <t>2号初冷器</t>
  </si>
  <si>
    <t>√ 停初冷器吹扫置换，焊补开裂漏点</t>
  </si>
  <si>
    <t>20-3-28</t>
  </si>
  <si>
    <t>右侧手臂二度烫伤，住院治疗7天，回家静养10天，损工17天。</t>
  </si>
  <si>
    <t>吴长禄</t>
  </si>
  <si>
    <t>4#减温减压</t>
  </si>
  <si>
    <t>禁止人员靠近，有条件处理时进行漏点处理</t>
  </si>
  <si>
    <t>√ 在可以停汽时处理泄漏点，在处理完成前加装警戒带，禁止人员靠近</t>
  </si>
  <si>
    <t>热力车间25t锅炉</t>
  </si>
  <si>
    <t>造成右手臂烫伤，在家休养3天，损工3天</t>
  </si>
  <si>
    <t>董爱梅</t>
  </si>
  <si>
    <t>给水泵处蒸汽管线</t>
  </si>
  <si>
    <t>账号输入错误，重新提报</t>
  </si>
  <si>
    <t>手臂骨折，损工75天。</t>
  </si>
  <si>
    <t>刘顺</t>
  </si>
  <si>
    <t>西一东侧</t>
  </si>
  <si>
    <t>√ 尽快对损坏部分位进行修复，并对其他部位进行检查。</t>
  </si>
  <si>
    <t>诊断为右腿骨折，住院治疗20天，休养三个月，损工110天。</t>
  </si>
  <si>
    <t>汽轮机房七米</t>
  </si>
  <si>
    <t>能考虑到日常操作过程中的风险，应加强警示并在上下过程中养成手扶护栏的好习惯。</t>
  </si>
  <si>
    <t>√ 加装“上下爬梯，注意安全”警示牌，在上下过程中养成手扶护栏的好习惯，防止人员滑跌</t>
  </si>
  <si>
    <t>人员轻微擦伤，没有损工。</t>
  </si>
  <si>
    <t>刘帅</t>
  </si>
  <si>
    <t>粗苯终冷器</t>
  </si>
  <si>
    <t>√ 清理管架废旧铝皮</t>
  </si>
  <si>
    <t>一人手掌擦伤，清洗消毒后继续工作</t>
  </si>
  <si>
    <t>20-4-25</t>
  </si>
  <si>
    <t>2#煤场</t>
  </si>
  <si>
    <t>√ 联系维修整改割除钢筋</t>
  </si>
  <si>
    <t>轻微伤害，没有损工</t>
  </si>
  <si>
    <t>杨爱富</t>
  </si>
  <si>
    <t>初冷器一层平台</t>
  </si>
  <si>
    <t>√ 移走人孔</t>
  </si>
  <si>
    <t>造成操作工右脚脚踝扭伤，右小腿外侧划伤，住院治疗一周误工半月</t>
  </si>
  <si>
    <t>董丽霞</t>
  </si>
  <si>
    <t>热力西区操作室</t>
  </si>
  <si>
    <t>此项目需提报物资计划更换地板</t>
  </si>
  <si>
    <t>化水</t>
  </si>
  <si>
    <t>刘新才</t>
  </si>
  <si>
    <t>20-7-31</t>
  </si>
  <si>
    <t>化水二层</t>
  </si>
  <si>
    <t>√ 更换新玻璃
× 大风天气关好门窗</t>
  </si>
  <si>
    <t>拆除破碎玻璃更换新玻璃。</t>
  </si>
  <si>
    <t>蒸汽喷到右手臂轻微烫伤，损工三天</t>
  </si>
  <si>
    <t>刘云霞</t>
  </si>
  <si>
    <t>2号换热器</t>
  </si>
  <si>
    <t>√ 更换阀门</t>
  </si>
  <si>
    <t>蒸汽喷到右手臂轻微烫伤，损工三天。</t>
  </si>
  <si>
    <t>重复提报</t>
  </si>
  <si>
    <t>小腿骨折，损工三个月。</t>
  </si>
  <si>
    <t>张迎华</t>
  </si>
  <si>
    <t>初冷器东侧</t>
  </si>
  <si>
    <t>× 增加爬梯护笼</t>
  </si>
  <si>
    <t>操作工轻微擦伤，无损工</t>
  </si>
  <si>
    <t>吴轲</t>
  </si>
  <si>
    <t>洗苯塔</t>
  </si>
  <si>
    <t>√ 清除铝皮</t>
  </si>
  <si>
    <t>肩部轻微伤，误工两天。</t>
  </si>
  <si>
    <t>李金芳</t>
  </si>
  <si>
    <t>粗苯终冷塔</t>
  </si>
  <si>
    <t>√ 清除平台废旧螺栓</t>
  </si>
  <si>
    <t>南化产</t>
  </si>
  <si>
    <t>于松江</t>
  </si>
  <si>
    <t>鼓风机</t>
  </si>
  <si>
    <t>√ 更换阀门垫子</t>
  </si>
  <si>
    <t>送医院治疗15天，在家休养2元月。损工一人。</t>
  </si>
  <si>
    <t>刘明壮</t>
  </si>
  <si>
    <t>20-4-26</t>
  </si>
  <si>
    <t>浮油器爬梯</t>
  </si>
  <si>
    <t>√ 加固爬梯护栏</t>
  </si>
  <si>
    <t>小腿划伤，一人损工7天</t>
  </si>
  <si>
    <t>刘洪芳</t>
  </si>
  <si>
    <t>制冷池西侧</t>
  </si>
  <si>
    <t>√ 更换完整铁板覆盖严密</t>
  </si>
  <si>
    <t>一名操作人员右小腿划伤，损工三天。</t>
  </si>
  <si>
    <t>操作工脚部划伤，休息十天复工</t>
  </si>
  <si>
    <t>李兴</t>
  </si>
  <si>
    <t>√ 清走压滤机盖板</t>
  </si>
  <si>
    <t>一人右脚腕扭伤不影响正常工作</t>
  </si>
  <si>
    <t>张晓雷</t>
  </si>
  <si>
    <t>初冷器北侧</t>
  </si>
  <si>
    <t>√ 添加警示牌</t>
  </si>
  <si>
    <t>身体受伤。误工三天。</t>
  </si>
  <si>
    <t>西三</t>
  </si>
  <si>
    <t>√ 进快对其关闭，但注意不能锁闭！</t>
  </si>
  <si>
    <t>造成人员住院治疗一个月，在家休养2个月，误工90天</t>
  </si>
  <si>
    <t>李晓楠</t>
  </si>
  <si>
    <t>值班室西侧</t>
  </si>
  <si>
    <t>值班室西侧水沟盖板破损，需更换，防止人员经过造成伤害事故</t>
  </si>
  <si>
    <t>√ 更换破损盖板
√ 教育职工经过有盖板的水沟时，注意破损路段防止伤害事故的发生</t>
  </si>
  <si>
    <t>20-3-29</t>
  </si>
  <si>
    <t>及时清理破碎盖板，更换，防止人员伤害</t>
  </si>
  <si>
    <t>一名员工被绊倒未造成伤害</t>
  </si>
  <si>
    <t>胡西荣</t>
  </si>
  <si>
    <t>干熄焦主控室</t>
  </si>
  <si>
    <t>不可忽视小问题，及时消除隐患</t>
  </si>
  <si>
    <t>× 修整防静电地板，防止人员绊倒摔伤</t>
  </si>
  <si>
    <t>手部皮肉受伤</t>
  </si>
  <si>
    <t>郝效蓉</t>
  </si>
  <si>
    <t>东四二号皮带秤配重铁杆磨损，人员在手动反板过程中，易挤伤手部</t>
  </si>
  <si>
    <t>√ 将配重铁块杆磨损处重新焊补
√ 人员在手动翻板时注意加强保护措施</t>
  </si>
  <si>
    <t>东四皮带秤刮板配重铁杆磨损严重，经焊补后恢复正常，防止人员操作时出现安全事故</t>
  </si>
  <si>
    <t>制氮机组</t>
  </si>
  <si>
    <t>造成腿部轻微碰伤，休息片刻后继续工作。</t>
  </si>
  <si>
    <t>马卫东</t>
  </si>
  <si>
    <t>制氮机</t>
  </si>
  <si>
    <t>√ 清除更换的消音设备</t>
  </si>
  <si>
    <t>人员脚面受伤，造成误工90天</t>
  </si>
  <si>
    <t>东三岗位</t>
  </si>
  <si>
    <t>东三岗位卸料车行走电机固定处开焊，人员操作时电机掉落砸伤脚部</t>
  </si>
  <si>
    <t>√ 维修重新焊补固定
√ 人员操作时保持距离，加强安全意识</t>
  </si>
  <si>
    <t>卸料车固定底座开焊，严重影响生产安全和人身安全，及时固定底座，防止发生事故</t>
  </si>
  <si>
    <t>一人膝盖擦伤，休息后继续工作。</t>
  </si>
  <si>
    <t>污水池降尘泵</t>
  </si>
  <si>
    <t>√ 联系维修焊接</t>
  </si>
  <si>
    <t>化工厂，液氨充装站</t>
  </si>
  <si>
    <t>人员轻微灼伤，未损工。</t>
  </si>
  <si>
    <t>化工厂</t>
  </si>
  <si>
    <t>石秀明</t>
  </si>
  <si>
    <t>液氨罐区</t>
  </si>
  <si>
    <t>隐患标题与内容不符</t>
  </si>
  <si>
    <t>一人触电，住院一个月，休养一个月，损工61天。</t>
  </si>
  <si>
    <t>煤八振动电机</t>
  </si>
  <si>
    <t>√ 联系电工规范电源线</t>
  </si>
  <si>
    <t>一名员工脸部被划伤</t>
  </si>
  <si>
    <t>李宪斌</t>
  </si>
  <si>
    <t>环境除尘</t>
  </si>
  <si>
    <t>防护罩类必须保持完好，防止运转部位伤人</t>
  </si>
  <si>
    <t>√ 安装防护罩，防止转动部位伤人</t>
  </si>
  <si>
    <t>造成人员头部砸伤，损工12天</t>
  </si>
  <si>
    <t>刘建萍</t>
  </si>
  <si>
    <t>深度脱硫</t>
  </si>
  <si>
    <t>√ 纠正后，标准规范佩戴安全帽</t>
  </si>
  <si>
    <t>一人受伤损工7天</t>
  </si>
  <si>
    <t>付洪国</t>
  </si>
  <si>
    <t>脱硫泡沫板顶部</t>
  </si>
  <si>
    <t>√ 复位人孔盖，盖严</t>
  </si>
  <si>
    <t>员工摔伤，胳膊骨裂，误工三天</t>
  </si>
  <si>
    <t>毕玉宁</t>
  </si>
  <si>
    <t>20-4-29</t>
  </si>
  <si>
    <t>一楼加药间</t>
  </si>
  <si>
    <t>避免地面不平整性造成人员摔伤</t>
  </si>
  <si>
    <t>× 铁篦子与水泥盖板之间焊加铁板，水泥盖板与篦子之间形成高度逐步变化的斜坡，防止伤人</t>
  </si>
  <si>
    <t>一人右手割伤腕骨扭伤，损工91天</t>
  </si>
  <si>
    <t>√ 联系维修将防护罩复位</t>
  </si>
  <si>
    <t>一人割伤面部，休息后继续工作</t>
  </si>
  <si>
    <t>西二斜桥南侧挡风网</t>
  </si>
  <si>
    <t>√ 联系维修修复挡风网</t>
  </si>
  <si>
    <t>新学员培训提交作业，提交位置错误</t>
  </si>
  <si>
    <t>在家修养3天，损工3天</t>
  </si>
  <si>
    <t>郝德志</t>
  </si>
  <si>
    <t>75t减温减压管线</t>
  </si>
  <si>
    <t>√ 紧固螺栓
√ 人员注意防烫伤防护</t>
  </si>
  <si>
    <t>减温阀丝杠备帽重新紧固。</t>
  </si>
  <si>
    <t>造成灯泡爆炸停电，影响生产。</t>
  </si>
  <si>
    <t>刘善华</t>
  </si>
  <si>
    <t>初冷器</t>
  </si>
  <si>
    <t>√ 更换照明设备</t>
  </si>
  <si>
    <t>住院治疗，损工2个月</t>
  </si>
  <si>
    <t>姜宁</t>
  </si>
  <si>
    <t>化学水水池</t>
  </si>
  <si>
    <t>自身原因造成，注意提升人员自身安全意识，下楼梯抓牢扶手，小心慢行。</t>
  </si>
  <si>
    <t>人员伤害误工7天</t>
  </si>
  <si>
    <t>于海霞</t>
  </si>
  <si>
    <t>1618破碎机房</t>
  </si>
  <si>
    <t>1618破碎机房上方玻璃碎裂，及时清除和更换，防止人员受伤</t>
  </si>
  <si>
    <t>√ 清除碎裂玻璃
√ 更换新的玻璃</t>
  </si>
  <si>
    <t>及时清楚破碎玻璃，防止人员经过时掉落划伤人员，人员经过高层建筑物时，加强安全观念</t>
  </si>
  <si>
    <t>造成手臂骨裂，在家修养一周后复工</t>
  </si>
  <si>
    <t>孙绍华</t>
  </si>
  <si>
    <t>预冷塔水封爬梯</t>
  </si>
  <si>
    <t>√ 重新修护移动式爬梯</t>
  </si>
  <si>
    <t>脚手架跌落致脊椎骨断裂</t>
  </si>
  <si>
    <t>深度处理</t>
  </si>
  <si>
    <t>√ 加强培训</t>
  </si>
  <si>
    <t>一人右腿骨折 损工122天</t>
  </si>
  <si>
    <t>20-4-28</t>
  </si>
  <si>
    <t>1618破碎机</t>
  </si>
  <si>
    <t>√ 加强巡查
√ 登高注意安全</t>
  </si>
  <si>
    <t>一人员死亡</t>
  </si>
  <si>
    <t>西挡风墙</t>
  </si>
  <si>
    <t>√ 登高注意安全
√ 加强巡查</t>
  </si>
  <si>
    <t>4.3焦炉捣固煤塔</t>
  </si>
  <si>
    <t>造成操作工面部肩部大面积创伤，住院治疗七天，损工15天</t>
  </si>
  <si>
    <t>刘连刚</t>
  </si>
  <si>
    <t>20-5-9</t>
  </si>
  <si>
    <t>注意到了高处坠物伤人的风险</t>
  </si>
  <si>
    <t>× 请除高处易坠物品并保持</t>
  </si>
  <si>
    <t>入院简易复位治疗，误工三天在家养护。</t>
  </si>
  <si>
    <t>刘敬涛</t>
  </si>
  <si>
    <t>× 重新制作盖板
× 规范盖好盖板</t>
  </si>
  <si>
    <t>硫铵</t>
  </si>
  <si>
    <t>人员烫伤，去医院治疗七天，回家修养三天，损工十天。</t>
  </si>
  <si>
    <t>付海德</t>
  </si>
  <si>
    <t>硫酸储槽南</t>
  </si>
  <si>
    <t>√ 更换破裂的蒸汽吹扫管</t>
  </si>
  <si>
    <t>双腿划伤！损工七天！</t>
  </si>
  <si>
    <t>值班室西侧水沟盖板缺失，需及时更换，避免人员经过时发生安全事故</t>
  </si>
  <si>
    <t>√ 及时更换盖板
√ 人员经过时加强安全意识</t>
  </si>
  <si>
    <t>更换铁盖板，防止人员经过，掉入水沟。</t>
  </si>
  <si>
    <t>头部碰伤误工三天。</t>
  </si>
  <si>
    <t>胡汉东</t>
  </si>
  <si>
    <t>75吨锅炉</t>
  </si>
  <si>
    <t>√ 悬挂“小心碰头”警示牌
× 人员安全帽等自身防护</t>
  </si>
  <si>
    <t>挂小心碰头警示牌。</t>
  </si>
  <si>
    <t>5.5米焦炉推焦车</t>
  </si>
  <si>
    <t>梯子倾倒造成人员皮外伤，送医治疗，损工两天</t>
  </si>
  <si>
    <t>待核查</t>
  </si>
  <si>
    <t>刘鑫</t>
  </si>
  <si>
    <t>推焦车平台</t>
  </si>
  <si>
    <t>皮带机岗位</t>
  </si>
  <si>
    <t>损工事件，误工3个月</t>
  </si>
  <si>
    <t>心理生理性危险有害因素</t>
  </si>
  <si>
    <t>马丛芳</t>
  </si>
  <si>
    <t>备煤</t>
  </si>
  <si>
    <t>机头护栏拆下后未及时清理或按回原处，人员经过发生绊倒摔伤安全事故</t>
  </si>
  <si>
    <t>√ 设备检修后及时清理现场
√ 将护栏按回原位置</t>
  </si>
  <si>
    <t>20-4-2</t>
  </si>
  <si>
    <t>煤八机头护栏及时安装到位，人员经过时防止发生摔倒等意外事故</t>
  </si>
  <si>
    <t>张广顺</t>
  </si>
  <si>
    <t>20-4-30</t>
  </si>
  <si>
    <t>硫铵4楼结晶槽处</t>
  </si>
  <si>
    <t>√ 清理焊补漏点</t>
  </si>
  <si>
    <t>一员工胳膊脱臼，损工2天</t>
  </si>
  <si>
    <t>运动物伤害</t>
  </si>
  <si>
    <t>20-5-5</t>
  </si>
  <si>
    <t>× 恢复盖板</t>
  </si>
  <si>
    <t>一人脸部划伤，损工一周</t>
  </si>
  <si>
    <t>王晶</t>
  </si>
  <si>
    <t>皮带输送机</t>
  </si>
  <si>
    <t>√ 加固滚筒，或拆除更换新的滚筒</t>
  </si>
  <si>
    <t>人员电伤害，造成住院5天，损工5天</t>
  </si>
  <si>
    <t>建设项目“三同时”制度未落实</t>
  </si>
  <si>
    <t>李光进</t>
  </si>
  <si>
    <t>75T锅炉顶</t>
  </si>
  <si>
    <t>× 更换完好的线缆
× 注意做好接头防护</t>
  </si>
  <si>
    <t>一员工手掌割伤，损工7天</t>
  </si>
  <si>
    <t>田震</t>
  </si>
  <si>
    <t>热力西区</t>
  </si>
  <si>
    <t>人员手部受伤，造成损工三天</t>
  </si>
  <si>
    <t>赵红</t>
  </si>
  <si>
    <t>煤六机头</t>
  </si>
  <si>
    <t>煤六电机护罩螺丝缺失，电机轴磨损护罩破裂，人员擦拭护罩时划伤手部，造成人员伤害</t>
  </si>
  <si>
    <t>√ 电工将缺失的螺丝固定好
√ 人员擦拭电机时注意破损部位，防止划伤手部</t>
  </si>
  <si>
    <t>电机护罩螺丝电工安装好后，防止护罩松动磨损，人员擦拭注意安全</t>
  </si>
</sst>
</file>

<file path=xl/styles.xml><?xml version="1.0" encoding="utf-8"?>
<styleSheet xmlns="http://schemas.openxmlformats.org/spreadsheetml/2006/main" xml:space="preserve">
  <numFmts count="0"/>
  <fonts count="6">
    <font>
      <b val="0"/>
      <i val="0"/>
      <strike val="0"/>
      <u val="none"/>
      <sz val="8"/>
      <color rgb="FF000000"/>
      <name val="Arial"/>
    </font>
    <font>
      <b val="1"/>
      <i val="0"/>
      <strike val="0"/>
      <u val="none"/>
      <sz val="16"/>
      <color rgb="FF000000"/>
      <name val="Arial"/>
    </font>
    <font>
      <b val="0"/>
      <i val="0"/>
      <strike val="0"/>
      <u val="none"/>
      <sz val="10"/>
      <color rgb="FF000000"/>
      <name val="Arial"/>
    </font>
    <font>
      <b val="0"/>
      <i val="0"/>
      <strike val="0"/>
      <u val="none"/>
      <sz val="8"/>
      <color rgb="000000"/>
      <name val="Arial"/>
    </font>
    <font>
      <b val="0"/>
      <i val="0"/>
      <strike val="0"/>
      <u val="none"/>
      <sz val="8"/>
      <color rgb="0000CD"/>
      <name val="Arial"/>
    </font>
    <font>
      <b val="0"/>
      <i val="0"/>
      <strike val="0"/>
      <u val="none"/>
      <sz val="8"/>
      <color rgb="DC143C"/>
      <name val="Arial"/>
    </font>
  </fonts>
  <fills count="10">
    <fill>
      <patternFill patternType="none"/>
    </fill>
    <fill>
      <patternFill patternType="gray125">
        <fgColor rgb="FFFFFFFF"/>
        <bgColor rgb="FF000000"/>
      </patternFill>
    </fill>
    <fill>
      <patternFill patternType="solid">
        <fgColor rgb="FFC6E0B4"/>
        <bgColor rgb="FF000000"/>
      </patternFill>
    </fill>
    <fill>
      <patternFill patternType="solid">
        <fgColor rgb="FFBDD7EE"/>
        <bgColor rgb="FF000000"/>
      </patternFill>
    </fill>
    <fill>
      <patternFill patternType="solid">
        <fgColor rgb="FFA0D565"/>
        <bgColor rgb="FF000000"/>
      </patternFill>
    </fill>
    <fill>
      <patternFill patternType="solid">
        <fgColor rgb="FFFFD85D"/>
        <bgColor rgb="FF000000"/>
      </patternFill>
    </fill>
    <fill>
      <patternFill patternType="solid">
        <fgColor rgb="FF90EE90"/>
        <bgColor rgb="FF000000"/>
      </patternFill>
    </fill>
    <fill>
      <patternFill patternType="solid">
        <fgColor rgb="FF3CB371"/>
        <bgColor rgb="FF000000"/>
      </patternFill>
    </fill>
    <fill>
      <patternFill patternType="solid">
        <fgColor rgb="FFF8F8FF"/>
        <bgColor rgb="FF000000"/>
      </patternFill>
    </fill>
    <fill>
      <patternFill patternType="solid">
        <fgColor rgb="FFFFD700"/>
        <bgColor rgb="FF000000"/>
      </patternFill>
    </fill>
  </fills>
  <borders count="2">
    <border/>
    <border>
      <left style="thin">
        <color rgb="FF000000"/>
      </left>
      <right style="thin">
        <color rgb="FF000000"/>
      </right>
      <top style="thin">
        <color rgb="FF000000"/>
      </top>
      <bottom style="thin">
        <color rgb="FF000000"/>
      </bottom>
    </border>
  </borders>
  <cellStyleXfs count="1">
    <xf numFmtId="0" fontId="0" fillId="0" borderId="0"/>
  </cellStyleXfs>
  <cellXfs count="27">
    <xf xfId="0" fontId="0" numFmtId="0" fillId="0" borderId="0" applyFont="0" applyNumberFormat="0" applyFill="0" applyBorder="0" applyAlignment="0">
      <alignment horizontal="general" vertical="top" textRotation="0" wrapText="true" shrinkToFit="false"/>
    </xf>
    <xf xfId="0" fontId="0" numFmtId="0" fillId="0" borderId="0" applyFont="0" applyNumberFormat="0" applyFill="0" applyBorder="0" applyAlignment="1">
      <alignment horizontal="center" vertical="top" textRotation="0" wrapText="true" shrinkToFit="false"/>
    </xf>
    <xf xfId="0" fontId="1" numFmtId="0" fillId="0" borderId="0" applyFont="1" applyNumberFormat="0" applyFill="0" applyBorder="0" applyAlignment="1">
      <alignment horizontal="center" vertical="top" textRotation="0" wrapText="true" shrinkToFit="false"/>
    </xf>
    <xf xfId="0" fontId="0" numFmtId="0" fillId="2" borderId="1" applyFont="0" applyNumberFormat="0" applyFill="1" applyBorder="1" applyAlignment="1">
      <alignment horizontal="center" vertical="top" textRotation="0" wrapText="true" shrinkToFit="false"/>
    </xf>
    <xf xfId="0" fontId="0" numFmtId="0" fillId="2" borderId="1" applyFont="0" applyNumberFormat="0" applyFill="1" applyBorder="1" applyAlignment="0">
      <alignment horizontal="general" vertical="top" textRotation="0" wrapText="true" shrinkToFit="false"/>
    </xf>
    <xf xfId="0" fontId="0" numFmtId="0" fillId="3" borderId="1" applyFont="0" applyNumberFormat="0" applyFill="1" applyBorder="1" applyAlignment="1">
      <alignment horizontal="center" vertical="top" textRotation="0" wrapText="true" shrinkToFit="false"/>
    </xf>
    <xf xfId="0" fontId="0" numFmtId="0" fillId="3" borderId="1" applyFont="0" applyNumberFormat="0" applyFill="1" applyBorder="1" applyAlignment="0">
      <alignment horizontal="general" vertical="top" textRotation="0" wrapText="true" shrinkToFit="false"/>
    </xf>
    <xf xfId="0" fontId="0" numFmtId="0" fillId="4" borderId="1" applyFont="0" applyNumberFormat="0" applyFill="1" applyBorder="1" applyAlignment="0">
      <alignment horizontal="general" vertical="top" textRotation="0" wrapText="true" shrinkToFit="false"/>
    </xf>
    <xf xfId="0" fontId="0" numFmtId="0" fillId="5" borderId="1" applyFont="0" applyNumberFormat="0" applyFill="1" applyBorder="1" applyAlignment="1">
      <alignment horizontal="center" vertical="top" textRotation="0" wrapText="true" shrinkToFit="false"/>
    </xf>
    <xf xfId="0" fontId="0" numFmtId="0" fillId="5" borderId="1" applyFont="0" applyNumberFormat="0" applyFill="1" applyBorder="1" applyAlignment="0">
      <alignment horizontal="general" vertical="top" textRotation="0" wrapText="true" shrinkToFit="false"/>
    </xf>
    <xf xfId="0" fontId="2" numFmtId="0" fillId="2" borderId="1" applyFont="1" applyNumberFormat="0" applyFill="1" applyBorder="1" applyAlignment="1">
      <alignment horizontal="center" vertical="top" textRotation="0" wrapText="true" shrinkToFit="false"/>
    </xf>
    <xf xfId="0" fontId="2" numFmtId="0" fillId="2" borderId="1" applyFont="1" applyNumberFormat="0" applyFill="1" applyBorder="1" applyAlignment="0">
      <alignment horizontal="general" vertical="top" textRotation="0" wrapText="true" shrinkToFit="false"/>
    </xf>
    <xf xfId="0" fontId="2" numFmtId="0" fillId="3" borderId="1" applyFont="1" applyNumberFormat="0" applyFill="1" applyBorder="1" applyAlignment="1">
      <alignment horizontal="center" vertical="top" textRotation="0" wrapText="true" shrinkToFit="false"/>
    </xf>
    <xf xfId="0" fontId="2" numFmtId="0" fillId="3" borderId="1" applyFont="1" applyNumberFormat="0" applyFill="1" applyBorder="1" applyAlignment="0">
      <alignment horizontal="general" vertical="top" textRotation="0" wrapText="true" shrinkToFit="false"/>
    </xf>
    <xf xfId="0" fontId="2" numFmtId="0" fillId="4" borderId="1" applyFont="1" applyNumberFormat="0" applyFill="1" applyBorder="1" applyAlignment="1">
      <alignment horizontal="center" vertical="top" textRotation="0" wrapText="true" shrinkToFit="false"/>
    </xf>
    <xf xfId="0" fontId="2" numFmtId="0" fillId="4" borderId="1" applyFont="1" applyNumberFormat="0" applyFill="1" applyBorder="1" applyAlignment="0">
      <alignment horizontal="general" vertical="top" textRotation="0" wrapText="true" shrinkToFit="false"/>
    </xf>
    <xf xfId="0" fontId="2" numFmtId="0" fillId="5" borderId="1" applyFont="1" applyNumberFormat="0" applyFill="1" applyBorder="1" applyAlignment="1">
      <alignment horizontal="center" vertical="top" textRotation="0" wrapText="true" shrinkToFit="false"/>
    </xf>
    <xf xfId="0" fontId="2" numFmtId="0" fillId="5" borderId="1" applyFont="1" applyNumberFormat="0" applyFill="1" applyBorder="1" applyAlignment="0">
      <alignment horizontal="general" vertical="top" textRotation="0" wrapText="true" shrinkToFit="false"/>
    </xf>
    <xf xfId="0" fontId="2" numFmtId="0" fillId="0" borderId="0" applyFont="1" applyNumberFormat="0" applyFill="0" applyBorder="0" applyAlignment="0">
      <alignment horizontal="general" vertical="top" textRotation="0" wrapText="true" shrinkToFit="false"/>
    </xf>
    <xf xfId="0" fontId="0" numFmtId="0" fillId="0" borderId="1" applyFont="0" applyNumberFormat="0" applyFill="0" applyBorder="1" applyAlignment="0">
      <alignment horizontal="general" vertical="top" textRotation="0" wrapText="true" shrinkToFit="false"/>
    </xf>
    <xf xfId="0" fontId="0" numFmtId="0" fillId="6" borderId="1" applyFont="0" applyNumberFormat="0" applyFill="1" applyBorder="1" applyAlignment="0">
      <alignment horizontal="general" vertical="top" textRotation="0" wrapText="true" shrinkToFit="false"/>
    </xf>
    <xf xfId="0" fontId="3" numFmtId="0" fillId="0" borderId="1" applyFont="1" applyNumberFormat="0" applyFill="0" applyBorder="1" applyAlignment="0">
      <alignment horizontal="general" vertical="top" textRotation="0" wrapText="true" shrinkToFit="false"/>
    </xf>
    <xf xfId="0" fontId="4" numFmtId="0" fillId="0" borderId="1" applyFont="1" applyNumberFormat="0" applyFill="0" applyBorder="1" applyAlignment="0">
      <alignment horizontal="general" vertical="top" textRotation="0" wrapText="true" shrinkToFit="false"/>
    </xf>
    <xf xfId="0" fontId="5" numFmtId="0" fillId="0" borderId="1" applyFont="1" applyNumberFormat="0" applyFill="0" applyBorder="1" applyAlignment="0">
      <alignment horizontal="general" vertical="top" textRotation="0" wrapText="true" shrinkToFit="false"/>
    </xf>
    <xf xfId="0" fontId="0" numFmtId="0" fillId="7" borderId="1" applyFont="0" applyNumberFormat="0" applyFill="1" applyBorder="1" applyAlignment="0">
      <alignment horizontal="general" vertical="top" textRotation="0" wrapText="true" shrinkToFit="false"/>
    </xf>
    <xf xfId="0" fontId="0" numFmtId="0" fillId="8" borderId="1" applyFont="0" applyNumberFormat="0" applyFill="1" applyBorder="1" applyAlignment="0">
      <alignment horizontal="general" vertical="top" textRotation="0" wrapText="true" shrinkToFit="false"/>
    </xf>
    <xf xfId="0" fontId="0" numFmtId="0" fillId="9" borderId="1" applyFont="0" applyNumberFormat="0" applyFill="1" applyBorder="1" applyAlignment="0">
      <alignment horizontal="general" vertical="top" textRotation="0" wrapText="tru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_hyperlink_1" Type="http://schemas.openxmlformats.org/officeDocument/2006/relationships/hyperlink" Target="http://henontech.com/fieldsafety/harzard/harzard_show.php?rid=2100&amp;url=harzardrecs.php" TargetMode="External"/><Relationship Id="rId_hyperlink_2" Type="http://schemas.openxmlformats.org/officeDocument/2006/relationships/hyperlink" Target="http://henontech.com/fieldsafety/harzard/harzard_show.php?rid=2236&amp;url=harzardrecs.php" TargetMode="External"/><Relationship Id="rId_hyperlink_3" Type="http://schemas.openxmlformats.org/officeDocument/2006/relationships/hyperlink" Target="http://henontech.com/fieldsafety/harzard/harzard_show.php?rid=2237&amp;url=harzardrecs.php" TargetMode="External"/><Relationship Id="rId_hyperlink_4" Type="http://schemas.openxmlformats.org/officeDocument/2006/relationships/hyperlink" Target="http://henontech.com/fieldsafety/harzard/harzard_show.php?rid=2254&amp;url=harzardrecs.php" TargetMode="External"/><Relationship Id="rId_hyperlink_5" Type="http://schemas.openxmlformats.org/officeDocument/2006/relationships/hyperlink" Target="http://henontech.com/fieldsafety/harzard/harzard_show.php?rid=2272&amp;url=harzardrecs.php" TargetMode="External"/><Relationship Id="rId_hyperlink_6" Type="http://schemas.openxmlformats.org/officeDocument/2006/relationships/hyperlink" Target="http://henontech.com/fieldsafety/harzard/harzard_show.php?rid=2288&amp;url=harzardrecs.php" TargetMode="External"/><Relationship Id="rId_hyperlink_7" Type="http://schemas.openxmlformats.org/officeDocument/2006/relationships/hyperlink" Target="http://henontech.com/fieldsafety/harzard/harzard_show.php?rid=2537&amp;url=harzardrecs.php" TargetMode="External"/><Relationship Id="rId_hyperlink_8" Type="http://schemas.openxmlformats.org/officeDocument/2006/relationships/hyperlink" Target="http://henontech.com/fieldsafety/harzard/harzard_show.php?rid=2566&amp;url=harzardrecs.php" TargetMode="External"/><Relationship Id="rId_hyperlink_9" Type="http://schemas.openxmlformats.org/officeDocument/2006/relationships/hyperlink" Target="http://henontech.com/fieldsafety/harzard/harzard_show.php?rid=2568&amp;url=harzardrecs.php" TargetMode="External"/><Relationship Id="rId_hyperlink_10" Type="http://schemas.openxmlformats.org/officeDocument/2006/relationships/hyperlink" Target="http://henontech.com/fieldsafety/harzard/harzard_show.php?rid=2578&amp;url=harzardrecs.php" TargetMode="External"/><Relationship Id="rId_hyperlink_11" Type="http://schemas.openxmlformats.org/officeDocument/2006/relationships/hyperlink" Target="http://henontech.com/fieldsafety/harzard/harzard_show.php?rid=2579&amp;url=harzardrecs.php" TargetMode="External"/><Relationship Id="rId_hyperlink_12" Type="http://schemas.openxmlformats.org/officeDocument/2006/relationships/hyperlink" Target="http://henontech.com/fieldsafety/harzard/harzard_show.php?rid=2581&amp;url=harzardrecs.php" TargetMode="External"/><Relationship Id="rId_hyperlink_13" Type="http://schemas.openxmlformats.org/officeDocument/2006/relationships/hyperlink" Target="http://henontech.com/fieldsafety/harzard/harzard_show.php?rid=2641&amp;url=harzardrecs.php" TargetMode="External"/><Relationship Id="rId_hyperlink_14" Type="http://schemas.openxmlformats.org/officeDocument/2006/relationships/hyperlink" Target="http://henontech.com/fieldsafety/harzard/harzard_show.php?rid=2669&amp;url=harzardrecs.php" TargetMode="External"/><Relationship Id="rId_hyperlink_15" Type="http://schemas.openxmlformats.org/officeDocument/2006/relationships/hyperlink" Target="http://henontech.com/fieldsafety/harzard/harzard_show.php?rid=2671&amp;url=harzardrecs.php" TargetMode="External"/><Relationship Id="rId_hyperlink_16" Type="http://schemas.openxmlformats.org/officeDocument/2006/relationships/hyperlink" Target="http://henontech.com/fieldsafety/harzard/harzard_show.php?rid=2677&amp;url=harzardrecs.php" TargetMode="External"/><Relationship Id="rId_hyperlink_17" Type="http://schemas.openxmlformats.org/officeDocument/2006/relationships/hyperlink" Target="http://henontech.com/fieldsafety/harzard/harzard_show.php?rid=2678&amp;url=harzardrecs.php" TargetMode="External"/><Relationship Id="rId_hyperlink_18" Type="http://schemas.openxmlformats.org/officeDocument/2006/relationships/hyperlink" Target="http://henontech.com/fieldsafety/harzard/harzard_show.php?rid=2680&amp;url=harzardrecs.php" TargetMode="External"/><Relationship Id="rId_hyperlink_19" Type="http://schemas.openxmlformats.org/officeDocument/2006/relationships/hyperlink" Target="http://henontech.com/fieldsafety/harzard/harzard_show.php?rid=2681&amp;url=harzardrecs.php" TargetMode="External"/><Relationship Id="rId_hyperlink_20" Type="http://schemas.openxmlformats.org/officeDocument/2006/relationships/hyperlink" Target="http://henontech.com/fieldsafety/harzard/harzard_show.php?rid=2684&amp;url=harzardrecs.php" TargetMode="External"/><Relationship Id="rId_hyperlink_21" Type="http://schemas.openxmlformats.org/officeDocument/2006/relationships/hyperlink" Target="http://henontech.com/fieldsafety/harzard/harzard_show.php?rid=2687&amp;url=harzardrecs.php" TargetMode="External"/><Relationship Id="rId_hyperlink_22" Type="http://schemas.openxmlformats.org/officeDocument/2006/relationships/hyperlink" Target="http://henontech.com/fieldsafety/harzard/harzard_show.php?rid=2699&amp;url=harzardrecs.php" TargetMode="External"/><Relationship Id="rId_hyperlink_23" Type="http://schemas.openxmlformats.org/officeDocument/2006/relationships/hyperlink" Target="http://henontech.com/fieldsafety/harzard/harzard_show.php?rid=2709&amp;url=harzardrecs.php" TargetMode="External"/><Relationship Id="rId_hyperlink_24" Type="http://schemas.openxmlformats.org/officeDocument/2006/relationships/hyperlink" Target="http://henontech.com/fieldsafety/harzard/harzard_show.php?rid=2711&amp;url=harzardrecs.php" TargetMode="External"/><Relationship Id="rId_hyperlink_25" Type="http://schemas.openxmlformats.org/officeDocument/2006/relationships/hyperlink" Target="http://henontech.com/fieldsafety/harzard/harzard_show.php?rid=2716&amp;url=harzardrecs.php" TargetMode="External"/><Relationship Id="rId_hyperlink_26" Type="http://schemas.openxmlformats.org/officeDocument/2006/relationships/hyperlink" Target="http://henontech.com/fieldsafety/harzard/harzard_show.php?rid=2719&amp;url=harzardrecs.php" TargetMode="External"/><Relationship Id="rId_hyperlink_27" Type="http://schemas.openxmlformats.org/officeDocument/2006/relationships/hyperlink" Target="http://henontech.com/fieldsafety/harzard/harzard_show.php?rid=2729&amp;url=harzardrecs.php" TargetMode="External"/><Relationship Id="rId_hyperlink_28" Type="http://schemas.openxmlformats.org/officeDocument/2006/relationships/hyperlink" Target="http://henontech.com/fieldsafety/harzard/harzard_show.php?rid=2743&amp;url=harzardrecs.php" TargetMode="External"/><Relationship Id="rId_hyperlink_29" Type="http://schemas.openxmlformats.org/officeDocument/2006/relationships/hyperlink" Target="http://henontech.com/fieldsafety/harzard/harzard_show.php?rid=2752&amp;url=harzardrecs.php" TargetMode="External"/><Relationship Id="rId_hyperlink_30" Type="http://schemas.openxmlformats.org/officeDocument/2006/relationships/hyperlink" Target="http://henontech.com/fieldsafety/harzard/harzard_show.php?rid=2763&amp;url=harzardrecs.php" TargetMode="External"/><Relationship Id="rId_hyperlink_31" Type="http://schemas.openxmlformats.org/officeDocument/2006/relationships/hyperlink" Target="http://henontech.com/fieldsafety/harzard/harzard_show.php?rid=2765&amp;url=harzardrecs.php" TargetMode="External"/><Relationship Id="rId_hyperlink_32" Type="http://schemas.openxmlformats.org/officeDocument/2006/relationships/hyperlink" Target="http://henontech.com/fieldsafety/harzard/harzard_show.php?rid=2769&amp;url=harzardrecs.php" TargetMode="External"/><Relationship Id="rId_hyperlink_33" Type="http://schemas.openxmlformats.org/officeDocument/2006/relationships/hyperlink" Target="http://henontech.com/fieldsafety/harzard/harzard_show.php?rid=2776&amp;url=harzardrecs.php" TargetMode="External"/><Relationship Id="rId_hyperlink_34" Type="http://schemas.openxmlformats.org/officeDocument/2006/relationships/hyperlink" Target="http://henontech.com/fieldsafety/harzard/harzard_show.php?rid=2780&amp;url=harzardrecs.php" TargetMode="External"/><Relationship Id="rId_hyperlink_35" Type="http://schemas.openxmlformats.org/officeDocument/2006/relationships/hyperlink" Target="http://henontech.com/fieldsafety/harzard/harzard_show.php?rid=2781&amp;url=harzardrecs.php" TargetMode="External"/><Relationship Id="rId_hyperlink_36" Type="http://schemas.openxmlformats.org/officeDocument/2006/relationships/hyperlink" Target="http://henontech.com/fieldsafety/harzard/harzard_show.php?rid=2783&amp;url=harzardrecs.php" TargetMode="External"/><Relationship Id="rId_hyperlink_37" Type="http://schemas.openxmlformats.org/officeDocument/2006/relationships/hyperlink" Target="http://henontech.com/fieldsafety/harzard/harzard_show.php?rid=2790&amp;url=harzardrecs.php" TargetMode="External"/><Relationship Id="rId_hyperlink_38" Type="http://schemas.openxmlformats.org/officeDocument/2006/relationships/hyperlink" Target="http://henontech.com/fieldsafety/harzard/harzard_show.php?rid=2791&amp;url=harzardrecs.php" TargetMode="External"/><Relationship Id="rId_hyperlink_39" Type="http://schemas.openxmlformats.org/officeDocument/2006/relationships/hyperlink" Target="http://henontech.com/fieldsafety/harzard/harzard_show.php?rid=2792&amp;url=harzardrecs.php" TargetMode="External"/><Relationship Id="rId_hyperlink_40" Type="http://schemas.openxmlformats.org/officeDocument/2006/relationships/hyperlink" Target="http://henontech.com/fieldsafety/harzard/harzard_show.php?rid=2793&amp;url=harzardrecs.php" TargetMode="External"/><Relationship Id="rId_hyperlink_41" Type="http://schemas.openxmlformats.org/officeDocument/2006/relationships/hyperlink" Target="http://henontech.com/fieldsafety/harzard/harzard_show.php?rid=2794&amp;url=harzardrecs.php" TargetMode="External"/><Relationship Id="rId_hyperlink_42" Type="http://schemas.openxmlformats.org/officeDocument/2006/relationships/hyperlink" Target="http://henontech.com/fieldsafety/harzard/harzard_show.php?rid=2795&amp;url=harzardrecs.php" TargetMode="External"/><Relationship Id="rId_hyperlink_43" Type="http://schemas.openxmlformats.org/officeDocument/2006/relationships/hyperlink" Target="http://henontech.com/fieldsafety/harzard/harzard_show.php?rid=2796&amp;url=harzardrecs.php" TargetMode="External"/><Relationship Id="rId_hyperlink_44" Type="http://schemas.openxmlformats.org/officeDocument/2006/relationships/hyperlink" Target="http://henontech.com/fieldsafety/harzard/harzard_show.php?rid=2797&amp;url=harzardrecs.php" TargetMode="External"/><Relationship Id="rId_hyperlink_45" Type="http://schemas.openxmlformats.org/officeDocument/2006/relationships/hyperlink" Target="http://henontech.com/fieldsafety/harzard/harzard_show.php?rid=2798&amp;url=harzardrecs.php" TargetMode="External"/><Relationship Id="rId_hyperlink_46" Type="http://schemas.openxmlformats.org/officeDocument/2006/relationships/hyperlink" Target="http://henontech.com/fieldsafety/harzard/harzard_show.php?rid=2799&amp;url=harzardrecs.php" TargetMode="External"/><Relationship Id="rId_hyperlink_47" Type="http://schemas.openxmlformats.org/officeDocument/2006/relationships/hyperlink" Target="http://henontech.com/fieldsafety/harzard/harzard_show.php?rid=2800&amp;url=harzardrecs.php" TargetMode="External"/><Relationship Id="rId_hyperlink_48" Type="http://schemas.openxmlformats.org/officeDocument/2006/relationships/hyperlink" Target="http://henontech.com/fieldsafety/harzard/harzard_show.php?rid=2801&amp;url=harzardrecs.php" TargetMode="External"/><Relationship Id="rId_hyperlink_49" Type="http://schemas.openxmlformats.org/officeDocument/2006/relationships/hyperlink" Target="http://henontech.com/fieldsafety/harzard/harzard_show.php?rid=2802&amp;url=harzardrecs.php" TargetMode="External"/><Relationship Id="rId_hyperlink_50" Type="http://schemas.openxmlformats.org/officeDocument/2006/relationships/hyperlink" Target="http://henontech.com/fieldsafety/harzard/harzard_show.php?rid=2803&amp;url=harzardrecs.php" TargetMode="External"/><Relationship Id="rId_hyperlink_51" Type="http://schemas.openxmlformats.org/officeDocument/2006/relationships/hyperlink" Target="http://henontech.com/fieldsafety/harzard/harzard_show.php?rid=2804&amp;url=harzardrecs.php" TargetMode="External"/><Relationship Id="rId_hyperlink_52" Type="http://schemas.openxmlformats.org/officeDocument/2006/relationships/hyperlink" Target="http://henontech.com/fieldsafety/harzard/harzard_show.php?rid=2805&amp;url=harzardrecs.php" TargetMode="External"/><Relationship Id="rId_hyperlink_53" Type="http://schemas.openxmlformats.org/officeDocument/2006/relationships/hyperlink" Target="http://henontech.com/fieldsafety/harzard/harzard_show.php?rid=2806&amp;url=harzardrecs.php" TargetMode="External"/><Relationship Id="rId_hyperlink_54" Type="http://schemas.openxmlformats.org/officeDocument/2006/relationships/hyperlink" Target="http://henontech.com/fieldsafety/harzard/harzard_show.php?rid=2807&amp;url=harzardrecs.php" TargetMode="External"/><Relationship Id="rId_hyperlink_55" Type="http://schemas.openxmlformats.org/officeDocument/2006/relationships/hyperlink" Target="http://henontech.com/fieldsafety/harzard/harzard_show.php?rid=2808&amp;url=harzardrecs.php" TargetMode="External"/><Relationship Id="rId_hyperlink_56" Type="http://schemas.openxmlformats.org/officeDocument/2006/relationships/hyperlink" Target="http://henontech.com/fieldsafety/harzard/harzard_show.php?rid=2809&amp;url=harzardrecs.php" TargetMode="External"/><Relationship Id="rId_hyperlink_57" Type="http://schemas.openxmlformats.org/officeDocument/2006/relationships/hyperlink" Target="http://henontech.com/fieldsafety/harzard/harzard_show.php?rid=2810&amp;url=harzardrecs.php" TargetMode="External"/><Relationship Id="rId_hyperlink_58" Type="http://schemas.openxmlformats.org/officeDocument/2006/relationships/hyperlink" Target="http://henontech.com/fieldsafety/harzard/harzard_show.php?rid=2811&amp;url=harzardrecs.php" TargetMode="External"/><Relationship Id="rId_hyperlink_59" Type="http://schemas.openxmlformats.org/officeDocument/2006/relationships/hyperlink" Target="http://henontech.com/fieldsafety/harzard/harzard_show.php?rid=2812&amp;url=harzardrecs.php" TargetMode="External"/><Relationship Id="rId_hyperlink_60" Type="http://schemas.openxmlformats.org/officeDocument/2006/relationships/hyperlink" Target="http://henontech.com/fieldsafety/harzard/harzard_show.php?rid=2813&amp;url=harzardrecs.php" TargetMode="External"/><Relationship Id="rId_hyperlink_61" Type="http://schemas.openxmlformats.org/officeDocument/2006/relationships/hyperlink" Target="http://henontech.com/fieldsafety/harzard/harzard_show.php?rid=2816&amp;url=harzardrecs.php" TargetMode="External"/><Relationship Id="rId_hyperlink_62" Type="http://schemas.openxmlformats.org/officeDocument/2006/relationships/hyperlink" Target="http://henontech.com/fieldsafety/harzard/harzard_show.php?rid=2818&amp;url=harzardrecs.php" TargetMode="External"/><Relationship Id="rId_hyperlink_63" Type="http://schemas.openxmlformats.org/officeDocument/2006/relationships/hyperlink" Target="http://henontech.com/fieldsafety/harzard/harzard_show.php?rid=2819&amp;url=harzardrecs.php" TargetMode="External"/><Relationship Id="rId_hyperlink_64" Type="http://schemas.openxmlformats.org/officeDocument/2006/relationships/hyperlink" Target="http://henontech.com/fieldsafety/harzard/harzard_show.php?rid=2820&amp;url=harzardrecs.php" TargetMode="External"/><Relationship Id="rId_hyperlink_65" Type="http://schemas.openxmlformats.org/officeDocument/2006/relationships/hyperlink" Target="http://henontech.com/fieldsafety/harzard/harzard_show.php?rid=2821&amp;url=harzardrecs.php" TargetMode="External"/><Relationship Id="rId_hyperlink_66" Type="http://schemas.openxmlformats.org/officeDocument/2006/relationships/hyperlink" Target="http://henontech.com/fieldsafety/harzard/harzard_show.php?rid=2822&amp;url=harzardrecs.php" TargetMode="External"/><Relationship Id="rId_hyperlink_67" Type="http://schemas.openxmlformats.org/officeDocument/2006/relationships/hyperlink" Target="http://henontech.com/fieldsafety/harzard/harzard_show.php?rid=2823&amp;url=harzardrecs.php" TargetMode="External"/><Relationship Id="rId_hyperlink_68" Type="http://schemas.openxmlformats.org/officeDocument/2006/relationships/hyperlink" Target="http://henontech.com/fieldsafety/harzard/harzard_show.php?rid=2824&amp;url=harzardrecs.php" TargetMode="External"/><Relationship Id="rId_hyperlink_69" Type="http://schemas.openxmlformats.org/officeDocument/2006/relationships/hyperlink" Target="http://henontech.com/fieldsafety/harzard/harzard_show.php?rid=2825&amp;url=harzardrecs.php" TargetMode="External"/><Relationship Id="rId_hyperlink_70" Type="http://schemas.openxmlformats.org/officeDocument/2006/relationships/hyperlink" Target="http://henontech.com/fieldsafety/harzard/harzard_show.php?rid=2827&amp;url=harzardrecs.php" TargetMode="External"/><Relationship Id="rId_hyperlink_71" Type="http://schemas.openxmlformats.org/officeDocument/2006/relationships/hyperlink" Target="http://henontech.com/fieldsafety/harzard/harzard_show.php?rid=2828&amp;url=harzardrecs.php" TargetMode="External"/><Relationship Id="rId_hyperlink_72" Type="http://schemas.openxmlformats.org/officeDocument/2006/relationships/hyperlink" Target="http://henontech.com/fieldsafety/harzard/harzard_show.php?rid=2829&amp;url=harzardrecs.php" TargetMode="External"/><Relationship Id="rId_hyperlink_73" Type="http://schemas.openxmlformats.org/officeDocument/2006/relationships/hyperlink" Target="http://henontech.com/fieldsafety/harzard/harzard_show.php?rid=2830&amp;url=harzardrecs.php" TargetMode="External"/><Relationship Id="rId_hyperlink_74" Type="http://schemas.openxmlformats.org/officeDocument/2006/relationships/hyperlink" Target="http://henontech.com/fieldsafety/harzard/harzard_show.php?rid=2831&amp;url=harzardrecs.php" TargetMode="External"/><Relationship Id="rId_hyperlink_75" Type="http://schemas.openxmlformats.org/officeDocument/2006/relationships/hyperlink" Target="http://henontech.com/fieldsafety/harzard/harzard_show.php?rid=2832&amp;url=harzardrecs.php" TargetMode="External"/><Relationship Id="rId_hyperlink_76" Type="http://schemas.openxmlformats.org/officeDocument/2006/relationships/hyperlink" Target="http://henontech.com/fieldsafety/harzard/harzard_show.php?rid=2833&amp;url=harzardrecs.php" TargetMode="External"/><Relationship Id="rId_hyperlink_77" Type="http://schemas.openxmlformats.org/officeDocument/2006/relationships/hyperlink" Target="http://henontech.com/fieldsafety/harzard/harzard_show.php?rid=2834&amp;url=harzardrecs.php" TargetMode="External"/><Relationship Id="rId_hyperlink_78" Type="http://schemas.openxmlformats.org/officeDocument/2006/relationships/hyperlink" Target="http://henontech.com/fieldsafety/harzard/harzard_show.php?rid=2835&amp;url=harzardrecs.php" TargetMode="External"/><Relationship Id="rId_hyperlink_79" Type="http://schemas.openxmlformats.org/officeDocument/2006/relationships/hyperlink" Target="http://henontech.com/fieldsafety/harzard/harzard_show.php?rid=2836&amp;url=harzardrecs.php" TargetMode="External"/><Relationship Id="rId_hyperlink_80" Type="http://schemas.openxmlformats.org/officeDocument/2006/relationships/hyperlink" Target="http://henontech.com/fieldsafety/harzard/harzard_show.php?rid=2837&amp;url=harzardrecs.php" TargetMode="External"/><Relationship Id="rId_hyperlink_81" Type="http://schemas.openxmlformats.org/officeDocument/2006/relationships/hyperlink" Target="http://henontech.com/fieldsafety/harzard/harzard_show.php?rid=2838&amp;url=harzardrecs.php" TargetMode="External"/><Relationship Id="rId_hyperlink_82" Type="http://schemas.openxmlformats.org/officeDocument/2006/relationships/hyperlink" Target="http://henontech.com/fieldsafety/harzard/harzard_show.php?rid=2839&amp;url=harzardrecs.php" TargetMode="External"/><Relationship Id="rId_hyperlink_83" Type="http://schemas.openxmlformats.org/officeDocument/2006/relationships/hyperlink" Target="http://henontech.com/fieldsafety/harzard/harzard_show.php?rid=2840&amp;url=harzardrecs.php" TargetMode="External"/><Relationship Id="rId_hyperlink_84" Type="http://schemas.openxmlformats.org/officeDocument/2006/relationships/hyperlink" Target="http://henontech.com/fieldsafety/harzard/harzard_show.php?rid=2841&amp;url=harzardrecs.php" TargetMode="External"/><Relationship Id="rId_hyperlink_85" Type="http://schemas.openxmlformats.org/officeDocument/2006/relationships/hyperlink" Target="http://henontech.com/fieldsafety/harzard/harzard_show.php?rid=2842&amp;url=harzardrecs.php" TargetMode="External"/><Relationship Id="rId_hyperlink_86" Type="http://schemas.openxmlformats.org/officeDocument/2006/relationships/hyperlink" Target="http://henontech.com/fieldsafety/harzard/harzard_show.php?rid=2843&amp;url=harzardrecs.php" TargetMode="External"/><Relationship Id="rId_hyperlink_87" Type="http://schemas.openxmlformats.org/officeDocument/2006/relationships/hyperlink" Target="http://henontech.com/fieldsafety/harzard/harzard_show.php?rid=2844&amp;url=harzardrecs.php" TargetMode="External"/><Relationship Id="rId_hyperlink_88" Type="http://schemas.openxmlformats.org/officeDocument/2006/relationships/hyperlink" Target="http://henontech.com/fieldsafety/harzard/harzard_show.php?rid=2845&amp;url=harzardrecs.php" TargetMode="External"/><Relationship Id="rId_hyperlink_89" Type="http://schemas.openxmlformats.org/officeDocument/2006/relationships/hyperlink" Target="http://henontech.com/fieldsafety/harzard/harzard_show.php?rid=2846&amp;url=harzardrecs.php" TargetMode="External"/><Relationship Id="rId_hyperlink_90" Type="http://schemas.openxmlformats.org/officeDocument/2006/relationships/hyperlink" Target="http://henontech.com/fieldsafety/harzard/harzard_show.php?rid=2847&amp;url=harzardrecs.php" TargetMode="External"/><Relationship Id="rId_hyperlink_91" Type="http://schemas.openxmlformats.org/officeDocument/2006/relationships/hyperlink" Target="http://henontech.com/fieldsafety/harzard/harzard_show.php?rid=2848&amp;url=harzardrecs.php" TargetMode="External"/><Relationship Id="rId_hyperlink_92" Type="http://schemas.openxmlformats.org/officeDocument/2006/relationships/hyperlink" Target="http://henontech.com/fieldsafety/harzard/harzard_show.php?rid=2849&amp;url=harzardrecs.php" TargetMode="External"/><Relationship Id="rId_hyperlink_93" Type="http://schemas.openxmlformats.org/officeDocument/2006/relationships/hyperlink" Target="http://henontech.com/fieldsafety/harzard/harzard_show.php?rid=2850&amp;url=harzardrecs.php" TargetMode="External"/><Relationship Id="rId_hyperlink_94" Type="http://schemas.openxmlformats.org/officeDocument/2006/relationships/hyperlink" Target="http://henontech.com/fieldsafety/harzard/harzard_show.php?rid=2851&amp;url=harzardrecs.php" TargetMode="External"/><Relationship Id="rId_hyperlink_95" Type="http://schemas.openxmlformats.org/officeDocument/2006/relationships/hyperlink" Target="http://henontech.com/fieldsafety/harzard/harzard_show.php?rid=2852&amp;url=harzardrecs.php" TargetMode="External"/><Relationship Id="rId_hyperlink_96" Type="http://schemas.openxmlformats.org/officeDocument/2006/relationships/hyperlink" Target="http://henontech.com/fieldsafety/harzard/harzard_show.php?rid=2853&amp;url=harzardrecs.php" TargetMode="External"/><Relationship Id="rId_hyperlink_97" Type="http://schemas.openxmlformats.org/officeDocument/2006/relationships/hyperlink" Target="http://henontech.com/fieldsafety/harzard/harzard_show.php?rid=2854&amp;url=harzardrecs.php" TargetMode="External"/><Relationship Id="rId_hyperlink_98" Type="http://schemas.openxmlformats.org/officeDocument/2006/relationships/hyperlink" Target="http://henontech.com/fieldsafety/harzard/harzard_show.php?rid=2855&amp;url=harzardrecs.php" TargetMode="External"/><Relationship Id="rId_hyperlink_99" Type="http://schemas.openxmlformats.org/officeDocument/2006/relationships/hyperlink" Target="http://henontech.com/fieldsafety/harzard/harzard_show.php?rid=2856&amp;url=harzardrecs.php" TargetMode="External"/><Relationship Id="rId_hyperlink_100" Type="http://schemas.openxmlformats.org/officeDocument/2006/relationships/hyperlink" Target="http://henontech.com/fieldsafety/harzard/harzard_show.php?rid=2857&amp;url=harzardrecs.php" TargetMode="External"/><Relationship Id="rId_hyperlink_101" Type="http://schemas.openxmlformats.org/officeDocument/2006/relationships/hyperlink" Target="http://henontech.com/fieldsafety/harzard/harzard_show.php?rid=2858&amp;url=harzardrecs.php" TargetMode="External"/><Relationship Id="rId_hyperlink_102" Type="http://schemas.openxmlformats.org/officeDocument/2006/relationships/hyperlink" Target="http://henontech.com/fieldsafety/harzard/harzard_show.php?rid=2859&amp;url=harzardrecs.php" TargetMode="External"/><Relationship Id="rId_hyperlink_103" Type="http://schemas.openxmlformats.org/officeDocument/2006/relationships/hyperlink" Target="http://henontech.com/fieldsafety/harzard/harzard_show.php?rid=2860&amp;url=harzardrecs.php" TargetMode="External"/><Relationship Id="rId_hyperlink_104" Type="http://schemas.openxmlformats.org/officeDocument/2006/relationships/hyperlink" Target="http://henontech.com/fieldsafety/harzard/harzard_show.php?rid=2862&amp;url=harzardrecs.php" TargetMode="External"/><Relationship Id="rId_hyperlink_105" Type="http://schemas.openxmlformats.org/officeDocument/2006/relationships/hyperlink" Target="http://henontech.com/fieldsafety/harzard/harzard_show.php?rid=2863&amp;url=harzardrecs.php" TargetMode="External"/><Relationship Id="rId_hyperlink_106" Type="http://schemas.openxmlformats.org/officeDocument/2006/relationships/hyperlink" Target="http://henontech.com/fieldsafety/harzard/harzard_show.php?rid=2864&amp;url=harzardrecs.php" TargetMode="External"/><Relationship Id="rId_hyperlink_107" Type="http://schemas.openxmlformats.org/officeDocument/2006/relationships/hyperlink" Target="http://henontech.com/fieldsafety/harzard/harzard_show.php?rid=2865&amp;url=harzardrecs.php" TargetMode="External"/><Relationship Id="rId_hyperlink_108" Type="http://schemas.openxmlformats.org/officeDocument/2006/relationships/hyperlink" Target="http://henontech.com/fieldsafety/harzard/harzard_show.php?rid=2866&amp;url=harzardrecs.php" TargetMode="External"/><Relationship Id="rId_hyperlink_109" Type="http://schemas.openxmlformats.org/officeDocument/2006/relationships/hyperlink" Target="http://henontech.com/fieldsafety/harzard/harzard_show.php?rid=2867&amp;url=harzardrecs.php" TargetMode="External"/><Relationship Id="rId_hyperlink_110" Type="http://schemas.openxmlformats.org/officeDocument/2006/relationships/hyperlink" Target="http://henontech.com/fieldsafety/harzard/harzard_show.php?rid=2869&amp;url=harzardrecs.php" TargetMode="External"/><Relationship Id="rId_hyperlink_111" Type="http://schemas.openxmlformats.org/officeDocument/2006/relationships/hyperlink" Target="http://henontech.com/fieldsafety/harzard/harzard_show.php?rid=2870&amp;url=harzardrecs.php" TargetMode="External"/><Relationship Id="rId_hyperlink_112" Type="http://schemas.openxmlformats.org/officeDocument/2006/relationships/hyperlink" Target="http://henontech.com/fieldsafety/harzard/harzard_show.php?rid=2871&amp;url=harzardrecs.php" TargetMode="External"/><Relationship Id="rId_hyperlink_113" Type="http://schemas.openxmlformats.org/officeDocument/2006/relationships/hyperlink" Target="http://henontech.com/fieldsafety/harzard/harzard_show.php?rid=2872&amp;url=harzardrecs.php" TargetMode="External"/><Relationship Id="rId_hyperlink_114" Type="http://schemas.openxmlformats.org/officeDocument/2006/relationships/hyperlink" Target="http://henontech.com/fieldsafety/harzard/harzard_show.php?rid=2874&amp;url=harzardrecs.php" TargetMode="External"/><Relationship Id="rId_hyperlink_115" Type="http://schemas.openxmlformats.org/officeDocument/2006/relationships/hyperlink" Target="http://henontech.com/fieldsafety/harzard/harzard_show.php?rid=2875&amp;url=harzardrecs.php" TargetMode="External"/><Relationship Id="rId_hyperlink_116" Type="http://schemas.openxmlformats.org/officeDocument/2006/relationships/hyperlink" Target="http://henontech.com/fieldsafety/harzard/harzard_show.php?rid=2877&amp;url=harzardrecs.php" TargetMode="External"/><Relationship Id="rId_hyperlink_117" Type="http://schemas.openxmlformats.org/officeDocument/2006/relationships/hyperlink" Target="http://henontech.com/fieldsafety/harzard/harzard_show.php?rid=2878&amp;url=harzardrecs.php" TargetMode="External"/><Relationship Id="rId_hyperlink_118" Type="http://schemas.openxmlformats.org/officeDocument/2006/relationships/hyperlink" Target="http://henontech.com/fieldsafety/harzard/harzard_show.php?rid=2879&amp;url=harzardrecs.php" TargetMode="External"/><Relationship Id="rId_hyperlink_119" Type="http://schemas.openxmlformats.org/officeDocument/2006/relationships/hyperlink" Target="http://henontech.com/fieldsafety/harzard/harzard_show.php?rid=2880&amp;url=harzardrecs.php" TargetMode="External"/><Relationship Id="rId_hyperlink_120" Type="http://schemas.openxmlformats.org/officeDocument/2006/relationships/hyperlink" Target="http://henontech.com/fieldsafety/harzard/harzard_show.php?rid=2881&amp;url=harzardrecs.php" TargetMode="External"/><Relationship Id="rId_hyperlink_121" Type="http://schemas.openxmlformats.org/officeDocument/2006/relationships/hyperlink" Target="http://henontech.com/fieldsafety/harzard/harzard_show.php?rid=2882&amp;url=harzardrecs.php" TargetMode="External"/><Relationship Id="rId_hyperlink_122" Type="http://schemas.openxmlformats.org/officeDocument/2006/relationships/hyperlink" Target="http://henontech.com/fieldsafety/harzard/harzard_show.php?rid=2883&amp;url=harzardrecs.php" TargetMode="External"/><Relationship Id="rId_hyperlink_123" Type="http://schemas.openxmlformats.org/officeDocument/2006/relationships/hyperlink" Target="http://henontech.com/fieldsafety/harzard/harzard_show.php?rid=2884&amp;url=harzardrecs.php" TargetMode="External"/><Relationship Id="rId_hyperlink_124" Type="http://schemas.openxmlformats.org/officeDocument/2006/relationships/hyperlink" Target="http://henontech.com/fieldsafety/harzard/harzard_show.php?rid=2885&amp;url=harzardrecs.php" TargetMode="External"/><Relationship Id="rId_hyperlink_125" Type="http://schemas.openxmlformats.org/officeDocument/2006/relationships/hyperlink" Target="http://henontech.com/fieldsafety/harzard/harzard_show.php?rid=2886&amp;url=harzardrecs.php" TargetMode="External"/><Relationship Id="rId_hyperlink_126" Type="http://schemas.openxmlformats.org/officeDocument/2006/relationships/hyperlink" Target="http://henontech.com/fieldsafety/harzard/harzard_show.php?rid=2887&amp;url=harzardrecs.php" TargetMode="External"/><Relationship Id="rId_hyperlink_127" Type="http://schemas.openxmlformats.org/officeDocument/2006/relationships/hyperlink" Target="http://henontech.com/fieldsafety/harzard/harzard_show.php?rid=2888&amp;url=harzardrecs.php" TargetMode="External"/><Relationship Id="rId_hyperlink_128" Type="http://schemas.openxmlformats.org/officeDocument/2006/relationships/hyperlink" Target="http://henontech.com/fieldsafety/harzard/harzard_show.php?rid=2889&amp;url=harzardrecs.php" TargetMode="External"/><Relationship Id="rId_hyperlink_129" Type="http://schemas.openxmlformats.org/officeDocument/2006/relationships/hyperlink" Target="http://henontech.com/fieldsafety/harzard/harzard_show.php?rid=2890&amp;url=harzardrecs.php" TargetMode="External"/><Relationship Id="rId_hyperlink_130" Type="http://schemas.openxmlformats.org/officeDocument/2006/relationships/hyperlink" Target="http://henontech.com/fieldsafety/harzard/harzard_show.php?rid=2891&amp;url=harzardrecs.php" TargetMode="External"/><Relationship Id="rId_hyperlink_131" Type="http://schemas.openxmlformats.org/officeDocument/2006/relationships/hyperlink" Target="http://henontech.com/fieldsafety/harzard/harzard_show.php?rid=2892&amp;url=harzardrecs.php" TargetMode="External"/><Relationship Id="rId_hyperlink_132" Type="http://schemas.openxmlformats.org/officeDocument/2006/relationships/hyperlink" Target="http://henontech.com/fieldsafety/harzard/harzard_show.php?rid=2893&amp;url=harzardrecs.php" TargetMode="External"/><Relationship Id="rId_hyperlink_133" Type="http://schemas.openxmlformats.org/officeDocument/2006/relationships/hyperlink" Target="http://henontech.com/fieldsafety/harzard/harzard_show.php?rid=2894&amp;url=harzardrecs.php" TargetMode="External"/><Relationship Id="rId_hyperlink_134" Type="http://schemas.openxmlformats.org/officeDocument/2006/relationships/hyperlink" Target="http://henontech.com/fieldsafety/harzard/harzard_show.php?rid=2895&amp;url=harzardrecs.php" TargetMode="External"/><Relationship Id="rId_hyperlink_135" Type="http://schemas.openxmlformats.org/officeDocument/2006/relationships/hyperlink" Target="http://henontech.com/fieldsafety/harzard/harzard_show.php?rid=2896&amp;url=harzardrecs.php" TargetMode="External"/><Relationship Id="rId_hyperlink_136" Type="http://schemas.openxmlformats.org/officeDocument/2006/relationships/hyperlink" Target="http://henontech.com/fieldsafety/harzard/harzard_show.php?rid=2897&amp;url=harzardrecs.php" TargetMode="External"/><Relationship Id="rId_hyperlink_137" Type="http://schemas.openxmlformats.org/officeDocument/2006/relationships/hyperlink" Target="http://henontech.com/fieldsafety/harzard/harzard_show.php?rid=2898&amp;url=harzardrecs.php" TargetMode="External"/><Relationship Id="rId_hyperlink_138" Type="http://schemas.openxmlformats.org/officeDocument/2006/relationships/hyperlink" Target="http://henontech.com/fieldsafety/harzard/harzard_show.php?rid=2899&amp;url=harzardrecs.php" TargetMode="External"/><Relationship Id="rId_hyperlink_139" Type="http://schemas.openxmlformats.org/officeDocument/2006/relationships/hyperlink" Target="http://henontech.com/fieldsafety/harzard/harzard_show.php?rid=2900&amp;url=harzardrecs.php" TargetMode="External"/><Relationship Id="rId_hyperlink_140" Type="http://schemas.openxmlformats.org/officeDocument/2006/relationships/hyperlink" Target="http://henontech.com/fieldsafety/harzard/harzard_show.php?rid=2901&amp;url=harzardrecs.php" TargetMode="External"/><Relationship Id="rId_hyperlink_141" Type="http://schemas.openxmlformats.org/officeDocument/2006/relationships/hyperlink" Target="http://henontech.com/fieldsafety/harzard/harzard_show.php?rid=2902&amp;url=harzardrecs.php" TargetMode="External"/><Relationship Id="rId_hyperlink_142" Type="http://schemas.openxmlformats.org/officeDocument/2006/relationships/hyperlink" Target="http://henontech.com/fieldsafety/harzard/harzard_show.php?rid=2903&amp;url=harzardrecs.php" TargetMode="External"/><Relationship Id="rId_hyperlink_143" Type="http://schemas.openxmlformats.org/officeDocument/2006/relationships/hyperlink" Target="http://henontech.com/fieldsafety/harzard/harzard_show.php?rid=2904&amp;url=harzardrecs.php" TargetMode="External"/><Relationship Id="rId_hyperlink_144" Type="http://schemas.openxmlformats.org/officeDocument/2006/relationships/hyperlink" Target="http://henontech.com/fieldsafety/harzard/harzard_show.php?rid=2905&amp;url=harzardrecs.php" TargetMode="External"/><Relationship Id="rId_hyperlink_145" Type="http://schemas.openxmlformats.org/officeDocument/2006/relationships/hyperlink" Target="http://henontech.com/fieldsafety/harzard/harzard_show.php?rid=2906&amp;url=harzardrecs.php" TargetMode="External"/><Relationship Id="rId_hyperlink_146" Type="http://schemas.openxmlformats.org/officeDocument/2006/relationships/hyperlink" Target="http://henontech.com/fieldsafety/harzard/harzard_show.php?rid=2907&amp;url=harzardrecs.php" TargetMode="External"/><Relationship Id="rId_hyperlink_147" Type="http://schemas.openxmlformats.org/officeDocument/2006/relationships/hyperlink" Target="http://henontech.com/fieldsafety/harzard/harzard_show.php?rid=2908&amp;url=harzardrecs.php" TargetMode="External"/><Relationship Id="rId_hyperlink_148" Type="http://schemas.openxmlformats.org/officeDocument/2006/relationships/hyperlink" Target="http://henontech.com/fieldsafety/harzard/harzard_show.php?rid=2911&amp;url=harzardrecs.php" TargetMode="External"/><Relationship Id="rId_hyperlink_149" Type="http://schemas.openxmlformats.org/officeDocument/2006/relationships/hyperlink" Target="http://henontech.com/fieldsafety/harzard/harzard_show.php?rid=2912&amp;url=harzardrecs.php" TargetMode="External"/><Relationship Id="rId_hyperlink_150" Type="http://schemas.openxmlformats.org/officeDocument/2006/relationships/hyperlink" Target="http://henontech.com/fieldsafety/harzard/harzard_show.php?rid=2913&amp;url=harzardrecs.php" TargetMode="External"/><Relationship Id="rId_hyperlink_151" Type="http://schemas.openxmlformats.org/officeDocument/2006/relationships/hyperlink" Target="http://henontech.com/fieldsafety/harzard/harzard_show.php?rid=2914&amp;url=harzardrecs.php" TargetMode="External"/><Relationship Id="rId_hyperlink_152" Type="http://schemas.openxmlformats.org/officeDocument/2006/relationships/hyperlink" Target="http://henontech.com/fieldsafety/harzard/harzard_show.php?rid=2915&amp;url=harzardrecs.php" TargetMode="External"/><Relationship Id="rId_hyperlink_153" Type="http://schemas.openxmlformats.org/officeDocument/2006/relationships/hyperlink" Target="http://henontech.com/fieldsafety/harzard/harzard_show.php?rid=2916&amp;url=harzardrecs.php" TargetMode="External"/><Relationship Id="rId_hyperlink_154" Type="http://schemas.openxmlformats.org/officeDocument/2006/relationships/hyperlink" Target="http://henontech.com/fieldsafety/harzard/harzard_show.php?rid=2917&amp;url=harzardrecs.php" TargetMode="External"/><Relationship Id="rId_hyperlink_155" Type="http://schemas.openxmlformats.org/officeDocument/2006/relationships/hyperlink" Target="http://henontech.com/fieldsafety/harzard/harzard_show.php?rid=2918&amp;url=harzardrecs.php" TargetMode="External"/><Relationship Id="rId_hyperlink_156" Type="http://schemas.openxmlformats.org/officeDocument/2006/relationships/hyperlink" Target="http://henontech.com/fieldsafety/harzard/harzard_show.php?rid=2919&amp;url=harzardrecs.php" TargetMode="External"/><Relationship Id="rId_hyperlink_157" Type="http://schemas.openxmlformats.org/officeDocument/2006/relationships/hyperlink" Target="http://henontech.com/fieldsafety/harzard/harzard_show.php?rid=2920&amp;url=harzardrecs.php" TargetMode="External"/><Relationship Id="rId_hyperlink_158" Type="http://schemas.openxmlformats.org/officeDocument/2006/relationships/hyperlink" Target="http://henontech.com/fieldsafety/harzard/harzard_show.php?rid=2921&amp;url=harzardrecs.php" TargetMode="External"/><Relationship Id="rId_hyperlink_159" Type="http://schemas.openxmlformats.org/officeDocument/2006/relationships/hyperlink" Target="http://henontech.com/fieldsafety/harzard/harzard_show.php?rid=2922&amp;url=harzardrecs.php" TargetMode="External"/><Relationship Id="rId_hyperlink_160" Type="http://schemas.openxmlformats.org/officeDocument/2006/relationships/hyperlink" Target="http://henontech.com/fieldsafety/harzard/harzard_show.php?rid=2923&amp;url=harzardrecs.php" TargetMode="External"/><Relationship Id="rId_hyperlink_161" Type="http://schemas.openxmlformats.org/officeDocument/2006/relationships/hyperlink" Target="http://henontech.com/fieldsafety/harzard/harzard_show.php?rid=2924&amp;url=harzardrecs.php" TargetMode="External"/><Relationship Id="rId_hyperlink_162" Type="http://schemas.openxmlformats.org/officeDocument/2006/relationships/hyperlink" Target="http://henontech.com/fieldsafety/harzard/harzard_show.php?rid=2926&amp;url=harzardrecs.php" TargetMode="External"/><Relationship Id="rId_hyperlink_163" Type="http://schemas.openxmlformats.org/officeDocument/2006/relationships/hyperlink" Target="http://henontech.com/fieldsafety/harzard/harzard_show.php?rid=2927&amp;url=harzardrecs.php" TargetMode="External"/><Relationship Id="rId_hyperlink_164" Type="http://schemas.openxmlformats.org/officeDocument/2006/relationships/hyperlink" Target="http://henontech.com/fieldsafety/harzard/harzard_show.php?rid=2928&amp;url=harzardrecs.php" TargetMode="External"/><Relationship Id="rId_hyperlink_165" Type="http://schemas.openxmlformats.org/officeDocument/2006/relationships/hyperlink" Target="http://henontech.com/fieldsafety/harzard/harzard_show.php?rid=2929&amp;url=harzardrecs.php" TargetMode="External"/><Relationship Id="rId_hyperlink_166" Type="http://schemas.openxmlformats.org/officeDocument/2006/relationships/hyperlink" Target="http://henontech.com/fieldsafety/harzard/harzard_show.php?rid=2930&amp;url=harzardrecs.php" TargetMode="External"/><Relationship Id="rId_hyperlink_167" Type="http://schemas.openxmlformats.org/officeDocument/2006/relationships/hyperlink" Target="http://henontech.com/fieldsafety/harzard/harzard_show.php?rid=2931&amp;url=harzardrecs.php" TargetMode="External"/><Relationship Id="rId_hyperlink_168" Type="http://schemas.openxmlformats.org/officeDocument/2006/relationships/hyperlink" Target="http://henontech.com/fieldsafety/harzard/harzard_show.php?rid=2932&amp;url=harzardrecs.php" TargetMode="External"/><Relationship Id="rId_hyperlink_169" Type="http://schemas.openxmlformats.org/officeDocument/2006/relationships/hyperlink" Target="http://henontech.com/fieldsafety/harzard/harzard_show.php?rid=2933&amp;url=harzardrecs.php" TargetMode="External"/><Relationship Id="rId_hyperlink_170" Type="http://schemas.openxmlformats.org/officeDocument/2006/relationships/hyperlink" Target="http://henontech.com/fieldsafety/harzard/harzard_show.php?rid=2934&amp;url=harzardrecs.php" TargetMode="External"/><Relationship Id="rId_hyperlink_171" Type="http://schemas.openxmlformats.org/officeDocument/2006/relationships/hyperlink" Target="http://henontech.com/fieldsafety/harzard/harzard_show.php?rid=2935&amp;url=harzardrecs.php" TargetMode="External"/><Relationship Id="rId_hyperlink_172" Type="http://schemas.openxmlformats.org/officeDocument/2006/relationships/hyperlink" Target="http://henontech.com/fieldsafety/harzard/harzard_show.php?rid=2937&amp;url=harzardrecs.php" TargetMode="External"/><Relationship Id="rId_hyperlink_173" Type="http://schemas.openxmlformats.org/officeDocument/2006/relationships/hyperlink" Target="http://henontech.com/fieldsafety/harzard/harzard_show.php?rid=2938&amp;url=harzardrecs.php" TargetMode="External"/><Relationship Id="rId_hyperlink_174" Type="http://schemas.openxmlformats.org/officeDocument/2006/relationships/hyperlink" Target="http://henontech.com/fieldsafety/harzard/harzard_show.php?rid=2939&amp;url=harzardrecs.php" TargetMode="External"/><Relationship Id="rId_hyperlink_175" Type="http://schemas.openxmlformats.org/officeDocument/2006/relationships/hyperlink" Target="http://henontech.com/fieldsafety/harzard/harzard_show.php?rid=2940&amp;url=harzardrecs.php" TargetMode="External"/><Relationship Id="rId_hyperlink_176" Type="http://schemas.openxmlformats.org/officeDocument/2006/relationships/hyperlink" Target="http://henontech.com/fieldsafety/harzard/harzard_show.php?rid=2941&amp;url=harzardrecs.php" TargetMode="External"/><Relationship Id="rId_hyperlink_177" Type="http://schemas.openxmlformats.org/officeDocument/2006/relationships/hyperlink" Target="http://henontech.com/fieldsafety/harzard/harzard_show.php?rid=2943&amp;url=harzardrecs.php" TargetMode="External"/><Relationship Id="rId_hyperlink_178" Type="http://schemas.openxmlformats.org/officeDocument/2006/relationships/hyperlink" Target="http://henontech.com/fieldsafety/harzard/harzard_show.php?rid=2945&amp;url=harzardrecs.php" TargetMode="External"/><Relationship Id="rId_hyperlink_179" Type="http://schemas.openxmlformats.org/officeDocument/2006/relationships/hyperlink" Target="http://henontech.com/fieldsafety/harzard/harzard_show.php?rid=2947&amp;url=harzardrecs.php" TargetMode="External"/><Relationship Id="rId_hyperlink_180" Type="http://schemas.openxmlformats.org/officeDocument/2006/relationships/hyperlink" Target="http://henontech.com/fieldsafety/harzard/harzard_show.php?rid=2948&amp;url=harzardrecs.php" TargetMode="External"/><Relationship Id="rId_hyperlink_181" Type="http://schemas.openxmlformats.org/officeDocument/2006/relationships/hyperlink" Target="http://henontech.com/fieldsafety/harzard/harzard_show.php?rid=2949&amp;url=harzardrecs.php" TargetMode="External"/><Relationship Id="rId_hyperlink_182" Type="http://schemas.openxmlformats.org/officeDocument/2006/relationships/hyperlink" Target="http://henontech.com/fieldsafety/harzard/harzard_show.php?rid=2950&amp;url=harzardrecs.php" TargetMode="External"/><Relationship Id="rId_hyperlink_183" Type="http://schemas.openxmlformats.org/officeDocument/2006/relationships/hyperlink" Target="http://henontech.com/fieldsafety/harzard/harzard_show.php?rid=2951&amp;url=harzardrecs.php" TargetMode="External"/><Relationship Id="rId_hyperlink_184" Type="http://schemas.openxmlformats.org/officeDocument/2006/relationships/hyperlink" Target="http://henontech.com/fieldsafety/harzard/harzard_show.php?rid=2952&amp;url=harzardrecs.php" TargetMode="External"/><Relationship Id="rId_hyperlink_185" Type="http://schemas.openxmlformats.org/officeDocument/2006/relationships/hyperlink" Target="http://henontech.com/fieldsafety/harzard/harzard_show.php?rid=2953&amp;url=harzardrecs.php" TargetMode="External"/><Relationship Id="rId_hyperlink_186" Type="http://schemas.openxmlformats.org/officeDocument/2006/relationships/hyperlink" Target="http://henontech.com/fieldsafety/harzard/harzard_show.php?rid=2954&amp;url=harzardrecs.php" TargetMode="External"/><Relationship Id="rId_hyperlink_187" Type="http://schemas.openxmlformats.org/officeDocument/2006/relationships/hyperlink" Target="http://henontech.com/fieldsafety/harzard/harzard_show.php?rid=2956&amp;url=harzardrecs.php" TargetMode="External"/></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AH192"/>
  <sheetViews>
    <sheetView tabSelected="1" workbookViewId="0" showGridLines="true" showRowColHeaders="1">
      <pane xSplit="4" ySplit="5" topLeftCell="E6" activePane="bottomRight" state="frozen"/>
      <selection pane="topRight"/>
      <selection pane="bottomLeft"/>
      <selection pane="bottomRight" activeCell="E6" sqref="E6"/>
    </sheetView>
  </sheetViews>
  <sheetFormatPr defaultRowHeight="14.4" outlineLevelRow="0" outlineLevelCol="0"/>
  <cols>
    <col min="1" max="1" width="5" customWidth="true" style="0"/>
    <col min="2" max="2" width="9" customWidth="true" style="0"/>
    <col min="4" max="4" width="65" customWidth="true" style="0"/>
    <col min="5" max="5" width="36" customWidth="true" style="0"/>
    <col min="6" max="6" width="9" customWidth="true" style="0"/>
    <col min="9" max="9" width="12" customWidth="true" style="0"/>
    <col min="10" max="10" width="12" customWidth="true" style="0"/>
    <col min="11" max="11" width="12" customWidth="true" style="0"/>
    <col min="12" max="12" width="12" customWidth="true" style="0"/>
    <col min="13" max="13" width="13" customWidth="true" style="0"/>
    <col min="15" max="15" width="13" customWidth="true" style="0"/>
    <col min="18" max="18" width="18" customWidth="true" style="0"/>
    <col min="19" max="19" width="30" customWidth="true" style="0"/>
    <col min="24" max="24" width="16" customWidth="true" style="0"/>
    <col min="25" max="25" width="16" customWidth="true" style="0"/>
    <col min="26" max="26" width="65" customWidth="true" style="0"/>
    <col min="32" max="32" width="50" customWidth="true" style="0"/>
  </cols>
  <sheetData>
    <row r="1" spans="1:34" customHeight="1" ht="30">
      <c r="E1" s="2" t="s">
        <v>0</v>
      </c>
      <c r="F1" s="2"/>
      <c r="G1" s="2"/>
      <c r="H1" s="2"/>
      <c r="I1" s="2"/>
      <c r="J1" s="2"/>
      <c r="K1" s="2"/>
      <c r="L1" s="2"/>
      <c r="M1" s="2"/>
    </row>
    <row r="2" spans="1:34">
      <c r="E2" s="1" t="s">
        <v>1</v>
      </c>
      <c r="F2" s="1"/>
      <c r="G2" s="1"/>
      <c r="H2" s="1"/>
      <c r="I2" s="1"/>
      <c r="J2" s="1"/>
      <c r="K2" s="1"/>
      <c r="L2" s="1"/>
      <c r="M2" s="1"/>
    </row>
    <row r="3" spans="1:34">
      <c r="E3"/>
    </row>
    <row r="4" spans="1:34">
      <c r="A4" s="10" t="s">
        <v>2</v>
      </c>
      <c r="B4" s="11"/>
      <c r="C4" s="11"/>
      <c r="D4" s="11"/>
      <c r="E4" s="11"/>
      <c r="F4" s="11"/>
      <c r="G4" s="12" t="s">
        <v>3</v>
      </c>
      <c r="H4" s="13"/>
      <c r="I4" s="13"/>
      <c r="J4" s="13"/>
      <c r="K4" s="13"/>
      <c r="L4" s="13"/>
      <c r="M4" s="13"/>
      <c r="N4" s="13"/>
      <c r="O4" s="13"/>
      <c r="P4" s="13"/>
      <c r="Q4" s="13"/>
      <c r="R4" s="13"/>
      <c r="S4" s="13"/>
      <c r="T4" s="10" t="s">
        <v>4</v>
      </c>
      <c r="U4" s="11"/>
      <c r="V4" s="11"/>
      <c r="W4" s="11"/>
      <c r="X4" s="14" t="s">
        <v>5</v>
      </c>
      <c r="Y4" s="15"/>
      <c r="Z4" s="16" t="s">
        <v>6</v>
      </c>
      <c r="AA4" s="17"/>
      <c r="AB4" s="17"/>
      <c r="AC4" s="17"/>
      <c r="AD4" s="17"/>
      <c r="AE4" s="17"/>
      <c r="AF4" s="17"/>
      <c r="AG4" s="18"/>
      <c r="AH4" s="18"/>
    </row>
    <row r="5" spans="1:34">
      <c r="A5" s="4" t="s">
        <v>7</v>
      </c>
      <c r="B5" s="4" t="s">
        <v>8</v>
      </c>
      <c r="C5" s="4" t="s">
        <v>9</v>
      </c>
      <c r="D5" s="3" t="s">
        <v>10</v>
      </c>
      <c r="E5" s="3" t="s">
        <v>11</v>
      </c>
      <c r="F5" s="4" t="s">
        <v>12</v>
      </c>
      <c r="G5" s="6" t="s">
        <v>13</v>
      </c>
      <c r="H5" s="6" t="s">
        <v>14</v>
      </c>
      <c r="I5" s="6" t="s">
        <v>15</v>
      </c>
      <c r="J5" s="6" t="s">
        <v>16</v>
      </c>
      <c r="K5" s="6" t="s">
        <v>17</v>
      </c>
      <c r="L5" s="6" t="s">
        <v>18</v>
      </c>
      <c r="M5" s="6" t="s">
        <v>19</v>
      </c>
      <c r="N5" s="6" t="s">
        <v>20</v>
      </c>
      <c r="O5" s="6" t="s">
        <v>21</v>
      </c>
      <c r="P5" s="6" t="s">
        <v>22</v>
      </c>
      <c r="Q5" s="6" t="s">
        <v>23</v>
      </c>
      <c r="R5" s="5" t="s">
        <v>24</v>
      </c>
      <c r="S5" s="5" t="s">
        <v>25</v>
      </c>
      <c r="T5" s="4" t="s">
        <v>26</v>
      </c>
      <c r="U5" s="4" t="s">
        <v>27</v>
      </c>
      <c r="V5" s="4" t="s">
        <v>28</v>
      </c>
      <c r="W5" s="4" t="s">
        <v>29</v>
      </c>
      <c r="X5" s="7" t="s">
        <v>30</v>
      </c>
      <c r="Y5" s="7" t="s">
        <v>31</v>
      </c>
      <c r="Z5" s="8" t="s">
        <v>32</v>
      </c>
      <c r="AA5" s="9" t="s">
        <v>33</v>
      </c>
      <c r="AB5" s="9" t="s">
        <v>34</v>
      </c>
      <c r="AC5" s="9" t="s">
        <v>35</v>
      </c>
      <c r="AD5" s="9" t="s">
        <v>36</v>
      </c>
      <c r="AE5" s="9" t="s">
        <v>37</v>
      </c>
      <c r="AF5" s="8" t="s">
        <v>38</v>
      </c>
    </row>
    <row r="6" spans="1:34" customHeight="1" ht="42">
      <c r="A6" s="19">
        <v>1</v>
      </c>
      <c r="B6" s="19" t="s">
        <v>39</v>
      </c>
      <c r="C6" s="19" t="s">
        <v>40</v>
      </c>
      <c r="D6" s="19" t="str">
        <f>HYPERLINK("http://henontech.com/fieldsafety/harzard/harzard_show.php?rid=2100&amp;url=harzardrecs.php","西区化水老系统水池约4米，池顶楼梯平台腐蚀严重有破洞，不牢固，一名操作工在工作时由此跌落，腿先着地受伤，随即送医院治疗。")</f>
        <v>西区化水老系统水池约4米，池顶楼梯平台腐蚀严重有破洞，不牢固，一名操作工在工作时由此跌落，腿先着地受伤，随即送医院治疗。</v>
      </c>
      <c r="E6" s="19" t="s">
        <v>41</v>
      </c>
      <c r="F6" s="20" t="s">
        <v>42</v>
      </c>
      <c r="G6" s="21" t="s">
        <v>43</v>
      </c>
      <c r="H6" s="19" t="s">
        <v>44</v>
      </c>
      <c r="I6" s="19" t="s">
        <v>45</v>
      </c>
      <c r="J6" s="19" t="s">
        <v>46</v>
      </c>
      <c r="K6" s="19" t="s">
        <v>47</v>
      </c>
      <c r="L6" s="19" t="s">
        <v>48</v>
      </c>
      <c r="M6" s="19" t="s">
        <v>49</v>
      </c>
      <c r="N6" s="19" t="s">
        <v>50</v>
      </c>
      <c r="O6" s="19" t="s">
        <v>49</v>
      </c>
      <c r="P6" s="19" t="s">
        <v>51</v>
      </c>
      <c r="Q6" s="19" t="s">
        <v>52</v>
      </c>
      <c r="R6" s="19" t="s">
        <v>53</v>
      </c>
      <c r="S6" s="19"/>
      <c r="T6" s="19" t="s">
        <v>54</v>
      </c>
      <c r="U6" s="19" t="s">
        <v>55</v>
      </c>
      <c r="V6" s="19" t="s">
        <v>56</v>
      </c>
      <c r="W6" s="19" t="s">
        <v>57</v>
      </c>
      <c r="X6" s="19" t="s">
        <v>58</v>
      </c>
      <c r="Y6" s="19"/>
      <c r="Z6" s="19" t="s">
        <v>59</v>
      </c>
      <c r="AA6" s="19">
        <v>2</v>
      </c>
      <c r="AB6" s="19">
        <v>1</v>
      </c>
      <c r="AC6" s="19" t="s">
        <v>60</v>
      </c>
      <c r="AD6" s="19" t="s">
        <v>51</v>
      </c>
      <c r="AE6" s="19" t="s">
        <v>61</v>
      </c>
      <c r="AF6" s="19" t="s">
        <v>62</v>
      </c>
    </row>
    <row r="7" spans="1:34" customHeight="1" ht="42">
      <c r="A7" s="19">
        <v>2</v>
      </c>
      <c r="B7" s="19" t="s">
        <v>63</v>
      </c>
      <c r="C7" s="19" t="s">
        <v>64</v>
      </c>
      <c r="D7" s="19" t="str">
        <f>HYPERLINK("http://henontech.com/fieldsafety/harzard/harzard_show.php?rid=2236&amp;url=harzardrecs.php","巡检工经过电缆沟时盖板断裂造成巡检工掉入电缆沟摔伤。")</f>
        <v>巡检工经过电缆沟时盖板断裂造成巡检工掉入电缆沟摔伤。</v>
      </c>
      <c r="E7" s="19" t="s">
        <v>65</v>
      </c>
      <c r="F7" s="20" t="s">
        <v>42</v>
      </c>
      <c r="G7" s="21" t="s">
        <v>43</v>
      </c>
      <c r="H7" s="19" t="s">
        <v>44</v>
      </c>
      <c r="I7" s="19" t="s">
        <v>66</v>
      </c>
      <c r="J7" s="19" t="s">
        <v>46</v>
      </c>
      <c r="K7" s="19"/>
      <c r="L7" s="19"/>
      <c r="M7" s="19" t="s">
        <v>49</v>
      </c>
      <c r="N7" s="19" t="s">
        <v>51</v>
      </c>
      <c r="O7" s="19" t="s">
        <v>49</v>
      </c>
      <c r="P7" s="19" t="s">
        <v>51</v>
      </c>
      <c r="Q7" s="19" t="s">
        <v>67</v>
      </c>
      <c r="R7" s="19" t="s">
        <v>68</v>
      </c>
      <c r="S7" s="19"/>
      <c r="T7" s="19" t="s">
        <v>54</v>
      </c>
      <c r="U7" s="19" t="s">
        <v>55</v>
      </c>
      <c r="V7" s="19" t="s">
        <v>69</v>
      </c>
      <c r="W7" s="19" t="s">
        <v>70</v>
      </c>
      <c r="X7" s="19" t="s">
        <v>58</v>
      </c>
      <c r="Y7" s="19" t="s">
        <v>58</v>
      </c>
      <c r="Z7" s="19" t="s">
        <v>71</v>
      </c>
      <c r="AA7" s="19">
        <v>2</v>
      </c>
      <c r="AB7" s="19">
        <v>1</v>
      </c>
      <c r="AC7" s="19" t="s">
        <v>60</v>
      </c>
      <c r="AD7" s="19" t="s">
        <v>51</v>
      </c>
      <c r="AE7" s="19" t="s">
        <v>61</v>
      </c>
      <c r="AF7" s="19" t="s">
        <v>72</v>
      </c>
    </row>
    <row r="8" spans="1:34" customHeight="1" ht="42">
      <c r="A8" s="19">
        <v>3</v>
      </c>
      <c r="B8" s="19" t="s">
        <v>63</v>
      </c>
      <c r="C8" s="19" t="s">
        <v>64</v>
      </c>
      <c r="D8" s="19" t="str">
        <f>HYPERLINK("http://henontech.com/fieldsafety/harzard/harzard_show.php?rid=2237&amp;url=harzardrecs.php","巡检工经过电缆沟时盖板断裂造成巡检工掉入电缆沟摔伤。")</f>
        <v>巡检工经过电缆沟时盖板断裂造成巡检工掉入电缆沟摔伤。</v>
      </c>
      <c r="E8" s="19" t="s">
        <v>65</v>
      </c>
      <c r="F8" s="20" t="s">
        <v>42</v>
      </c>
      <c r="G8" s="21" t="s">
        <v>43</v>
      </c>
      <c r="H8" s="19" t="s">
        <v>44</v>
      </c>
      <c r="I8" s="19" t="s">
        <v>66</v>
      </c>
      <c r="J8" s="19" t="s">
        <v>46</v>
      </c>
      <c r="K8" s="19"/>
      <c r="L8" s="19"/>
      <c r="M8" s="19" t="s">
        <v>49</v>
      </c>
      <c r="N8" s="19" t="s">
        <v>51</v>
      </c>
      <c r="O8" s="19" t="s">
        <v>49</v>
      </c>
      <c r="P8" s="19" t="s">
        <v>51</v>
      </c>
      <c r="Q8" s="19" t="s">
        <v>67</v>
      </c>
      <c r="R8" s="19" t="s">
        <v>68</v>
      </c>
      <c r="S8" s="19"/>
      <c r="T8" s="19" t="s">
        <v>54</v>
      </c>
      <c r="U8" s="19" t="s">
        <v>55</v>
      </c>
      <c r="V8" s="19" t="s">
        <v>69</v>
      </c>
      <c r="W8" s="19" t="s">
        <v>70</v>
      </c>
      <c r="X8" s="19" t="s">
        <v>58</v>
      </c>
      <c r="Y8" s="19" t="s">
        <v>58</v>
      </c>
      <c r="Z8" s="19" t="s">
        <v>71</v>
      </c>
      <c r="AA8" s="19">
        <v>2</v>
      </c>
      <c r="AB8" s="19">
        <v>1</v>
      </c>
      <c r="AC8" s="19" t="s">
        <v>60</v>
      </c>
      <c r="AD8" s="19" t="s">
        <v>51</v>
      </c>
      <c r="AE8" s="19" t="s">
        <v>61</v>
      </c>
      <c r="AF8" s="19" t="s">
        <v>73</v>
      </c>
    </row>
    <row r="9" spans="1:34" customHeight="1" ht="42">
      <c r="A9" s="19">
        <v>4</v>
      </c>
      <c r="B9" s="19" t="s">
        <v>74</v>
      </c>
      <c r="C9" s="19" t="s">
        <v>75</v>
      </c>
      <c r="D9" s="19" t="str">
        <f>HYPERLINK("http://henontech.com/fieldsafety/harzard/harzard_show.php?rid=2254&amp;url=harzardrecs.php","巡检人员巡检超滤设备时，因超滤排污管道处无盖板，导致巡检过程中一脚踏入排污沟导致小腿骨折")</f>
        <v>巡检人员巡检超滤设备时，因超滤排污管道处无盖板，导致巡检过程中一脚踏入排污沟导致小腿骨折</v>
      </c>
      <c r="E9" s="19" t="s">
        <v>76</v>
      </c>
      <c r="F9" s="20" t="s">
        <v>42</v>
      </c>
      <c r="G9" s="21" t="s">
        <v>43</v>
      </c>
      <c r="H9" s="19" t="s">
        <v>44</v>
      </c>
      <c r="I9" s="19" t="s">
        <v>66</v>
      </c>
      <c r="J9" s="19" t="s">
        <v>77</v>
      </c>
      <c r="K9" s="19"/>
      <c r="L9" s="19"/>
      <c r="M9" s="19" t="s">
        <v>49</v>
      </c>
      <c r="N9" s="19" t="s">
        <v>78</v>
      </c>
      <c r="O9" s="19" t="s">
        <v>49</v>
      </c>
      <c r="P9" s="19" t="s">
        <v>51</v>
      </c>
      <c r="Q9" s="19" t="s">
        <v>52</v>
      </c>
      <c r="R9" s="19" t="s">
        <v>79</v>
      </c>
      <c r="S9" s="19"/>
      <c r="T9" s="19" t="s">
        <v>54</v>
      </c>
      <c r="U9" s="19" t="s">
        <v>55</v>
      </c>
      <c r="V9" s="19" t="s">
        <v>80</v>
      </c>
      <c r="W9" s="19" t="s">
        <v>81</v>
      </c>
      <c r="X9" s="19" t="s">
        <v>58</v>
      </c>
      <c r="Y9" s="19"/>
      <c r="Z9" s="19" t="s">
        <v>82</v>
      </c>
      <c r="AA9" s="19">
        <v>2</v>
      </c>
      <c r="AB9" s="19">
        <v>1</v>
      </c>
      <c r="AC9" s="19" t="s">
        <v>60</v>
      </c>
      <c r="AD9" s="19" t="s">
        <v>51</v>
      </c>
      <c r="AE9" s="19" t="s">
        <v>61</v>
      </c>
      <c r="AF9" s="19" t="s">
        <v>83</v>
      </c>
    </row>
    <row r="10" spans="1:34">
      <c r="A10" s="19">
        <v>5</v>
      </c>
      <c r="B10" s="19" t="s">
        <v>84</v>
      </c>
      <c r="C10" s="19" t="s">
        <v>85</v>
      </c>
      <c r="D10" s="19" t="str">
        <f>HYPERLINK("http://henontech.com/fieldsafety/harzard/harzard_show.php?rid=2272&amp;url=harzardrecs.php","冷却塔顶部无护栏，平台湿滑，一维修工在清理顶部风机皮带时，未系安全带，脚底打滑，从4米高塔顶跌落，送医救治，诊断为右小腿骨折，住院治疗20天，回家休养三个月。")</f>
        <v>冷却塔顶部无护栏，平台湿滑，一维修工在清理顶部风机皮带时，未系安全带，脚底打滑，从4米高塔顶跌落，送医救治，诊断为右小腿骨折，住院治疗20天，回家休养三个月。</v>
      </c>
      <c r="E10" s="19" t="s">
        <v>86</v>
      </c>
      <c r="F10" s="20" t="s">
        <v>42</v>
      </c>
      <c r="G10" s="21" t="s">
        <v>43</v>
      </c>
      <c r="H10" s="19" t="s">
        <v>44</v>
      </c>
      <c r="I10" s="19" t="s">
        <v>45</v>
      </c>
      <c r="J10" s="19" t="s">
        <v>77</v>
      </c>
      <c r="K10" s="19" t="s">
        <v>47</v>
      </c>
      <c r="L10" s="19" t="s">
        <v>48</v>
      </c>
      <c r="M10" s="19" t="s">
        <v>87</v>
      </c>
      <c r="N10" s="19" t="s">
        <v>88</v>
      </c>
      <c r="O10" s="19" t="s">
        <v>87</v>
      </c>
      <c r="P10" s="19" t="s">
        <v>89</v>
      </c>
      <c r="Q10" s="19" t="s">
        <v>90</v>
      </c>
      <c r="R10" s="19" t="s">
        <v>91</v>
      </c>
      <c r="S10" s="19" t="s">
        <v>92</v>
      </c>
      <c r="T10" s="19" t="s">
        <v>54</v>
      </c>
      <c r="U10" s="19" t="s">
        <v>55</v>
      </c>
      <c r="V10" s="19" t="s">
        <v>80</v>
      </c>
      <c r="W10" s="19" t="s">
        <v>81</v>
      </c>
      <c r="X10" s="19" t="s">
        <v>93</v>
      </c>
      <c r="Y10" s="19"/>
      <c r="Z10" s="19" t="s">
        <v>94</v>
      </c>
      <c r="AA10" s="19">
        <v>1</v>
      </c>
      <c r="AB10" s="19">
        <v>1</v>
      </c>
      <c r="AC10" s="19" t="s">
        <v>60</v>
      </c>
      <c r="AD10" s="19" t="s">
        <v>89</v>
      </c>
      <c r="AE10" s="19" t="s">
        <v>95</v>
      </c>
      <c r="AF10" s="19"/>
    </row>
    <row r="11" spans="1:34">
      <c r="A11" s="19">
        <v>6</v>
      </c>
      <c r="B11" s="19" t="s">
        <v>96</v>
      </c>
      <c r="C11" s="19" t="s">
        <v>97</v>
      </c>
      <c r="D11" s="19" t="str">
        <f>HYPERLINK("http://henontech.com/fieldsafety/harzard/harzard_show.php?rid=2288&amp;url=harzardrecs.php","由于循环水池补水管高50厘米，横跨走廊，补水管没有跨越阶梯，一巡检人员巡检跨越时，不慎绊倒，身体前倾，双手撑地，导致左手手腕扭伤，损工五天。")</f>
        <v>由于循环水池补水管高50厘米，横跨走廊，补水管没有跨越阶梯，一巡检人员巡检跨越时，不慎绊倒，身体前倾，双手撑地，导致左手手腕扭伤，损工五天。</v>
      </c>
      <c r="E11" s="19" t="s">
        <v>98</v>
      </c>
      <c r="F11" s="20" t="s">
        <v>42</v>
      </c>
      <c r="G11" s="21" t="s">
        <v>43</v>
      </c>
      <c r="H11" s="19" t="s">
        <v>44</v>
      </c>
      <c r="I11" s="19" t="s">
        <v>66</v>
      </c>
      <c r="J11" s="19" t="s">
        <v>77</v>
      </c>
      <c r="K11" s="19" t="s">
        <v>99</v>
      </c>
      <c r="L11" s="19"/>
      <c r="M11" s="19" t="s">
        <v>87</v>
      </c>
      <c r="N11" s="19" t="s">
        <v>100</v>
      </c>
      <c r="O11" s="19" t="s">
        <v>87</v>
      </c>
      <c r="P11" s="19" t="s">
        <v>89</v>
      </c>
      <c r="Q11" s="19" t="s">
        <v>101</v>
      </c>
      <c r="R11" s="19" t="s">
        <v>102</v>
      </c>
      <c r="S11" s="19" t="s">
        <v>103</v>
      </c>
      <c r="T11" s="19" t="s">
        <v>54</v>
      </c>
      <c r="U11" s="19" t="s">
        <v>55</v>
      </c>
      <c r="V11" s="19" t="s">
        <v>80</v>
      </c>
      <c r="W11" s="19" t="s">
        <v>81</v>
      </c>
      <c r="X11" s="19" t="s">
        <v>58</v>
      </c>
      <c r="Y11" s="19"/>
      <c r="Z11" s="19" t="s">
        <v>104</v>
      </c>
      <c r="AA11" s="19">
        <v>1</v>
      </c>
      <c r="AB11" s="19">
        <v>1</v>
      </c>
      <c r="AC11" s="19" t="s">
        <v>60</v>
      </c>
      <c r="AD11" s="19" t="s">
        <v>89</v>
      </c>
      <c r="AE11" s="19" t="s">
        <v>95</v>
      </c>
      <c r="AF11" s="19"/>
    </row>
    <row r="12" spans="1:34" customHeight="1" ht="42">
      <c r="A12" s="19">
        <v>7</v>
      </c>
      <c r="B12" s="19" t="s">
        <v>105</v>
      </c>
      <c r="C12" s="19" t="s">
        <v>87</v>
      </c>
      <c r="D12" s="19" t="str">
        <f>HYPERLINK("http://henontech.com/fieldsafety/harzard/harzard_show.php?rid=2537&amp;url=harzardrecs.php","一操作工在经过熄焦泵房安全门处，安全门脱落砸中操作工头部，当场昏迷，送医抢救。")</f>
        <v>一操作工在经过熄焦泵房安全门处，安全门脱落砸中操作工头部，当场昏迷，送医抢救。</v>
      </c>
      <c r="E12" s="19" t="s">
        <v>106</v>
      </c>
      <c r="F12" s="20" t="s">
        <v>42</v>
      </c>
      <c r="G12" s="22" t="s">
        <v>107</v>
      </c>
      <c r="H12" s="19" t="s">
        <v>44</v>
      </c>
      <c r="I12" s="19" t="s">
        <v>108</v>
      </c>
      <c r="J12" s="19" t="s">
        <v>109</v>
      </c>
      <c r="K12" s="19" t="s">
        <v>47</v>
      </c>
      <c r="L12" s="19" t="s">
        <v>110</v>
      </c>
      <c r="M12" s="19" t="s">
        <v>87</v>
      </c>
      <c r="N12" s="19" t="s">
        <v>111</v>
      </c>
      <c r="O12" s="19" t="s">
        <v>87</v>
      </c>
      <c r="P12" s="19" t="s">
        <v>89</v>
      </c>
      <c r="Q12" s="19" t="s">
        <v>112</v>
      </c>
      <c r="R12" s="19" t="s">
        <v>113</v>
      </c>
      <c r="S12" s="19"/>
      <c r="T12" s="19" t="s">
        <v>54</v>
      </c>
      <c r="U12" s="19" t="s">
        <v>114</v>
      </c>
      <c r="V12" s="19" t="s">
        <v>69</v>
      </c>
      <c r="W12" s="19" t="s">
        <v>81</v>
      </c>
      <c r="X12" s="19" t="s">
        <v>58</v>
      </c>
      <c r="Y12" s="19"/>
      <c r="Z12" s="19" t="s">
        <v>115</v>
      </c>
      <c r="AA12" s="19">
        <v>2</v>
      </c>
      <c r="AB12" s="19">
        <v>2</v>
      </c>
      <c r="AC12" s="19" t="s">
        <v>60</v>
      </c>
      <c r="AD12" s="19" t="s">
        <v>89</v>
      </c>
      <c r="AE12" s="19" t="s">
        <v>116</v>
      </c>
      <c r="AF12" s="19"/>
    </row>
    <row r="13" spans="1:34">
      <c r="A13" s="19">
        <v>8</v>
      </c>
      <c r="B13" s="19" t="s">
        <v>117</v>
      </c>
      <c r="C13" s="19" t="s">
        <v>118</v>
      </c>
      <c r="D13" s="19" t="str">
        <f>HYPERLINK("http://henontech.com/fieldsafety/harzard/harzard_show.php?rid=2566&amp;url=harzardrecs.php","汽轮机零米1106113配电箱接地线断开，由于柜内开关漏电导致柜体外壳带电，员工在擦拭配电箱时，发生触电！经医院抢救无效死亡！")</f>
        <v>汽轮机零米1106113配电箱接地线断开，由于柜内开关漏电导致柜体外壳带电，员工在擦拭配电箱时，发生触电！经医院抢救无效死亡！</v>
      </c>
      <c r="E13" s="19" t="s">
        <v>119</v>
      </c>
      <c r="F13" s="20" t="s">
        <v>42</v>
      </c>
      <c r="G13" s="21" t="s">
        <v>43</v>
      </c>
      <c r="H13" s="19" t="s">
        <v>44</v>
      </c>
      <c r="I13" s="19"/>
      <c r="J13" s="19" t="s">
        <v>46</v>
      </c>
      <c r="K13" s="19"/>
      <c r="L13" s="19"/>
      <c r="M13" s="19" t="s">
        <v>87</v>
      </c>
      <c r="N13" s="19" t="s">
        <v>120</v>
      </c>
      <c r="O13" s="19" t="s">
        <v>87</v>
      </c>
      <c r="P13" s="19" t="s">
        <v>89</v>
      </c>
      <c r="Q13" s="19" t="s">
        <v>121</v>
      </c>
      <c r="R13" s="19" t="s">
        <v>122</v>
      </c>
      <c r="S13" s="19" t="s">
        <v>123</v>
      </c>
      <c r="T13" s="19" t="s">
        <v>54</v>
      </c>
      <c r="U13" s="19" t="s">
        <v>114</v>
      </c>
      <c r="V13" s="19" t="s">
        <v>80</v>
      </c>
      <c r="W13" s="19" t="s">
        <v>57</v>
      </c>
      <c r="X13" s="19" t="s">
        <v>58</v>
      </c>
      <c r="Y13" s="19"/>
      <c r="Z13" s="19" t="s">
        <v>124</v>
      </c>
      <c r="AA13" s="19">
        <v>1</v>
      </c>
      <c r="AB13" s="19">
        <v>1</v>
      </c>
      <c r="AC13" s="19" t="s">
        <v>60</v>
      </c>
      <c r="AD13" s="19" t="s">
        <v>89</v>
      </c>
      <c r="AE13" s="19" t="s">
        <v>116</v>
      </c>
      <c r="AF13" s="19"/>
    </row>
    <row r="14" spans="1:34">
      <c r="A14" s="19">
        <v>9</v>
      </c>
      <c r="B14" s="19" t="s">
        <v>117</v>
      </c>
      <c r="C14" s="19" t="s">
        <v>85</v>
      </c>
      <c r="D14" s="19" t="str">
        <f>HYPERLINK("http://henontech.com/fieldsafety/harzard/harzard_show.php?rid=2568&amp;url=harzardrecs.php","导管疏水外排管道焊接位置不当，汽轮机开机过程中暖导管之前必须先把电动主蒸汽阀门前疏水关闭，才能开导管疏水，存在疏水积存可能，易造成管道水冲击，建议接至西侧疏水外排管道或新加装疏水管道一根。。")</f>
        <v>导管疏水外排管道焊接位置不当，汽轮机开机过程中暖导管之前必须先把电动主蒸汽阀门前疏水关闭，才能开导管疏水，存在疏水积存可能，易造成管道水冲击，建议接至西侧疏水外排管道或新加装疏水管道一根。。</v>
      </c>
      <c r="E14" s="19" t="s">
        <v>125</v>
      </c>
      <c r="F14" s="20" t="s">
        <v>42</v>
      </c>
      <c r="G14" s="21" t="s">
        <v>43</v>
      </c>
      <c r="H14" s="19" t="s">
        <v>44</v>
      </c>
      <c r="I14" s="19" t="s">
        <v>126</v>
      </c>
      <c r="J14" s="19" t="s">
        <v>46</v>
      </c>
      <c r="K14" s="19" t="s">
        <v>127</v>
      </c>
      <c r="L14" s="19" t="s">
        <v>48</v>
      </c>
      <c r="M14" s="19" t="s">
        <v>87</v>
      </c>
      <c r="N14" s="19" t="s">
        <v>128</v>
      </c>
      <c r="O14" s="19" t="s">
        <v>87</v>
      </c>
      <c r="P14" s="19" t="s">
        <v>89</v>
      </c>
      <c r="Q14" s="19" t="s">
        <v>129</v>
      </c>
      <c r="R14" s="19" t="s">
        <v>130</v>
      </c>
      <c r="S14" s="19" t="s">
        <v>131</v>
      </c>
      <c r="T14" s="19" t="s">
        <v>132</v>
      </c>
      <c r="U14" s="19" t="s">
        <v>133</v>
      </c>
      <c r="V14" s="19" t="s">
        <v>56</v>
      </c>
      <c r="W14" s="19" t="s">
        <v>134</v>
      </c>
      <c r="X14" s="19" t="s">
        <v>58</v>
      </c>
      <c r="Y14" s="19"/>
      <c r="Z14" s="19" t="s">
        <v>135</v>
      </c>
      <c r="AA14" s="19">
        <v>1</v>
      </c>
      <c r="AB14" s="19">
        <v>1</v>
      </c>
      <c r="AC14" s="19" t="s">
        <v>60</v>
      </c>
      <c r="AD14" s="19" t="s">
        <v>89</v>
      </c>
      <c r="AE14" s="19" t="s">
        <v>116</v>
      </c>
      <c r="AF14" s="19"/>
    </row>
    <row r="15" spans="1:34">
      <c r="A15" s="19">
        <v>10</v>
      </c>
      <c r="B15" s="19" t="s">
        <v>67</v>
      </c>
      <c r="C15" s="19" t="s">
        <v>85</v>
      </c>
      <c r="D15" s="19" t="str">
        <f>HYPERLINK("http://henontech.com/fieldsafety/harzard/harzard_show.php?rid=2578&amp;url=harzardrecs.php","汽轮机零米射水箱与溢流箱联通管道未设置照明，视线不良，中夜班巡检人员到此巡检热水井液位时，不慎被联通管道绊倒，膝盖手腕擦伤，损工一天")</f>
        <v>汽轮机零米射水箱与溢流箱联通管道未设置照明，视线不良，中夜班巡检人员到此巡检热水井液位时，不慎被联通管道绊倒，膝盖手腕擦伤，损工一天</v>
      </c>
      <c r="E15" s="19" t="s">
        <v>136</v>
      </c>
      <c r="F15" s="20" t="s">
        <v>42</v>
      </c>
      <c r="G15" s="21" t="s">
        <v>43</v>
      </c>
      <c r="H15" s="19" t="s">
        <v>44</v>
      </c>
      <c r="I15" s="19" t="s">
        <v>66</v>
      </c>
      <c r="J15" s="19"/>
      <c r="K15" s="19" t="s">
        <v>137</v>
      </c>
      <c r="L15" s="19"/>
      <c r="M15" s="19" t="s">
        <v>87</v>
      </c>
      <c r="N15" s="19" t="s">
        <v>138</v>
      </c>
      <c r="O15" s="19" t="s">
        <v>87</v>
      </c>
      <c r="P15" s="19" t="s">
        <v>89</v>
      </c>
      <c r="Q15" s="19" t="s">
        <v>121</v>
      </c>
      <c r="R15" s="19" t="s">
        <v>122</v>
      </c>
      <c r="S15" s="19" t="s">
        <v>139</v>
      </c>
      <c r="T15" s="19" t="s">
        <v>54</v>
      </c>
      <c r="U15" s="19" t="s">
        <v>55</v>
      </c>
      <c r="V15" s="19" t="s">
        <v>80</v>
      </c>
      <c r="W15" s="19" t="s">
        <v>81</v>
      </c>
      <c r="X15" s="19" t="s">
        <v>140</v>
      </c>
      <c r="Y15" s="19"/>
      <c r="Z15" s="19" t="s">
        <v>141</v>
      </c>
      <c r="AA15" s="19">
        <v>1</v>
      </c>
      <c r="AB15" s="19">
        <v>1</v>
      </c>
      <c r="AC15" s="19" t="s">
        <v>60</v>
      </c>
      <c r="AD15" s="19" t="s">
        <v>89</v>
      </c>
      <c r="AE15" s="19" t="s">
        <v>116</v>
      </c>
      <c r="AF15" s="19"/>
    </row>
    <row r="16" spans="1:34">
      <c r="A16" s="19">
        <v>11</v>
      </c>
      <c r="B16" s="19" t="s">
        <v>67</v>
      </c>
      <c r="C16" s="19" t="s">
        <v>85</v>
      </c>
      <c r="D16" s="19" t="str">
        <f>HYPERLINK("http://henontech.com/fieldsafety/harzard/harzard_show.php?rid=2579&amp;url=harzardrecs.php","汽轮机七米照明不良，一巡检工在巡检时，视线不好，不慎被铁板绊倒，膝盖擦伤，送医务室治疗")</f>
        <v>汽轮机七米照明不良，一巡检工在巡检时，视线不好，不慎被铁板绊倒，膝盖擦伤，送医务室治疗</v>
      </c>
      <c r="E16" s="19" t="s">
        <v>142</v>
      </c>
      <c r="F16" s="20" t="s">
        <v>42</v>
      </c>
      <c r="G16" s="21" t="s">
        <v>43</v>
      </c>
      <c r="H16" s="19" t="s">
        <v>44</v>
      </c>
      <c r="I16" s="19" t="s">
        <v>66</v>
      </c>
      <c r="J16" s="19" t="s">
        <v>46</v>
      </c>
      <c r="K16" s="19" t="s">
        <v>137</v>
      </c>
      <c r="L16" s="19"/>
      <c r="M16" s="19" t="s">
        <v>87</v>
      </c>
      <c r="N16" s="19" t="s">
        <v>143</v>
      </c>
      <c r="O16" s="19" t="s">
        <v>87</v>
      </c>
      <c r="P16" s="19" t="s">
        <v>89</v>
      </c>
      <c r="Q16" s="19" t="s">
        <v>129</v>
      </c>
      <c r="R16" s="19" t="s">
        <v>144</v>
      </c>
      <c r="S16" s="19" t="s">
        <v>145</v>
      </c>
      <c r="T16" s="19" t="s">
        <v>54</v>
      </c>
      <c r="U16" s="19" t="s">
        <v>146</v>
      </c>
      <c r="V16" s="19" t="s">
        <v>80</v>
      </c>
      <c r="W16" s="19" t="s">
        <v>70</v>
      </c>
      <c r="X16" s="19" t="s">
        <v>58</v>
      </c>
      <c r="Y16" s="19"/>
      <c r="Z16" s="19" t="s">
        <v>141</v>
      </c>
      <c r="AA16" s="19">
        <v>1</v>
      </c>
      <c r="AB16" s="19">
        <v>1</v>
      </c>
      <c r="AC16" s="19" t="s">
        <v>60</v>
      </c>
      <c r="AD16" s="19" t="s">
        <v>89</v>
      </c>
      <c r="AE16" s="19" t="s">
        <v>116</v>
      </c>
      <c r="AF16" s="19"/>
    </row>
    <row r="17" spans="1:34">
      <c r="A17" s="19">
        <v>12</v>
      </c>
      <c r="B17" s="19" t="s">
        <v>67</v>
      </c>
      <c r="C17" s="19" t="s">
        <v>147</v>
      </c>
      <c r="D17" s="19" t="str">
        <f>HYPERLINK("http://henontech.com/fieldsafety/harzard/harzard_show.php?rid=2581&amp;url=harzardrecs.php","除盐水站中控室南侧电缆套管脱落，一员工巡检中经过此处，铁皮套管锈蚀脱落砸中员工右侧肩膀及胳膊，送医检查多处均为皮外伤，未影响工作")</f>
        <v>除盐水站中控室南侧电缆套管脱落，一员工巡检中经过此处，铁皮套管锈蚀脱落砸中员工右侧肩膀及胳膊，送医检查多处均为皮外伤，未影响工作</v>
      </c>
      <c r="E17" s="19" t="s">
        <v>148</v>
      </c>
      <c r="F17" s="20" t="s">
        <v>42</v>
      </c>
      <c r="G17" s="21" t="s">
        <v>43</v>
      </c>
      <c r="H17" s="19" t="s">
        <v>44</v>
      </c>
      <c r="I17" s="19"/>
      <c r="J17" s="19" t="s">
        <v>109</v>
      </c>
      <c r="K17" s="19" t="s">
        <v>137</v>
      </c>
      <c r="L17" s="19" t="s">
        <v>48</v>
      </c>
      <c r="M17" s="19" t="s">
        <v>87</v>
      </c>
      <c r="N17" s="19" t="s">
        <v>149</v>
      </c>
      <c r="O17" s="19" t="s">
        <v>87</v>
      </c>
      <c r="P17" s="19" t="s">
        <v>89</v>
      </c>
      <c r="Q17" s="19" t="s">
        <v>121</v>
      </c>
      <c r="R17" s="19" t="s">
        <v>150</v>
      </c>
      <c r="S17" s="19" t="s">
        <v>151</v>
      </c>
      <c r="T17" s="19" t="s">
        <v>54</v>
      </c>
      <c r="U17" s="19" t="s">
        <v>146</v>
      </c>
      <c r="V17" s="19" t="s">
        <v>80</v>
      </c>
      <c r="W17" s="19" t="s">
        <v>70</v>
      </c>
      <c r="X17" s="19" t="s">
        <v>58</v>
      </c>
      <c r="Y17" s="19"/>
      <c r="Z17" s="19" t="s">
        <v>152</v>
      </c>
      <c r="AA17" s="19">
        <v>1</v>
      </c>
      <c r="AB17" s="19">
        <v>1</v>
      </c>
      <c r="AC17" s="19" t="s">
        <v>60</v>
      </c>
      <c r="AD17" s="19" t="s">
        <v>89</v>
      </c>
      <c r="AE17" s="19" t="s">
        <v>116</v>
      </c>
      <c r="AF17" s="19"/>
    </row>
    <row r="18" spans="1:34">
      <c r="A18" s="19">
        <v>13</v>
      </c>
      <c r="B18" s="19" t="s">
        <v>153</v>
      </c>
      <c r="C18" s="19" t="s">
        <v>154</v>
      </c>
      <c r="D18" s="19" t="str">
        <f>HYPERLINK("http://henontech.com/fieldsafety/harzard/harzard_show.php?rid=2641&amp;url=harzardrecs.php","分汽缸上方去除氧器供气阀门漏气，一员工从此处楼梯经过被泄露的蒸汽烫伤面部，送医院救治诊断为浅二度烫伤住院治疗一周回家修养十五天")</f>
        <v>分汽缸上方去除氧器供气阀门漏气，一员工从此处楼梯经过被泄露的蒸汽烫伤面部，送医院救治诊断为浅二度烫伤住院治疗一周回家修养十五天</v>
      </c>
      <c r="E18" s="19" t="s">
        <v>155</v>
      </c>
      <c r="F18" s="20" t="s">
        <v>42</v>
      </c>
      <c r="G18" s="21" t="s">
        <v>43</v>
      </c>
      <c r="H18" s="19" t="s">
        <v>44</v>
      </c>
      <c r="I18" s="19" t="s">
        <v>45</v>
      </c>
      <c r="J18" s="19" t="s">
        <v>156</v>
      </c>
      <c r="K18" s="19" t="s">
        <v>47</v>
      </c>
      <c r="L18" s="19" t="s">
        <v>48</v>
      </c>
      <c r="M18" s="19" t="s">
        <v>87</v>
      </c>
      <c r="N18" s="19" t="s">
        <v>157</v>
      </c>
      <c r="O18" s="19" t="s">
        <v>87</v>
      </c>
      <c r="P18" s="19" t="s">
        <v>128</v>
      </c>
      <c r="Q18" s="19" t="s">
        <v>129</v>
      </c>
      <c r="R18" s="19" t="s">
        <v>158</v>
      </c>
      <c r="S18" s="19" t="s">
        <v>159</v>
      </c>
      <c r="T18" s="19" t="s">
        <v>54</v>
      </c>
      <c r="U18" s="19" t="s">
        <v>55</v>
      </c>
      <c r="V18" s="19" t="s">
        <v>56</v>
      </c>
      <c r="W18" s="19" t="s">
        <v>57</v>
      </c>
      <c r="X18" s="19" t="s">
        <v>58</v>
      </c>
      <c r="Y18" s="19"/>
      <c r="Z18" s="19" t="s">
        <v>160</v>
      </c>
      <c r="AA18" s="19">
        <v>1</v>
      </c>
      <c r="AB18" s="19">
        <v>1</v>
      </c>
      <c r="AC18" s="19" t="s">
        <v>60</v>
      </c>
      <c r="AD18" s="19" t="s">
        <v>128</v>
      </c>
      <c r="AE18" s="19" t="s">
        <v>161</v>
      </c>
      <c r="AF18" s="19" t="s">
        <v>162</v>
      </c>
    </row>
    <row r="19" spans="1:34" customHeight="1" ht="42">
      <c r="A19" s="19">
        <v>14</v>
      </c>
      <c r="B19" s="19" t="s">
        <v>163</v>
      </c>
      <c r="C19" s="19" t="s">
        <v>164</v>
      </c>
      <c r="D19" s="19" t="str">
        <f>HYPERLINK("http://henontech.com/fieldsafety/harzard/harzard_show.php?rid=2669&amp;url=harzardrecs.php","焦炉捣固机南端，电缆槽盖板缺失。长期裸露万一破损连电，将造成焦炉4小时无法生产，经济损失50万元。")</f>
        <v>焦炉捣固机南端，电缆槽盖板缺失。长期裸露万一破损连电，将造成焦炉4小时无法生产，经济损失50万元。</v>
      </c>
      <c r="E19" s="19" t="s">
        <v>165</v>
      </c>
      <c r="F19" s="20" t="s">
        <v>42</v>
      </c>
      <c r="G19" s="21" t="s">
        <v>43</v>
      </c>
      <c r="H19" s="19" t="s">
        <v>44</v>
      </c>
      <c r="I19" s="19" t="s">
        <v>66</v>
      </c>
      <c r="J19" s="19" t="s">
        <v>77</v>
      </c>
      <c r="K19" s="19" t="s">
        <v>99</v>
      </c>
      <c r="L19" s="19" t="s">
        <v>166</v>
      </c>
      <c r="M19" s="19" t="s">
        <v>87</v>
      </c>
      <c r="N19" s="19" t="s">
        <v>167</v>
      </c>
      <c r="O19" s="19" t="s">
        <v>87</v>
      </c>
      <c r="P19" s="19" t="s">
        <v>89</v>
      </c>
      <c r="Q19" s="19" t="s">
        <v>112</v>
      </c>
      <c r="R19" s="19" t="s">
        <v>168</v>
      </c>
      <c r="S19" s="19"/>
      <c r="T19" s="19" t="s">
        <v>132</v>
      </c>
      <c r="U19" s="19" t="s">
        <v>133</v>
      </c>
      <c r="V19" s="19" t="s">
        <v>69</v>
      </c>
      <c r="W19" s="19" t="s">
        <v>134</v>
      </c>
      <c r="X19" s="19" t="s">
        <v>169</v>
      </c>
      <c r="Y19" s="19"/>
      <c r="Z19" s="19" t="s">
        <v>170</v>
      </c>
      <c r="AA19" s="19">
        <v>2</v>
      </c>
      <c r="AB19" s="19">
        <v>2</v>
      </c>
      <c r="AC19" s="19" t="s">
        <v>60</v>
      </c>
      <c r="AD19" s="19" t="s">
        <v>89</v>
      </c>
      <c r="AE19" s="19" t="s">
        <v>171</v>
      </c>
      <c r="AF19" s="19"/>
    </row>
    <row r="20" spans="1:34" customHeight="1" ht="42">
      <c r="A20" s="19">
        <v>15</v>
      </c>
      <c r="B20" s="19" t="s">
        <v>163</v>
      </c>
      <c r="C20" s="19" t="s">
        <v>164</v>
      </c>
      <c r="D20" s="19" t="str">
        <f>HYPERLINK("http://henontech.com/fieldsafety/harzard/harzard_show.php?rid=2671&amp;url=harzardrecs.php","维修工在完成维修任务后，未及时撤走倒链支架，一名操作工在巡检过程中由于视线不好被绊倒")</f>
        <v>维修工在完成维修任务后，未及时撤走倒链支架，一名操作工在巡检过程中由于视线不好被绊倒</v>
      </c>
      <c r="E20" s="19" t="s">
        <v>172</v>
      </c>
      <c r="F20" s="20" t="s">
        <v>42</v>
      </c>
      <c r="G20" s="21" t="s">
        <v>43</v>
      </c>
      <c r="H20" s="19" t="s">
        <v>44</v>
      </c>
      <c r="I20" s="19" t="s">
        <v>45</v>
      </c>
      <c r="J20" s="19" t="s">
        <v>156</v>
      </c>
      <c r="K20" s="19" t="s">
        <v>173</v>
      </c>
      <c r="L20" s="19" t="s">
        <v>48</v>
      </c>
      <c r="M20" s="19" t="s">
        <v>87</v>
      </c>
      <c r="N20" s="19" t="s">
        <v>174</v>
      </c>
      <c r="O20" s="19" t="s">
        <v>87</v>
      </c>
      <c r="P20" s="19" t="s">
        <v>89</v>
      </c>
      <c r="Q20" s="19" t="s">
        <v>112</v>
      </c>
      <c r="R20" s="19" t="s">
        <v>175</v>
      </c>
      <c r="S20" s="19"/>
      <c r="T20" s="19" t="s">
        <v>54</v>
      </c>
      <c r="U20" s="19" t="s">
        <v>114</v>
      </c>
      <c r="V20" s="19" t="s">
        <v>80</v>
      </c>
      <c r="W20" s="19" t="s">
        <v>57</v>
      </c>
      <c r="X20" s="19" t="s">
        <v>169</v>
      </c>
      <c r="Y20" s="19"/>
      <c r="Z20" s="19" t="s">
        <v>176</v>
      </c>
      <c r="AA20" s="19">
        <v>2</v>
      </c>
      <c r="AB20" s="19">
        <v>2</v>
      </c>
      <c r="AC20" s="19" t="s">
        <v>60</v>
      </c>
      <c r="AD20" s="19" t="s">
        <v>89</v>
      </c>
      <c r="AE20" s="19" t="s">
        <v>116</v>
      </c>
      <c r="AF20" s="19"/>
    </row>
    <row r="21" spans="1:34" customHeight="1" ht="42">
      <c r="A21" s="19">
        <v>16</v>
      </c>
      <c r="B21" s="19" t="s">
        <v>177</v>
      </c>
      <c r="C21" s="19" t="s">
        <v>164</v>
      </c>
      <c r="D21" s="19" t="str">
        <f>HYPERLINK("http://henontech.com/fieldsafety/harzard/harzard_show.php?rid=2677&amp;url=harzardrecs.php","洗焦泵房电缆未撤除，万一一名职工巡查时触电。将造成职工身亡的重大事故。")</f>
        <v>洗焦泵房电缆未撤除，万一一名职工巡查时触电。将造成职工身亡的重大事故。</v>
      </c>
      <c r="E21" s="19" t="s">
        <v>178</v>
      </c>
      <c r="F21" s="20" t="s">
        <v>42</v>
      </c>
      <c r="G21" s="22" t="s">
        <v>107</v>
      </c>
      <c r="H21" s="19" t="s">
        <v>44</v>
      </c>
      <c r="I21" s="19" t="s">
        <v>108</v>
      </c>
      <c r="J21" s="19" t="s">
        <v>109</v>
      </c>
      <c r="K21" s="19" t="s">
        <v>47</v>
      </c>
      <c r="L21" s="19"/>
      <c r="M21" s="19" t="s">
        <v>87</v>
      </c>
      <c r="N21" s="19" t="s">
        <v>167</v>
      </c>
      <c r="O21" s="19" t="s">
        <v>87</v>
      </c>
      <c r="P21" s="19" t="s">
        <v>89</v>
      </c>
      <c r="Q21" s="19" t="s">
        <v>179</v>
      </c>
      <c r="R21" s="19" t="s">
        <v>180</v>
      </c>
      <c r="S21" s="19"/>
      <c r="T21" s="19" t="s">
        <v>54</v>
      </c>
      <c r="U21" s="19" t="s">
        <v>114</v>
      </c>
      <c r="V21" s="19" t="s">
        <v>56</v>
      </c>
      <c r="W21" s="19" t="s">
        <v>57</v>
      </c>
      <c r="X21" s="19" t="s">
        <v>169</v>
      </c>
      <c r="Y21" s="19"/>
      <c r="Z21" s="19" t="s">
        <v>181</v>
      </c>
      <c r="AA21" s="19">
        <v>2</v>
      </c>
      <c r="AB21" s="19">
        <v>2</v>
      </c>
      <c r="AC21" s="19" t="s">
        <v>60</v>
      </c>
      <c r="AD21" s="19" t="s">
        <v>89</v>
      </c>
      <c r="AE21" s="19" t="s">
        <v>182</v>
      </c>
      <c r="AF21" s="19"/>
    </row>
    <row r="22" spans="1:34" customHeight="1" ht="42">
      <c r="A22" s="19">
        <v>17</v>
      </c>
      <c r="B22" s="19" t="s">
        <v>177</v>
      </c>
      <c r="C22" s="19" t="s">
        <v>183</v>
      </c>
      <c r="D22" s="19" t="str">
        <f>HYPERLINK("http://henontech.com/fieldsafety/harzard/harzard_show.php?rid=2678&amp;url=harzardrecs.php","炉顶焦侧集气管工作平台一铁板开焊翘起，万一一名员工在巡检时被绊倒，膝盖磕碰到铁板上，造成膝盖骨骨裂。")</f>
        <v>炉顶焦侧集气管工作平台一铁板开焊翘起，万一一名员工在巡检时被绊倒，膝盖磕碰到铁板上，造成膝盖骨骨裂。</v>
      </c>
      <c r="E22" s="19" t="s">
        <v>184</v>
      </c>
      <c r="F22" s="20" t="s">
        <v>42</v>
      </c>
      <c r="G22" s="21" t="s">
        <v>43</v>
      </c>
      <c r="H22" s="19" t="s">
        <v>44</v>
      </c>
      <c r="I22" s="19"/>
      <c r="J22" s="19" t="s">
        <v>46</v>
      </c>
      <c r="K22" s="19" t="s">
        <v>99</v>
      </c>
      <c r="L22" s="19" t="s">
        <v>48</v>
      </c>
      <c r="M22" s="19" t="s">
        <v>87</v>
      </c>
      <c r="N22" s="19" t="s">
        <v>185</v>
      </c>
      <c r="O22" s="19" t="s">
        <v>87</v>
      </c>
      <c r="P22" s="19" t="s">
        <v>89</v>
      </c>
      <c r="Q22" s="19" t="s">
        <v>179</v>
      </c>
      <c r="R22" s="19" t="s">
        <v>186</v>
      </c>
      <c r="S22" s="19"/>
      <c r="T22" s="19" t="s">
        <v>54</v>
      </c>
      <c r="U22" s="19" t="s">
        <v>55</v>
      </c>
      <c r="V22" s="19" t="s">
        <v>80</v>
      </c>
      <c r="W22" s="19" t="s">
        <v>81</v>
      </c>
      <c r="X22" s="19" t="s">
        <v>169</v>
      </c>
      <c r="Y22" s="19"/>
      <c r="Z22" s="19" t="s">
        <v>187</v>
      </c>
      <c r="AA22" s="19">
        <v>2</v>
      </c>
      <c r="AB22" s="19">
        <v>2</v>
      </c>
      <c r="AC22" s="19" t="s">
        <v>60</v>
      </c>
      <c r="AD22" s="19" t="s">
        <v>89</v>
      </c>
      <c r="AE22" s="19" t="s">
        <v>182</v>
      </c>
      <c r="AF22" s="19"/>
    </row>
    <row r="23" spans="1:34" customHeight="1" ht="42">
      <c r="A23" s="19">
        <v>18</v>
      </c>
      <c r="B23" s="19" t="s">
        <v>177</v>
      </c>
      <c r="C23" s="19" t="s">
        <v>183</v>
      </c>
      <c r="D23" s="19" t="str">
        <f>HYPERLINK("http://henontech.com/fieldsafety/harzard/harzard_show.php?rid=2680&amp;url=harzardrecs.php","炉顶南头照明灯线缆无套管，万一线缆老化出现漏电传导到护栏，造成一名维修护栏操作人员触电身亡")</f>
        <v>炉顶南头照明灯线缆无套管，万一线缆老化出现漏电传导到护栏，造成一名维修护栏操作人员触电身亡</v>
      </c>
      <c r="E23" s="19" t="s">
        <v>188</v>
      </c>
      <c r="F23" s="20" t="s">
        <v>42</v>
      </c>
      <c r="G23" s="21" t="s">
        <v>43</v>
      </c>
      <c r="H23" s="19" t="s">
        <v>44</v>
      </c>
      <c r="I23" s="19"/>
      <c r="J23" s="19" t="s">
        <v>46</v>
      </c>
      <c r="K23" s="19" t="s">
        <v>47</v>
      </c>
      <c r="L23" s="19"/>
      <c r="M23" s="19" t="s">
        <v>87</v>
      </c>
      <c r="N23" s="19" t="s">
        <v>189</v>
      </c>
      <c r="O23" s="19" t="s">
        <v>87</v>
      </c>
      <c r="P23" s="19" t="s">
        <v>89</v>
      </c>
      <c r="Q23" s="19" t="s">
        <v>179</v>
      </c>
      <c r="R23" s="19" t="s">
        <v>190</v>
      </c>
      <c r="S23" s="19"/>
      <c r="T23" s="19" t="s">
        <v>54</v>
      </c>
      <c r="U23" s="19" t="s">
        <v>114</v>
      </c>
      <c r="V23" s="19" t="s">
        <v>80</v>
      </c>
      <c r="W23" s="19" t="s">
        <v>57</v>
      </c>
      <c r="X23" s="19" t="s">
        <v>169</v>
      </c>
      <c r="Y23" s="19"/>
      <c r="Z23" s="19" t="s">
        <v>191</v>
      </c>
      <c r="AA23" s="19">
        <v>2</v>
      </c>
      <c r="AB23" s="19">
        <v>2</v>
      </c>
      <c r="AC23" s="19" t="s">
        <v>60</v>
      </c>
      <c r="AD23" s="19" t="s">
        <v>89</v>
      </c>
      <c r="AE23" s="19" t="s">
        <v>116</v>
      </c>
      <c r="AF23" s="19"/>
    </row>
    <row r="24" spans="1:34" customHeight="1" ht="42">
      <c r="A24" s="19">
        <v>19</v>
      </c>
      <c r="B24" s="19" t="s">
        <v>177</v>
      </c>
      <c r="C24" s="19" t="s">
        <v>87</v>
      </c>
      <c r="D24" s="19" t="str">
        <f>HYPERLINK("http://henontech.com/fieldsafety/harzard/harzard_show.php?rid=2681&amp;url=harzardrecs.php","旋臂吊在吊装过程中吊钩脱落，吊装物坠落，致使人员受伤或死亡及吊装物件损坏")</f>
        <v>旋臂吊在吊装过程中吊钩脱落，吊装物坠落，致使人员受伤或死亡及吊装物件损坏</v>
      </c>
      <c r="E24" s="19" t="s">
        <v>192</v>
      </c>
      <c r="F24" s="20" t="s">
        <v>42</v>
      </c>
      <c r="G24" s="21" t="s">
        <v>43</v>
      </c>
      <c r="H24" s="19" t="s">
        <v>44</v>
      </c>
      <c r="I24" s="19"/>
      <c r="J24" s="19" t="s">
        <v>46</v>
      </c>
      <c r="K24" s="19"/>
      <c r="L24" s="19"/>
      <c r="M24" s="19" t="s">
        <v>87</v>
      </c>
      <c r="N24" s="19" t="s">
        <v>193</v>
      </c>
      <c r="O24" s="19" t="s">
        <v>87</v>
      </c>
      <c r="P24" s="19" t="s">
        <v>89</v>
      </c>
      <c r="Q24" s="19" t="s">
        <v>194</v>
      </c>
      <c r="R24" s="19" t="s">
        <v>195</v>
      </c>
      <c r="S24" s="19"/>
      <c r="T24" s="19" t="s">
        <v>54</v>
      </c>
      <c r="U24" s="19" t="s">
        <v>55</v>
      </c>
      <c r="V24" s="19" t="s">
        <v>69</v>
      </c>
      <c r="W24" s="19" t="s">
        <v>70</v>
      </c>
      <c r="X24" s="19" t="s">
        <v>169</v>
      </c>
      <c r="Y24" s="19"/>
      <c r="Z24" s="19" t="s">
        <v>196</v>
      </c>
      <c r="AA24" s="19">
        <v>2</v>
      </c>
      <c r="AB24" s="19">
        <v>2</v>
      </c>
      <c r="AC24" s="19" t="s">
        <v>60</v>
      </c>
      <c r="AD24" s="19" t="s">
        <v>89</v>
      </c>
      <c r="AE24" s="19" t="s">
        <v>182</v>
      </c>
      <c r="AF24" s="19"/>
    </row>
    <row r="25" spans="1:34" customHeight="1" ht="42">
      <c r="A25" s="19">
        <v>20</v>
      </c>
      <c r="B25" s="19" t="s">
        <v>177</v>
      </c>
      <c r="C25" s="19" t="s">
        <v>197</v>
      </c>
      <c r="D25" s="19" t="str">
        <f>HYPERLINK("http://henontech.com/fieldsafety/harzard/harzard_show.php?rid=2684&amp;url=harzardrecs.php","焦侧45#上升管操作小平台腐蚀严重，已锈出许多窟窿，人在工作时有可能发生跌落。")</f>
        <v>焦侧45#上升管操作小平台腐蚀严重，已锈出许多窟窿，人在工作时有可能发生跌落。</v>
      </c>
      <c r="E25" s="19" t="s">
        <v>198</v>
      </c>
      <c r="F25" s="20" t="s">
        <v>42</v>
      </c>
      <c r="G25" s="21" t="s">
        <v>43</v>
      </c>
      <c r="H25" s="19" t="s">
        <v>44</v>
      </c>
      <c r="I25" s="19" t="s">
        <v>45</v>
      </c>
      <c r="J25" s="19" t="s">
        <v>46</v>
      </c>
      <c r="K25" s="19" t="s">
        <v>47</v>
      </c>
      <c r="L25" s="19" t="s">
        <v>48</v>
      </c>
      <c r="M25" s="19" t="s">
        <v>87</v>
      </c>
      <c r="N25" s="19" t="s">
        <v>199</v>
      </c>
      <c r="O25" s="19" t="s">
        <v>87</v>
      </c>
      <c r="P25" s="19" t="s">
        <v>89</v>
      </c>
      <c r="Q25" s="19" t="s">
        <v>179</v>
      </c>
      <c r="R25" s="19" t="s">
        <v>200</v>
      </c>
      <c r="S25" s="19"/>
      <c r="T25" s="19" t="s">
        <v>54</v>
      </c>
      <c r="U25" s="19" t="s">
        <v>114</v>
      </c>
      <c r="V25" s="19" t="s">
        <v>80</v>
      </c>
      <c r="W25" s="19" t="s">
        <v>57</v>
      </c>
      <c r="X25" s="19" t="s">
        <v>58</v>
      </c>
      <c r="Y25" s="19"/>
      <c r="Z25" s="19" t="s">
        <v>201</v>
      </c>
      <c r="AA25" s="19">
        <v>2</v>
      </c>
      <c r="AB25" s="19">
        <v>2</v>
      </c>
      <c r="AC25" s="19" t="s">
        <v>60</v>
      </c>
      <c r="AD25" s="19" t="s">
        <v>89</v>
      </c>
      <c r="AE25" s="19" t="s">
        <v>182</v>
      </c>
      <c r="AF25" s="19"/>
    </row>
    <row r="26" spans="1:34" customHeight="1" ht="42">
      <c r="A26" s="19">
        <v>21</v>
      </c>
      <c r="B26" s="19" t="s">
        <v>177</v>
      </c>
      <c r="C26" s="19" t="s">
        <v>202</v>
      </c>
      <c r="D26" s="19" t="str">
        <f>HYPERLINK("http://henontech.com/fieldsafety/harzard/harzard_show.php?rid=2687&amp;url=harzardrecs.php","外供JFE煤气水封底部发生泄漏，存在煤气泄漏的风险，可能会造成一名操作人员在巡检煤气水封时因风险源辨识不足致使煤气轻微中毒")</f>
        <v>外供JFE煤气水封底部发生泄漏，存在煤气泄漏的风险，可能会造成一名操作人员在巡检煤气水封时因风险源辨识不足致使煤气轻微中毒</v>
      </c>
      <c r="E26" s="19" t="s">
        <v>203</v>
      </c>
      <c r="F26" s="20" t="s">
        <v>42</v>
      </c>
      <c r="G26" s="22" t="s">
        <v>107</v>
      </c>
      <c r="H26" s="19" t="s">
        <v>44</v>
      </c>
      <c r="I26" s="19" t="s">
        <v>66</v>
      </c>
      <c r="J26" s="19" t="s">
        <v>46</v>
      </c>
      <c r="K26" s="19" t="s">
        <v>47</v>
      </c>
      <c r="L26" s="19" t="s">
        <v>48</v>
      </c>
      <c r="M26" s="19" t="s">
        <v>204</v>
      </c>
      <c r="N26" s="19" t="s">
        <v>205</v>
      </c>
      <c r="O26" s="19" t="s">
        <v>204</v>
      </c>
      <c r="P26" s="19" t="s">
        <v>206</v>
      </c>
      <c r="Q26" s="19" t="s">
        <v>207</v>
      </c>
      <c r="R26" s="19" t="s">
        <v>208</v>
      </c>
      <c r="S26" s="19"/>
      <c r="T26" s="19" t="s">
        <v>54</v>
      </c>
      <c r="U26" s="19" t="s">
        <v>133</v>
      </c>
      <c r="V26" s="19" t="s">
        <v>209</v>
      </c>
      <c r="W26" s="19" t="s">
        <v>134</v>
      </c>
      <c r="X26" s="19"/>
      <c r="Y26" s="19"/>
      <c r="Z26" s="19" t="s">
        <v>210</v>
      </c>
      <c r="AA26" s="19">
        <v>2</v>
      </c>
      <c r="AB26" s="19">
        <v>2</v>
      </c>
      <c r="AC26" s="19" t="s">
        <v>60</v>
      </c>
      <c r="AD26" s="19" t="s">
        <v>206</v>
      </c>
      <c r="AE26" s="19" t="s">
        <v>116</v>
      </c>
      <c r="AF26" s="19"/>
    </row>
    <row r="27" spans="1:34" customHeight="1" ht="42">
      <c r="A27" s="19">
        <v>22</v>
      </c>
      <c r="B27" s="19" t="s">
        <v>211</v>
      </c>
      <c r="C27" s="19" t="s">
        <v>183</v>
      </c>
      <c r="D27" s="19" t="str">
        <f>HYPERLINK("http://henontech.com/fieldsafety/harzard/harzard_show.php?rid=2699&amp;url=harzardrecs.php","焦侧上升管通廊平台35上升管处，铺板开焊，铁板翘起，极易造成人员摔倒受伤")</f>
        <v>焦侧上升管通廊平台35上升管处，铺板开焊，铁板翘起，极易造成人员摔倒受伤</v>
      </c>
      <c r="E27" s="19" t="s">
        <v>212</v>
      </c>
      <c r="F27" s="20" t="s">
        <v>42</v>
      </c>
      <c r="G27" s="22" t="s">
        <v>107</v>
      </c>
      <c r="H27" s="19" t="s">
        <v>44</v>
      </c>
      <c r="I27" s="19" t="s">
        <v>45</v>
      </c>
      <c r="J27" s="19" t="s">
        <v>46</v>
      </c>
      <c r="K27" s="19" t="s">
        <v>47</v>
      </c>
      <c r="L27" s="19" t="s">
        <v>48</v>
      </c>
      <c r="M27" s="19" t="s">
        <v>87</v>
      </c>
      <c r="N27" s="19" t="s">
        <v>213</v>
      </c>
      <c r="O27" s="19" t="s">
        <v>87</v>
      </c>
      <c r="P27" s="19" t="s">
        <v>89</v>
      </c>
      <c r="Q27" s="19" t="s">
        <v>161</v>
      </c>
      <c r="R27" s="19" t="s">
        <v>214</v>
      </c>
      <c r="S27" s="19"/>
      <c r="T27" s="19" t="s">
        <v>54</v>
      </c>
      <c r="U27" s="19" t="s">
        <v>55</v>
      </c>
      <c r="V27" s="19" t="s">
        <v>80</v>
      </c>
      <c r="W27" s="19" t="s">
        <v>81</v>
      </c>
      <c r="X27" s="19" t="s">
        <v>169</v>
      </c>
      <c r="Y27" s="19"/>
      <c r="Z27" s="19" t="s">
        <v>215</v>
      </c>
      <c r="AA27" s="19">
        <v>2</v>
      </c>
      <c r="AB27" s="19">
        <v>2</v>
      </c>
      <c r="AC27" s="19" t="s">
        <v>60</v>
      </c>
      <c r="AD27" s="19" t="s">
        <v>89</v>
      </c>
      <c r="AE27" s="19" t="s">
        <v>182</v>
      </c>
      <c r="AF27" s="19"/>
    </row>
    <row r="28" spans="1:34" customHeight="1" ht="42">
      <c r="A28" s="19">
        <v>23</v>
      </c>
      <c r="B28" s="19" t="s">
        <v>216</v>
      </c>
      <c r="C28" s="19" t="s">
        <v>217</v>
      </c>
      <c r="D28" s="19" t="str">
        <f>HYPERLINK("http://henontech.com/fieldsafety/harzard/harzard_show.php?rid=2709&amp;url=harzardrecs.php","5.5米焦炉捣固处滑线上方护铁上一钢筋腐蚀掉落在滑线上，另一头搭在清理卫生的员工身上，导致触电事故。")</f>
        <v>5.5米焦炉捣固处滑线上方护铁上一钢筋腐蚀掉落在滑线上，另一头搭在清理卫生的员工身上，导致触电事故。</v>
      </c>
      <c r="E28" s="19" t="s">
        <v>218</v>
      </c>
      <c r="F28" s="20" t="s">
        <v>42</v>
      </c>
      <c r="G28" s="22" t="s">
        <v>107</v>
      </c>
      <c r="H28" s="19" t="s">
        <v>44</v>
      </c>
      <c r="I28" s="19" t="s">
        <v>66</v>
      </c>
      <c r="J28" s="19" t="s">
        <v>46</v>
      </c>
      <c r="K28" s="19" t="s">
        <v>47</v>
      </c>
      <c r="L28" s="19" t="s">
        <v>110</v>
      </c>
      <c r="M28" s="19" t="s">
        <v>87</v>
      </c>
      <c r="N28" s="19" t="s">
        <v>219</v>
      </c>
      <c r="O28" s="19" t="s">
        <v>87</v>
      </c>
      <c r="P28" s="19" t="s">
        <v>89</v>
      </c>
      <c r="Q28" s="19" t="s">
        <v>161</v>
      </c>
      <c r="R28" s="19" t="s">
        <v>87</v>
      </c>
      <c r="S28" s="19"/>
      <c r="T28" s="19" t="s">
        <v>54</v>
      </c>
      <c r="U28" s="19" t="s">
        <v>114</v>
      </c>
      <c r="V28" s="19" t="s">
        <v>80</v>
      </c>
      <c r="W28" s="19" t="s">
        <v>57</v>
      </c>
      <c r="X28" s="19" t="s">
        <v>169</v>
      </c>
      <c r="Y28" s="19"/>
      <c r="Z28" s="19" t="s">
        <v>220</v>
      </c>
      <c r="AA28" s="19">
        <v>2</v>
      </c>
      <c r="AB28" s="19">
        <v>2</v>
      </c>
      <c r="AC28" s="19" t="s">
        <v>60</v>
      </c>
      <c r="AD28" s="19" t="s">
        <v>89</v>
      </c>
      <c r="AE28" s="19" t="s">
        <v>221</v>
      </c>
      <c r="AF28" s="19"/>
    </row>
    <row r="29" spans="1:34" customHeight="1" ht="42">
      <c r="A29" s="19">
        <v>24</v>
      </c>
      <c r="B29" s="19" t="s">
        <v>216</v>
      </c>
      <c r="C29" s="19" t="s">
        <v>87</v>
      </c>
      <c r="D29" s="19" t="str">
        <f>HYPERLINK("http://henontech.com/fieldsafety/harzard/harzard_show.php?rid=2711&amp;url=harzardrecs.php","5.5米焦炉炉顶上升管水封槽下水管熄焦道轨处因腐蚀漏水，影响环保。")</f>
        <v>5.5米焦炉炉顶上升管水封槽下水管熄焦道轨处因腐蚀漏水，影响环保。</v>
      </c>
      <c r="E29" s="19" t="s">
        <v>222</v>
      </c>
      <c r="F29" s="20" t="s">
        <v>42</v>
      </c>
      <c r="G29" s="22" t="s">
        <v>107</v>
      </c>
      <c r="H29" s="19" t="s">
        <v>44</v>
      </c>
      <c r="I29" s="19" t="s">
        <v>66</v>
      </c>
      <c r="J29" s="19" t="s">
        <v>46</v>
      </c>
      <c r="K29" s="19" t="s">
        <v>47</v>
      </c>
      <c r="L29" s="19" t="s">
        <v>110</v>
      </c>
      <c r="M29" s="19" t="s">
        <v>87</v>
      </c>
      <c r="N29" s="19" t="s">
        <v>219</v>
      </c>
      <c r="O29" s="19" t="s">
        <v>87</v>
      </c>
      <c r="P29" s="19" t="s">
        <v>89</v>
      </c>
      <c r="Q29" s="19" t="s">
        <v>161</v>
      </c>
      <c r="R29" s="19" t="s">
        <v>223</v>
      </c>
      <c r="S29" s="19"/>
      <c r="T29" s="19" t="s">
        <v>224</v>
      </c>
      <c r="U29" s="19" t="s">
        <v>146</v>
      </c>
      <c r="V29" s="19" t="s">
        <v>69</v>
      </c>
      <c r="W29" s="19" t="s">
        <v>134</v>
      </c>
      <c r="X29" s="19" t="s">
        <v>58</v>
      </c>
      <c r="Y29" s="19"/>
      <c r="Z29" s="19" t="s">
        <v>225</v>
      </c>
      <c r="AA29" s="19">
        <v>2</v>
      </c>
      <c r="AB29" s="19">
        <v>2</v>
      </c>
      <c r="AC29" s="19" t="s">
        <v>60</v>
      </c>
      <c r="AD29" s="19" t="s">
        <v>89</v>
      </c>
      <c r="AE29" s="19" t="s">
        <v>221</v>
      </c>
      <c r="AF29" s="19"/>
    </row>
    <row r="30" spans="1:34">
      <c r="A30" s="19">
        <v>25</v>
      </c>
      <c r="B30" s="19" t="s">
        <v>216</v>
      </c>
      <c r="C30" s="19" t="s">
        <v>226</v>
      </c>
      <c r="D30" s="19" t="str">
        <f>HYPERLINK("http://henontech.com/fieldsafety/harzard/harzard_show.php?rid=2716&amp;url=harzardrecs.php","好氧池滗水器穿线管老化破损，电线裸露，接地线掉落，雨天，操作工滗水时线路进水联电，操作工触电，造成右手麻痹，手臂酸痛的轻微医疗伤害事件")</f>
        <v>好氧池滗水器穿线管老化破损，电线裸露，接地线掉落，雨天，操作工滗水时线路进水联电，操作工触电，造成右手麻痹，手臂酸痛的轻微医疗伤害事件</v>
      </c>
      <c r="E30" s="19" t="s">
        <v>227</v>
      </c>
      <c r="F30" s="20" t="s">
        <v>42</v>
      </c>
      <c r="G30" s="21" t="s">
        <v>43</v>
      </c>
      <c r="H30" s="19" t="s">
        <v>44</v>
      </c>
      <c r="I30" s="19"/>
      <c r="J30" s="19" t="s">
        <v>228</v>
      </c>
      <c r="K30" s="19" t="s">
        <v>127</v>
      </c>
      <c r="L30" s="19"/>
      <c r="M30" s="19" t="s">
        <v>229</v>
      </c>
      <c r="N30" s="19" t="s">
        <v>230</v>
      </c>
      <c r="O30" s="19" t="s">
        <v>229</v>
      </c>
      <c r="P30" s="19" t="s">
        <v>231</v>
      </c>
      <c r="Q30" s="19" t="s">
        <v>232</v>
      </c>
      <c r="R30" s="19" t="s">
        <v>233</v>
      </c>
      <c r="S30" s="19" t="s">
        <v>234</v>
      </c>
      <c r="T30" s="19" t="s">
        <v>54</v>
      </c>
      <c r="U30" s="19" t="s">
        <v>146</v>
      </c>
      <c r="V30" s="19" t="s">
        <v>80</v>
      </c>
      <c r="W30" s="19" t="s">
        <v>70</v>
      </c>
      <c r="X30" s="19" t="s">
        <v>58</v>
      </c>
      <c r="Y30" s="19" t="s">
        <v>58</v>
      </c>
      <c r="Z30" s="19" t="s">
        <v>235</v>
      </c>
      <c r="AA30" s="19">
        <v>1</v>
      </c>
      <c r="AB30" s="19">
        <v>1</v>
      </c>
      <c r="AC30" s="19" t="s">
        <v>60</v>
      </c>
      <c r="AD30" s="19" t="s">
        <v>231</v>
      </c>
      <c r="AE30" s="19" t="s">
        <v>232</v>
      </c>
      <c r="AF30" s="19"/>
    </row>
    <row r="31" spans="1:34">
      <c r="A31" s="19">
        <v>26</v>
      </c>
      <c r="B31" s="19" t="s">
        <v>216</v>
      </c>
      <c r="C31" s="19" t="s">
        <v>236</v>
      </c>
      <c r="D31" s="19" t="str">
        <f>HYPERLINK("http://henontech.com/fieldsafety/harzard/harzard_show.php?rid=2719&amp;url=harzardrecs.php","西硫铵三楼操作室风扇线路损坏，线接头包皮脱落。操作工在擦试风扇时触电，造成右手麻痹，胳膊麻木的轻微医疗伤害事件。")</f>
        <v>西硫铵三楼操作室风扇线路损坏，线接头包皮脱落。操作工在擦试风扇时触电，造成右手麻痹，胳膊麻木的轻微医疗伤害事件。</v>
      </c>
      <c r="E31" s="19" t="s">
        <v>237</v>
      </c>
      <c r="F31" s="20" t="s">
        <v>42</v>
      </c>
      <c r="G31" s="21" t="s">
        <v>43</v>
      </c>
      <c r="H31" s="19" t="s">
        <v>44</v>
      </c>
      <c r="I31" s="19" t="s">
        <v>66</v>
      </c>
      <c r="J31" s="19" t="s">
        <v>228</v>
      </c>
      <c r="K31" s="19" t="s">
        <v>127</v>
      </c>
      <c r="L31" s="19"/>
      <c r="M31" s="19" t="s">
        <v>204</v>
      </c>
      <c r="N31" s="19" t="s">
        <v>238</v>
      </c>
      <c r="O31" s="19" t="s">
        <v>204</v>
      </c>
      <c r="P31" s="19" t="s">
        <v>206</v>
      </c>
      <c r="Q31" s="19" t="s">
        <v>232</v>
      </c>
      <c r="R31" s="19" t="s">
        <v>239</v>
      </c>
      <c r="S31" s="19"/>
      <c r="T31" s="19" t="s">
        <v>54</v>
      </c>
      <c r="U31" s="19" t="s">
        <v>146</v>
      </c>
      <c r="V31" s="19" t="s">
        <v>80</v>
      </c>
      <c r="W31" s="19" t="s">
        <v>70</v>
      </c>
      <c r="X31" s="19"/>
      <c r="Y31" s="19"/>
      <c r="Z31" s="19" t="s">
        <v>240</v>
      </c>
      <c r="AA31" s="19">
        <v>1</v>
      </c>
      <c r="AB31" s="19">
        <v>1</v>
      </c>
      <c r="AC31" s="19" t="s">
        <v>60</v>
      </c>
      <c r="AD31" s="19" t="s">
        <v>206</v>
      </c>
      <c r="AE31" s="19" t="s">
        <v>129</v>
      </c>
      <c r="AF31" s="19"/>
    </row>
    <row r="32" spans="1:34">
      <c r="A32" s="19">
        <v>27</v>
      </c>
      <c r="B32" s="19" t="s">
        <v>241</v>
      </c>
      <c r="C32" s="19" t="s">
        <v>242</v>
      </c>
      <c r="D32" s="19" t="str">
        <f>HYPERLINK("http://henontech.com/fieldsafety/harzard/harzard_show.php?rid=2729&amp;url=harzardrecs.php","生化压滤机房污泥螺杆泵防护罩不在有效位置，一名职工在擦拭转动设备时，右手腕被联轴器碰伤，造成右手腕骨折，送医院治疗，损工60天。")</f>
        <v>生化压滤机房污泥螺杆泵防护罩不在有效位置，一名职工在擦拭转动设备时，右手腕被联轴器碰伤，造成右手腕骨折，送医院治疗，损工60天。</v>
      </c>
      <c r="E32" s="19" t="s">
        <v>243</v>
      </c>
      <c r="F32" s="20" t="s">
        <v>42</v>
      </c>
      <c r="G32" s="21" t="s">
        <v>43</v>
      </c>
      <c r="H32" s="19" t="s">
        <v>44</v>
      </c>
      <c r="I32" s="19"/>
      <c r="J32" s="19" t="s">
        <v>46</v>
      </c>
      <c r="K32" s="19"/>
      <c r="L32" s="19"/>
      <c r="M32" s="19" t="s">
        <v>229</v>
      </c>
      <c r="N32" s="19" t="s">
        <v>244</v>
      </c>
      <c r="O32" s="19" t="s">
        <v>229</v>
      </c>
      <c r="P32" s="19" t="s">
        <v>231</v>
      </c>
      <c r="Q32" s="19" t="s">
        <v>245</v>
      </c>
      <c r="R32" s="19" t="s">
        <v>246</v>
      </c>
      <c r="S32" s="19"/>
      <c r="T32" s="19" t="s">
        <v>54</v>
      </c>
      <c r="U32" s="19" t="s">
        <v>55</v>
      </c>
      <c r="V32" s="19" t="s">
        <v>80</v>
      </c>
      <c r="W32" s="19" t="s">
        <v>81</v>
      </c>
      <c r="X32" s="19" t="s">
        <v>58</v>
      </c>
      <c r="Y32" s="19" t="s">
        <v>58</v>
      </c>
      <c r="Z32" s="19" t="s">
        <v>247</v>
      </c>
      <c r="AA32" s="19">
        <v>1</v>
      </c>
      <c r="AB32" s="19">
        <v>1</v>
      </c>
      <c r="AC32" s="19" t="s">
        <v>60</v>
      </c>
      <c r="AD32" s="19" t="s">
        <v>231</v>
      </c>
      <c r="AE32" s="19" t="s">
        <v>248</v>
      </c>
      <c r="AF32" s="19" t="s">
        <v>249</v>
      </c>
    </row>
    <row r="33" spans="1:34" customHeight="1" ht="42">
      <c r="A33" s="19">
        <v>28</v>
      </c>
      <c r="B33" s="19" t="s">
        <v>250</v>
      </c>
      <c r="C33" s="19" t="s">
        <v>164</v>
      </c>
      <c r="D33" s="19" t="str">
        <f>HYPERLINK("http://henontech.com/fieldsafety/harzard/harzard_show.php?rid=2743&amp;url=harzardrecs.php","5.5送煤车车载除尘检修平台东侧护栏缺失，一检修人员在更换除尘电磁阀时，踏空从平台处跌落，头部着地当场昏迷。")</f>
        <v>5.5送煤车车载除尘检修平台东侧护栏缺失，一检修人员在更换除尘电磁阀时，踏空从平台处跌落，头部着地当场昏迷。</v>
      </c>
      <c r="E33" s="19" t="s">
        <v>251</v>
      </c>
      <c r="F33" s="20" t="s">
        <v>42</v>
      </c>
      <c r="G33" s="22" t="s">
        <v>107</v>
      </c>
      <c r="H33" s="19" t="s">
        <v>44</v>
      </c>
      <c r="I33" s="19"/>
      <c r="J33" s="19" t="s">
        <v>77</v>
      </c>
      <c r="K33" s="19" t="s">
        <v>99</v>
      </c>
      <c r="L33" s="19" t="s">
        <v>110</v>
      </c>
      <c r="M33" s="19" t="s">
        <v>87</v>
      </c>
      <c r="N33" s="19" t="s">
        <v>111</v>
      </c>
      <c r="O33" s="19" t="s">
        <v>87</v>
      </c>
      <c r="P33" s="19" t="s">
        <v>89</v>
      </c>
      <c r="Q33" s="19" t="s">
        <v>161</v>
      </c>
      <c r="R33" s="19" t="s">
        <v>252</v>
      </c>
      <c r="S33" s="19"/>
      <c r="T33" s="19" t="s">
        <v>54</v>
      </c>
      <c r="U33" s="19" t="s">
        <v>114</v>
      </c>
      <c r="V33" s="19" t="s">
        <v>69</v>
      </c>
      <c r="W33" s="19" t="s">
        <v>81</v>
      </c>
      <c r="X33" s="19" t="s">
        <v>58</v>
      </c>
      <c r="Y33" s="19"/>
      <c r="Z33" s="19" t="s">
        <v>253</v>
      </c>
      <c r="AA33" s="19">
        <v>2</v>
      </c>
      <c r="AB33" s="19">
        <v>2</v>
      </c>
      <c r="AC33" s="19" t="s">
        <v>60</v>
      </c>
      <c r="AD33" s="19" t="s">
        <v>89</v>
      </c>
      <c r="AE33" s="19" t="s">
        <v>182</v>
      </c>
      <c r="AF33" s="19"/>
    </row>
    <row r="34" spans="1:34">
      <c r="A34" s="19">
        <v>29</v>
      </c>
      <c r="B34" s="19" t="s">
        <v>254</v>
      </c>
      <c r="C34" s="19" t="s">
        <v>118</v>
      </c>
      <c r="D34" s="19" t="str">
        <f>HYPERLINK("http://henontech.com/fieldsafety/harzard/harzard_show.php?rid=2752&amp;url=harzardrecs.php","2号提升机限位电源线长期裸露，阴雨天气破损连电将造成限位失效，导致提升机大勾与焦罐碰撞，损坏设备，4小时无法生产，经济损失50万元。")</f>
        <v>2号提升机限位电源线长期裸露，阴雨天气破损连电将造成限位失效，导致提升机大勾与焦罐碰撞，损坏设备，4小时无法生产，经济损失50万元。</v>
      </c>
      <c r="E34" s="19" t="s">
        <v>255</v>
      </c>
      <c r="F34" s="20" t="s">
        <v>42</v>
      </c>
      <c r="G34" s="21" t="s">
        <v>43</v>
      </c>
      <c r="H34" s="19" t="s">
        <v>44</v>
      </c>
      <c r="I34" s="19" t="s">
        <v>45</v>
      </c>
      <c r="J34" s="19" t="s">
        <v>46</v>
      </c>
      <c r="K34" s="19" t="s">
        <v>47</v>
      </c>
      <c r="L34" s="19" t="s">
        <v>48</v>
      </c>
      <c r="M34" s="19" t="s">
        <v>87</v>
      </c>
      <c r="N34" s="19" t="s">
        <v>256</v>
      </c>
      <c r="O34" s="19" t="s">
        <v>87</v>
      </c>
      <c r="P34" s="19" t="s">
        <v>89</v>
      </c>
      <c r="Q34" s="19" t="s">
        <v>161</v>
      </c>
      <c r="R34" s="19" t="s">
        <v>257</v>
      </c>
      <c r="S34" s="19" t="s">
        <v>258</v>
      </c>
      <c r="T34" s="19" t="s">
        <v>132</v>
      </c>
      <c r="U34" s="19" t="s">
        <v>146</v>
      </c>
      <c r="V34" s="19" t="s">
        <v>69</v>
      </c>
      <c r="W34" s="19" t="s">
        <v>134</v>
      </c>
      <c r="X34" s="19" t="s">
        <v>58</v>
      </c>
      <c r="Y34" s="19"/>
      <c r="Z34" s="19" t="s">
        <v>259</v>
      </c>
      <c r="AA34" s="19">
        <v>1</v>
      </c>
      <c r="AB34" s="19">
        <v>1</v>
      </c>
      <c r="AC34" s="19" t="s">
        <v>60</v>
      </c>
      <c r="AD34" s="19" t="s">
        <v>89</v>
      </c>
      <c r="AE34" s="19" t="s">
        <v>116</v>
      </c>
      <c r="AF34" s="19"/>
    </row>
    <row r="35" spans="1:34">
      <c r="A35" s="19">
        <v>30</v>
      </c>
      <c r="B35" s="19" t="s">
        <v>260</v>
      </c>
      <c r="C35" s="19" t="s">
        <v>164</v>
      </c>
      <c r="D35" s="19" t="str">
        <f>HYPERLINK("http://henontech.com/fieldsafety/harzard/harzard_show.php?rid=2763&amp;url=harzardrecs.php","干熄焦罐下落过程中干熄车提前驶入接罐位置，一旦干熄焦罐意外掉落，砸到干熄车致使变形，花费5万元紧急维修1天后投入运行。")</f>
        <v>干熄焦罐下落过程中干熄车提前驶入接罐位置，一旦干熄焦罐意外掉落，砸到干熄车致使变形，花费5万元紧急维修1天后投入运行。</v>
      </c>
      <c r="E35" s="19" t="s">
        <v>261</v>
      </c>
      <c r="F35" s="20" t="s">
        <v>42</v>
      </c>
      <c r="G35" s="21" t="s">
        <v>43</v>
      </c>
      <c r="H35" s="19" t="s">
        <v>44</v>
      </c>
      <c r="I35" s="19" t="s">
        <v>108</v>
      </c>
      <c r="J35" s="19"/>
      <c r="K35" s="19"/>
      <c r="L35" s="19" t="s">
        <v>48</v>
      </c>
      <c r="M35" s="19" t="s">
        <v>262</v>
      </c>
      <c r="N35" s="19" t="s">
        <v>263</v>
      </c>
      <c r="O35" s="19" t="s">
        <v>87</v>
      </c>
      <c r="P35" s="19" t="s">
        <v>264</v>
      </c>
      <c r="Q35" s="19" t="s">
        <v>61</v>
      </c>
      <c r="R35" s="19" t="s">
        <v>87</v>
      </c>
      <c r="S35" s="19" t="s">
        <v>265</v>
      </c>
      <c r="T35" s="19" t="s">
        <v>132</v>
      </c>
      <c r="U35" s="19" t="s">
        <v>146</v>
      </c>
      <c r="V35" s="19" t="s">
        <v>80</v>
      </c>
      <c r="W35" s="19" t="s">
        <v>70</v>
      </c>
      <c r="X35" s="19" t="s">
        <v>93</v>
      </c>
      <c r="Y35" s="19"/>
      <c r="Z35" s="19" t="s">
        <v>266</v>
      </c>
      <c r="AA35" s="19">
        <v>1</v>
      </c>
      <c r="AB35" s="19">
        <v>1</v>
      </c>
      <c r="AC35" s="19" t="s">
        <v>60</v>
      </c>
      <c r="AD35" s="19" t="s">
        <v>264</v>
      </c>
      <c r="AE35" s="19" t="s">
        <v>267</v>
      </c>
      <c r="AF35" s="19" t="s">
        <v>268</v>
      </c>
    </row>
    <row r="36" spans="1:34">
      <c r="A36" s="19">
        <v>31</v>
      </c>
      <c r="B36" s="19" t="s">
        <v>121</v>
      </c>
      <c r="C36" s="19" t="s">
        <v>154</v>
      </c>
      <c r="D36" s="19" t="str">
        <f>HYPERLINK("http://henontech.com/fieldsafety/harzard/harzard_show.php?rid=2765&amp;url=harzardrecs.php","一巡检人员开主蒸汽疏水时，疏水管漏汽，烫伤巡检人员左小腿，造成一人员左小腿烫伤，送医院治疗。")</f>
        <v>一巡检人员开主蒸汽疏水时，疏水管漏汽，烫伤巡检人员左小腿，造成一人员左小腿烫伤，送医院治疗。</v>
      </c>
      <c r="E36" s="19" t="s">
        <v>269</v>
      </c>
      <c r="F36" s="20" t="s">
        <v>42</v>
      </c>
      <c r="G36" s="21" t="s">
        <v>43</v>
      </c>
      <c r="H36" s="19" t="s">
        <v>44</v>
      </c>
      <c r="I36" s="19" t="s">
        <v>66</v>
      </c>
      <c r="J36" s="19"/>
      <c r="K36" s="19"/>
      <c r="L36" s="19"/>
      <c r="M36" s="19" t="s">
        <v>87</v>
      </c>
      <c r="N36" s="19" t="s">
        <v>143</v>
      </c>
      <c r="O36" s="19" t="s">
        <v>87</v>
      </c>
      <c r="P36" s="19" t="s">
        <v>89</v>
      </c>
      <c r="Q36" s="19" t="s">
        <v>61</v>
      </c>
      <c r="R36" s="19" t="s">
        <v>270</v>
      </c>
      <c r="S36" s="19" t="s">
        <v>271</v>
      </c>
      <c r="T36" s="19" t="s">
        <v>54</v>
      </c>
      <c r="U36" s="19" t="s">
        <v>55</v>
      </c>
      <c r="V36" s="19" t="s">
        <v>69</v>
      </c>
      <c r="W36" s="19" t="s">
        <v>70</v>
      </c>
      <c r="X36" s="19" t="s">
        <v>58</v>
      </c>
      <c r="Y36" s="19"/>
      <c r="Z36" s="19" t="s">
        <v>272</v>
      </c>
      <c r="AA36" s="19">
        <v>1</v>
      </c>
      <c r="AB36" s="19">
        <v>1</v>
      </c>
      <c r="AC36" s="19" t="s">
        <v>60</v>
      </c>
      <c r="AD36" s="19" t="s">
        <v>89</v>
      </c>
      <c r="AE36" s="19" t="s">
        <v>171</v>
      </c>
      <c r="AF36" s="19"/>
    </row>
    <row r="37" spans="1:34">
      <c r="A37" s="19">
        <v>32</v>
      </c>
      <c r="B37" s="19" t="s">
        <v>273</v>
      </c>
      <c r="C37" s="19" t="s">
        <v>242</v>
      </c>
      <c r="D37" s="19" t="str">
        <f>HYPERLINK("http://henontech.com/fieldsafety/harzard/harzard_show.php?rid=2769&amp;url=harzardrecs.php","中间水池一盖板遮盖不严,一旦巡检人员经过时,一只脚踩蹭被铁板划伤腿部,经医院包扎,在家休养7天后康复,造成一人损工事故")</f>
        <v>中间水池一盖板遮盖不严,一旦巡检人员经过时,一只脚踩蹭被铁板划伤腿部,经医院包扎,在家休养7天后康复,造成一人损工事故</v>
      </c>
      <c r="E37" s="19" t="s">
        <v>274</v>
      </c>
      <c r="F37" s="20" t="s">
        <v>42</v>
      </c>
      <c r="G37" s="21" t="s">
        <v>43</v>
      </c>
      <c r="H37" s="19" t="s">
        <v>44</v>
      </c>
      <c r="I37" s="19"/>
      <c r="J37" s="19" t="s">
        <v>77</v>
      </c>
      <c r="K37" s="19"/>
      <c r="L37" s="19"/>
      <c r="M37" s="19" t="s">
        <v>262</v>
      </c>
      <c r="N37" s="19" t="s">
        <v>275</v>
      </c>
      <c r="O37" s="19" t="s">
        <v>229</v>
      </c>
      <c r="P37" s="19" t="s">
        <v>231</v>
      </c>
      <c r="Q37" s="19" t="s">
        <v>276</v>
      </c>
      <c r="R37" s="19" t="s">
        <v>277</v>
      </c>
      <c r="S37" s="19"/>
      <c r="T37" s="19" t="s">
        <v>54</v>
      </c>
      <c r="U37" s="19" t="s">
        <v>55</v>
      </c>
      <c r="V37" s="19" t="s">
        <v>69</v>
      </c>
      <c r="W37" s="19" t="s">
        <v>70</v>
      </c>
      <c r="X37" s="19" t="s">
        <v>58</v>
      </c>
      <c r="Y37" s="19" t="s">
        <v>58</v>
      </c>
      <c r="Z37" s="19" t="s">
        <v>278</v>
      </c>
      <c r="AA37" s="19">
        <v>1</v>
      </c>
      <c r="AB37" s="19">
        <v>1</v>
      </c>
      <c r="AC37" s="19" t="s">
        <v>60</v>
      </c>
      <c r="AD37" s="19" t="s">
        <v>231</v>
      </c>
      <c r="AE37" s="19" t="s">
        <v>232</v>
      </c>
      <c r="AF37" s="19"/>
    </row>
    <row r="38" spans="1:34">
      <c r="A38" s="19">
        <v>33</v>
      </c>
      <c r="B38" s="19" t="s">
        <v>279</v>
      </c>
      <c r="C38" s="19" t="s">
        <v>154</v>
      </c>
      <c r="D38" s="19" t="str">
        <f>HYPERLINK("http://henontech.com/fieldsafety/harzard/harzard_show.php?rid=2776&amp;url=harzardrecs.php","操作人员远程开电动阀时，由于限位块脱落，阀门不受控，开度超限位，致使阀门损坏，经济损失1万元。")</f>
        <v>操作人员远程开电动阀时，由于限位块脱落，阀门不受控，开度超限位，致使阀门损坏，经济损失1万元。</v>
      </c>
      <c r="E38" s="19" t="s">
        <v>280</v>
      </c>
      <c r="F38" s="20" t="s">
        <v>42</v>
      </c>
      <c r="G38" s="21" t="s">
        <v>43</v>
      </c>
      <c r="H38" s="19" t="s">
        <v>44</v>
      </c>
      <c r="I38" s="19" t="s">
        <v>66</v>
      </c>
      <c r="J38" s="19" t="s">
        <v>46</v>
      </c>
      <c r="K38" s="19" t="s">
        <v>173</v>
      </c>
      <c r="L38" s="19" t="s">
        <v>48</v>
      </c>
      <c r="M38" s="19" t="s">
        <v>87</v>
      </c>
      <c r="N38" s="19" t="s">
        <v>100</v>
      </c>
      <c r="O38" s="19" t="s">
        <v>87</v>
      </c>
      <c r="P38" s="19" t="s">
        <v>128</v>
      </c>
      <c r="Q38" s="19" t="s">
        <v>281</v>
      </c>
      <c r="R38" s="19" t="s">
        <v>282</v>
      </c>
      <c r="S38" s="19" t="s">
        <v>283</v>
      </c>
      <c r="T38" s="19" t="s">
        <v>132</v>
      </c>
      <c r="U38" s="19" t="s">
        <v>133</v>
      </c>
      <c r="V38" s="19" t="s">
        <v>69</v>
      </c>
      <c r="W38" s="19" t="s">
        <v>134</v>
      </c>
      <c r="X38" s="19" t="s">
        <v>58</v>
      </c>
      <c r="Y38" s="19"/>
      <c r="Z38" s="19" t="s">
        <v>284</v>
      </c>
      <c r="AA38" s="19">
        <v>1</v>
      </c>
      <c r="AB38" s="19">
        <v>1</v>
      </c>
      <c r="AC38" s="19" t="s">
        <v>60</v>
      </c>
      <c r="AD38" s="19" t="s">
        <v>128</v>
      </c>
      <c r="AE38" s="19" t="s">
        <v>161</v>
      </c>
      <c r="AF38" s="19" t="s">
        <v>285</v>
      </c>
    </row>
    <row r="39" spans="1:34">
      <c r="A39" s="19">
        <v>34</v>
      </c>
      <c r="B39" s="19" t="s">
        <v>286</v>
      </c>
      <c r="C39" s="19" t="s">
        <v>287</v>
      </c>
      <c r="D39" s="19" t="str">
        <f>HYPERLINK("http://henontech.com/fieldsafety/harzard/harzard_show.php?rid=2780&amp;url=harzardrecs.php","一巡检工在冲洗汽包双色液位计，左侧电接点漏气未及时发现，左臂关节处被泄露蒸汽烫伤，送医治疗确诊为浅二度烫伤，在医院治疗两周，在家休养一周，后恢复工作。")</f>
        <v>一巡检工在冲洗汽包双色液位计，左侧电接点漏气未及时发现，左臂关节处被泄露蒸汽烫伤，送医治疗确诊为浅二度烫伤，在医院治疗两周，在家休养一周，后恢复工作。</v>
      </c>
      <c r="E39" s="19" t="s">
        <v>288</v>
      </c>
      <c r="F39" s="20" t="s">
        <v>42</v>
      </c>
      <c r="G39" s="23" t="s">
        <v>289</v>
      </c>
      <c r="H39" s="19" t="s">
        <v>44</v>
      </c>
      <c r="I39" s="19" t="s">
        <v>45</v>
      </c>
      <c r="J39" s="19" t="s">
        <v>109</v>
      </c>
      <c r="K39" s="19" t="s">
        <v>47</v>
      </c>
      <c r="L39" s="19"/>
      <c r="M39" s="19" t="s">
        <v>87</v>
      </c>
      <c r="N39" s="19" t="s">
        <v>290</v>
      </c>
      <c r="O39" s="19" t="s">
        <v>87</v>
      </c>
      <c r="P39" s="19" t="s">
        <v>128</v>
      </c>
      <c r="Q39" s="19" t="s">
        <v>291</v>
      </c>
      <c r="R39" s="19" t="s">
        <v>292</v>
      </c>
      <c r="S39" s="19" t="s">
        <v>293</v>
      </c>
      <c r="T39" s="19" t="s">
        <v>54</v>
      </c>
      <c r="U39" s="19" t="s">
        <v>55</v>
      </c>
      <c r="V39" s="19" t="s">
        <v>80</v>
      </c>
      <c r="W39" s="19" t="s">
        <v>81</v>
      </c>
      <c r="X39" s="19" t="s">
        <v>58</v>
      </c>
      <c r="Y39" s="19"/>
      <c r="Z39" s="19" t="s">
        <v>294</v>
      </c>
      <c r="AA39" s="19">
        <v>1</v>
      </c>
      <c r="AB39" s="19">
        <v>1</v>
      </c>
      <c r="AC39" s="19" t="s">
        <v>60</v>
      </c>
      <c r="AD39" s="19" t="s">
        <v>128</v>
      </c>
      <c r="AE39" s="19" t="s">
        <v>161</v>
      </c>
      <c r="AF39" s="19" t="s">
        <v>295</v>
      </c>
    </row>
    <row r="40" spans="1:34">
      <c r="A40" s="19">
        <v>35</v>
      </c>
      <c r="B40" s="19" t="s">
        <v>296</v>
      </c>
      <c r="C40" s="19" t="s">
        <v>87</v>
      </c>
      <c r="D40" s="19" t="str">
        <f>HYPERLINK("http://henontech.com/fieldsafety/harzard/harzard_show.php?rid=2781&amp;url=harzardrecs.php","汽轮机五米均压箱溢流阀处漏水滴至零米高压油泵电机上，致使高压油泵电机烧毁，未影响生产")</f>
        <v>汽轮机五米均压箱溢流阀处漏水滴至零米高压油泵电机上，致使高压油泵电机烧毁，未影响生产</v>
      </c>
      <c r="E40" s="19" t="s">
        <v>297</v>
      </c>
      <c r="F40" s="20" t="s">
        <v>42</v>
      </c>
      <c r="G40" s="21" t="s">
        <v>43</v>
      </c>
      <c r="H40" s="19" t="s">
        <v>44</v>
      </c>
      <c r="I40" s="19" t="s">
        <v>45</v>
      </c>
      <c r="J40" s="19" t="s">
        <v>156</v>
      </c>
      <c r="K40" s="19" t="s">
        <v>137</v>
      </c>
      <c r="L40" s="19" t="s">
        <v>48</v>
      </c>
      <c r="M40" s="19" t="s">
        <v>87</v>
      </c>
      <c r="N40" s="19" t="s">
        <v>298</v>
      </c>
      <c r="O40" s="19" t="s">
        <v>87</v>
      </c>
      <c r="P40" s="19" t="s">
        <v>128</v>
      </c>
      <c r="Q40" s="19" t="s">
        <v>291</v>
      </c>
      <c r="R40" s="19" t="s">
        <v>299</v>
      </c>
      <c r="S40" s="19" t="s">
        <v>300</v>
      </c>
      <c r="T40" s="19" t="s">
        <v>132</v>
      </c>
      <c r="U40" s="19" t="s">
        <v>133</v>
      </c>
      <c r="V40" s="19" t="s">
        <v>69</v>
      </c>
      <c r="W40" s="19" t="s">
        <v>134</v>
      </c>
      <c r="X40" s="19" t="s">
        <v>58</v>
      </c>
      <c r="Y40" s="19"/>
      <c r="Z40" s="19" t="s">
        <v>301</v>
      </c>
      <c r="AA40" s="19">
        <v>1</v>
      </c>
      <c r="AB40" s="19">
        <v>1</v>
      </c>
      <c r="AC40" s="19" t="s">
        <v>60</v>
      </c>
      <c r="AD40" s="19" t="s">
        <v>128</v>
      </c>
      <c r="AE40" s="19" t="s">
        <v>161</v>
      </c>
      <c r="AF40" s="19" t="s">
        <v>302</v>
      </c>
    </row>
    <row r="41" spans="1:34">
      <c r="A41" s="19">
        <v>36</v>
      </c>
      <c r="B41" s="19" t="s">
        <v>296</v>
      </c>
      <c r="C41" s="19" t="s">
        <v>242</v>
      </c>
      <c r="D41" s="19" t="str">
        <f>HYPERLINK("http://henontech.com/fieldsafety/harzard/harzard_show.php?rid=2783&amp;url=harzardrecs.php","预处理水解酸化池与曝气池之间储水槽上方盖板腐蚀严重且没有覆盖到位，职工在池顶巡检时被绊倒致左腿小腿跌入储水槽内，造成小腿腿骨骨裂，损工两月。")</f>
        <v>预处理水解酸化池与曝气池之间储水槽上方盖板腐蚀严重且没有覆盖到位，职工在池顶巡检时被绊倒致左腿小腿跌入储水槽内，造成小腿腿骨骨裂，损工两月。</v>
      </c>
      <c r="E41" s="19" t="s">
        <v>303</v>
      </c>
      <c r="F41" s="20" t="s">
        <v>42</v>
      </c>
      <c r="G41" s="21" t="s">
        <v>43</v>
      </c>
      <c r="H41" s="19" t="s">
        <v>44</v>
      </c>
      <c r="I41" s="19" t="s">
        <v>66</v>
      </c>
      <c r="J41" s="19" t="s">
        <v>46</v>
      </c>
      <c r="K41" s="19" t="s">
        <v>47</v>
      </c>
      <c r="L41" s="19"/>
      <c r="M41" s="19" t="s">
        <v>229</v>
      </c>
      <c r="N41" s="19" t="s">
        <v>304</v>
      </c>
      <c r="O41" s="19" t="s">
        <v>229</v>
      </c>
      <c r="P41" s="19" t="s">
        <v>231</v>
      </c>
      <c r="Q41" s="19" t="s">
        <v>305</v>
      </c>
      <c r="R41" s="19" t="s">
        <v>306</v>
      </c>
      <c r="S41" s="19"/>
      <c r="T41" s="19" t="s">
        <v>54</v>
      </c>
      <c r="U41" s="19" t="s">
        <v>55</v>
      </c>
      <c r="V41" s="19" t="s">
        <v>80</v>
      </c>
      <c r="W41" s="19" t="s">
        <v>81</v>
      </c>
      <c r="X41" s="19" t="s">
        <v>58</v>
      </c>
      <c r="Y41" s="19" t="s">
        <v>58</v>
      </c>
      <c r="Z41" s="19" t="s">
        <v>278</v>
      </c>
      <c r="AA41" s="19">
        <v>1</v>
      </c>
      <c r="AB41" s="19">
        <v>1</v>
      </c>
      <c r="AC41" s="19" t="s">
        <v>60</v>
      </c>
      <c r="AD41" s="19" t="s">
        <v>231</v>
      </c>
      <c r="AE41" s="19" t="s">
        <v>232</v>
      </c>
      <c r="AF41" s="19"/>
    </row>
    <row r="42" spans="1:34">
      <c r="A42" s="19">
        <v>37</v>
      </c>
      <c r="B42" s="19" t="s">
        <v>307</v>
      </c>
      <c r="C42" s="19" t="s">
        <v>308</v>
      </c>
      <c r="D42" s="19" t="str">
        <f>HYPERLINK("http://henontech.com/fieldsafety/harzard/harzard_show.php?rid=2790&amp;url=harzardrecs.php","深度处理泵房反洗水泵未在合理位置连接接地线，电机老化漏电，巡查的操作人员查看时触电倒地，送医院救治抢救无效死亡。")</f>
        <v>深度处理泵房反洗水泵未在合理位置连接接地线，电机老化漏电，巡查的操作人员查看时触电倒地，送医院救治抢救无效死亡。</v>
      </c>
      <c r="E42" s="19" t="s">
        <v>309</v>
      </c>
      <c r="F42" s="20" t="s">
        <v>42</v>
      </c>
      <c r="G42" s="21" t="s">
        <v>43</v>
      </c>
      <c r="H42" s="19" t="s">
        <v>44</v>
      </c>
      <c r="I42" s="19" t="s">
        <v>66</v>
      </c>
      <c r="J42" s="19" t="s">
        <v>46</v>
      </c>
      <c r="K42" s="19"/>
      <c r="L42" s="19"/>
      <c r="M42" s="19" t="s">
        <v>229</v>
      </c>
      <c r="N42" s="19" t="s">
        <v>310</v>
      </c>
      <c r="O42" s="19" t="s">
        <v>229</v>
      </c>
      <c r="P42" s="19" t="s">
        <v>231</v>
      </c>
      <c r="Q42" s="19" t="s">
        <v>311</v>
      </c>
      <c r="R42" s="19" t="s">
        <v>312</v>
      </c>
      <c r="S42" s="19"/>
      <c r="T42" s="19" t="s">
        <v>54</v>
      </c>
      <c r="U42" s="19" t="s">
        <v>114</v>
      </c>
      <c r="V42" s="19" t="s">
        <v>80</v>
      </c>
      <c r="W42" s="19" t="s">
        <v>57</v>
      </c>
      <c r="X42" s="19" t="s">
        <v>58</v>
      </c>
      <c r="Y42" s="19" t="s">
        <v>58</v>
      </c>
      <c r="Z42" s="19" t="s">
        <v>313</v>
      </c>
      <c r="AA42" s="19">
        <v>1</v>
      </c>
      <c r="AB42" s="19">
        <v>1</v>
      </c>
      <c r="AC42" s="19" t="s">
        <v>60</v>
      </c>
      <c r="AD42" s="19" t="s">
        <v>231</v>
      </c>
      <c r="AE42" s="19" t="s">
        <v>314</v>
      </c>
      <c r="AF42" s="19"/>
    </row>
    <row r="43" spans="1:34" customHeight="1" ht="42">
      <c r="A43" s="19">
        <v>38</v>
      </c>
      <c r="B43" s="19" t="s">
        <v>248</v>
      </c>
      <c r="C43" s="19" t="s">
        <v>315</v>
      </c>
      <c r="D43" s="19" t="str">
        <f>HYPERLINK("http://henontech.com/fieldsafety/harzard/harzard_show.php?rid=2791&amp;url=harzardrecs.php","原料煤接收收发室电暖气线破损线头外漏，操作工在工作时不小心将手碰触到外漏的线头处造成电伤！在家休养五天！")</f>
        <v>原料煤接收收发室电暖气线破损线头外漏，操作工在工作时不小心将手碰触到外漏的线头处造成电伤！在家休养五天！</v>
      </c>
      <c r="E43" s="19" t="s">
        <v>316</v>
      </c>
      <c r="F43" s="20" t="s">
        <v>42</v>
      </c>
      <c r="G43" s="23" t="s">
        <v>289</v>
      </c>
      <c r="H43" s="19" t="s">
        <v>44</v>
      </c>
      <c r="I43" s="19" t="s">
        <v>108</v>
      </c>
      <c r="J43" s="19" t="s">
        <v>228</v>
      </c>
      <c r="K43" s="19" t="s">
        <v>173</v>
      </c>
      <c r="L43" s="19" t="s">
        <v>48</v>
      </c>
      <c r="M43" s="19" t="s">
        <v>317</v>
      </c>
      <c r="N43" s="19" t="s">
        <v>318</v>
      </c>
      <c r="O43" s="19" t="s">
        <v>317</v>
      </c>
      <c r="P43" s="19" t="s">
        <v>319</v>
      </c>
      <c r="Q43" s="19" t="s">
        <v>267</v>
      </c>
      <c r="R43" s="19" t="s">
        <v>320</v>
      </c>
      <c r="S43" s="19" t="s">
        <v>321</v>
      </c>
      <c r="T43" s="19" t="s">
        <v>54</v>
      </c>
      <c r="U43" s="19" t="s">
        <v>146</v>
      </c>
      <c r="V43" s="19" t="s">
        <v>56</v>
      </c>
      <c r="W43" s="19" t="s">
        <v>81</v>
      </c>
      <c r="X43" s="19" t="s">
        <v>93</v>
      </c>
      <c r="Y43" s="19" t="s">
        <v>93</v>
      </c>
      <c r="Z43" s="19" t="s">
        <v>322</v>
      </c>
      <c r="AA43" s="19">
        <v>2</v>
      </c>
      <c r="AB43" s="19">
        <v>2</v>
      </c>
      <c r="AC43" s="19" t="s">
        <v>60</v>
      </c>
      <c r="AD43" s="19" t="s">
        <v>319</v>
      </c>
      <c r="AE43" s="19" t="s">
        <v>129</v>
      </c>
      <c r="AF43" s="19" t="s">
        <v>323</v>
      </c>
    </row>
    <row r="44" spans="1:34">
      <c r="A44" s="19">
        <v>39</v>
      </c>
      <c r="B44" s="19" t="s">
        <v>129</v>
      </c>
      <c r="C44" s="19" t="s">
        <v>324</v>
      </c>
      <c r="D44" s="19" t="str">
        <f>HYPERLINK("http://henontech.com/fieldsafety/harzard/harzard_show.php?rid=2792&amp;url=harzardrecs.php","生化清水泵管道排气阀安装位置不合理，一名取样工（化验人员）在取样过程中被其绊倒，导致脸部擦伤，右臂骨折，送院就医")</f>
        <v>生化清水泵管道排气阀安装位置不合理，一名取样工（化验人员）在取样过程中被其绊倒，导致脸部擦伤，右臂骨折，送院就医</v>
      </c>
      <c r="E44" s="19" t="s">
        <v>325</v>
      </c>
      <c r="F44" s="24" t="s">
        <v>326</v>
      </c>
      <c r="G44" s="21" t="s">
        <v>43</v>
      </c>
      <c r="H44" s="19" t="s">
        <v>44</v>
      </c>
      <c r="I44" s="19" t="s">
        <v>66</v>
      </c>
      <c r="J44" s="19" t="s">
        <v>46</v>
      </c>
      <c r="K44" s="19" t="s">
        <v>99</v>
      </c>
      <c r="L44" s="19" t="s">
        <v>48</v>
      </c>
      <c r="M44" s="19" t="s">
        <v>229</v>
      </c>
      <c r="N44" s="19" t="s">
        <v>327</v>
      </c>
      <c r="O44" s="19"/>
      <c r="P44" s="19"/>
      <c r="Q44" s="19"/>
      <c r="R44" s="19" t="s">
        <v>328</v>
      </c>
      <c r="S44" s="19" t="s">
        <v>329</v>
      </c>
      <c r="T44" s="19" t="s">
        <v>224</v>
      </c>
      <c r="U44" s="19" t="s">
        <v>55</v>
      </c>
      <c r="V44" s="19" t="s">
        <v>80</v>
      </c>
      <c r="W44" s="19" t="s">
        <v>81</v>
      </c>
      <c r="X44" s="19"/>
      <c r="Y44" s="19"/>
      <c r="Z44" s="19"/>
      <c r="AA44" s="19">
        <v>0</v>
      </c>
      <c r="AB44" s="19"/>
      <c r="AC44" s="19" t="s">
        <v>330</v>
      </c>
      <c r="AD44" s="19"/>
      <c r="AE44" s="19"/>
      <c r="AF44" s="19"/>
    </row>
    <row r="45" spans="1:34" customHeight="1" ht="42">
      <c r="A45" s="19">
        <v>40</v>
      </c>
      <c r="B45" s="19" t="s">
        <v>267</v>
      </c>
      <c r="C45" s="19" t="s">
        <v>324</v>
      </c>
      <c r="D45" s="19" t="str">
        <f>HYPERLINK("http://henontech.com/fieldsafety/harzard/harzard_show.php?rid=2793&amp;url=harzardrecs.php","生化清水泵管道放气阀安装位置不合理，一名取样工（化验人员）在取样过程中被其绊倒，导致脸部、手部擦伤，经医务室处理后返岗复工")</f>
        <v>生化清水泵管道放气阀安装位置不合理，一名取样工（化验人员）在取样过程中被其绊倒，导致脸部、手部擦伤，经医务室处理后返岗复工</v>
      </c>
      <c r="E45" s="19" t="s">
        <v>331</v>
      </c>
      <c r="F45" s="20" t="s">
        <v>42</v>
      </c>
      <c r="G45" s="21" t="s">
        <v>43</v>
      </c>
      <c r="H45" s="19" t="s">
        <v>44</v>
      </c>
      <c r="I45" s="19" t="s">
        <v>66</v>
      </c>
      <c r="J45" s="19" t="s">
        <v>46</v>
      </c>
      <c r="K45" s="19" t="s">
        <v>99</v>
      </c>
      <c r="L45" s="19" t="s">
        <v>48</v>
      </c>
      <c r="M45" s="19" t="s">
        <v>229</v>
      </c>
      <c r="N45" s="19" t="s">
        <v>327</v>
      </c>
      <c r="O45" s="19" t="s">
        <v>229</v>
      </c>
      <c r="P45" s="19" t="s">
        <v>231</v>
      </c>
      <c r="Q45" s="19" t="s">
        <v>332</v>
      </c>
      <c r="R45" s="19" t="s">
        <v>328</v>
      </c>
      <c r="S45" s="19"/>
      <c r="T45" s="19" t="s">
        <v>54</v>
      </c>
      <c r="U45" s="19" t="s">
        <v>146</v>
      </c>
      <c r="V45" s="19" t="s">
        <v>80</v>
      </c>
      <c r="W45" s="19" t="s">
        <v>70</v>
      </c>
      <c r="X45" s="19" t="s">
        <v>58</v>
      </c>
      <c r="Y45" s="19" t="s">
        <v>58</v>
      </c>
      <c r="Z45" s="19" t="s">
        <v>333</v>
      </c>
      <c r="AA45" s="19">
        <v>2</v>
      </c>
      <c r="AB45" s="19">
        <v>2</v>
      </c>
      <c r="AC45" s="19" t="s">
        <v>60</v>
      </c>
      <c r="AD45" s="19" t="s">
        <v>231</v>
      </c>
      <c r="AE45" s="19" t="s">
        <v>179</v>
      </c>
      <c r="AF45" s="19"/>
    </row>
    <row r="46" spans="1:34">
      <c r="A46" s="19">
        <v>41</v>
      </c>
      <c r="B46" s="19" t="s">
        <v>334</v>
      </c>
      <c r="C46" s="19" t="s">
        <v>335</v>
      </c>
      <c r="D46" s="19" t="str">
        <f>HYPERLINK("http://henontech.com/fieldsafety/harzard/harzard_show.php?rid=2794&amp;url=harzardrecs.php","东四一盏照明灯光线暗 夜班操作工巡检时看不清脚下 不慎被绊倒 右前臂骨折 送医治疗 住院治疗一个月在家休养60天")</f>
        <v>东四一盏照明灯光线暗 夜班操作工巡检时看不清脚下 不慎被绊倒 右前臂骨折 送医治疗 住院治疗一个月在家休养60天</v>
      </c>
      <c r="E46" s="19" t="s">
        <v>336</v>
      </c>
      <c r="F46" s="24" t="s">
        <v>326</v>
      </c>
      <c r="G46" s="21" t="s">
        <v>43</v>
      </c>
      <c r="H46" s="19" t="s">
        <v>44</v>
      </c>
      <c r="I46" s="19" t="s">
        <v>45</v>
      </c>
      <c r="J46" s="19" t="s">
        <v>46</v>
      </c>
      <c r="K46" s="19" t="s">
        <v>137</v>
      </c>
      <c r="L46" s="19" t="s">
        <v>48</v>
      </c>
      <c r="M46" s="19" t="s">
        <v>317</v>
      </c>
      <c r="N46" s="19" t="s">
        <v>337</v>
      </c>
      <c r="O46" s="19"/>
      <c r="P46" s="19"/>
      <c r="Q46" s="19"/>
      <c r="R46" s="19" t="s">
        <v>338</v>
      </c>
      <c r="S46" s="19" t="s">
        <v>339</v>
      </c>
      <c r="T46" s="19" t="s">
        <v>54</v>
      </c>
      <c r="U46" s="19" t="s">
        <v>55</v>
      </c>
      <c r="V46" s="19" t="s">
        <v>80</v>
      </c>
      <c r="W46" s="19" t="s">
        <v>81</v>
      </c>
      <c r="X46" s="19"/>
      <c r="Y46" s="19"/>
      <c r="Z46" s="19"/>
      <c r="AA46" s="19">
        <v>0</v>
      </c>
      <c r="AB46" s="19"/>
      <c r="AC46" s="19" t="s">
        <v>330</v>
      </c>
      <c r="AD46" s="19"/>
      <c r="AE46" s="19"/>
      <c r="AF46" s="19"/>
    </row>
    <row r="47" spans="1:34" customHeight="1" ht="42">
      <c r="A47" s="19">
        <v>42</v>
      </c>
      <c r="B47" s="19" t="s">
        <v>334</v>
      </c>
      <c r="C47" s="19" t="s">
        <v>335</v>
      </c>
      <c r="D47" s="19" t="str">
        <f>HYPERLINK("http://henontech.com/fieldsafety/harzard/harzard_show.php?rid=2795&amp;url=harzardrecs.php","东四一盏照明灯光线暗 夜班操作工巡检时看不清脚下 不慎被绊倒 右前臂骨折 送医治疗 住院治疗一个月在家休养60天")</f>
        <v>东四一盏照明灯光线暗 夜班操作工巡检时看不清脚下 不慎被绊倒 右前臂骨折 送医治疗 住院治疗一个月在家休养60天</v>
      </c>
      <c r="E47" s="19" t="s">
        <v>340</v>
      </c>
      <c r="F47" s="20" t="s">
        <v>42</v>
      </c>
      <c r="G47" s="21" t="s">
        <v>43</v>
      </c>
      <c r="H47" s="19" t="s">
        <v>44</v>
      </c>
      <c r="I47" s="19" t="s">
        <v>45</v>
      </c>
      <c r="J47" s="19" t="s">
        <v>46</v>
      </c>
      <c r="K47" s="19" t="s">
        <v>137</v>
      </c>
      <c r="L47" s="19" t="s">
        <v>48</v>
      </c>
      <c r="M47" s="19" t="s">
        <v>317</v>
      </c>
      <c r="N47" s="19" t="s">
        <v>337</v>
      </c>
      <c r="O47" s="19" t="s">
        <v>317</v>
      </c>
      <c r="P47" s="19" t="s">
        <v>341</v>
      </c>
      <c r="Q47" s="19" t="s">
        <v>342</v>
      </c>
      <c r="R47" s="19" t="s">
        <v>338</v>
      </c>
      <c r="S47" s="19"/>
      <c r="T47" s="19" t="s">
        <v>54</v>
      </c>
      <c r="U47" s="19" t="s">
        <v>55</v>
      </c>
      <c r="V47" s="19" t="s">
        <v>80</v>
      </c>
      <c r="W47" s="19" t="s">
        <v>81</v>
      </c>
      <c r="X47" s="19"/>
      <c r="Y47" s="19"/>
      <c r="Z47" s="19" t="s">
        <v>343</v>
      </c>
      <c r="AA47" s="19">
        <v>2</v>
      </c>
      <c r="AB47" s="19">
        <v>2</v>
      </c>
      <c r="AC47" s="19" t="s">
        <v>60</v>
      </c>
      <c r="AD47" s="19" t="s">
        <v>341</v>
      </c>
      <c r="AE47" s="19" t="s">
        <v>344</v>
      </c>
      <c r="AF47" s="19"/>
    </row>
    <row r="48" spans="1:34" customHeight="1" ht="42">
      <c r="A48" s="19">
        <v>43</v>
      </c>
      <c r="B48" s="19" t="s">
        <v>334</v>
      </c>
      <c r="C48" s="19" t="s">
        <v>335</v>
      </c>
      <c r="D48" s="19" t="str">
        <f>HYPERLINK("http://henontech.com/fieldsafety/harzard/harzard_show.php?rid=2796&amp;url=harzardrecs.php","东四东门电源线未套管 线皮磨损漏电 员工经过此处不慎碰触到铁立柱 触电倒地头部擦伤 送医治疗包扎 在家休养10天")</f>
        <v>东四东门电源线未套管 线皮磨损漏电 员工经过此处不慎碰触到铁立柱 触电倒地头部擦伤 送医治疗包扎 在家休养10天</v>
      </c>
      <c r="E48" s="19" t="s">
        <v>345</v>
      </c>
      <c r="F48" s="20" t="s">
        <v>42</v>
      </c>
      <c r="G48" s="21" t="s">
        <v>43</v>
      </c>
      <c r="H48" s="19" t="s">
        <v>44</v>
      </c>
      <c r="I48" s="19" t="s">
        <v>45</v>
      </c>
      <c r="J48" s="19" t="s">
        <v>228</v>
      </c>
      <c r="K48" s="19" t="s">
        <v>173</v>
      </c>
      <c r="L48" s="19" t="s">
        <v>48</v>
      </c>
      <c r="M48" s="19" t="s">
        <v>317</v>
      </c>
      <c r="N48" s="19" t="s">
        <v>337</v>
      </c>
      <c r="O48" s="19" t="s">
        <v>317</v>
      </c>
      <c r="P48" s="19" t="s">
        <v>341</v>
      </c>
      <c r="Q48" s="19" t="s">
        <v>342</v>
      </c>
      <c r="R48" s="19" t="s">
        <v>338</v>
      </c>
      <c r="S48" s="19"/>
      <c r="T48" s="19" t="s">
        <v>54</v>
      </c>
      <c r="U48" s="19" t="s">
        <v>55</v>
      </c>
      <c r="V48" s="19" t="s">
        <v>80</v>
      </c>
      <c r="W48" s="19" t="s">
        <v>81</v>
      </c>
      <c r="X48" s="19"/>
      <c r="Y48" s="19"/>
      <c r="Z48" s="19" t="s">
        <v>346</v>
      </c>
      <c r="AA48" s="19">
        <v>2</v>
      </c>
      <c r="AB48" s="19">
        <v>2</v>
      </c>
      <c r="AC48" s="19" t="s">
        <v>60</v>
      </c>
      <c r="AD48" s="19" t="s">
        <v>341</v>
      </c>
      <c r="AE48" s="19" t="s">
        <v>344</v>
      </c>
      <c r="AF48" s="19"/>
    </row>
    <row r="49" spans="1:34">
      <c r="A49" s="19">
        <v>44</v>
      </c>
      <c r="B49" s="19" t="s">
        <v>334</v>
      </c>
      <c r="C49" s="19" t="s">
        <v>308</v>
      </c>
      <c r="D49" s="19" t="str">
        <f>HYPERLINK("http://henontech.com/fieldsafety/harzard/harzard_show.php?rid=2797&amp;url=harzardrecs.php","废水A泵机封损坏，导致泵体泄漏，造成室内环境污染，经维修两小时后正常运行。")</f>
        <v>废水A泵机封损坏，导致泵体泄漏，造成室内环境污染，经维修两小时后正常运行。</v>
      </c>
      <c r="E49" s="19" t="s">
        <v>347</v>
      </c>
      <c r="F49" s="20" t="s">
        <v>42</v>
      </c>
      <c r="G49" s="21" t="s">
        <v>43</v>
      </c>
      <c r="H49" s="19" t="s">
        <v>44</v>
      </c>
      <c r="I49" s="19"/>
      <c r="J49" s="19" t="s">
        <v>46</v>
      </c>
      <c r="K49" s="19"/>
      <c r="L49" s="19"/>
      <c r="M49" s="19" t="s">
        <v>229</v>
      </c>
      <c r="N49" s="19" t="s">
        <v>348</v>
      </c>
      <c r="O49" s="19" t="s">
        <v>229</v>
      </c>
      <c r="P49" s="19" t="s">
        <v>231</v>
      </c>
      <c r="Q49" s="19" t="s">
        <v>349</v>
      </c>
      <c r="R49" s="19" t="s">
        <v>312</v>
      </c>
      <c r="S49" s="19"/>
      <c r="T49" s="19" t="s">
        <v>224</v>
      </c>
      <c r="U49" s="19" t="s">
        <v>133</v>
      </c>
      <c r="V49" s="19" t="s">
        <v>56</v>
      </c>
      <c r="W49" s="19" t="s">
        <v>134</v>
      </c>
      <c r="X49" s="19" t="s">
        <v>58</v>
      </c>
      <c r="Y49" s="19" t="s">
        <v>58</v>
      </c>
      <c r="Z49" s="19" t="s">
        <v>350</v>
      </c>
      <c r="AA49" s="19">
        <v>1</v>
      </c>
      <c r="AB49" s="19">
        <v>1</v>
      </c>
      <c r="AC49" s="19" t="s">
        <v>60</v>
      </c>
      <c r="AD49" s="19" t="s">
        <v>231</v>
      </c>
      <c r="AE49" s="19" t="s">
        <v>221</v>
      </c>
      <c r="AF49" s="19"/>
    </row>
    <row r="50" spans="1:34">
      <c r="A50" s="19">
        <v>45</v>
      </c>
      <c r="B50" s="19" t="s">
        <v>334</v>
      </c>
      <c r="C50" s="19" t="s">
        <v>324</v>
      </c>
      <c r="D50" s="19" t="str">
        <f>HYPERLINK("http://henontech.com/fieldsafety/harzard/harzard_show.php?rid=2798&amp;url=harzardrecs.php","水沟盖板缺失，操作人员行走时不慎跌入水沟摔倒，手掌扶地，手腕皮肤轻微擦伤，不影响工作。")</f>
        <v>水沟盖板缺失，操作人员行走时不慎跌入水沟摔倒，手掌扶地，手腕皮肤轻微擦伤，不影响工作。</v>
      </c>
      <c r="E50" s="19" t="s">
        <v>351</v>
      </c>
      <c r="F50" s="20" t="s">
        <v>42</v>
      </c>
      <c r="G50" s="21" t="s">
        <v>43</v>
      </c>
      <c r="H50" s="19" t="s">
        <v>44</v>
      </c>
      <c r="I50" s="19" t="s">
        <v>66</v>
      </c>
      <c r="J50" s="19" t="s">
        <v>77</v>
      </c>
      <c r="K50" s="19" t="s">
        <v>137</v>
      </c>
      <c r="L50" s="19"/>
      <c r="M50" s="19" t="s">
        <v>229</v>
      </c>
      <c r="N50" s="19" t="s">
        <v>352</v>
      </c>
      <c r="O50" s="19" t="s">
        <v>229</v>
      </c>
      <c r="P50" s="19" t="s">
        <v>231</v>
      </c>
      <c r="Q50" s="19" t="s">
        <v>332</v>
      </c>
      <c r="R50" s="19" t="s">
        <v>353</v>
      </c>
      <c r="S50" s="19"/>
      <c r="T50" s="19" t="s">
        <v>54</v>
      </c>
      <c r="U50" s="19" t="s">
        <v>146</v>
      </c>
      <c r="V50" s="19" t="s">
        <v>69</v>
      </c>
      <c r="W50" s="19" t="s">
        <v>134</v>
      </c>
      <c r="X50" s="19" t="s">
        <v>58</v>
      </c>
      <c r="Y50" s="19" t="s">
        <v>58</v>
      </c>
      <c r="Z50" s="19" t="s">
        <v>354</v>
      </c>
      <c r="AA50" s="19">
        <v>1</v>
      </c>
      <c r="AB50" s="19">
        <v>1</v>
      </c>
      <c r="AC50" s="19" t="s">
        <v>60</v>
      </c>
      <c r="AD50" s="19" t="s">
        <v>231</v>
      </c>
      <c r="AE50" s="19" t="s">
        <v>248</v>
      </c>
      <c r="AF50" s="19"/>
    </row>
    <row r="51" spans="1:34" customHeight="1" ht="42">
      <c r="A51" s="19">
        <v>46</v>
      </c>
      <c r="B51" s="19" t="s">
        <v>355</v>
      </c>
      <c r="C51" s="19" t="s">
        <v>197</v>
      </c>
      <c r="D51" s="19" t="str">
        <f>HYPERLINK("http://henontech.com/fieldsafety/harzard/harzard_show.php?rid=2799&amp;url=harzardrecs.php","一人经过拦焦车时被开焊坠落的铁板砸伤，就医检查后发现脊柱受损失去工作能力")</f>
        <v>一人经过拦焦车时被开焊坠落的铁板砸伤，就医检查后发现脊柱受损失去工作能力</v>
      </c>
      <c r="E51" s="19" t="s">
        <v>356</v>
      </c>
      <c r="F51" s="20" t="s">
        <v>42</v>
      </c>
      <c r="G51" s="23" t="s">
        <v>289</v>
      </c>
      <c r="H51" s="19" t="s">
        <v>44</v>
      </c>
      <c r="I51" s="19" t="s">
        <v>66</v>
      </c>
      <c r="J51" s="19" t="s">
        <v>46</v>
      </c>
      <c r="K51" s="19" t="s">
        <v>47</v>
      </c>
      <c r="L51" s="19"/>
      <c r="M51" s="19" t="s">
        <v>87</v>
      </c>
      <c r="N51" s="19" t="s">
        <v>357</v>
      </c>
      <c r="O51" s="19" t="s">
        <v>87</v>
      </c>
      <c r="P51" s="19" t="s">
        <v>89</v>
      </c>
      <c r="Q51" s="19" t="s">
        <v>358</v>
      </c>
      <c r="R51" s="19" t="s">
        <v>359</v>
      </c>
      <c r="S51" s="19"/>
      <c r="T51" s="19" t="s">
        <v>54</v>
      </c>
      <c r="U51" s="19" t="s">
        <v>114</v>
      </c>
      <c r="V51" s="19" t="s">
        <v>80</v>
      </c>
      <c r="W51" s="19" t="s">
        <v>57</v>
      </c>
      <c r="X51" s="19" t="s">
        <v>169</v>
      </c>
      <c r="Y51" s="19"/>
      <c r="Z51" s="19" t="s">
        <v>360</v>
      </c>
      <c r="AA51" s="19">
        <v>2</v>
      </c>
      <c r="AB51" s="19">
        <v>2</v>
      </c>
      <c r="AC51" s="19" t="s">
        <v>60</v>
      </c>
      <c r="AD51" s="19" t="s">
        <v>89</v>
      </c>
      <c r="AE51" s="19" t="s">
        <v>95</v>
      </c>
      <c r="AF51" s="19"/>
    </row>
    <row r="52" spans="1:34" customHeight="1" ht="42">
      <c r="A52" s="19">
        <v>47</v>
      </c>
      <c r="B52" s="19" t="s">
        <v>355</v>
      </c>
      <c r="C52" s="19" t="s">
        <v>197</v>
      </c>
      <c r="D52" s="19" t="str">
        <f>HYPERLINK("http://henontech.com/fieldsafety/harzard/harzard_show.php?rid=2800&amp;url=harzardrecs.php","一操作工在巡检时不慎跌落，送医检查为皮肉划伤、小腿骨骨裂，损工2 个月。")</f>
        <v>一操作工在巡检时不慎跌落，送医检查为皮肉划伤、小腿骨骨裂，损工2 个月。</v>
      </c>
      <c r="E52" s="19" t="s">
        <v>361</v>
      </c>
      <c r="F52" s="20" t="s">
        <v>42</v>
      </c>
      <c r="G52" s="22" t="s">
        <v>107</v>
      </c>
      <c r="H52" s="19" t="s">
        <v>44</v>
      </c>
      <c r="I52" s="19" t="s">
        <v>66</v>
      </c>
      <c r="J52" s="19" t="s">
        <v>46</v>
      </c>
      <c r="K52" s="19" t="s">
        <v>47</v>
      </c>
      <c r="L52" s="19" t="s">
        <v>48</v>
      </c>
      <c r="M52" s="19" t="s">
        <v>87</v>
      </c>
      <c r="N52" s="19" t="s">
        <v>199</v>
      </c>
      <c r="O52" s="19" t="s">
        <v>87</v>
      </c>
      <c r="P52" s="19" t="s">
        <v>89</v>
      </c>
      <c r="Q52" s="19" t="s">
        <v>362</v>
      </c>
      <c r="R52" s="19" t="s">
        <v>363</v>
      </c>
      <c r="S52" s="19"/>
      <c r="T52" s="19" t="s">
        <v>54</v>
      </c>
      <c r="U52" s="19" t="s">
        <v>55</v>
      </c>
      <c r="V52" s="19" t="s">
        <v>80</v>
      </c>
      <c r="W52" s="19" t="s">
        <v>81</v>
      </c>
      <c r="X52" s="19" t="s">
        <v>58</v>
      </c>
      <c r="Y52" s="19"/>
      <c r="Z52" s="19" t="s">
        <v>364</v>
      </c>
      <c r="AA52" s="19">
        <v>2</v>
      </c>
      <c r="AB52" s="19">
        <v>2</v>
      </c>
      <c r="AC52" s="19" t="s">
        <v>60</v>
      </c>
      <c r="AD52" s="19" t="s">
        <v>89</v>
      </c>
      <c r="AE52" s="19" t="s">
        <v>116</v>
      </c>
      <c r="AF52" s="19"/>
    </row>
    <row r="53" spans="1:34" customHeight="1" ht="42">
      <c r="A53" s="19">
        <v>48</v>
      </c>
      <c r="B53" s="19" t="s">
        <v>355</v>
      </c>
      <c r="C53" s="19" t="s">
        <v>75</v>
      </c>
      <c r="D53" s="19" t="str">
        <f>HYPERLINK("http://henontech.com/fieldsafety/harzard/harzard_show.php?rid=2801&amp;url=harzardrecs.php","接班时发现25t锅炉水位计漏蒸汽。")</f>
        <v>接班时发现25t锅炉水位计漏蒸汽。</v>
      </c>
      <c r="E53" s="19" t="s">
        <v>365</v>
      </c>
      <c r="F53" s="20" t="s">
        <v>42</v>
      </c>
      <c r="G53" s="21" t="s">
        <v>43</v>
      </c>
      <c r="H53" s="19" t="s">
        <v>44</v>
      </c>
      <c r="I53" s="19" t="s">
        <v>45</v>
      </c>
      <c r="J53" s="19" t="s">
        <v>366</v>
      </c>
      <c r="K53" s="19" t="s">
        <v>137</v>
      </c>
      <c r="L53" s="19" t="s">
        <v>48</v>
      </c>
      <c r="M53" s="19" t="s">
        <v>49</v>
      </c>
      <c r="N53" s="19" t="s">
        <v>367</v>
      </c>
      <c r="O53" s="19" t="s">
        <v>49</v>
      </c>
      <c r="P53" s="19" t="s">
        <v>51</v>
      </c>
      <c r="Q53" s="19" t="s">
        <v>342</v>
      </c>
      <c r="R53" s="19" t="s">
        <v>368</v>
      </c>
      <c r="S53" s="19"/>
      <c r="T53" s="19" t="s">
        <v>54</v>
      </c>
      <c r="U53" s="19" t="s">
        <v>146</v>
      </c>
      <c r="V53" s="19" t="s">
        <v>56</v>
      </c>
      <c r="W53" s="19" t="s">
        <v>81</v>
      </c>
      <c r="X53" s="19" t="s">
        <v>58</v>
      </c>
      <c r="Y53" s="19"/>
      <c r="Z53" s="19" t="s">
        <v>369</v>
      </c>
      <c r="AA53" s="19">
        <v>2</v>
      </c>
      <c r="AB53" s="19">
        <v>1</v>
      </c>
      <c r="AC53" s="19" t="s">
        <v>60</v>
      </c>
      <c r="AD53" s="19" t="s">
        <v>51</v>
      </c>
      <c r="AE53" s="19" t="s">
        <v>95</v>
      </c>
      <c r="AF53" s="19" t="s">
        <v>370</v>
      </c>
    </row>
    <row r="54" spans="1:34" customHeight="1" ht="42">
      <c r="A54" s="19">
        <v>49</v>
      </c>
      <c r="B54" s="19" t="s">
        <v>355</v>
      </c>
      <c r="C54" s="19" t="s">
        <v>371</v>
      </c>
      <c r="D54" s="19" t="str">
        <f>HYPERLINK("http://henontech.com/fieldsafety/harzard/harzard_show.php?rid=2802&amp;url=harzardrecs.php","操作工在调整工艺指标时发生还原剂计量泵漏液，造成大面积灼伤")</f>
        <v>操作工在调整工艺指标时发生还原剂计量泵漏液，造成大面积灼伤</v>
      </c>
      <c r="E54" s="19" t="s">
        <v>372</v>
      </c>
      <c r="F54" s="20" t="s">
        <v>42</v>
      </c>
      <c r="G54" s="21" t="s">
        <v>43</v>
      </c>
      <c r="H54" s="19" t="s">
        <v>44</v>
      </c>
      <c r="I54" s="19" t="s">
        <v>45</v>
      </c>
      <c r="J54" s="19" t="s">
        <v>46</v>
      </c>
      <c r="K54" s="19" t="s">
        <v>173</v>
      </c>
      <c r="L54" s="19" t="s">
        <v>48</v>
      </c>
      <c r="M54" s="19" t="s">
        <v>49</v>
      </c>
      <c r="N54" s="19" t="s">
        <v>373</v>
      </c>
      <c r="O54" s="19" t="s">
        <v>49</v>
      </c>
      <c r="P54" s="19" t="s">
        <v>51</v>
      </c>
      <c r="Q54" s="19" t="s">
        <v>374</v>
      </c>
      <c r="R54" s="19" t="s">
        <v>375</v>
      </c>
      <c r="S54" s="19"/>
      <c r="T54" s="19" t="s">
        <v>54</v>
      </c>
      <c r="U54" s="19" t="s">
        <v>55</v>
      </c>
      <c r="V54" s="19" t="s">
        <v>80</v>
      </c>
      <c r="W54" s="19" t="s">
        <v>81</v>
      </c>
      <c r="X54" s="19" t="s">
        <v>58</v>
      </c>
      <c r="Y54" s="19"/>
      <c r="Z54" s="19" t="s">
        <v>376</v>
      </c>
      <c r="AA54" s="19">
        <v>2</v>
      </c>
      <c r="AB54" s="19">
        <v>1</v>
      </c>
      <c r="AC54" s="19" t="s">
        <v>60</v>
      </c>
      <c r="AD54" s="19" t="s">
        <v>51</v>
      </c>
      <c r="AE54" s="19" t="s">
        <v>61</v>
      </c>
      <c r="AF54" s="19" t="s">
        <v>377</v>
      </c>
    </row>
    <row r="55" spans="1:34" customHeight="1" ht="42">
      <c r="A55" s="19">
        <v>50</v>
      </c>
      <c r="B55" s="19" t="s">
        <v>355</v>
      </c>
      <c r="C55" s="19" t="s">
        <v>378</v>
      </c>
      <c r="D55" s="19" t="str">
        <f>HYPERLINK("http://henontech.com/fieldsafety/harzard/harzard_show.php?rid=2803&amp;url=harzardrecs.php","岗位人员巡检时不慎掉落")</f>
        <v>岗位人员巡检时不慎掉落</v>
      </c>
      <c r="E55" s="19" t="s">
        <v>379</v>
      </c>
      <c r="F55" s="20" t="s">
        <v>42</v>
      </c>
      <c r="G55" s="21" t="s">
        <v>43</v>
      </c>
      <c r="H55" s="19" t="s">
        <v>44</v>
      </c>
      <c r="I55" s="19" t="s">
        <v>45</v>
      </c>
      <c r="J55" s="19" t="s">
        <v>46</v>
      </c>
      <c r="K55" s="19" t="s">
        <v>137</v>
      </c>
      <c r="L55" s="19" t="s">
        <v>48</v>
      </c>
      <c r="M55" s="19" t="s">
        <v>49</v>
      </c>
      <c r="N55" s="19" t="s">
        <v>380</v>
      </c>
      <c r="O55" s="19" t="s">
        <v>49</v>
      </c>
      <c r="P55" s="19" t="s">
        <v>51</v>
      </c>
      <c r="Q55" s="19" t="s">
        <v>342</v>
      </c>
      <c r="R55" s="19" t="s">
        <v>381</v>
      </c>
      <c r="S55" s="19"/>
      <c r="T55" s="19" t="s">
        <v>54</v>
      </c>
      <c r="U55" s="19" t="s">
        <v>55</v>
      </c>
      <c r="V55" s="19" t="s">
        <v>80</v>
      </c>
      <c r="W55" s="19" t="s">
        <v>81</v>
      </c>
      <c r="X55" s="19" t="s">
        <v>58</v>
      </c>
      <c r="Y55" s="19"/>
      <c r="Z55" s="19" t="s">
        <v>382</v>
      </c>
      <c r="AA55" s="19">
        <v>2</v>
      </c>
      <c r="AB55" s="19">
        <v>1</v>
      </c>
      <c r="AC55" s="19" t="s">
        <v>60</v>
      </c>
      <c r="AD55" s="19" t="s">
        <v>51</v>
      </c>
      <c r="AE55" s="19" t="s">
        <v>61</v>
      </c>
      <c r="AF55" s="19" t="s">
        <v>383</v>
      </c>
    </row>
    <row r="56" spans="1:34">
      <c r="A56" s="19">
        <v>51</v>
      </c>
      <c r="B56" s="19" t="s">
        <v>344</v>
      </c>
      <c r="C56" s="19" t="s">
        <v>378</v>
      </c>
      <c r="D56" s="19" t="str">
        <f>HYPERLINK("http://henontech.com/fieldsafety/harzard/harzard_show.php?rid=2804&amp;url=harzardrecs.php","开蒸汽阀门时，未带防护手套，因阀门泄漏导致严重烫伤")</f>
        <v>开蒸汽阀门时，未带防护手套，因阀门泄漏导致严重烫伤</v>
      </c>
      <c r="E56" s="19" t="s">
        <v>384</v>
      </c>
      <c r="F56" s="24" t="s">
        <v>326</v>
      </c>
      <c r="G56" s="21" t="s">
        <v>43</v>
      </c>
      <c r="H56" s="19" t="s">
        <v>44</v>
      </c>
      <c r="I56" s="19" t="s">
        <v>126</v>
      </c>
      <c r="J56" s="19" t="s">
        <v>77</v>
      </c>
      <c r="K56" s="19" t="s">
        <v>47</v>
      </c>
      <c r="L56" s="19"/>
      <c r="M56" s="19" t="s">
        <v>49</v>
      </c>
      <c r="N56" s="19" t="s">
        <v>385</v>
      </c>
      <c r="O56" s="19"/>
      <c r="P56" s="19"/>
      <c r="Q56" s="19"/>
      <c r="R56" s="19" t="s">
        <v>386</v>
      </c>
      <c r="S56" s="19" t="s">
        <v>387</v>
      </c>
      <c r="T56" s="19" t="s">
        <v>54</v>
      </c>
      <c r="U56" s="19" t="s">
        <v>55</v>
      </c>
      <c r="V56" s="19" t="s">
        <v>80</v>
      </c>
      <c r="W56" s="19" t="s">
        <v>81</v>
      </c>
      <c r="X56" s="19"/>
      <c r="Y56" s="19"/>
      <c r="Z56" s="19"/>
      <c r="AA56" s="19">
        <v>0</v>
      </c>
      <c r="AB56" s="19"/>
      <c r="AC56" s="19" t="s">
        <v>330</v>
      </c>
      <c r="AD56" s="19"/>
      <c r="AE56" s="19"/>
      <c r="AF56" s="19"/>
    </row>
    <row r="57" spans="1:34">
      <c r="A57" s="19">
        <v>52</v>
      </c>
      <c r="B57" s="19" t="s">
        <v>344</v>
      </c>
      <c r="C57" s="19" t="s">
        <v>75</v>
      </c>
      <c r="D57" s="19" t="str">
        <f>HYPERLINK("http://henontech.com/fieldsafety/harzard/harzard_show.php?rid=2805&amp;url=harzardrecs.php","操作工抄完电度表后盘面未关闭，巡检时未戴安全帽头碰着盘面。")</f>
        <v>操作工抄完电度表后盘面未关闭，巡检时未戴安全帽头碰着盘面。</v>
      </c>
      <c r="E57" s="19" t="s">
        <v>388</v>
      </c>
      <c r="F57" s="24" t="s">
        <v>326</v>
      </c>
      <c r="G57" s="21" t="s">
        <v>43</v>
      </c>
      <c r="H57" s="19" t="s">
        <v>44</v>
      </c>
      <c r="I57" s="19" t="s">
        <v>108</v>
      </c>
      <c r="J57" s="19" t="s">
        <v>389</v>
      </c>
      <c r="K57" s="19" t="s">
        <v>173</v>
      </c>
      <c r="L57" s="19" t="s">
        <v>48</v>
      </c>
      <c r="M57" s="19" t="s">
        <v>49</v>
      </c>
      <c r="N57" s="19" t="s">
        <v>390</v>
      </c>
      <c r="O57" s="19"/>
      <c r="P57" s="19"/>
      <c r="Q57" s="19"/>
      <c r="R57" s="19" t="s">
        <v>391</v>
      </c>
      <c r="S57" s="19" t="s">
        <v>392</v>
      </c>
      <c r="T57" s="19" t="s">
        <v>54</v>
      </c>
      <c r="U57" s="19" t="s">
        <v>133</v>
      </c>
      <c r="V57" s="19" t="s">
        <v>69</v>
      </c>
      <c r="W57" s="19" t="s">
        <v>134</v>
      </c>
      <c r="X57" s="19"/>
      <c r="Y57" s="19"/>
      <c r="Z57" s="19"/>
      <c r="AA57" s="19">
        <v>0</v>
      </c>
      <c r="AB57" s="19"/>
      <c r="AC57" s="19" t="s">
        <v>330</v>
      </c>
      <c r="AD57" s="19"/>
      <c r="AE57" s="19"/>
      <c r="AF57" s="19"/>
    </row>
    <row r="58" spans="1:34" customHeight="1" ht="42">
      <c r="A58" s="19">
        <v>53</v>
      </c>
      <c r="B58" s="19" t="s">
        <v>112</v>
      </c>
      <c r="C58" s="19" t="s">
        <v>183</v>
      </c>
      <c r="D58" s="19" t="str">
        <f>HYPERLINK("http://henontech.com/fieldsafety/harzard/harzard_show.php?rid=2806&amp;url=harzardrecs.php","焦侧集气管平台铁板开焊翘起，操作工巡检时不慎被绊倒扭伤脚踝。")</f>
        <v>焦侧集气管平台铁板开焊翘起，操作工巡检时不慎被绊倒扭伤脚踝。</v>
      </c>
      <c r="E58" s="19" t="s">
        <v>393</v>
      </c>
      <c r="F58" s="20" t="s">
        <v>42</v>
      </c>
      <c r="G58" s="22" t="s">
        <v>107</v>
      </c>
      <c r="H58" s="19" t="s">
        <v>44</v>
      </c>
      <c r="I58" s="19" t="s">
        <v>45</v>
      </c>
      <c r="J58" s="19" t="s">
        <v>46</v>
      </c>
      <c r="K58" s="19" t="s">
        <v>99</v>
      </c>
      <c r="L58" s="19" t="s">
        <v>48</v>
      </c>
      <c r="M58" s="19" t="s">
        <v>87</v>
      </c>
      <c r="N58" s="19" t="s">
        <v>185</v>
      </c>
      <c r="O58" s="19" t="s">
        <v>87</v>
      </c>
      <c r="P58" s="19" t="s">
        <v>89</v>
      </c>
      <c r="Q58" s="19" t="s">
        <v>362</v>
      </c>
      <c r="R58" s="19" t="s">
        <v>186</v>
      </c>
      <c r="S58" s="19"/>
      <c r="T58" s="19" t="s">
        <v>54</v>
      </c>
      <c r="U58" s="19" t="s">
        <v>55</v>
      </c>
      <c r="V58" s="19" t="s">
        <v>80</v>
      </c>
      <c r="W58" s="19" t="s">
        <v>81</v>
      </c>
      <c r="X58" s="19" t="s">
        <v>169</v>
      </c>
      <c r="Y58" s="19"/>
      <c r="Z58" s="19" t="s">
        <v>394</v>
      </c>
      <c r="AA58" s="19">
        <v>2</v>
      </c>
      <c r="AB58" s="19">
        <v>2</v>
      </c>
      <c r="AC58" s="19" t="s">
        <v>60</v>
      </c>
      <c r="AD58" s="19" t="s">
        <v>89</v>
      </c>
      <c r="AE58" s="19" t="s">
        <v>182</v>
      </c>
      <c r="AF58" s="19"/>
    </row>
    <row r="59" spans="1:34" customHeight="1" ht="42">
      <c r="A59" s="19">
        <v>54</v>
      </c>
      <c r="B59" s="19" t="s">
        <v>112</v>
      </c>
      <c r="C59" s="19" t="s">
        <v>183</v>
      </c>
      <c r="D59" s="19" t="str">
        <f>HYPERLINK("http://henontech.com/fieldsafety/harzard/harzard_show.php?rid=2807&amp;url=harzardrecs.php","机侧集气管平台护栏开焊，操作工巡检时不慎坠落，造成当场死亡")</f>
        <v>机侧集气管平台护栏开焊，操作工巡检时不慎坠落，造成当场死亡</v>
      </c>
      <c r="E59" s="19" t="s">
        <v>395</v>
      </c>
      <c r="F59" s="20" t="s">
        <v>42</v>
      </c>
      <c r="G59" s="22" t="s">
        <v>107</v>
      </c>
      <c r="H59" s="19" t="s">
        <v>44</v>
      </c>
      <c r="I59" s="19" t="s">
        <v>66</v>
      </c>
      <c r="J59" s="19" t="s">
        <v>46</v>
      </c>
      <c r="K59" s="19" t="s">
        <v>173</v>
      </c>
      <c r="L59" s="19"/>
      <c r="M59" s="19" t="s">
        <v>87</v>
      </c>
      <c r="N59" s="19" t="s">
        <v>189</v>
      </c>
      <c r="O59" s="19" t="s">
        <v>87</v>
      </c>
      <c r="P59" s="19" t="s">
        <v>89</v>
      </c>
      <c r="Q59" s="19" t="s">
        <v>362</v>
      </c>
      <c r="R59" s="19" t="s">
        <v>396</v>
      </c>
      <c r="S59" s="19"/>
      <c r="T59" s="19" t="s">
        <v>54</v>
      </c>
      <c r="U59" s="19" t="s">
        <v>114</v>
      </c>
      <c r="V59" s="19" t="s">
        <v>80</v>
      </c>
      <c r="W59" s="19" t="s">
        <v>57</v>
      </c>
      <c r="X59" s="19" t="s">
        <v>58</v>
      </c>
      <c r="Y59" s="19"/>
      <c r="Z59" s="19" t="s">
        <v>397</v>
      </c>
      <c r="AA59" s="19">
        <v>2</v>
      </c>
      <c r="AB59" s="19">
        <v>2</v>
      </c>
      <c r="AC59" s="19" t="s">
        <v>60</v>
      </c>
      <c r="AD59" s="19" t="s">
        <v>89</v>
      </c>
      <c r="AE59" s="19" t="s">
        <v>182</v>
      </c>
      <c r="AF59" s="19"/>
    </row>
    <row r="60" spans="1:34">
      <c r="A60" s="19">
        <v>55</v>
      </c>
      <c r="B60" s="19" t="s">
        <v>112</v>
      </c>
      <c r="C60" s="19" t="s">
        <v>315</v>
      </c>
      <c r="D60" s="19" t="str">
        <f>HYPERLINK("http://henontech.com/fieldsafety/harzard/harzard_show.php?rid=2808&amp;url=harzardrecs.php","水沟盖板老化碎裂，人员踩踏陷入沟中")</f>
        <v>水沟盖板老化碎裂，人员踩踏陷入沟中</v>
      </c>
      <c r="E60" s="19" t="s">
        <v>398</v>
      </c>
      <c r="F60" s="20" t="s">
        <v>42</v>
      </c>
      <c r="G60" s="22" t="s">
        <v>107</v>
      </c>
      <c r="H60" s="19" t="s">
        <v>44</v>
      </c>
      <c r="I60" s="19" t="s">
        <v>66</v>
      </c>
      <c r="J60" s="19" t="s">
        <v>109</v>
      </c>
      <c r="K60" s="19"/>
      <c r="L60" s="19" t="s">
        <v>48</v>
      </c>
      <c r="M60" s="19" t="s">
        <v>317</v>
      </c>
      <c r="N60" s="19" t="s">
        <v>399</v>
      </c>
      <c r="O60" s="19" t="s">
        <v>317</v>
      </c>
      <c r="P60" s="19" t="s">
        <v>400</v>
      </c>
      <c r="Q60" s="19" t="s">
        <v>401</v>
      </c>
      <c r="R60" s="19" t="s">
        <v>402</v>
      </c>
      <c r="S60" s="19"/>
      <c r="T60" s="19" t="s">
        <v>54</v>
      </c>
      <c r="U60" s="19" t="s">
        <v>146</v>
      </c>
      <c r="V60" s="19" t="s">
        <v>80</v>
      </c>
      <c r="W60" s="19" t="s">
        <v>70</v>
      </c>
      <c r="X60" s="19"/>
      <c r="Y60" s="19"/>
      <c r="Z60" s="19" t="s">
        <v>403</v>
      </c>
      <c r="AA60" s="19">
        <v>1</v>
      </c>
      <c r="AB60" s="19">
        <v>1</v>
      </c>
      <c r="AC60" s="19" t="s">
        <v>60</v>
      </c>
      <c r="AD60" s="19" t="s">
        <v>400</v>
      </c>
      <c r="AE60" s="19" t="s">
        <v>404</v>
      </c>
      <c r="AF60" s="19"/>
    </row>
    <row r="61" spans="1:34">
      <c r="A61" s="19">
        <v>56</v>
      </c>
      <c r="B61" s="19" t="s">
        <v>112</v>
      </c>
      <c r="C61" s="19" t="s">
        <v>335</v>
      </c>
      <c r="D61" s="19" t="str">
        <f>HYPERLINK("http://henontech.com/fieldsafety/harzard/harzard_show.php?rid=2809&amp;url=harzardrecs.php","操作人员巡检时，被降尘泵护栏底部开焊的护栏绊倒，造成人员摔伤")</f>
        <v>操作人员巡检时，被降尘泵护栏底部开焊的护栏绊倒，造成人员摔伤</v>
      </c>
      <c r="E61" s="19" t="s">
        <v>405</v>
      </c>
      <c r="F61" s="20" t="s">
        <v>42</v>
      </c>
      <c r="G61" s="22" t="s">
        <v>107</v>
      </c>
      <c r="H61" s="19" t="s">
        <v>44</v>
      </c>
      <c r="I61" s="19" t="s">
        <v>66</v>
      </c>
      <c r="J61" s="19" t="s">
        <v>46</v>
      </c>
      <c r="K61" s="19"/>
      <c r="L61" s="19"/>
      <c r="M61" s="19" t="s">
        <v>317</v>
      </c>
      <c r="N61" s="19" t="s">
        <v>399</v>
      </c>
      <c r="O61" s="19" t="s">
        <v>317</v>
      </c>
      <c r="P61" s="19" t="s">
        <v>400</v>
      </c>
      <c r="Q61" s="19" t="s">
        <v>401</v>
      </c>
      <c r="R61" s="19" t="s">
        <v>406</v>
      </c>
      <c r="S61" s="19"/>
      <c r="T61" s="19" t="s">
        <v>54</v>
      </c>
      <c r="U61" s="19" t="s">
        <v>146</v>
      </c>
      <c r="V61" s="19" t="s">
        <v>80</v>
      </c>
      <c r="W61" s="19" t="s">
        <v>70</v>
      </c>
      <c r="X61" s="19" t="s">
        <v>58</v>
      </c>
      <c r="Y61" s="19"/>
      <c r="Z61" s="19" t="s">
        <v>407</v>
      </c>
      <c r="AA61" s="19">
        <v>1</v>
      </c>
      <c r="AB61" s="19">
        <v>1</v>
      </c>
      <c r="AC61" s="19" t="s">
        <v>60</v>
      </c>
      <c r="AD61" s="19" t="s">
        <v>400</v>
      </c>
      <c r="AE61" s="19" t="s">
        <v>404</v>
      </c>
      <c r="AF61" s="19"/>
    </row>
    <row r="62" spans="1:34">
      <c r="A62" s="19">
        <v>57</v>
      </c>
      <c r="B62" s="19" t="s">
        <v>112</v>
      </c>
      <c r="C62" s="19" t="s">
        <v>335</v>
      </c>
      <c r="D62" s="19" t="str">
        <f>HYPERLINK("http://henontech.com/fieldsafety/harzard/harzard_show.php?rid=2810&amp;url=harzardrecs.php","东一地沟1#给料机电机护罩缺失，一人在清理卫生时，手部被割伤")</f>
        <v>东一地沟1#给料机电机护罩缺失，一人在清理卫生时，手部被割伤</v>
      </c>
      <c r="E62" s="19" t="s">
        <v>408</v>
      </c>
      <c r="F62" s="20" t="s">
        <v>42</v>
      </c>
      <c r="G62" s="22" t="s">
        <v>107</v>
      </c>
      <c r="H62" s="19" t="s">
        <v>44</v>
      </c>
      <c r="I62" s="19" t="s">
        <v>66</v>
      </c>
      <c r="J62" s="19" t="s">
        <v>77</v>
      </c>
      <c r="K62" s="19"/>
      <c r="L62" s="19"/>
      <c r="M62" s="19" t="s">
        <v>317</v>
      </c>
      <c r="N62" s="19" t="s">
        <v>399</v>
      </c>
      <c r="O62" s="19" t="s">
        <v>317</v>
      </c>
      <c r="P62" s="19" t="s">
        <v>400</v>
      </c>
      <c r="Q62" s="19" t="s">
        <v>401</v>
      </c>
      <c r="R62" s="19" t="s">
        <v>409</v>
      </c>
      <c r="S62" s="19"/>
      <c r="T62" s="19" t="s">
        <v>54</v>
      </c>
      <c r="U62" s="19" t="s">
        <v>55</v>
      </c>
      <c r="V62" s="19" t="s">
        <v>80</v>
      </c>
      <c r="W62" s="19" t="s">
        <v>81</v>
      </c>
      <c r="X62" s="19" t="s">
        <v>58</v>
      </c>
      <c r="Y62" s="19"/>
      <c r="Z62" s="19" t="s">
        <v>410</v>
      </c>
      <c r="AA62" s="19">
        <v>1</v>
      </c>
      <c r="AB62" s="19">
        <v>1</v>
      </c>
      <c r="AC62" s="19" t="s">
        <v>60</v>
      </c>
      <c r="AD62" s="19" t="s">
        <v>400</v>
      </c>
      <c r="AE62" s="19" t="s">
        <v>404</v>
      </c>
      <c r="AF62" s="19"/>
    </row>
    <row r="63" spans="1:34">
      <c r="A63" s="19">
        <v>58</v>
      </c>
      <c r="B63" s="19" t="s">
        <v>112</v>
      </c>
      <c r="C63" s="19" t="s">
        <v>242</v>
      </c>
      <c r="D63" s="19" t="str">
        <f>HYPERLINK("http://henontech.com/fieldsafety/harzard/harzard_show.php?rid=2811&amp;url=harzardrecs.php","一名职工夜间巡检时，由于走道有废旧搅拌器切走道狭窄被绊倒，未造成人员伤害")</f>
        <v>一名职工夜间巡检时，由于走道有废旧搅拌器切走道狭窄被绊倒，未造成人员伤害</v>
      </c>
      <c r="E63" s="19" t="s">
        <v>411</v>
      </c>
      <c r="F63" s="20" t="s">
        <v>42</v>
      </c>
      <c r="G63" s="21" t="s">
        <v>43</v>
      </c>
      <c r="H63" s="19" t="s">
        <v>44</v>
      </c>
      <c r="I63" s="19" t="s">
        <v>66</v>
      </c>
      <c r="J63" s="19"/>
      <c r="K63" s="19" t="s">
        <v>47</v>
      </c>
      <c r="L63" s="19"/>
      <c r="M63" s="19" t="s">
        <v>229</v>
      </c>
      <c r="N63" s="19" t="s">
        <v>244</v>
      </c>
      <c r="O63" s="19" t="s">
        <v>229</v>
      </c>
      <c r="P63" s="19" t="s">
        <v>231</v>
      </c>
      <c r="Q63" s="19" t="s">
        <v>194</v>
      </c>
      <c r="R63" s="19" t="s">
        <v>412</v>
      </c>
      <c r="S63" s="19"/>
      <c r="T63" s="19" t="s">
        <v>54</v>
      </c>
      <c r="U63" s="19" t="s">
        <v>133</v>
      </c>
      <c r="V63" s="19" t="s">
        <v>56</v>
      </c>
      <c r="W63" s="19" t="s">
        <v>134</v>
      </c>
      <c r="X63" s="19" t="s">
        <v>58</v>
      </c>
      <c r="Y63" s="19" t="s">
        <v>58</v>
      </c>
      <c r="Z63" s="19" t="s">
        <v>413</v>
      </c>
      <c r="AA63" s="19">
        <v>1</v>
      </c>
      <c r="AB63" s="19">
        <v>1</v>
      </c>
      <c r="AC63" s="19" t="s">
        <v>60</v>
      </c>
      <c r="AD63" s="19" t="s">
        <v>231</v>
      </c>
      <c r="AE63" s="19" t="s">
        <v>314</v>
      </c>
      <c r="AF63" s="19"/>
    </row>
    <row r="64" spans="1:34">
      <c r="A64" s="19">
        <v>59</v>
      </c>
      <c r="B64" s="19" t="s">
        <v>112</v>
      </c>
      <c r="C64" s="19" t="s">
        <v>242</v>
      </c>
      <c r="D64" s="19" t="str">
        <f>HYPERLINK("http://henontech.com/fieldsafety/harzard/harzard_show.php?rid=2812&amp;url=harzardrecs.php","一名操作工在进行气浮机刮渣操作时，由于走道盖板长时间腐蚀破损严重铁板变薄，来回走动时踏入破损处，造成跌倒脚踝轻微扭伤，休息片刻后正常工作。")</f>
        <v>一名操作工在进行气浮机刮渣操作时，由于走道盖板长时间腐蚀破损严重铁板变薄，来回走动时踏入破损处，造成跌倒脚踝轻微扭伤，休息片刻后正常工作。</v>
      </c>
      <c r="E64" s="19" t="s">
        <v>414</v>
      </c>
      <c r="F64" s="20" t="s">
        <v>42</v>
      </c>
      <c r="G64" s="21" t="s">
        <v>43</v>
      </c>
      <c r="H64" s="19" t="s">
        <v>44</v>
      </c>
      <c r="I64" s="19" t="s">
        <v>66</v>
      </c>
      <c r="J64" s="19" t="s">
        <v>109</v>
      </c>
      <c r="K64" s="19" t="s">
        <v>47</v>
      </c>
      <c r="L64" s="19"/>
      <c r="M64" s="19" t="s">
        <v>229</v>
      </c>
      <c r="N64" s="19" t="s">
        <v>415</v>
      </c>
      <c r="O64" s="19" t="s">
        <v>229</v>
      </c>
      <c r="P64" s="19" t="s">
        <v>416</v>
      </c>
      <c r="Q64" s="19" t="s">
        <v>194</v>
      </c>
      <c r="R64" s="19" t="s">
        <v>417</v>
      </c>
      <c r="S64" s="19"/>
      <c r="T64" s="19" t="s">
        <v>54</v>
      </c>
      <c r="U64" s="19" t="s">
        <v>146</v>
      </c>
      <c r="V64" s="19" t="s">
        <v>80</v>
      </c>
      <c r="W64" s="19" t="s">
        <v>70</v>
      </c>
      <c r="X64" s="19" t="s">
        <v>418</v>
      </c>
      <c r="Y64" s="19" t="s">
        <v>418</v>
      </c>
      <c r="Z64" s="19" t="s">
        <v>419</v>
      </c>
      <c r="AA64" s="19">
        <v>1</v>
      </c>
      <c r="AB64" s="19">
        <v>1</v>
      </c>
      <c r="AC64" s="19" t="s">
        <v>60</v>
      </c>
      <c r="AD64" s="19" t="s">
        <v>416</v>
      </c>
      <c r="AE64" s="19" t="s">
        <v>314</v>
      </c>
      <c r="AF64" s="19"/>
    </row>
    <row r="65" spans="1:34">
      <c r="A65" s="19">
        <v>60</v>
      </c>
      <c r="B65" s="19" t="s">
        <v>179</v>
      </c>
      <c r="C65" s="19" t="s">
        <v>236</v>
      </c>
      <c r="D65" s="19" t="str">
        <f>HYPERLINK("http://henontech.com/fieldsafety/harzard/harzard_show.php?rid=2813&amp;url=harzardrecs.php","硫酸储槽南围堰过桥爬梯因长年使用踏板腐蚀严重，如果一名操作工在巡检时攀爬过桥爬梯时，踏板因腐蚀严重造成塌陷，造成人员左脚扭伤，送医救治回家休养15天后复工，损工15天")</f>
        <v>硫酸储槽南围堰过桥爬梯因长年使用踏板腐蚀严重，如果一名操作工在巡检时攀爬过桥爬梯时，踏板因腐蚀严重造成塌陷，造成人员左脚扭伤，送医救治回家休养15天后复工，损工15天</v>
      </c>
      <c r="E65" s="19" t="s">
        <v>420</v>
      </c>
      <c r="F65" s="20" t="s">
        <v>42</v>
      </c>
      <c r="G65" s="21" t="s">
        <v>43</v>
      </c>
      <c r="H65" s="19" t="s">
        <v>44</v>
      </c>
      <c r="I65" s="19" t="s">
        <v>45</v>
      </c>
      <c r="J65" s="19" t="s">
        <v>46</v>
      </c>
      <c r="K65" s="19" t="s">
        <v>99</v>
      </c>
      <c r="L65" s="19" t="s">
        <v>48</v>
      </c>
      <c r="M65" s="19" t="s">
        <v>204</v>
      </c>
      <c r="N65" s="19" t="s">
        <v>421</v>
      </c>
      <c r="O65" s="19" t="s">
        <v>204</v>
      </c>
      <c r="P65" s="19" t="s">
        <v>206</v>
      </c>
      <c r="Q65" s="19" t="s">
        <v>362</v>
      </c>
      <c r="R65" s="19" t="s">
        <v>422</v>
      </c>
      <c r="S65" s="19"/>
      <c r="T65" s="19" t="s">
        <v>54</v>
      </c>
      <c r="U65" s="19" t="s">
        <v>55</v>
      </c>
      <c r="V65" s="19" t="s">
        <v>69</v>
      </c>
      <c r="W65" s="19" t="s">
        <v>70</v>
      </c>
      <c r="X65" s="19"/>
      <c r="Y65" s="19"/>
      <c r="Z65" s="19" t="s">
        <v>423</v>
      </c>
      <c r="AA65" s="19">
        <v>1</v>
      </c>
      <c r="AB65" s="19">
        <v>1</v>
      </c>
      <c r="AC65" s="19" t="s">
        <v>60</v>
      </c>
      <c r="AD65" s="19" t="s">
        <v>206</v>
      </c>
      <c r="AE65" s="19" t="s">
        <v>207</v>
      </c>
      <c r="AF65" s="19"/>
    </row>
    <row r="66" spans="1:34" customHeight="1" ht="42">
      <c r="A66" s="19">
        <v>61</v>
      </c>
      <c r="B66" s="19" t="s">
        <v>179</v>
      </c>
      <c r="C66" s="19" t="s">
        <v>197</v>
      </c>
      <c r="D66" s="19" t="str">
        <f>HYPERLINK("http://henontech.com/fieldsafety/harzard/harzard_show.php?rid=2816&amp;url=harzardrecs.php","操作工在放炉门准备清理过程中，炉门突然跌落，砸伤1人，送医抢救无效死亡。")</f>
        <v>操作工在放炉门准备清理过程中，炉门突然跌落，砸伤1人，送医抢救无效死亡。</v>
      </c>
      <c r="E66" s="19" t="s">
        <v>424</v>
      </c>
      <c r="F66" s="25" t="s">
        <v>425</v>
      </c>
      <c r="G66" s="22" t="s">
        <v>107</v>
      </c>
      <c r="H66" s="19" t="s">
        <v>44</v>
      </c>
      <c r="I66" s="19" t="s">
        <v>66</v>
      </c>
      <c r="J66" s="19" t="s">
        <v>46</v>
      </c>
      <c r="K66" s="19" t="s">
        <v>47</v>
      </c>
      <c r="L66" s="19" t="s">
        <v>48</v>
      </c>
      <c r="M66" s="19" t="s">
        <v>87</v>
      </c>
      <c r="N66" s="19" t="s">
        <v>213</v>
      </c>
      <c r="O66" s="19" t="s">
        <v>87</v>
      </c>
      <c r="P66" s="19" t="s">
        <v>111</v>
      </c>
      <c r="Q66" s="19" t="s">
        <v>362</v>
      </c>
      <c r="R66" s="19" t="s">
        <v>426</v>
      </c>
      <c r="S66" s="19"/>
      <c r="T66" s="19" t="s">
        <v>54</v>
      </c>
      <c r="U66" s="19" t="s">
        <v>114</v>
      </c>
      <c r="V66" s="19" t="s">
        <v>80</v>
      </c>
      <c r="W66" s="19" t="s">
        <v>57</v>
      </c>
      <c r="X66" s="19" t="s">
        <v>169</v>
      </c>
      <c r="Y66" s="19"/>
      <c r="Z66" s="19" t="s">
        <v>427</v>
      </c>
      <c r="AA66" s="19">
        <v>2</v>
      </c>
      <c r="AB66" s="19"/>
      <c r="AC66" s="19" t="s">
        <v>330</v>
      </c>
      <c r="AD66" s="19"/>
      <c r="AE66" s="19"/>
      <c r="AF66" s="19"/>
    </row>
    <row r="67" spans="1:34">
      <c r="A67" s="19">
        <v>62</v>
      </c>
      <c r="B67" s="19" t="s">
        <v>207</v>
      </c>
      <c r="C67" s="19" t="s">
        <v>428</v>
      </c>
      <c r="D67" s="19" t="str">
        <f>HYPERLINK("http://henontech.com/fieldsafety/harzard/harzard_show.php?rid=2818&amp;url=harzardrecs.php","深度脱硫1号熔硫釜蒸汽出口管道泄漏，如果一名操作人员在开关阀门时，手腕被泄露出的蒸汽烫伤。到医务室治疗后在家休养15天后正常上班")</f>
        <v>深度脱硫1号熔硫釜蒸汽出口管道泄漏，如果一名操作人员在开关阀门时，手腕被泄露出的蒸汽烫伤。到医务室治疗后在家休养15天后正常上班</v>
      </c>
      <c r="E67" s="19" t="s">
        <v>429</v>
      </c>
      <c r="F67" s="20" t="s">
        <v>42</v>
      </c>
      <c r="G67" s="21" t="s">
        <v>43</v>
      </c>
      <c r="H67" s="19" t="s">
        <v>44</v>
      </c>
      <c r="I67" s="19"/>
      <c r="J67" s="19"/>
      <c r="K67" s="19" t="s">
        <v>47</v>
      </c>
      <c r="L67" s="19" t="s">
        <v>48</v>
      </c>
      <c r="M67" s="19" t="s">
        <v>204</v>
      </c>
      <c r="N67" s="19" t="s">
        <v>430</v>
      </c>
      <c r="O67" s="19" t="s">
        <v>204</v>
      </c>
      <c r="P67" s="19" t="s">
        <v>206</v>
      </c>
      <c r="Q67" s="19" t="s">
        <v>362</v>
      </c>
      <c r="R67" s="19" t="s">
        <v>431</v>
      </c>
      <c r="S67" s="19"/>
      <c r="T67" s="19" t="s">
        <v>54</v>
      </c>
      <c r="U67" s="19" t="s">
        <v>55</v>
      </c>
      <c r="V67" s="19" t="s">
        <v>69</v>
      </c>
      <c r="W67" s="19" t="s">
        <v>70</v>
      </c>
      <c r="X67" s="19"/>
      <c r="Y67" s="19"/>
      <c r="Z67" s="19" t="s">
        <v>432</v>
      </c>
      <c r="AA67" s="19">
        <v>1</v>
      </c>
      <c r="AB67" s="19">
        <v>1</v>
      </c>
      <c r="AC67" s="19" t="s">
        <v>60</v>
      </c>
      <c r="AD67" s="19" t="s">
        <v>206</v>
      </c>
      <c r="AE67" s="19" t="s">
        <v>182</v>
      </c>
      <c r="AF67" s="19"/>
    </row>
    <row r="68" spans="1:34">
      <c r="A68" s="19">
        <v>63</v>
      </c>
      <c r="B68" s="19" t="s">
        <v>221</v>
      </c>
      <c r="C68" s="19" t="s">
        <v>236</v>
      </c>
      <c r="D68" s="19" t="str">
        <f>HYPERLINK("http://henontech.com/fieldsafety/harzard/harzard_show.php?rid=2819&amp;url=harzardrecs.php","西硫铵硫酸贮槽爬梯腐蚀严重，夜间巡检时，巡检人员不慎从爬梯踏空，造成右脚脚踝骨折，送医，住院15天，限工3月！")</f>
        <v>西硫铵硫酸贮槽爬梯腐蚀严重，夜间巡检时，巡检人员不慎从爬梯踏空，造成右脚脚踝骨折，送医，住院15天，限工3月！</v>
      </c>
      <c r="E68" s="19" t="s">
        <v>433</v>
      </c>
      <c r="F68" s="20" t="s">
        <v>42</v>
      </c>
      <c r="G68" s="21" t="s">
        <v>43</v>
      </c>
      <c r="H68" s="19" t="s">
        <v>44</v>
      </c>
      <c r="I68" s="19" t="s">
        <v>45</v>
      </c>
      <c r="J68" s="19" t="s">
        <v>77</v>
      </c>
      <c r="K68" s="19" t="s">
        <v>173</v>
      </c>
      <c r="L68" s="19" t="s">
        <v>48</v>
      </c>
      <c r="M68" s="19" t="s">
        <v>204</v>
      </c>
      <c r="N68" s="19" t="s">
        <v>434</v>
      </c>
      <c r="O68" s="19" t="s">
        <v>204</v>
      </c>
      <c r="P68" s="19" t="s">
        <v>206</v>
      </c>
      <c r="Q68" s="19" t="s">
        <v>374</v>
      </c>
      <c r="R68" s="19" t="s">
        <v>435</v>
      </c>
      <c r="S68" s="19"/>
      <c r="T68" s="19" t="s">
        <v>54</v>
      </c>
      <c r="U68" s="19" t="s">
        <v>55</v>
      </c>
      <c r="V68" s="19" t="s">
        <v>80</v>
      </c>
      <c r="W68" s="19" t="s">
        <v>81</v>
      </c>
      <c r="X68" s="19"/>
      <c r="Y68" s="19"/>
      <c r="Z68" s="19" t="s">
        <v>436</v>
      </c>
      <c r="AA68" s="19">
        <v>1</v>
      </c>
      <c r="AB68" s="19">
        <v>1</v>
      </c>
      <c r="AC68" s="19" t="s">
        <v>60</v>
      </c>
      <c r="AD68" s="19" t="s">
        <v>206</v>
      </c>
      <c r="AE68" s="19" t="s">
        <v>314</v>
      </c>
      <c r="AF68" s="19"/>
    </row>
    <row r="69" spans="1:34">
      <c r="A69" s="19">
        <v>64</v>
      </c>
      <c r="B69" s="19" t="s">
        <v>221</v>
      </c>
      <c r="C69" s="19" t="s">
        <v>204</v>
      </c>
      <c r="D69" s="19" t="str">
        <f>HYPERLINK("http://henontech.com/fieldsafety/harzard/harzard_show.php?rid=2820&amp;url=harzardrecs.php","两盐放料底部管道法兰因腐蚀严重漏液，造成地面轻微腐蚀，操作工及时清理未造成环境污染。")</f>
        <v>两盐放料底部管道法兰因腐蚀严重漏液，造成地面轻微腐蚀，操作工及时清理未造成环境污染。</v>
      </c>
      <c r="E69" s="19" t="s">
        <v>437</v>
      </c>
      <c r="F69" s="25" t="s">
        <v>425</v>
      </c>
      <c r="G69" s="21" t="s">
        <v>43</v>
      </c>
      <c r="H69" s="19" t="s">
        <v>44</v>
      </c>
      <c r="I69" s="19"/>
      <c r="J69" s="19" t="s">
        <v>109</v>
      </c>
      <c r="K69" s="19" t="s">
        <v>137</v>
      </c>
      <c r="L69" s="19"/>
      <c r="M69" s="19" t="s">
        <v>204</v>
      </c>
      <c r="N69" s="19" t="s">
        <v>438</v>
      </c>
      <c r="O69" s="19" t="s">
        <v>204</v>
      </c>
      <c r="P69" s="19" t="s">
        <v>206</v>
      </c>
      <c r="Q69" s="19" t="s">
        <v>374</v>
      </c>
      <c r="R69" s="19" t="s">
        <v>439</v>
      </c>
      <c r="S69" s="19"/>
      <c r="T69" s="19" t="s">
        <v>224</v>
      </c>
      <c r="U69" s="19" t="s">
        <v>133</v>
      </c>
      <c r="V69" s="19" t="s">
        <v>209</v>
      </c>
      <c r="W69" s="19" t="s">
        <v>134</v>
      </c>
      <c r="X69" s="19"/>
      <c r="Y69" s="19"/>
      <c r="Z69" s="19" t="s">
        <v>440</v>
      </c>
      <c r="AA69" s="19">
        <v>1</v>
      </c>
      <c r="AB69" s="19"/>
      <c r="AC69" s="19" t="s">
        <v>330</v>
      </c>
      <c r="AD69" s="19"/>
      <c r="AE69" s="19"/>
      <c r="AF69" s="19"/>
    </row>
    <row r="70" spans="1:34">
      <c r="A70" s="19">
        <v>65</v>
      </c>
      <c r="B70" s="19" t="s">
        <v>221</v>
      </c>
      <c r="C70" s="19" t="s">
        <v>202</v>
      </c>
      <c r="D70" s="19" t="str">
        <f>HYPERLINK("http://henontech.com/fieldsafety/harzard/harzard_show.php?rid=2821&amp;url=harzardrecs.php","粗苯冷凝液罐爬梯护笼开焊，假如一名操作工上下爬梯时由于爬梯护笼开焊造成操作人员不慎坠落造成操作人员左脚脚腕扭伤，住院治疗三天，在家休息十天后正常上班")</f>
        <v>粗苯冷凝液罐爬梯护笼开焊，假如一名操作工上下爬梯时由于爬梯护笼开焊造成操作人员不慎坠落造成操作人员左脚脚腕扭伤，住院治疗三天，在家休息十天后正常上班</v>
      </c>
      <c r="E70" s="19" t="s">
        <v>441</v>
      </c>
      <c r="F70" s="20" t="s">
        <v>42</v>
      </c>
      <c r="G70" s="21" t="s">
        <v>43</v>
      </c>
      <c r="H70" s="19" t="s">
        <v>44</v>
      </c>
      <c r="I70" s="19" t="s">
        <v>45</v>
      </c>
      <c r="J70" s="19" t="s">
        <v>156</v>
      </c>
      <c r="K70" s="19" t="s">
        <v>47</v>
      </c>
      <c r="L70" s="19" t="s">
        <v>48</v>
      </c>
      <c r="M70" s="19" t="s">
        <v>204</v>
      </c>
      <c r="N70" s="19" t="s">
        <v>442</v>
      </c>
      <c r="O70" s="19" t="s">
        <v>204</v>
      </c>
      <c r="P70" s="19" t="s">
        <v>206</v>
      </c>
      <c r="Q70" s="19" t="s">
        <v>374</v>
      </c>
      <c r="R70" s="19" t="s">
        <v>443</v>
      </c>
      <c r="S70" s="19"/>
      <c r="T70" s="19" t="s">
        <v>54</v>
      </c>
      <c r="U70" s="19" t="s">
        <v>55</v>
      </c>
      <c r="V70" s="19" t="s">
        <v>69</v>
      </c>
      <c r="W70" s="19" t="s">
        <v>70</v>
      </c>
      <c r="X70" s="19"/>
      <c r="Y70" s="19"/>
      <c r="Z70" s="19" t="s">
        <v>444</v>
      </c>
      <c r="AA70" s="19">
        <v>1</v>
      </c>
      <c r="AB70" s="19">
        <v>1</v>
      </c>
      <c r="AC70" s="19" t="s">
        <v>60</v>
      </c>
      <c r="AD70" s="19" t="s">
        <v>206</v>
      </c>
      <c r="AE70" s="19" t="s">
        <v>245</v>
      </c>
      <c r="AF70" s="19"/>
    </row>
    <row r="71" spans="1:34">
      <c r="A71" s="19">
        <v>66</v>
      </c>
      <c r="B71" s="19" t="s">
        <v>221</v>
      </c>
      <c r="C71" s="19" t="s">
        <v>202</v>
      </c>
      <c r="D71" s="19" t="str">
        <f>HYPERLINK("http://henontech.com/fieldsafety/harzard/harzard_show.php?rid=2822&amp;url=harzardrecs.php","粗苯北门消防通道，被活动栏杆阻挡，发生紧急情况时，人员出入不方便，容易造成拌倒摔伤，休息半天后继续工作。")</f>
        <v>粗苯北门消防通道，被活动栏杆阻挡，发生紧急情况时，人员出入不方便，容易造成拌倒摔伤，休息半天后继续工作。</v>
      </c>
      <c r="E71" s="19" t="s">
        <v>445</v>
      </c>
      <c r="F71" s="20" t="s">
        <v>42</v>
      </c>
      <c r="G71" s="21" t="s">
        <v>43</v>
      </c>
      <c r="H71" s="19" t="s">
        <v>44</v>
      </c>
      <c r="I71" s="19" t="s">
        <v>45</v>
      </c>
      <c r="J71" s="19" t="s">
        <v>156</v>
      </c>
      <c r="K71" s="19" t="s">
        <v>173</v>
      </c>
      <c r="L71" s="19" t="s">
        <v>48</v>
      </c>
      <c r="M71" s="19" t="s">
        <v>204</v>
      </c>
      <c r="N71" s="19" t="s">
        <v>446</v>
      </c>
      <c r="O71" s="19" t="s">
        <v>204</v>
      </c>
      <c r="P71" s="19" t="s">
        <v>206</v>
      </c>
      <c r="Q71" s="19" t="s">
        <v>374</v>
      </c>
      <c r="R71" s="19" t="s">
        <v>447</v>
      </c>
      <c r="S71" s="19"/>
      <c r="T71" s="19" t="s">
        <v>54</v>
      </c>
      <c r="U71" s="19" t="s">
        <v>133</v>
      </c>
      <c r="V71" s="19" t="s">
        <v>56</v>
      </c>
      <c r="W71" s="19" t="s">
        <v>134</v>
      </c>
      <c r="X71" s="19"/>
      <c r="Y71" s="19"/>
      <c r="Z71" s="19" t="s">
        <v>448</v>
      </c>
      <c r="AA71" s="19">
        <v>1</v>
      </c>
      <c r="AB71" s="19">
        <v>1</v>
      </c>
      <c r="AC71" s="19" t="s">
        <v>60</v>
      </c>
      <c r="AD71" s="19" t="s">
        <v>206</v>
      </c>
      <c r="AE71" s="19" t="s">
        <v>245</v>
      </c>
      <c r="AF71" s="19"/>
    </row>
    <row r="72" spans="1:34">
      <c r="A72" s="19">
        <v>67</v>
      </c>
      <c r="B72" s="19" t="s">
        <v>221</v>
      </c>
      <c r="C72" s="19" t="s">
        <v>449</v>
      </c>
      <c r="D72" s="19" t="str">
        <f>HYPERLINK("http://henontech.com/fieldsafety/harzard/harzard_show.php?rid=2823&amp;url=harzardrecs.php","2号耦合器调节用手操器按钮长时间使用出现破损，操作时极易造成误操作，极易发生冒烟冒火，风机停机重大环保事故，影响正常生产。")</f>
        <v>2号耦合器调节用手操器按钮长时间使用出现破损，操作时极易造成误操作，极易发生冒烟冒火，风机停机重大环保事故，影响正常生产。</v>
      </c>
      <c r="E72" s="19" t="s">
        <v>450</v>
      </c>
      <c r="F72" s="20" t="s">
        <v>42</v>
      </c>
      <c r="G72" s="21" t="s">
        <v>43</v>
      </c>
      <c r="H72" s="19" t="s">
        <v>44</v>
      </c>
      <c r="I72" s="19" t="s">
        <v>45</v>
      </c>
      <c r="J72" s="19" t="s">
        <v>46</v>
      </c>
      <c r="K72" s="19" t="s">
        <v>173</v>
      </c>
      <c r="L72" s="19" t="s">
        <v>48</v>
      </c>
      <c r="M72" s="19" t="s">
        <v>204</v>
      </c>
      <c r="N72" s="19" t="s">
        <v>451</v>
      </c>
      <c r="O72" s="19" t="s">
        <v>204</v>
      </c>
      <c r="P72" s="19" t="s">
        <v>206</v>
      </c>
      <c r="Q72" s="19" t="s">
        <v>374</v>
      </c>
      <c r="R72" s="19" t="s">
        <v>452</v>
      </c>
      <c r="S72" s="19"/>
      <c r="T72" s="19" t="s">
        <v>224</v>
      </c>
      <c r="U72" s="19" t="s">
        <v>146</v>
      </c>
      <c r="V72" s="19" t="s">
        <v>69</v>
      </c>
      <c r="W72" s="19" t="s">
        <v>134</v>
      </c>
      <c r="X72" s="19"/>
      <c r="Y72" s="19"/>
      <c r="Z72" s="19" t="s">
        <v>453</v>
      </c>
      <c r="AA72" s="19">
        <v>1</v>
      </c>
      <c r="AB72" s="19">
        <v>1</v>
      </c>
      <c r="AC72" s="19" t="s">
        <v>60</v>
      </c>
      <c r="AD72" s="19" t="s">
        <v>206</v>
      </c>
      <c r="AE72" s="19" t="s">
        <v>182</v>
      </c>
      <c r="AF72" s="19"/>
    </row>
    <row r="73" spans="1:34">
      <c r="A73" s="19">
        <v>68</v>
      </c>
      <c r="B73" s="19" t="s">
        <v>232</v>
      </c>
      <c r="C73" s="19" t="s">
        <v>236</v>
      </c>
      <c r="D73" s="19" t="str">
        <f>HYPERLINK("http://henontech.com/fieldsafety/harzard/harzard_show.php?rid=2824&amp;url=harzardrecs.php","西硫铵工段热水泵出口管道保温铝皮脱落如果在大风天气一名操作工在巡检时经过此处可能被掉落的铝皮轻微划伤手臂简单包扎后能正常工作")</f>
        <v>西硫铵工段热水泵出口管道保温铝皮脱落如果在大风天气一名操作工在巡检时经过此处可能被掉落的铝皮轻微划伤手臂简单包扎后能正常工作</v>
      </c>
      <c r="E73" s="19" t="s">
        <v>454</v>
      </c>
      <c r="F73" s="20" t="s">
        <v>42</v>
      </c>
      <c r="G73" s="21" t="s">
        <v>43</v>
      </c>
      <c r="H73" s="19" t="s">
        <v>44</v>
      </c>
      <c r="I73" s="19" t="s">
        <v>66</v>
      </c>
      <c r="J73" s="19" t="s">
        <v>46</v>
      </c>
      <c r="K73" s="19" t="s">
        <v>47</v>
      </c>
      <c r="L73" s="19"/>
      <c r="M73" s="19" t="s">
        <v>204</v>
      </c>
      <c r="N73" s="19" t="s">
        <v>455</v>
      </c>
      <c r="O73" s="19" t="s">
        <v>204</v>
      </c>
      <c r="P73" s="19" t="s">
        <v>206</v>
      </c>
      <c r="Q73" s="19" t="s">
        <v>374</v>
      </c>
      <c r="R73" s="19" t="s">
        <v>456</v>
      </c>
      <c r="S73" s="19"/>
      <c r="T73" s="19" t="s">
        <v>54</v>
      </c>
      <c r="U73" s="19" t="s">
        <v>146</v>
      </c>
      <c r="V73" s="19" t="s">
        <v>69</v>
      </c>
      <c r="W73" s="19" t="s">
        <v>134</v>
      </c>
      <c r="X73" s="19"/>
      <c r="Y73" s="19"/>
      <c r="Z73" s="19" t="s">
        <v>457</v>
      </c>
      <c r="AA73" s="19">
        <v>1</v>
      </c>
      <c r="AB73" s="19">
        <v>1</v>
      </c>
      <c r="AC73" s="19" t="s">
        <v>60</v>
      </c>
      <c r="AD73" s="19" t="s">
        <v>206</v>
      </c>
      <c r="AE73" s="19" t="s">
        <v>61</v>
      </c>
      <c r="AF73" s="19"/>
    </row>
    <row r="74" spans="1:34" customHeight="1" ht="42">
      <c r="A74" s="19">
        <v>69</v>
      </c>
      <c r="B74" s="19" t="s">
        <v>232</v>
      </c>
      <c r="C74" s="19" t="s">
        <v>458</v>
      </c>
      <c r="D74" s="19" t="str">
        <f>HYPERLINK("http://henontech.com/fieldsafety/harzard/harzard_show.php?rid=2825&amp;url=harzardrecs.php","机侧摩电轨接头连接板松动引发打火，造成设备断电。")</f>
        <v>机侧摩电轨接头连接板松动引发打火，造成设备断电。</v>
      </c>
      <c r="E74" s="19" t="s">
        <v>459</v>
      </c>
      <c r="F74" s="20" t="s">
        <v>42</v>
      </c>
      <c r="G74" s="21" t="s">
        <v>43</v>
      </c>
      <c r="H74" s="19" t="s">
        <v>44</v>
      </c>
      <c r="I74" s="19" t="s">
        <v>66</v>
      </c>
      <c r="J74" s="19" t="s">
        <v>46</v>
      </c>
      <c r="K74" s="19" t="s">
        <v>47</v>
      </c>
      <c r="L74" s="19" t="s">
        <v>166</v>
      </c>
      <c r="M74" s="19" t="s">
        <v>87</v>
      </c>
      <c r="N74" s="19" t="s">
        <v>219</v>
      </c>
      <c r="O74" s="19" t="s">
        <v>87</v>
      </c>
      <c r="P74" s="19" t="s">
        <v>89</v>
      </c>
      <c r="Q74" s="19" t="s">
        <v>358</v>
      </c>
      <c r="R74" s="19" t="s">
        <v>460</v>
      </c>
      <c r="S74" s="19"/>
      <c r="T74" s="19" t="s">
        <v>132</v>
      </c>
      <c r="U74" s="19" t="s">
        <v>133</v>
      </c>
      <c r="V74" s="19" t="s">
        <v>80</v>
      </c>
      <c r="W74" s="19" t="s">
        <v>134</v>
      </c>
      <c r="X74" s="19" t="s">
        <v>58</v>
      </c>
      <c r="Y74" s="19"/>
      <c r="Z74" s="19" t="s">
        <v>461</v>
      </c>
      <c r="AA74" s="19">
        <v>2</v>
      </c>
      <c r="AB74" s="19">
        <v>2</v>
      </c>
      <c r="AC74" s="19" t="s">
        <v>60</v>
      </c>
      <c r="AD74" s="19" t="s">
        <v>89</v>
      </c>
      <c r="AE74" s="19" t="s">
        <v>276</v>
      </c>
      <c r="AF74" s="19"/>
    </row>
    <row r="75" spans="1:34">
      <c r="A75" s="19">
        <v>70</v>
      </c>
      <c r="B75" s="19" t="s">
        <v>232</v>
      </c>
      <c r="C75" s="19" t="s">
        <v>428</v>
      </c>
      <c r="D75" s="19" t="str">
        <f>HYPERLINK("http://henontech.com/fieldsafety/harzard/harzard_show.php?rid=2827&amp;url=harzardrecs.php","深度脱硫三号熔硫釜处保温铝皮破损，如果操作人员在此处操作熔硫釜时，操作人员不小心会被翘起的保温铝皮划伤手臂，一名操作人员轻微划伤手臂简单包扎后正常工作。")</f>
        <v>深度脱硫三号熔硫釜处保温铝皮破损，如果操作人员在此处操作熔硫釜时，操作人员不小心会被翘起的保温铝皮划伤手臂，一名操作人员轻微划伤手臂简单包扎后正常工作。</v>
      </c>
      <c r="E75" s="19" t="s">
        <v>462</v>
      </c>
      <c r="F75" s="20" t="s">
        <v>42</v>
      </c>
      <c r="G75" s="21" t="s">
        <v>43</v>
      </c>
      <c r="H75" s="19" t="s">
        <v>44</v>
      </c>
      <c r="I75" s="19" t="s">
        <v>66</v>
      </c>
      <c r="J75" s="19" t="s">
        <v>46</v>
      </c>
      <c r="K75" s="19" t="s">
        <v>47</v>
      </c>
      <c r="L75" s="19"/>
      <c r="M75" s="19" t="s">
        <v>204</v>
      </c>
      <c r="N75" s="19" t="s">
        <v>463</v>
      </c>
      <c r="O75" s="19" t="s">
        <v>204</v>
      </c>
      <c r="P75" s="19" t="s">
        <v>206</v>
      </c>
      <c r="Q75" s="19" t="s">
        <v>374</v>
      </c>
      <c r="R75" s="19" t="s">
        <v>464</v>
      </c>
      <c r="S75" s="19"/>
      <c r="T75" s="19" t="s">
        <v>54</v>
      </c>
      <c r="U75" s="19" t="s">
        <v>146</v>
      </c>
      <c r="V75" s="19" t="s">
        <v>69</v>
      </c>
      <c r="W75" s="19" t="s">
        <v>134</v>
      </c>
      <c r="X75" s="19"/>
      <c r="Y75" s="19"/>
      <c r="Z75" s="19" t="s">
        <v>465</v>
      </c>
      <c r="AA75" s="19">
        <v>1</v>
      </c>
      <c r="AB75" s="19">
        <v>1</v>
      </c>
      <c r="AC75" s="19" t="s">
        <v>60</v>
      </c>
      <c r="AD75" s="19" t="s">
        <v>206</v>
      </c>
      <c r="AE75" s="19" t="s">
        <v>466</v>
      </c>
      <c r="AF75" s="19"/>
    </row>
    <row r="76" spans="1:34">
      <c r="A76" s="19">
        <v>71</v>
      </c>
      <c r="B76" s="19" t="s">
        <v>314</v>
      </c>
      <c r="C76" s="19" t="s">
        <v>315</v>
      </c>
      <c r="D76" s="19" t="str">
        <f>HYPERLINK("http://henontech.com/fieldsafety/harzard/harzard_show.php?rid=2828&amp;url=harzardrecs.php","煤棚西排水沟水泥盖板碎裂 夜班人员巡检时 踩到碎裂盖板 踩进水沟里 右小腿骨折 送医治疗 住院一个月 在家休养90天")</f>
        <v>煤棚西排水沟水泥盖板碎裂 夜班人员巡检时 踩到碎裂盖板 踩进水沟里 右小腿骨折 送医治疗 住院一个月 在家休养90天</v>
      </c>
      <c r="E76" s="19" t="s">
        <v>467</v>
      </c>
      <c r="F76" s="20" t="s">
        <v>42</v>
      </c>
      <c r="G76" s="21" t="s">
        <v>43</v>
      </c>
      <c r="H76" s="19" t="s">
        <v>44</v>
      </c>
      <c r="I76" s="19" t="s">
        <v>66</v>
      </c>
      <c r="J76" s="19" t="s">
        <v>156</v>
      </c>
      <c r="K76" s="19" t="s">
        <v>173</v>
      </c>
      <c r="L76" s="19" t="s">
        <v>48</v>
      </c>
      <c r="M76" s="19" t="s">
        <v>317</v>
      </c>
      <c r="N76" s="19" t="s">
        <v>337</v>
      </c>
      <c r="O76" s="19" t="s">
        <v>317</v>
      </c>
      <c r="P76" s="19" t="s">
        <v>341</v>
      </c>
      <c r="Q76" s="19" t="s">
        <v>468</v>
      </c>
      <c r="R76" s="19" t="s">
        <v>469</v>
      </c>
      <c r="S76" s="19"/>
      <c r="T76" s="19" t="s">
        <v>54</v>
      </c>
      <c r="U76" s="19" t="s">
        <v>55</v>
      </c>
      <c r="V76" s="19" t="s">
        <v>80</v>
      </c>
      <c r="W76" s="19" t="s">
        <v>81</v>
      </c>
      <c r="X76" s="19"/>
      <c r="Y76" s="19"/>
      <c r="Z76" s="19" t="s">
        <v>470</v>
      </c>
      <c r="AA76" s="19">
        <v>1</v>
      </c>
      <c r="AB76" s="19">
        <v>1</v>
      </c>
      <c r="AC76" s="19" t="s">
        <v>60</v>
      </c>
      <c r="AD76" s="19" t="s">
        <v>341</v>
      </c>
      <c r="AE76" s="19" t="s">
        <v>116</v>
      </c>
      <c r="AF76" s="19"/>
    </row>
    <row r="77" spans="1:34" customHeight="1" ht="42">
      <c r="A77" s="19">
        <v>72</v>
      </c>
      <c r="B77" s="19" t="s">
        <v>314</v>
      </c>
      <c r="C77" s="19" t="s">
        <v>335</v>
      </c>
      <c r="D77" s="19" t="str">
        <f>HYPERLINK("http://henontech.com/fieldsafety/harzard/harzard_show.php?rid=2829&amp;url=harzardrecs.php","东一给料机刮皮磨损严重 操作工清理卫生时 工具被搅入 扭伤胳膊  在家休息15天")</f>
        <v>东一给料机刮皮磨损严重 操作工清理卫生时 工具被搅入 扭伤胳膊  在家休息15天</v>
      </c>
      <c r="E77" s="19" t="s">
        <v>471</v>
      </c>
      <c r="F77" s="20" t="s">
        <v>42</v>
      </c>
      <c r="G77" s="21" t="s">
        <v>43</v>
      </c>
      <c r="H77" s="19" t="s">
        <v>44</v>
      </c>
      <c r="I77" s="19" t="s">
        <v>66</v>
      </c>
      <c r="J77" s="19" t="s">
        <v>46</v>
      </c>
      <c r="K77" s="19"/>
      <c r="L77" s="19" t="s">
        <v>48</v>
      </c>
      <c r="M77" s="19" t="s">
        <v>317</v>
      </c>
      <c r="N77" s="19" t="s">
        <v>337</v>
      </c>
      <c r="O77" s="19" t="s">
        <v>317</v>
      </c>
      <c r="P77" s="19" t="s">
        <v>341</v>
      </c>
      <c r="Q77" s="19" t="s">
        <v>468</v>
      </c>
      <c r="R77" s="19" t="s">
        <v>472</v>
      </c>
      <c r="S77" s="19"/>
      <c r="T77" s="19" t="s">
        <v>54</v>
      </c>
      <c r="U77" s="19" t="s">
        <v>55</v>
      </c>
      <c r="V77" s="19" t="s">
        <v>80</v>
      </c>
      <c r="W77" s="19" t="s">
        <v>81</v>
      </c>
      <c r="X77" s="19"/>
      <c r="Y77" s="19"/>
      <c r="Z77" s="19" t="s">
        <v>473</v>
      </c>
      <c r="AA77" s="19">
        <v>2</v>
      </c>
      <c r="AB77" s="19">
        <v>2</v>
      </c>
      <c r="AC77" s="19" t="s">
        <v>60</v>
      </c>
      <c r="AD77" s="19" t="s">
        <v>341</v>
      </c>
      <c r="AE77" s="19" t="s">
        <v>116</v>
      </c>
      <c r="AF77" s="19"/>
    </row>
    <row r="78" spans="1:34">
      <c r="A78" s="19">
        <v>73</v>
      </c>
      <c r="B78" s="19" t="s">
        <v>314</v>
      </c>
      <c r="C78" s="19" t="s">
        <v>474</v>
      </c>
      <c r="D78" s="19" t="str">
        <f>HYPERLINK("http://henontech.com/fieldsafety/harzard/harzard_show.php?rid=2830&amp;url=harzardrecs.php","溶液缓冲罐东侧空气管道腐蚀严重破裂，操作工巡检时及时发现通知维修处理，未造成设备的进一步损坏，环境污染")</f>
        <v>溶液缓冲罐东侧空气管道腐蚀严重破裂，操作工巡检时及时发现通知维修处理，未造成设备的进一步损坏，环境污染</v>
      </c>
      <c r="E78" s="19" t="s">
        <v>475</v>
      </c>
      <c r="F78" s="20" t="s">
        <v>42</v>
      </c>
      <c r="G78" s="21" t="s">
        <v>43</v>
      </c>
      <c r="H78" s="19" t="s">
        <v>44</v>
      </c>
      <c r="I78" s="19" t="s">
        <v>45</v>
      </c>
      <c r="J78" s="19" t="s">
        <v>46</v>
      </c>
      <c r="K78" s="19" t="s">
        <v>173</v>
      </c>
      <c r="L78" s="19" t="s">
        <v>48</v>
      </c>
      <c r="M78" s="19" t="s">
        <v>204</v>
      </c>
      <c r="N78" s="19" t="s">
        <v>476</v>
      </c>
      <c r="O78" s="19" t="s">
        <v>204</v>
      </c>
      <c r="P78" s="19" t="s">
        <v>206</v>
      </c>
      <c r="Q78" s="19" t="s">
        <v>477</v>
      </c>
      <c r="R78" s="19" t="s">
        <v>478</v>
      </c>
      <c r="S78" s="19"/>
      <c r="T78" s="19" t="s">
        <v>224</v>
      </c>
      <c r="U78" s="19" t="s">
        <v>133</v>
      </c>
      <c r="V78" s="19" t="s">
        <v>56</v>
      </c>
      <c r="W78" s="19" t="s">
        <v>134</v>
      </c>
      <c r="X78" s="19"/>
      <c r="Y78" s="19"/>
      <c r="Z78" s="19" t="s">
        <v>479</v>
      </c>
      <c r="AA78" s="19">
        <v>1</v>
      </c>
      <c r="AB78" s="19">
        <v>1</v>
      </c>
      <c r="AC78" s="19" t="s">
        <v>60</v>
      </c>
      <c r="AD78" s="19" t="s">
        <v>206</v>
      </c>
      <c r="AE78" s="19" t="s">
        <v>61</v>
      </c>
      <c r="AF78" s="19"/>
    </row>
    <row r="79" spans="1:34" customHeight="1" ht="42">
      <c r="A79" s="19">
        <v>74</v>
      </c>
      <c r="B79" s="19" t="s">
        <v>314</v>
      </c>
      <c r="C79" s="19" t="s">
        <v>480</v>
      </c>
      <c r="D79" s="19" t="str">
        <f>HYPERLINK("http://henontech.com/fieldsafety/harzard/harzard_show.php?rid=2831&amp;url=harzardrecs.php","输煤操作工下天车时不慎摔倒，由于拦杆断裂，导致操作工坠落约六米高地面，造成左腿小腿粉碎性骨折，右小臂骨折，多处软组织损伤。")</f>
        <v>输煤操作工下天车时不慎摔倒，由于拦杆断裂，导致操作工坠落约六米高地面，造成左腿小腿粉碎性骨折，右小臂骨折，多处软组织损伤。</v>
      </c>
      <c r="E79" s="19" t="s">
        <v>481</v>
      </c>
      <c r="F79" s="20" t="s">
        <v>42</v>
      </c>
      <c r="G79" s="21" t="s">
        <v>43</v>
      </c>
      <c r="H79" s="19" t="s">
        <v>44</v>
      </c>
      <c r="I79" s="19" t="s">
        <v>66</v>
      </c>
      <c r="J79" s="19" t="s">
        <v>77</v>
      </c>
      <c r="K79" s="19"/>
      <c r="L79" s="19"/>
      <c r="M79" s="19" t="s">
        <v>49</v>
      </c>
      <c r="N79" s="19" t="s">
        <v>50</v>
      </c>
      <c r="O79" s="19" t="s">
        <v>49</v>
      </c>
      <c r="P79" s="19" t="s">
        <v>51</v>
      </c>
      <c r="Q79" s="19" t="s">
        <v>374</v>
      </c>
      <c r="R79" s="19" t="s">
        <v>482</v>
      </c>
      <c r="S79" s="19"/>
      <c r="T79" s="19" t="s">
        <v>54</v>
      </c>
      <c r="U79" s="19" t="s">
        <v>55</v>
      </c>
      <c r="V79" s="19" t="s">
        <v>80</v>
      </c>
      <c r="W79" s="19" t="s">
        <v>81</v>
      </c>
      <c r="X79" s="19" t="s">
        <v>58</v>
      </c>
      <c r="Y79" s="19"/>
      <c r="Z79" s="19" t="s">
        <v>483</v>
      </c>
      <c r="AA79" s="19">
        <v>2</v>
      </c>
      <c r="AB79" s="19">
        <v>2</v>
      </c>
      <c r="AC79" s="19" t="s">
        <v>60</v>
      </c>
      <c r="AD79" s="19" t="s">
        <v>51</v>
      </c>
      <c r="AE79" s="19" t="s">
        <v>61</v>
      </c>
      <c r="AF79" s="19" t="s">
        <v>484</v>
      </c>
    </row>
    <row r="80" spans="1:34" customHeight="1" ht="42">
      <c r="A80" s="19">
        <v>75</v>
      </c>
      <c r="B80" s="19" t="s">
        <v>314</v>
      </c>
      <c r="C80" s="19" t="s">
        <v>480</v>
      </c>
      <c r="D80" s="19" t="str">
        <f>HYPERLINK("http://henontech.com/fieldsafety/harzard/harzard_show.php?rid=2832&amp;url=harzardrecs.php","巡检人员巡检时，被破损盖板绊倒")</f>
        <v>巡检人员巡检时，被破损盖板绊倒</v>
      </c>
      <c r="E80" s="19" t="s">
        <v>485</v>
      </c>
      <c r="F80" s="20" t="s">
        <v>42</v>
      </c>
      <c r="G80" s="21" t="s">
        <v>43</v>
      </c>
      <c r="H80" s="19" t="s">
        <v>44</v>
      </c>
      <c r="I80" s="19" t="s">
        <v>45</v>
      </c>
      <c r="J80" s="19" t="s">
        <v>46</v>
      </c>
      <c r="K80" s="19" t="s">
        <v>137</v>
      </c>
      <c r="L80" s="19" t="s">
        <v>48</v>
      </c>
      <c r="M80" s="19" t="s">
        <v>49</v>
      </c>
      <c r="N80" s="19" t="s">
        <v>486</v>
      </c>
      <c r="O80" s="19" t="s">
        <v>49</v>
      </c>
      <c r="P80" s="19" t="s">
        <v>51</v>
      </c>
      <c r="Q80" s="19" t="s">
        <v>487</v>
      </c>
      <c r="R80" s="19" t="s">
        <v>488</v>
      </c>
      <c r="S80" s="19"/>
      <c r="T80" s="19" t="s">
        <v>54</v>
      </c>
      <c r="U80" s="19" t="s">
        <v>146</v>
      </c>
      <c r="V80" s="19" t="s">
        <v>80</v>
      </c>
      <c r="W80" s="19" t="s">
        <v>70</v>
      </c>
      <c r="X80" s="19" t="s">
        <v>58</v>
      </c>
      <c r="Y80" s="19"/>
      <c r="Z80" s="19" t="s">
        <v>489</v>
      </c>
      <c r="AA80" s="19">
        <v>2</v>
      </c>
      <c r="AB80" s="19">
        <v>1</v>
      </c>
      <c r="AC80" s="19" t="s">
        <v>60</v>
      </c>
      <c r="AD80" s="19" t="s">
        <v>51</v>
      </c>
      <c r="AE80" s="19" t="s">
        <v>490</v>
      </c>
      <c r="AF80" s="19" t="s">
        <v>491</v>
      </c>
    </row>
    <row r="81" spans="1:34">
      <c r="A81" s="19">
        <v>76</v>
      </c>
      <c r="B81" s="19" t="s">
        <v>314</v>
      </c>
      <c r="C81" s="19" t="s">
        <v>308</v>
      </c>
      <c r="D81" s="19" t="str">
        <f>HYPERLINK("http://henontech.com/fieldsafety/harzard/harzard_show.php?rid=2833&amp;url=harzardrecs.php","氧化剂加药管道活节漏液，支架腐蚀断裂，如一人经过此处被断裂支架砸到安全帽上并蹭伤手臂，损工半天。")</f>
        <v>氧化剂加药管道活节漏液，支架腐蚀断裂，如一人经过此处被断裂支架砸到安全帽上并蹭伤手臂，损工半天。</v>
      </c>
      <c r="E81" s="19" t="s">
        <v>492</v>
      </c>
      <c r="F81" s="20" t="s">
        <v>42</v>
      </c>
      <c r="G81" s="21" t="s">
        <v>43</v>
      </c>
      <c r="H81" s="19" t="s">
        <v>44</v>
      </c>
      <c r="I81" s="19"/>
      <c r="J81" s="19" t="s">
        <v>46</v>
      </c>
      <c r="K81" s="19"/>
      <c r="L81" s="19"/>
      <c r="M81" s="19" t="s">
        <v>229</v>
      </c>
      <c r="N81" s="19" t="s">
        <v>493</v>
      </c>
      <c r="O81" s="19" t="s">
        <v>229</v>
      </c>
      <c r="P81" s="19" t="s">
        <v>231</v>
      </c>
      <c r="Q81" s="19" t="s">
        <v>477</v>
      </c>
      <c r="R81" s="19" t="s">
        <v>494</v>
      </c>
      <c r="S81" s="19"/>
      <c r="T81" s="19" t="s">
        <v>54</v>
      </c>
      <c r="U81" s="19" t="s">
        <v>146</v>
      </c>
      <c r="V81" s="19" t="s">
        <v>209</v>
      </c>
      <c r="W81" s="19" t="s">
        <v>134</v>
      </c>
      <c r="X81" s="19" t="s">
        <v>58</v>
      </c>
      <c r="Y81" s="19" t="s">
        <v>58</v>
      </c>
      <c r="Z81" s="19" t="s">
        <v>495</v>
      </c>
      <c r="AA81" s="19">
        <v>1</v>
      </c>
      <c r="AB81" s="19">
        <v>1</v>
      </c>
      <c r="AC81" s="19" t="s">
        <v>60</v>
      </c>
      <c r="AD81" s="19" t="s">
        <v>231</v>
      </c>
      <c r="AE81" s="19" t="s">
        <v>401</v>
      </c>
      <c r="AF81" s="19"/>
    </row>
    <row r="82" spans="1:34">
      <c r="A82" s="19">
        <v>77</v>
      </c>
      <c r="B82" s="19" t="s">
        <v>314</v>
      </c>
      <c r="C82" s="19" t="s">
        <v>308</v>
      </c>
      <c r="D82" s="19" t="str">
        <f>HYPERLINK("http://henontech.com/fieldsafety/harzard/harzard_show.php?rid=2834&amp;url=harzardrecs.php","1号站生化好氧池观察口无防护网，一名操作人员在观察池内液位时，由于注意力不集中，不慎跌入好氧池内，导致溺水身亡。")</f>
        <v>1号站生化好氧池观察口无防护网，一名操作人员在观察池内液位时，由于注意力不集中，不慎跌入好氧池内，导致溺水身亡。</v>
      </c>
      <c r="E82" s="19" t="s">
        <v>496</v>
      </c>
      <c r="F82" s="20" t="s">
        <v>42</v>
      </c>
      <c r="G82" s="21" t="s">
        <v>43</v>
      </c>
      <c r="H82" s="19" t="s">
        <v>44</v>
      </c>
      <c r="I82" s="19" t="s">
        <v>66</v>
      </c>
      <c r="J82" s="19" t="s">
        <v>77</v>
      </c>
      <c r="K82" s="19"/>
      <c r="L82" s="19"/>
      <c r="M82" s="19" t="s">
        <v>229</v>
      </c>
      <c r="N82" s="19" t="s">
        <v>497</v>
      </c>
      <c r="O82" s="19" t="s">
        <v>229</v>
      </c>
      <c r="P82" s="19" t="s">
        <v>231</v>
      </c>
      <c r="Q82" s="19" t="s">
        <v>477</v>
      </c>
      <c r="R82" s="19" t="s">
        <v>498</v>
      </c>
      <c r="S82" s="19"/>
      <c r="T82" s="19" t="s">
        <v>54</v>
      </c>
      <c r="U82" s="19" t="s">
        <v>114</v>
      </c>
      <c r="V82" s="19" t="s">
        <v>80</v>
      </c>
      <c r="W82" s="19" t="s">
        <v>57</v>
      </c>
      <c r="X82" s="19" t="s">
        <v>58</v>
      </c>
      <c r="Y82" s="19" t="s">
        <v>58</v>
      </c>
      <c r="Z82" s="19" t="s">
        <v>499</v>
      </c>
      <c r="AA82" s="19">
        <v>1</v>
      </c>
      <c r="AB82" s="19">
        <v>1</v>
      </c>
      <c r="AC82" s="19" t="s">
        <v>60</v>
      </c>
      <c r="AD82" s="19" t="s">
        <v>231</v>
      </c>
      <c r="AE82" s="19" t="s">
        <v>245</v>
      </c>
      <c r="AF82" s="19"/>
    </row>
    <row r="83" spans="1:34">
      <c r="A83" s="19">
        <v>78</v>
      </c>
      <c r="B83" s="19" t="s">
        <v>314</v>
      </c>
      <c r="C83" s="19" t="s">
        <v>308</v>
      </c>
      <c r="D83" s="19" t="str">
        <f>HYPERLINK("http://henontech.com/fieldsafety/harzard/harzard_show.php?rid=2835&amp;url=harzardrecs.php","维修工在维修盐酸管道时，为佩戴防护面罩，造成面部被盐酸轻微灼伤，面部红肿，损工三天，")</f>
        <v>维修工在维修盐酸管道时，为佩戴防护面罩，造成面部被盐酸轻微灼伤，面部红肿，损工三天，</v>
      </c>
      <c r="E83" s="19" t="s">
        <v>500</v>
      </c>
      <c r="F83" s="20" t="s">
        <v>42</v>
      </c>
      <c r="G83" s="21" t="s">
        <v>43</v>
      </c>
      <c r="H83" s="19" t="s">
        <v>44</v>
      </c>
      <c r="I83" s="19" t="s">
        <v>126</v>
      </c>
      <c r="J83" s="19" t="s">
        <v>77</v>
      </c>
      <c r="K83" s="19"/>
      <c r="L83" s="19"/>
      <c r="M83" s="19" t="s">
        <v>229</v>
      </c>
      <c r="N83" s="19" t="s">
        <v>501</v>
      </c>
      <c r="O83" s="19" t="s">
        <v>229</v>
      </c>
      <c r="P83" s="19" t="s">
        <v>231</v>
      </c>
      <c r="Q83" s="19" t="s">
        <v>61</v>
      </c>
      <c r="R83" s="19" t="s">
        <v>502</v>
      </c>
      <c r="S83" s="19"/>
      <c r="T83" s="19" t="s">
        <v>54</v>
      </c>
      <c r="U83" s="19" t="s">
        <v>55</v>
      </c>
      <c r="V83" s="19" t="s">
        <v>80</v>
      </c>
      <c r="W83" s="19" t="s">
        <v>81</v>
      </c>
      <c r="X83" s="19" t="s">
        <v>503</v>
      </c>
      <c r="Y83" s="19" t="s">
        <v>503</v>
      </c>
      <c r="Z83" s="19" t="s">
        <v>504</v>
      </c>
      <c r="AA83" s="19">
        <v>1</v>
      </c>
      <c r="AB83" s="19">
        <v>1</v>
      </c>
      <c r="AC83" s="19" t="s">
        <v>60</v>
      </c>
      <c r="AD83" s="19" t="s">
        <v>231</v>
      </c>
      <c r="AE83" s="19" t="s">
        <v>245</v>
      </c>
      <c r="AF83" s="19"/>
    </row>
    <row r="84" spans="1:34" customHeight="1" ht="42">
      <c r="A84" s="19">
        <v>79</v>
      </c>
      <c r="B84" s="19" t="s">
        <v>314</v>
      </c>
      <c r="C84" s="19" t="s">
        <v>505</v>
      </c>
      <c r="D84" s="19" t="str">
        <f>HYPERLINK("http://henontech.com/fieldsafety/harzard/harzard_show.php?rid=2836&amp;url=harzardrecs.php","东焦场南门封闭口下部挡板缺损，若1名人员自此穿行，前倾冲出时被正在通行车辆碰撞至肩膀")</f>
        <v>东焦场南门封闭口下部挡板缺损，若1名人员自此穿行，前倾冲出时被正在通行车辆碰撞至肩膀</v>
      </c>
      <c r="E84" s="19" t="s">
        <v>506</v>
      </c>
      <c r="F84" s="20" t="s">
        <v>42</v>
      </c>
      <c r="G84" s="22" t="s">
        <v>107</v>
      </c>
      <c r="H84" s="19" t="s">
        <v>44</v>
      </c>
      <c r="I84" s="19"/>
      <c r="J84" s="19" t="s">
        <v>77</v>
      </c>
      <c r="K84" s="19"/>
      <c r="L84" s="19"/>
      <c r="M84" s="19" t="s">
        <v>87</v>
      </c>
      <c r="N84" s="19" t="s">
        <v>507</v>
      </c>
      <c r="O84" s="19" t="s">
        <v>87</v>
      </c>
      <c r="P84" s="19" t="s">
        <v>89</v>
      </c>
      <c r="Q84" s="19" t="s">
        <v>182</v>
      </c>
      <c r="R84" s="19" t="s">
        <v>508</v>
      </c>
      <c r="S84" s="19"/>
      <c r="T84" s="19" t="s">
        <v>54</v>
      </c>
      <c r="U84" s="19" t="s">
        <v>55</v>
      </c>
      <c r="V84" s="19" t="s">
        <v>80</v>
      </c>
      <c r="W84" s="19" t="s">
        <v>81</v>
      </c>
      <c r="X84" s="19" t="s">
        <v>58</v>
      </c>
      <c r="Y84" s="19" t="s">
        <v>58</v>
      </c>
      <c r="Z84" s="19" t="s">
        <v>509</v>
      </c>
      <c r="AA84" s="19">
        <v>2</v>
      </c>
      <c r="AB84" s="19">
        <v>2</v>
      </c>
      <c r="AC84" s="19" t="s">
        <v>60</v>
      </c>
      <c r="AD84" s="19" t="s">
        <v>89</v>
      </c>
      <c r="AE84" s="19" t="s">
        <v>116</v>
      </c>
      <c r="AF84" s="19"/>
    </row>
    <row r="85" spans="1:34" customHeight="1" ht="42">
      <c r="A85" s="19">
        <v>80</v>
      </c>
      <c r="B85" s="19" t="s">
        <v>314</v>
      </c>
      <c r="C85" s="19" t="s">
        <v>87</v>
      </c>
      <c r="D85" s="19" t="str">
        <f>HYPERLINK("http://henontech.com/fieldsafety/harzard/harzard_show.php?rid=2837&amp;url=harzardrecs.php","焦一机头改向滚筒破损导致划伤皮带，皮带断裂")</f>
        <v>焦一机头改向滚筒破损导致划伤皮带，皮带断裂</v>
      </c>
      <c r="E85" s="19" t="s">
        <v>510</v>
      </c>
      <c r="F85" s="20" t="s">
        <v>42</v>
      </c>
      <c r="G85" s="21" t="s">
        <v>43</v>
      </c>
      <c r="H85" s="19" t="s">
        <v>44</v>
      </c>
      <c r="I85" s="19" t="s">
        <v>66</v>
      </c>
      <c r="J85" s="19" t="s">
        <v>46</v>
      </c>
      <c r="K85" s="19" t="s">
        <v>511</v>
      </c>
      <c r="L85" s="19" t="s">
        <v>110</v>
      </c>
      <c r="M85" s="19" t="s">
        <v>87</v>
      </c>
      <c r="N85" s="19" t="s">
        <v>512</v>
      </c>
      <c r="O85" s="19" t="s">
        <v>87</v>
      </c>
      <c r="P85" s="19" t="s">
        <v>89</v>
      </c>
      <c r="Q85" s="19" t="s">
        <v>358</v>
      </c>
      <c r="R85" s="19" t="s">
        <v>513</v>
      </c>
      <c r="S85" s="19"/>
      <c r="T85" s="19" t="s">
        <v>132</v>
      </c>
      <c r="U85" s="19" t="s">
        <v>133</v>
      </c>
      <c r="V85" s="19" t="s">
        <v>80</v>
      </c>
      <c r="W85" s="19" t="s">
        <v>134</v>
      </c>
      <c r="X85" s="19" t="s">
        <v>58</v>
      </c>
      <c r="Y85" s="19"/>
      <c r="Z85" s="19" t="s">
        <v>514</v>
      </c>
      <c r="AA85" s="19">
        <v>2</v>
      </c>
      <c r="AB85" s="19">
        <v>2</v>
      </c>
      <c r="AC85" s="19" t="s">
        <v>60</v>
      </c>
      <c r="AD85" s="19" t="s">
        <v>89</v>
      </c>
      <c r="AE85" s="19" t="s">
        <v>276</v>
      </c>
      <c r="AF85" s="19"/>
    </row>
    <row r="86" spans="1:34" customHeight="1" ht="42">
      <c r="A86" s="19">
        <v>81</v>
      </c>
      <c r="B86" s="19" t="s">
        <v>245</v>
      </c>
      <c r="C86" s="19" t="s">
        <v>480</v>
      </c>
      <c r="D86" s="19" t="str">
        <f>HYPERLINK("http://henontech.com/fieldsafety/harzard/harzard_show.php?rid=2838&amp;url=harzardrecs.php","盖板破损钢筋暴露，操作工巡检时被暴露钢筋绊倒划伤，腿部轻微流血，简单包扎处理，不影响工作。")</f>
        <v>盖板破损钢筋暴露，操作工巡检时被暴露钢筋绊倒划伤，腿部轻微流血，简单包扎处理，不影响工作。</v>
      </c>
      <c r="E86" s="19" t="s">
        <v>515</v>
      </c>
      <c r="F86" s="20" t="s">
        <v>42</v>
      </c>
      <c r="G86" s="21" t="s">
        <v>43</v>
      </c>
      <c r="H86" s="19" t="s">
        <v>44</v>
      </c>
      <c r="I86" s="19" t="s">
        <v>66</v>
      </c>
      <c r="J86" s="19" t="s">
        <v>46</v>
      </c>
      <c r="K86" s="19" t="s">
        <v>137</v>
      </c>
      <c r="L86" s="19"/>
      <c r="M86" s="19" t="s">
        <v>49</v>
      </c>
      <c r="N86" s="19" t="s">
        <v>516</v>
      </c>
      <c r="O86" s="19" t="s">
        <v>49</v>
      </c>
      <c r="P86" s="19" t="s">
        <v>51</v>
      </c>
      <c r="Q86" s="19" t="s">
        <v>477</v>
      </c>
      <c r="R86" s="19" t="s">
        <v>517</v>
      </c>
      <c r="S86" s="19"/>
      <c r="T86" s="19" t="s">
        <v>54</v>
      </c>
      <c r="U86" s="19" t="s">
        <v>146</v>
      </c>
      <c r="V86" s="19" t="s">
        <v>69</v>
      </c>
      <c r="W86" s="19" t="s">
        <v>134</v>
      </c>
      <c r="X86" s="19" t="s">
        <v>518</v>
      </c>
      <c r="Y86" s="19"/>
      <c r="Z86" s="19" t="s">
        <v>519</v>
      </c>
      <c r="AA86" s="19">
        <v>2</v>
      </c>
      <c r="AB86" s="19">
        <v>1</v>
      </c>
      <c r="AC86" s="19" t="s">
        <v>60</v>
      </c>
      <c r="AD86" s="19" t="s">
        <v>51</v>
      </c>
      <c r="AE86" s="19" t="s">
        <v>520</v>
      </c>
      <c r="AF86" s="19" t="s">
        <v>521</v>
      </c>
    </row>
    <row r="87" spans="1:34" customHeight="1" ht="42">
      <c r="A87" s="19">
        <v>82</v>
      </c>
      <c r="B87" s="19" t="s">
        <v>245</v>
      </c>
      <c r="C87" s="19" t="s">
        <v>480</v>
      </c>
      <c r="D87" s="19" t="str">
        <f>HYPERLINK("http://henontech.com/fieldsafety/harzard/harzard_show.php?rid=2839&amp;url=harzardrecs.php","巡检人员巡检时踩翻盖板，扭伤脚踝")</f>
        <v>巡检人员巡检时踩翻盖板，扭伤脚踝</v>
      </c>
      <c r="E87" s="19" t="s">
        <v>522</v>
      </c>
      <c r="F87" s="20" t="s">
        <v>42</v>
      </c>
      <c r="G87" s="21" t="s">
        <v>43</v>
      </c>
      <c r="H87" s="19" t="s">
        <v>44</v>
      </c>
      <c r="I87" s="19" t="s">
        <v>108</v>
      </c>
      <c r="J87" s="19" t="s">
        <v>46</v>
      </c>
      <c r="K87" s="19" t="s">
        <v>47</v>
      </c>
      <c r="L87" s="19" t="s">
        <v>48</v>
      </c>
      <c r="M87" s="19" t="s">
        <v>49</v>
      </c>
      <c r="N87" s="19" t="s">
        <v>523</v>
      </c>
      <c r="O87" s="19" t="s">
        <v>49</v>
      </c>
      <c r="P87" s="19" t="s">
        <v>51</v>
      </c>
      <c r="Q87" s="19" t="s">
        <v>477</v>
      </c>
      <c r="R87" s="19" t="s">
        <v>524</v>
      </c>
      <c r="S87" s="19"/>
      <c r="T87" s="19" t="s">
        <v>54</v>
      </c>
      <c r="U87" s="19" t="s">
        <v>146</v>
      </c>
      <c r="V87" s="19" t="s">
        <v>80</v>
      </c>
      <c r="W87" s="19" t="s">
        <v>70</v>
      </c>
      <c r="X87" s="19" t="s">
        <v>58</v>
      </c>
      <c r="Y87" s="19"/>
      <c r="Z87" s="19" t="s">
        <v>525</v>
      </c>
      <c r="AA87" s="19">
        <v>2</v>
      </c>
      <c r="AB87" s="19">
        <v>2</v>
      </c>
      <c r="AC87" s="19" t="s">
        <v>60</v>
      </c>
      <c r="AD87" s="19" t="s">
        <v>51</v>
      </c>
      <c r="AE87" s="19" t="s">
        <v>490</v>
      </c>
      <c r="AF87" s="19" t="s">
        <v>526</v>
      </c>
    </row>
    <row r="88" spans="1:34">
      <c r="A88" s="19">
        <v>83</v>
      </c>
      <c r="B88" s="19" t="s">
        <v>245</v>
      </c>
      <c r="C88" s="19" t="s">
        <v>204</v>
      </c>
      <c r="D88" s="19" t="str">
        <f>HYPERLINK("http://henontech.com/fieldsafety/harzard/harzard_show.php?rid=2840&amp;url=harzardrecs.php","操作工在日常巡检过程中，因地面存有积水在操作爬爬梯时脚步打滑导致滑倒，造成脚部崴伤，送往医院救治。")</f>
        <v>操作工在日常巡检过程中，因地面存有积水在操作爬爬梯时脚步打滑导致滑倒，造成脚部崴伤，送往医院救治。</v>
      </c>
      <c r="E88" s="19" t="s">
        <v>527</v>
      </c>
      <c r="F88" s="20" t="s">
        <v>42</v>
      </c>
      <c r="G88" s="21" t="s">
        <v>43</v>
      </c>
      <c r="H88" s="19" t="s">
        <v>44</v>
      </c>
      <c r="I88" s="19" t="s">
        <v>108</v>
      </c>
      <c r="J88" s="19" t="s">
        <v>77</v>
      </c>
      <c r="K88" s="19" t="s">
        <v>47</v>
      </c>
      <c r="L88" s="19" t="s">
        <v>48</v>
      </c>
      <c r="M88" s="19" t="s">
        <v>204</v>
      </c>
      <c r="N88" s="19" t="s">
        <v>528</v>
      </c>
      <c r="O88" s="19" t="s">
        <v>204</v>
      </c>
      <c r="P88" s="19" t="s">
        <v>206</v>
      </c>
      <c r="Q88" s="19" t="s">
        <v>468</v>
      </c>
      <c r="R88" s="19" t="s">
        <v>529</v>
      </c>
      <c r="S88" s="19"/>
      <c r="T88" s="19" t="s">
        <v>54</v>
      </c>
      <c r="U88" s="19" t="s">
        <v>55</v>
      </c>
      <c r="V88" s="19" t="s">
        <v>69</v>
      </c>
      <c r="W88" s="19" t="s">
        <v>70</v>
      </c>
      <c r="X88" s="19"/>
      <c r="Y88" s="19"/>
      <c r="Z88" s="19" t="s">
        <v>530</v>
      </c>
      <c r="AA88" s="19">
        <v>1</v>
      </c>
      <c r="AB88" s="19">
        <v>1</v>
      </c>
      <c r="AC88" s="19" t="s">
        <v>60</v>
      </c>
      <c r="AD88" s="19" t="s">
        <v>206</v>
      </c>
      <c r="AE88" s="19" t="s">
        <v>466</v>
      </c>
      <c r="AF88" s="19"/>
    </row>
    <row r="89" spans="1:34">
      <c r="A89" s="19">
        <v>84</v>
      </c>
      <c r="B89" s="19" t="s">
        <v>245</v>
      </c>
      <c r="C89" s="19" t="s">
        <v>335</v>
      </c>
      <c r="D89" s="19" t="str">
        <f>HYPERLINK("http://henontech.com/fieldsafety/harzard/harzard_show.php?rid=2841&amp;url=harzardrecs.php","西侧水沟盖板腐蚀严重，一职工路经此处不慎踩空，右脚跌入沟内，造成脚面皮肤划伤，送医后，敷药抱扎，回家休养两天后复工")</f>
        <v>西侧水沟盖板腐蚀严重，一职工路经此处不慎踩空，右脚跌入沟内，造成脚面皮肤划伤，送医后，敷药抱扎，回家休养两天后复工</v>
      </c>
      <c r="E89" s="19" t="s">
        <v>531</v>
      </c>
      <c r="F89" s="20" t="s">
        <v>42</v>
      </c>
      <c r="G89" s="22" t="s">
        <v>107</v>
      </c>
      <c r="H89" s="19" t="s">
        <v>44</v>
      </c>
      <c r="I89" s="19" t="s">
        <v>66</v>
      </c>
      <c r="J89" s="19" t="s">
        <v>46</v>
      </c>
      <c r="K89" s="19" t="s">
        <v>47</v>
      </c>
      <c r="L89" s="19" t="s">
        <v>48</v>
      </c>
      <c r="M89" s="19" t="s">
        <v>317</v>
      </c>
      <c r="N89" s="19" t="s">
        <v>532</v>
      </c>
      <c r="O89" s="19" t="s">
        <v>317</v>
      </c>
      <c r="P89" s="19" t="s">
        <v>533</v>
      </c>
      <c r="Q89" s="19" t="s">
        <v>116</v>
      </c>
      <c r="R89" s="19" t="s">
        <v>534</v>
      </c>
      <c r="S89" s="19"/>
      <c r="T89" s="19" t="s">
        <v>54</v>
      </c>
      <c r="U89" s="19" t="s">
        <v>146</v>
      </c>
      <c r="V89" s="19" t="s">
        <v>69</v>
      </c>
      <c r="W89" s="19" t="s">
        <v>134</v>
      </c>
      <c r="X89" s="19"/>
      <c r="Y89" s="19"/>
      <c r="Z89" s="19" t="s">
        <v>278</v>
      </c>
      <c r="AA89" s="19">
        <v>1</v>
      </c>
      <c r="AB89" s="19">
        <v>1</v>
      </c>
      <c r="AC89" s="19" t="s">
        <v>60</v>
      </c>
      <c r="AD89" s="19" t="s">
        <v>533</v>
      </c>
      <c r="AE89" s="19" t="s">
        <v>116</v>
      </c>
      <c r="AF89" s="19"/>
    </row>
    <row r="90" spans="1:34">
      <c r="A90" s="19">
        <v>85</v>
      </c>
      <c r="B90" s="19" t="s">
        <v>245</v>
      </c>
      <c r="C90" s="19" t="s">
        <v>535</v>
      </c>
      <c r="D90" s="19" t="str">
        <f>HYPERLINK("http://henontech.com/fieldsafety/harzard/harzard_show.php?rid=2842&amp;url=harzardrecs.php","煤场北侧水沟盖板损坏，有一员工巡检时经过，不慎掉入。造成左腿受伤，送医院检查确珍为左小腿皮肤受伤，缝合五针住院治疗两天后回家休养五天复工。")</f>
        <v>煤场北侧水沟盖板损坏，有一员工巡检时经过，不慎掉入。造成左腿受伤，送医院检查确珍为左小腿皮肤受伤，缝合五针住院治疗两天后回家休养五天复工。</v>
      </c>
      <c r="E90" s="19" t="s">
        <v>536</v>
      </c>
      <c r="F90" s="20" t="s">
        <v>42</v>
      </c>
      <c r="G90" s="22" t="s">
        <v>107</v>
      </c>
      <c r="H90" s="19" t="s">
        <v>44</v>
      </c>
      <c r="I90" s="19" t="s">
        <v>66</v>
      </c>
      <c r="J90" s="19" t="s">
        <v>46</v>
      </c>
      <c r="K90" s="19" t="s">
        <v>47</v>
      </c>
      <c r="L90" s="19" t="s">
        <v>48</v>
      </c>
      <c r="M90" s="19" t="s">
        <v>317</v>
      </c>
      <c r="N90" s="19" t="s">
        <v>537</v>
      </c>
      <c r="O90" s="19" t="s">
        <v>317</v>
      </c>
      <c r="P90" s="19" t="s">
        <v>533</v>
      </c>
      <c r="Q90" s="19" t="s">
        <v>116</v>
      </c>
      <c r="R90" s="19" t="s">
        <v>538</v>
      </c>
      <c r="S90" s="19"/>
      <c r="T90" s="19" t="s">
        <v>54</v>
      </c>
      <c r="U90" s="19" t="s">
        <v>146</v>
      </c>
      <c r="V90" s="19" t="s">
        <v>69</v>
      </c>
      <c r="W90" s="19" t="s">
        <v>134</v>
      </c>
      <c r="X90" s="19"/>
      <c r="Y90" s="19"/>
      <c r="Z90" s="19" t="s">
        <v>539</v>
      </c>
      <c r="AA90" s="19">
        <v>1</v>
      </c>
      <c r="AB90" s="19">
        <v>1</v>
      </c>
      <c r="AC90" s="19" t="s">
        <v>60</v>
      </c>
      <c r="AD90" s="19" t="s">
        <v>533</v>
      </c>
      <c r="AE90" s="19" t="s">
        <v>116</v>
      </c>
      <c r="AF90" s="19"/>
    </row>
    <row r="91" spans="1:34">
      <c r="A91" s="19">
        <v>86</v>
      </c>
      <c r="B91" s="19" t="s">
        <v>245</v>
      </c>
      <c r="C91" s="19" t="s">
        <v>535</v>
      </c>
      <c r="D91" s="19" t="str">
        <f>HYPERLINK("http://henontech.com/fieldsafety/harzard/harzard_show.php?rid=2843&amp;url=harzardrecs.php","钢钎未定置存放，一职工途经时，钢钎滑倒砸伤右脚脚部，送医后确诊为拇指骨折，住院治疗15天，休息90天，损工105天。")</f>
        <v>钢钎未定置存放，一职工途经时，钢钎滑倒砸伤右脚脚部，送医后确诊为拇指骨折，住院治疗15天，休息90天，损工105天。</v>
      </c>
      <c r="E91" s="19" t="s">
        <v>540</v>
      </c>
      <c r="F91" s="20" t="s">
        <v>42</v>
      </c>
      <c r="G91" s="23" t="s">
        <v>289</v>
      </c>
      <c r="H91" s="19" t="s">
        <v>44</v>
      </c>
      <c r="I91" s="19" t="s">
        <v>66</v>
      </c>
      <c r="J91" s="19" t="s">
        <v>46</v>
      </c>
      <c r="K91" s="19" t="s">
        <v>137</v>
      </c>
      <c r="L91" s="19" t="s">
        <v>110</v>
      </c>
      <c r="M91" s="19" t="s">
        <v>317</v>
      </c>
      <c r="N91" s="19" t="s">
        <v>541</v>
      </c>
      <c r="O91" s="19" t="s">
        <v>317</v>
      </c>
      <c r="P91" s="19" t="s">
        <v>533</v>
      </c>
      <c r="Q91" s="19" t="s">
        <v>116</v>
      </c>
      <c r="R91" s="19" t="s">
        <v>542</v>
      </c>
      <c r="S91" s="19"/>
      <c r="T91" s="19" t="s">
        <v>54</v>
      </c>
      <c r="U91" s="19" t="s">
        <v>55</v>
      </c>
      <c r="V91" s="19" t="s">
        <v>69</v>
      </c>
      <c r="W91" s="19" t="s">
        <v>70</v>
      </c>
      <c r="X91" s="19"/>
      <c r="Y91" s="19"/>
      <c r="Z91" s="19" t="s">
        <v>543</v>
      </c>
      <c r="AA91" s="19">
        <v>1</v>
      </c>
      <c r="AB91" s="19">
        <v>1</v>
      </c>
      <c r="AC91" s="19" t="s">
        <v>60</v>
      </c>
      <c r="AD91" s="19" t="s">
        <v>533</v>
      </c>
      <c r="AE91" s="19" t="s">
        <v>116</v>
      </c>
      <c r="AF91" s="19"/>
    </row>
    <row r="92" spans="1:34">
      <c r="A92" s="19">
        <v>87</v>
      </c>
      <c r="B92" s="19" t="s">
        <v>245</v>
      </c>
      <c r="C92" s="19" t="s">
        <v>544</v>
      </c>
      <c r="D92" s="19" t="str">
        <f>HYPERLINK("http://henontech.com/fieldsafety/harzard/harzard_show.php?rid=2844&amp;url=harzardrecs.php","初冷器二层平台电线杂乱，一操作人员在夜晚冲洗初冷器时，因视线不好不慎被电线绊倒，手腕撞到护栏，造成手腕脱臼，去医院治疗后回家休养一周。")</f>
        <v>初冷器二层平台电线杂乱，一操作人员在夜晚冲洗初冷器时，因视线不好不慎被电线绊倒，手腕撞到护栏，造成手腕脱臼，去医院治疗后回家休养一周。</v>
      </c>
      <c r="E92" s="19" t="s">
        <v>545</v>
      </c>
      <c r="F92" s="20" t="s">
        <v>42</v>
      </c>
      <c r="G92" s="21" t="s">
        <v>43</v>
      </c>
      <c r="H92" s="19" t="s">
        <v>44</v>
      </c>
      <c r="I92" s="19" t="s">
        <v>108</v>
      </c>
      <c r="J92" s="19"/>
      <c r="K92" s="19" t="s">
        <v>47</v>
      </c>
      <c r="L92" s="19" t="s">
        <v>48</v>
      </c>
      <c r="M92" s="19" t="s">
        <v>204</v>
      </c>
      <c r="N92" s="19" t="s">
        <v>546</v>
      </c>
      <c r="O92" s="19" t="s">
        <v>204</v>
      </c>
      <c r="P92" s="19" t="s">
        <v>206</v>
      </c>
      <c r="Q92" s="19" t="s">
        <v>468</v>
      </c>
      <c r="R92" s="19" t="s">
        <v>547</v>
      </c>
      <c r="S92" s="19"/>
      <c r="T92" s="19" t="s">
        <v>54</v>
      </c>
      <c r="U92" s="19" t="s">
        <v>55</v>
      </c>
      <c r="V92" s="19" t="s">
        <v>69</v>
      </c>
      <c r="W92" s="19" t="s">
        <v>70</v>
      </c>
      <c r="X92" s="19"/>
      <c r="Y92" s="19"/>
      <c r="Z92" s="19" t="s">
        <v>548</v>
      </c>
      <c r="AA92" s="19">
        <v>1</v>
      </c>
      <c r="AB92" s="19">
        <v>1</v>
      </c>
      <c r="AC92" s="19" t="s">
        <v>60</v>
      </c>
      <c r="AD92" s="19" t="s">
        <v>206</v>
      </c>
      <c r="AE92" s="19" t="s">
        <v>116</v>
      </c>
      <c r="AF92" s="19"/>
    </row>
    <row r="93" spans="1:34" customHeight="1" ht="42">
      <c r="A93" s="19">
        <v>88</v>
      </c>
      <c r="B93" s="19" t="s">
        <v>245</v>
      </c>
      <c r="C93" s="19" t="s">
        <v>549</v>
      </c>
      <c r="D93" s="19" t="str">
        <f>HYPERLINK("http://henontech.com/fieldsafety/harzard/harzard_show.php?rid=2845&amp;url=harzardrecs.php","国贸建材煤气外供阀门阀体破裂出现裂痕，可能造成一名操作工单独开关阀门时因用力过猛阀门破裂，大量煤气泄漏无法控制，导致该操作工因吸入大量煤气当场中毒")</f>
        <v>国贸建材煤气外供阀门阀体破裂出现裂痕，可能造成一名操作工单独开关阀门时因用力过猛阀门破裂，大量煤气泄漏无法控制，导致该操作工因吸入大量煤气当场中毒</v>
      </c>
      <c r="E93" s="19" t="s">
        <v>550</v>
      </c>
      <c r="F93" s="20" t="s">
        <v>42</v>
      </c>
      <c r="G93" s="22" t="s">
        <v>107</v>
      </c>
      <c r="H93" s="19" t="s">
        <v>44</v>
      </c>
      <c r="I93" s="19" t="s">
        <v>45</v>
      </c>
      <c r="J93" s="19" t="s">
        <v>46</v>
      </c>
      <c r="K93" s="19" t="s">
        <v>47</v>
      </c>
      <c r="L93" s="19" t="s">
        <v>48</v>
      </c>
      <c r="M93" s="19" t="s">
        <v>204</v>
      </c>
      <c r="N93" s="19" t="s">
        <v>205</v>
      </c>
      <c r="O93" s="19" t="s">
        <v>204</v>
      </c>
      <c r="P93" s="19" t="s">
        <v>206</v>
      </c>
      <c r="Q93" s="19" t="s">
        <v>468</v>
      </c>
      <c r="R93" s="19" t="s">
        <v>551</v>
      </c>
      <c r="S93" s="19"/>
      <c r="T93" s="19" t="s">
        <v>54</v>
      </c>
      <c r="U93" s="19" t="s">
        <v>114</v>
      </c>
      <c r="V93" s="19" t="s">
        <v>56</v>
      </c>
      <c r="W93" s="19" t="s">
        <v>57</v>
      </c>
      <c r="X93" s="19"/>
      <c r="Y93" s="19"/>
      <c r="Z93" s="19" t="s">
        <v>552</v>
      </c>
      <c r="AA93" s="19">
        <v>2</v>
      </c>
      <c r="AB93" s="19">
        <v>2</v>
      </c>
      <c r="AC93" s="19" t="s">
        <v>60</v>
      </c>
      <c r="AD93" s="19" t="s">
        <v>206</v>
      </c>
      <c r="AE93" s="19" t="s">
        <v>116</v>
      </c>
      <c r="AF93" s="19"/>
    </row>
    <row r="94" spans="1:34" customHeight="1" ht="42">
      <c r="A94" s="19">
        <v>89</v>
      </c>
      <c r="B94" s="19" t="s">
        <v>116</v>
      </c>
      <c r="C94" s="19" t="s">
        <v>553</v>
      </c>
      <c r="D94" s="19" t="str">
        <f>HYPERLINK("http://henontech.com/fieldsafety/harzard/harzard_show.php?rid=2846&amp;url=harzardrecs.php","汽轮机底层二号减温减压西侧电缆盖板损坏，有一名操作工巡检时，不慎掉入。造成右腿受伤出血，送医院缝合十针在医院治疗三天后出院。")</f>
        <v>汽轮机底层二号减温减压西侧电缆盖板损坏，有一名操作工巡检时，不慎掉入。造成右腿受伤出血，送医院缝合十针在医院治疗三天后出院。</v>
      </c>
      <c r="E94" s="19" t="s">
        <v>554</v>
      </c>
      <c r="F94" s="25" t="s">
        <v>425</v>
      </c>
      <c r="G94" s="21" t="s">
        <v>43</v>
      </c>
      <c r="H94" s="19" t="s">
        <v>44</v>
      </c>
      <c r="I94" s="19" t="s">
        <v>66</v>
      </c>
      <c r="J94" s="19" t="s">
        <v>46</v>
      </c>
      <c r="K94" s="19" t="s">
        <v>137</v>
      </c>
      <c r="L94" s="19"/>
      <c r="M94" s="19" t="s">
        <v>49</v>
      </c>
      <c r="N94" s="19" t="s">
        <v>555</v>
      </c>
      <c r="O94" s="19" t="s">
        <v>49</v>
      </c>
      <c r="P94" s="19" t="s">
        <v>516</v>
      </c>
      <c r="Q94" s="19" t="s">
        <v>556</v>
      </c>
      <c r="R94" s="19" t="s">
        <v>557</v>
      </c>
      <c r="S94" s="19"/>
      <c r="T94" s="19" t="s">
        <v>54</v>
      </c>
      <c r="U94" s="19" t="s">
        <v>55</v>
      </c>
      <c r="V94" s="19" t="s">
        <v>69</v>
      </c>
      <c r="W94" s="19" t="s">
        <v>70</v>
      </c>
      <c r="X94" s="19" t="s">
        <v>58</v>
      </c>
      <c r="Y94" s="19"/>
      <c r="Z94" s="19" t="s">
        <v>558</v>
      </c>
      <c r="AA94" s="19">
        <v>2</v>
      </c>
      <c r="AB94" s="19"/>
      <c r="AC94" s="19" t="s">
        <v>330</v>
      </c>
      <c r="AD94" s="19"/>
      <c r="AE94" s="19"/>
      <c r="AF94" s="19"/>
    </row>
    <row r="95" spans="1:34">
      <c r="A95" s="19">
        <v>90</v>
      </c>
      <c r="B95" s="19" t="s">
        <v>245</v>
      </c>
      <c r="C95" s="19" t="s">
        <v>335</v>
      </c>
      <c r="D95" s="19" t="str">
        <f>HYPERLINK("http://henontech.com/fieldsafety/harzard/harzard_show.php?rid=2847&amp;url=harzardrecs.php","焦渣掺配处一转动齿轮未安装防护罩，操作人员正常操作中不慎挤伤手臂，送医治疗。")</f>
        <v>焦渣掺配处一转动齿轮未安装防护罩，操作人员正常操作中不慎挤伤手臂，送医治疗。</v>
      </c>
      <c r="E95" s="19" t="s">
        <v>559</v>
      </c>
      <c r="F95" s="20" t="s">
        <v>42</v>
      </c>
      <c r="G95" s="21" t="s">
        <v>43</v>
      </c>
      <c r="H95" s="19" t="s">
        <v>44</v>
      </c>
      <c r="I95" s="19" t="s">
        <v>126</v>
      </c>
      <c r="J95" s="19" t="s">
        <v>46</v>
      </c>
      <c r="K95" s="19" t="s">
        <v>137</v>
      </c>
      <c r="L95" s="19" t="s">
        <v>48</v>
      </c>
      <c r="M95" s="19" t="s">
        <v>204</v>
      </c>
      <c r="N95" s="19" t="s">
        <v>560</v>
      </c>
      <c r="O95" s="19" t="s">
        <v>204</v>
      </c>
      <c r="P95" s="19" t="s">
        <v>206</v>
      </c>
      <c r="Q95" s="19" t="s">
        <v>468</v>
      </c>
      <c r="R95" s="19" t="s">
        <v>561</v>
      </c>
      <c r="S95" s="19"/>
      <c r="T95" s="19" t="s">
        <v>54</v>
      </c>
      <c r="U95" s="19" t="s">
        <v>55</v>
      </c>
      <c r="V95" s="19" t="s">
        <v>80</v>
      </c>
      <c r="W95" s="19" t="s">
        <v>81</v>
      </c>
      <c r="X95" s="19"/>
      <c r="Y95" s="19"/>
      <c r="Z95" s="19" t="s">
        <v>562</v>
      </c>
      <c r="AA95" s="19">
        <v>1</v>
      </c>
      <c r="AB95" s="19">
        <v>1</v>
      </c>
      <c r="AC95" s="19" t="s">
        <v>60</v>
      </c>
      <c r="AD95" s="19" t="s">
        <v>206</v>
      </c>
      <c r="AE95" s="19" t="s">
        <v>161</v>
      </c>
      <c r="AF95" s="19"/>
    </row>
    <row r="96" spans="1:34" customHeight="1" ht="42">
      <c r="A96" s="19">
        <v>91</v>
      </c>
      <c r="B96" s="19" t="s">
        <v>116</v>
      </c>
      <c r="C96" s="19" t="s">
        <v>202</v>
      </c>
      <c r="D96" s="19" t="str">
        <f>HYPERLINK("http://henontech.com/fieldsafety/harzard/harzard_show.php?rid=2848&amp;url=harzardrecs.php","一名操作工正在操作平台工作被仪表盘顶部电缆盖板砸伤，致使头部破裂流血，去医院治疗，需在家休息一周")</f>
        <v>一名操作工正在操作平台工作被仪表盘顶部电缆盖板砸伤，致使头部破裂流血，去医院治疗，需在家休息一周</v>
      </c>
      <c r="E96" s="19" t="s">
        <v>563</v>
      </c>
      <c r="F96" s="20" t="s">
        <v>42</v>
      </c>
      <c r="G96" s="21" t="s">
        <v>43</v>
      </c>
      <c r="H96" s="19" t="s">
        <v>44</v>
      </c>
      <c r="I96" s="19" t="s">
        <v>66</v>
      </c>
      <c r="J96" s="19" t="s">
        <v>46</v>
      </c>
      <c r="K96" s="19" t="s">
        <v>137</v>
      </c>
      <c r="L96" s="19"/>
      <c r="M96" s="19" t="s">
        <v>204</v>
      </c>
      <c r="N96" s="19" t="s">
        <v>564</v>
      </c>
      <c r="O96" s="19" t="s">
        <v>204</v>
      </c>
      <c r="P96" s="19" t="s">
        <v>206</v>
      </c>
      <c r="Q96" s="19" t="s">
        <v>468</v>
      </c>
      <c r="R96" s="19" t="s">
        <v>565</v>
      </c>
      <c r="S96" s="19"/>
      <c r="T96" s="19" t="s">
        <v>54</v>
      </c>
      <c r="U96" s="19" t="s">
        <v>55</v>
      </c>
      <c r="V96" s="19" t="s">
        <v>80</v>
      </c>
      <c r="W96" s="19" t="s">
        <v>81</v>
      </c>
      <c r="X96" s="19"/>
      <c r="Y96" s="19"/>
      <c r="Z96" s="19" t="s">
        <v>566</v>
      </c>
      <c r="AA96" s="19">
        <v>2</v>
      </c>
      <c r="AB96" s="19">
        <v>1</v>
      </c>
      <c r="AC96" s="19" t="s">
        <v>60</v>
      </c>
      <c r="AD96" s="19" t="s">
        <v>206</v>
      </c>
      <c r="AE96" s="19" t="s">
        <v>116</v>
      </c>
      <c r="AF96" s="19"/>
    </row>
    <row r="97" spans="1:34">
      <c r="A97" s="19">
        <v>92</v>
      </c>
      <c r="B97" s="19" t="s">
        <v>116</v>
      </c>
      <c r="C97" s="19" t="s">
        <v>202</v>
      </c>
      <c r="D97" s="19" t="str">
        <f>HYPERLINK("http://henontech.com/fieldsafety/harzard/harzard_show.php?rid=2849&amp;url=harzardrecs.php","粗苯再生器一层平台处悬挂一根铁管，巡检人员经常经过，夜间视线不清，假如安全帽未佩戴规范，可能造成人员被钢筋划伤面部。")</f>
        <v>粗苯再生器一层平台处悬挂一根铁管，巡检人员经常经过，夜间视线不清，假如安全帽未佩戴规范，可能造成人员被钢筋划伤面部。</v>
      </c>
      <c r="E97" s="19" t="s">
        <v>567</v>
      </c>
      <c r="F97" s="25" t="s">
        <v>425</v>
      </c>
      <c r="G97" s="21" t="s">
        <v>43</v>
      </c>
      <c r="H97" s="19" t="s">
        <v>44</v>
      </c>
      <c r="I97" s="19" t="s">
        <v>66</v>
      </c>
      <c r="J97" s="19" t="s">
        <v>46</v>
      </c>
      <c r="K97" s="19" t="s">
        <v>99</v>
      </c>
      <c r="L97" s="19"/>
      <c r="M97" s="19" t="s">
        <v>204</v>
      </c>
      <c r="N97" s="19" t="s">
        <v>568</v>
      </c>
      <c r="O97" s="19" t="s">
        <v>204</v>
      </c>
      <c r="P97" s="19" t="s">
        <v>206</v>
      </c>
      <c r="Q97" s="19" t="s">
        <v>468</v>
      </c>
      <c r="R97" s="19" t="s">
        <v>569</v>
      </c>
      <c r="S97" s="19"/>
      <c r="T97" s="19" t="s">
        <v>54</v>
      </c>
      <c r="U97" s="19" t="s">
        <v>146</v>
      </c>
      <c r="V97" s="19" t="s">
        <v>69</v>
      </c>
      <c r="W97" s="19" t="s">
        <v>134</v>
      </c>
      <c r="X97" s="19"/>
      <c r="Y97" s="19"/>
      <c r="Z97" s="19" t="s">
        <v>570</v>
      </c>
      <c r="AA97" s="19">
        <v>1</v>
      </c>
      <c r="AB97" s="19"/>
      <c r="AC97" s="19" t="s">
        <v>330</v>
      </c>
      <c r="AD97" s="19"/>
      <c r="AE97" s="19"/>
      <c r="AF97" s="19"/>
    </row>
    <row r="98" spans="1:34">
      <c r="A98" s="19">
        <v>93</v>
      </c>
      <c r="B98" s="19" t="s">
        <v>116</v>
      </c>
      <c r="C98" s="19" t="s">
        <v>236</v>
      </c>
      <c r="D98" s="19" t="str">
        <f>HYPERLINK("http://henontech.com/fieldsafety/harzard/harzard_show.php?rid=2850&amp;url=harzardrecs.php","硫酸贮槽处爬梯腐蚀严重，若一名操作工在巡检中，安全意识不强。踩到爬梯腐蚀严重部位实然断裂造成脚部轻度扭伤。休养二天。")</f>
        <v>硫酸贮槽处爬梯腐蚀严重，若一名操作工在巡检中，安全意识不强。踩到爬梯腐蚀严重部位实然断裂造成脚部轻度扭伤。休养二天。</v>
      </c>
      <c r="E98" s="19" t="s">
        <v>571</v>
      </c>
      <c r="F98" s="20" t="s">
        <v>42</v>
      </c>
      <c r="G98" s="21" t="s">
        <v>43</v>
      </c>
      <c r="H98" s="19" t="s">
        <v>44</v>
      </c>
      <c r="I98" s="19" t="s">
        <v>66</v>
      </c>
      <c r="J98" s="19" t="s">
        <v>46</v>
      </c>
      <c r="K98" s="19" t="s">
        <v>47</v>
      </c>
      <c r="L98" s="19" t="s">
        <v>48</v>
      </c>
      <c r="M98" s="19" t="s">
        <v>204</v>
      </c>
      <c r="N98" s="19" t="s">
        <v>572</v>
      </c>
      <c r="O98" s="19" t="s">
        <v>204</v>
      </c>
      <c r="P98" s="19" t="s">
        <v>206</v>
      </c>
      <c r="Q98" s="19" t="s">
        <v>468</v>
      </c>
      <c r="R98" s="19" t="s">
        <v>573</v>
      </c>
      <c r="S98" s="19"/>
      <c r="T98" s="19" t="s">
        <v>54</v>
      </c>
      <c r="U98" s="19" t="s">
        <v>146</v>
      </c>
      <c r="V98" s="19" t="s">
        <v>69</v>
      </c>
      <c r="W98" s="19" t="s">
        <v>134</v>
      </c>
      <c r="X98" s="19"/>
      <c r="Y98" s="19"/>
      <c r="Z98" s="19" t="s">
        <v>574</v>
      </c>
      <c r="AA98" s="19">
        <v>1</v>
      </c>
      <c r="AB98" s="19">
        <v>1</v>
      </c>
      <c r="AC98" s="19" t="s">
        <v>60</v>
      </c>
      <c r="AD98" s="19" t="s">
        <v>206</v>
      </c>
      <c r="AE98" s="19" t="s">
        <v>116</v>
      </c>
      <c r="AF98" s="19"/>
    </row>
    <row r="99" spans="1:34">
      <c r="A99" s="19">
        <v>94</v>
      </c>
      <c r="B99" s="19" t="s">
        <v>116</v>
      </c>
      <c r="C99" s="19" t="s">
        <v>553</v>
      </c>
      <c r="D99" s="19" t="str">
        <f>HYPERLINK("http://henontech.com/fieldsafety/harzard/harzard_show.php?rid=2851&amp;url=harzardrecs.php","汽轮机减温减压电动阀丝杠备帽脱落电动阀无法调节造成锅炉减负荷")</f>
        <v>汽轮机减温减压电动阀丝杠备帽脱落电动阀无法调节造成锅炉减负荷</v>
      </c>
      <c r="E99" s="19" t="s">
        <v>575</v>
      </c>
      <c r="F99" s="24" t="s">
        <v>326</v>
      </c>
      <c r="G99" s="21" t="s">
        <v>43</v>
      </c>
      <c r="H99" s="19" t="s">
        <v>44</v>
      </c>
      <c r="I99" s="19" t="s">
        <v>66</v>
      </c>
      <c r="J99" s="19" t="s">
        <v>109</v>
      </c>
      <c r="K99" s="19"/>
      <c r="L99" s="19"/>
      <c r="M99" s="19" t="s">
        <v>49</v>
      </c>
      <c r="N99" s="19" t="s">
        <v>51</v>
      </c>
      <c r="O99" s="19"/>
      <c r="P99" s="19"/>
      <c r="Q99" s="19"/>
      <c r="R99" s="19" t="s">
        <v>576</v>
      </c>
      <c r="S99" s="19" t="s">
        <v>577</v>
      </c>
      <c r="T99" s="19" t="s">
        <v>132</v>
      </c>
      <c r="U99" s="19" t="s">
        <v>114</v>
      </c>
      <c r="V99" s="19" t="s">
        <v>69</v>
      </c>
      <c r="W99" s="19" t="s">
        <v>81</v>
      </c>
      <c r="X99" s="19"/>
      <c r="Y99" s="19"/>
      <c r="Z99" s="19"/>
      <c r="AA99" s="19">
        <v>0</v>
      </c>
      <c r="AB99" s="19"/>
      <c r="AC99" s="19" t="s">
        <v>330</v>
      </c>
      <c r="AD99" s="19"/>
      <c r="AE99" s="19"/>
      <c r="AF99" s="19"/>
    </row>
    <row r="100" spans="1:34">
      <c r="A100" s="19">
        <v>95</v>
      </c>
      <c r="B100" s="19" t="s">
        <v>116</v>
      </c>
      <c r="C100" s="19" t="s">
        <v>474</v>
      </c>
      <c r="D100" s="19" t="str">
        <f>HYPERLINK("http://henontech.com/fieldsafety/harzard/harzard_show.php?rid=2852&amp;url=harzardrecs.php","2#再生塔回液管漏，由于脱硫液长期腐蚀，造成管道渗漏，如果长时间未发现，会脱硫液大面积喷出，造成重大环保事故。")</f>
        <v>2#再生塔回液管漏，由于脱硫液长期腐蚀，造成管道渗漏，如果长时间未发现，会脱硫液大面积喷出，造成重大环保事故。</v>
      </c>
      <c r="E100" s="19" t="s">
        <v>578</v>
      </c>
      <c r="F100" s="20" t="s">
        <v>42</v>
      </c>
      <c r="G100" s="21" t="s">
        <v>43</v>
      </c>
      <c r="H100" s="19" t="s">
        <v>44</v>
      </c>
      <c r="I100" s="19" t="s">
        <v>66</v>
      </c>
      <c r="J100" s="19" t="s">
        <v>46</v>
      </c>
      <c r="K100" s="19" t="s">
        <v>47</v>
      </c>
      <c r="L100" s="19" t="s">
        <v>48</v>
      </c>
      <c r="M100" s="19" t="s">
        <v>204</v>
      </c>
      <c r="N100" s="19" t="s">
        <v>579</v>
      </c>
      <c r="O100" s="19" t="s">
        <v>204</v>
      </c>
      <c r="P100" s="19" t="s">
        <v>206</v>
      </c>
      <c r="Q100" s="19" t="s">
        <v>468</v>
      </c>
      <c r="R100" s="19" t="s">
        <v>580</v>
      </c>
      <c r="S100" s="19"/>
      <c r="T100" s="19" t="s">
        <v>224</v>
      </c>
      <c r="U100" s="19" t="s">
        <v>133</v>
      </c>
      <c r="V100" s="19" t="s">
        <v>69</v>
      </c>
      <c r="W100" s="19" t="s">
        <v>134</v>
      </c>
      <c r="X100" s="19"/>
      <c r="Y100" s="19"/>
      <c r="Z100" s="19" t="s">
        <v>581</v>
      </c>
      <c r="AA100" s="19">
        <v>1</v>
      </c>
      <c r="AB100" s="19">
        <v>1</v>
      </c>
      <c r="AC100" s="19" t="s">
        <v>60</v>
      </c>
      <c r="AD100" s="19" t="s">
        <v>206</v>
      </c>
      <c r="AE100" s="19" t="s">
        <v>582</v>
      </c>
      <c r="AF100" s="19"/>
    </row>
    <row r="101" spans="1:34" customHeight="1" ht="42">
      <c r="A101" s="19">
        <v>96</v>
      </c>
      <c r="B101" s="19" t="s">
        <v>116</v>
      </c>
      <c r="C101" s="19" t="s">
        <v>183</v>
      </c>
      <c r="D101" s="19" t="str">
        <f>HYPERLINK("http://henontech.com/fieldsafety/harzard/harzard_show.php?rid=2853&amp;url=harzardrecs.php","炉门修理架顶南侧护栏确实，若1名职工侧身巡查时，不慎卡塞进炉门架空间内，造成胸部磕碰铁件")</f>
        <v>炉门修理架顶南侧护栏确实，若1名职工侧身巡查时，不慎卡塞进炉门架空间内，造成胸部磕碰铁件</v>
      </c>
      <c r="E101" s="19" t="s">
        <v>583</v>
      </c>
      <c r="F101" s="20" t="s">
        <v>42</v>
      </c>
      <c r="G101" s="21" t="s">
        <v>43</v>
      </c>
      <c r="H101" s="19" t="s">
        <v>44</v>
      </c>
      <c r="I101" s="19"/>
      <c r="J101" s="19" t="s">
        <v>77</v>
      </c>
      <c r="K101" s="19"/>
      <c r="L101" s="19"/>
      <c r="M101" s="19" t="s">
        <v>87</v>
      </c>
      <c r="N101" s="19" t="s">
        <v>507</v>
      </c>
      <c r="O101" s="19" t="s">
        <v>87</v>
      </c>
      <c r="P101" s="19" t="s">
        <v>89</v>
      </c>
      <c r="Q101" s="19" t="s">
        <v>490</v>
      </c>
      <c r="R101" s="19" t="s">
        <v>584</v>
      </c>
      <c r="S101" s="19"/>
      <c r="T101" s="19" t="s">
        <v>54</v>
      </c>
      <c r="U101" s="19" t="s">
        <v>55</v>
      </c>
      <c r="V101" s="19" t="s">
        <v>80</v>
      </c>
      <c r="W101" s="19" t="s">
        <v>81</v>
      </c>
      <c r="X101" s="19" t="s">
        <v>58</v>
      </c>
      <c r="Y101" s="19"/>
      <c r="Z101" s="19" t="s">
        <v>585</v>
      </c>
      <c r="AA101" s="19">
        <v>2</v>
      </c>
      <c r="AB101" s="19">
        <v>2</v>
      </c>
      <c r="AC101" s="19" t="s">
        <v>60</v>
      </c>
      <c r="AD101" s="19" t="s">
        <v>89</v>
      </c>
      <c r="AE101" s="19" t="s">
        <v>116</v>
      </c>
      <c r="AF101" s="19"/>
    </row>
    <row r="102" spans="1:34">
      <c r="A102" s="19">
        <v>97</v>
      </c>
      <c r="B102" s="19" t="s">
        <v>116</v>
      </c>
      <c r="C102" s="19" t="s">
        <v>236</v>
      </c>
      <c r="D102" s="19" t="str">
        <f>HYPERLINK("http://henontech.com/fieldsafety/harzard/harzard_show.php?rid=2854&amp;url=harzardrecs.php","西硫铵四楼结晶槽回流管冲洗管有漏点，假如操作人员在三楼出料时，母液滴入眼睛里，造成眼球腐伤，在家修养三天恢复，造成一人损工事故。")</f>
        <v>西硫铵四楼结晶槽回流管冲洗管有漏点，假如操作人员在三楼出料时，母液滴入眼睛里，造成眼球腐伤，在家修养三天恢复，造成一人损工事故。</v>
      </c>
      <c r="E102" s="19" t="s">
        <v>586</v>
      </c>
      <c r="F102" s="20" t="s">
        <v>42</v>
      </c>
      <c r="G102" s="21" t="s">
        <v>43</v>
      </c>
      <c r="H102" s="19" t="s">
        <v>44</v>
      </c>
      <c r="I102" s="19" t="s">
        <v>45</v>
      </c>
      <c r="J102" s="19" t="s">
        <v>587</v>
      </c>
      <c r="K102" s="19" t="s">
        <v>137</v>
      </c>
      <c r="L102" s="19" t="s">
        <v>48</v>
      </c>
      <c r="M102" s="19" t="s">
        <v>204</v>
      </c>
      <c r="N102" s="19" t="s">
        <v>588</v>
      </c>
      <c r="O102" s="19" t="s">
        <v>204</v>
      </c>
      <c r="P102" s="19" t="s">
        <v>206</v>
      </c>
      <c r="Q102" s="19" t="s">
        <v>589</v>
      </c>
      <c r="R102" s="19" t="s">
        <v>590</v>
      </c>
      <c r="S102" s="19"/>
      <c r="T102" s="19" t="s">
        <v>54</v>
      </c>
      <c r="U102" s="19" t="s">
        <v>55</v>
      </c>
      <c r="V102" s="19" t="s">
        <v>80</v>
      </c>
      <c r="W102" s="19" t="s">
        <v>81</v>
      </c>
      <c r="X102" s="19"/>
      <c r="Y102" s="19"/>
      <c r="Z102" s="19" t="s">
        <v>591</v>
      </c>
      <c r="AA102" s="19">
        <v>1</v>
      </c>
      <c r="AB102" s="19">
        <v>1</v>
      </c>
      <c r="AC102" s="19" t="s">
        <v>60</v>
      </c>
      <c r="AD102" s="19" t="s">
        <v>206</v>
      </c>
      <c r="AE102" s="19" t="s">
        <v>61</v>
      </c>
      <c r="AF102" s="19"/>
    </row>
    <row r="103" spans="1:34">
      <c r="A103" s="19">
        <v>98</v>
      </c>
      <c r="B103" s="19" t="s">
        <v>116</v>
      </c>
      <c r="C103" s="19" t="s">
        <v>592</v>
      </c>
      <c r="D103" s="19" t="str">
        <f>HYPERLINK("http://henontech.com/fieldsafety/harzard/harzard_show.php?rid=2855&amp;url=harzardrecs.php","1#轴流风扇平台有一支架用的三角铁脱落，假如一名操作工巡检时，不慎被绊倒，两胳膊多处擦伤，到医务室简单处理，没有影响工作。无误工。")</f>
        <v>1#轴流风扇平台有一支架用的三角铁脱落，假如一名操作工巡检时，不慎被绊倒，两胳膊多处擦伤，到医务室简单处理，没有影响工作。无误工。</v>
      </c>
      <c r="E103" s="19" t="s">
        <v>593</v>
      </c>
      <c r="F103" s="20" t="s">
        <v>42</v>
      </c>
      <c r="G103" s="21" t="s">
        <v>43</v>
      </c>
      <c r="H103" s="19" t="s">
        <v>44</v>
      </c>
      <c r="I103" s="19" t="s">
        <v>45</v>
      </c>
      <c r="J103" s="19" t="s">
        <v>46</v>
      </c>
      <c r="K103" s="19" t="s">
        <v>173</v>
      </c>
      <c r="L103" s="19" t="s">
        <v>48</v>
      </c>
      <c r="M103" s="19" t="s">
        <v>204</v>
      </c>
      <c r="N103" s="19" t="s">
        <v>594</v>
      </c>
      <c r="O103" s="19" t="s">
        <v>204</v>
      </c>
      <c r="P103" s="19" t="s">
        <v>206</v>
      </c>
      <c r="Q103" s="19" t="s">
        <v>589</v>
      </c>
      <c r="R103" s="19" t="s">
        <v>595</v>
      </c>
      <c r="S103" s="19"/>
      <c r="T103" s="19" t="s">
        <v>54</v>
      </c>
      <c r="U103" s="19" t="s">
        <v>146</v>
      </c>
      <c r="V103" s="19" t="s">
        <v>69</v>
      </c>
      <c r="W103" s="19" t="s">
        <v>134</v>
      </c>
      <c r="X103" s="19"/>
      <c r="Y103" s="19"/>
      <c r="Z103" s="19" t="s">
        <v>596</v>
      </c>
      <c r="AA103" s="19">
        <v>1</v>
      </c>
      <c r="AB103" s="19">
        <v>1</v>
      </c>
      <c r="AC103" s="19" t="s">
        <v>60</v>
      </c>
      <c r="AD103" s="19" t="s">
        <v>206</v>
      </c>
      <c r="AE103" s="19" t="s">
        <v>466</v>
      </c>
      <c r="AF103" s="19"/>
    </row>
    <row r="104" spans="1:34">
      <c r="A104" s="19">
        <v>99</v>
      </c>
      <c r="B104" s="19" t="s">
        <v>116</v>
      </c>
      <c r="C104" s="19" t="s">
        <v>597</v>
      </c>
      <c r="D104" s="19" t="str">
        <f>HYPERLINK("http://henontech.com/fieldsafety/harzard/harzard_show.php?rid=2856&amp;url=harzardrecs.php","脱硫南下水道盖板损坏严重，一操作工夜间巡检作业时未发现盖板损坏可能造成腿部绊倒擦伤，送医护室简单包扎不影响工作。")</f>
        <v>脱硫南下水道盖板损坏严重，一操作工夜间巡检作业时未发现盖板损坏可能造成腿部绊倒擦伤，送医护室简单包扎不影响工作。</v>
      </c>
      <c r="E104" s="19" t="s">
        <v>598</v>
      </c>
      <c r="F104" s="25" t="s">
        <v>425</v>
      </c>
      <c r="G104" s="21" t="s">
        <v>43</v>
      </c>
      <c r="H104" s="19" t="s">
        <v>44</v>
      </c>
      <c r="I104" s="19" t="s">
        <v>45</v>
      </c>
      <c r="J104" s="19" t="s">
        <v>77</v>
      </c>
      <c r="K104" s="19" t="s">
        <v>173</v>
      </c>
      <c r="L104" s="19" t="s">
        <v>48</v>
      </c>
      <c r="M104" s="19" t="s">
        <v>204</v>
      </c>
      <c r="N104" s="19" t="s">
        <v>599</v>
      </c>
      <c r="O104" s="19" t="s">
        <v>204</v>
      </c>
      <c r="P104" s="19" t="s">
        <v>206</v>
      </c>
      <c r="Q104" s="19" t="s">
        <v>589</v>
      </c>
      <c r="R104" s="19" t="s">
        <v>600</v>
      </c>
      <c r="S104" s="19"/>
      <c r="T104" s="19" t="s">
        <v>54</v>
      </c>
      <c r="U104" s="19" t="s">
        <v>146</v>
      </c>
      <c r="V104" s="19" t="s">
        <v>69</v>
      </c>
      <c r="W104" s="19" t="s">
        <v>134</v>
      </c>
      <c r="X104" s="19"/>
      <c r="Y104" s="19"/>
      <c r="Z104" s="19" t="s">
        <v>601</v>
      </c>
      <c r="AA104" s="19">
        <v>1</v>
      </c>
      <c r="AB104" s="19"/>
      <c r="AC104" s="19" t="s">
        <v>330</v>
      </c>
      <c r="AD104" s="19"/>
      <c r="AE104" s="19"/>
      <c r="AF104" s="19"/>
    </row>
    <row r="105" spans="1:34">
      <c r="A105" s="19">
        <v>100</v>
      </c>
      <c r="B105" s="19" t="s">
        <v>182</v>
      </c>
      <c r="C105" s="19" t="s">
        <v>597</v>
      </c>
      <c r="D105" s="19" t="str">
        <f>HYPERLINK("http://henontech.com/fieldsafety/harzard/harzard_show.php?rid=2857&amp;url=harzardrecs.php","北脱硫氨气下液管管道法兰因腐蚀严重漏液，造成地面污染，操作工及时修复清理未造成环保事故。")</f>
        <v>北脱硫氨气下液管管道法兰因腐蚀严重漏液，造成地面污染，操作工及时修复清理未造成环保事故。</v>
      </c>
      <c r="E105" s="19" t="s">
        <v>224</v>
      </c>
      <c r="F105" s="20" t="s">
        <v>42</v>
      </c>
      <c r="G105" s="21" t="s">
        <v>43</v>
      </c>
      <c r="H105" s="19" t="s">
        <v>44</v>
      </c>
      <c r="I105" s="19"/>
      <c r="J105" s="19"/>
      <c r="K105" s="19" t="s">
        <v>47</v>
      </c>
      <c r="L105" s="19"/>
      <c r="M105" s="19" t="s">
        <v>204</v>
      </c>
      <c r="N105" s="19" t="s">
        <v>602</v>
      </c>
      <c r="O105" s="19" t="s">
        <v>204</v>
      </c>
      <c r="P105" s="19" t="s">
        <v>206</v>
      </c>
      <c r="Q105" s="19" t="s">
        <v>589</v>
      </c>
      <c r="R105" s="19" t="s">
        <v>603</v>
      </c>
      <c r="S105" s="19"/>
      <c r="T105" s="19" t="s">
        <v>224</v>
      </c>
      <c r="U105" s="19" t="s">
        <v>133</v>
      </c>
      <c r="V105" s="19" t="s">
        <v>209</v>
      </c>
      <c r="W105" s="19" t="s">
        <v>134</v>
      </c>
      <c r="X105" s="19"/>
      <c r="Y105" s="19"/>
      <c r="Z105" s="19" t="s">
        <v>604</v>
      </c>
      <c r="AA105" s="19">
        <v>1</v>
      </c>
      <c r="AB105" s="19">
        <v>1</v>
      </c>
      <c r="AC105" s="19" t="s">
        <v>60</v>
      </c>
      <c r="AD105" s="19" t="s">
        <v>206</v>
      </c>
      <c r="AE105" s="19" t="s">
        <v>466</v>
      </c>
      <c r="AF105" s="19"/>
    </row>
    <row r="106" spans="1:34" customHeight="1" ht="42">
      <c r="A106" s="19">
        <v>101</v>
      </c>
      <c r="B106" s="19" t="s">
        <v>182</v>
      </c>
      <c r="C106" s="19" t="s">
        <v>605</v>
      </c>
      <c r="D106" s="19" t="str">
        <f>HYPERLINK("http://henontech.com/fieldsafety/harzard/harzard_show.php?rid=2858&amp;url=harzardrecs.php","煤场焦查掺配处，有钢筋翘起，煤场工作人员在工作时，被翘起的钢筋拌倒，导致左膝盖擦伤，送医务室包扎，在家休息三天！")</f>
        <v>煤场焦查掺配处，有钢筋翘起，煤场工作人员在工作时，被翘起的钢筋拌倒，导致左膝盖擦伤，送医务室包扎，在家休息三天！</v>
      </c>
      <c r="E106" s="19" t="s">
        <v>606</v>
      </c>
      <c r="F106" s="20" t="s">
        <v>42</v>
      </c>
      <c r="G106" s="22" t="s">
        <v>107</v>
      </c>
      <c r="H106" s="19" t="s">
        <v>44</v>
      </c>
      <c r="I106" s="19" t="s">
        <v>45</v>
      </c>
      <c r="J106" s="19" t="s">
        <v>156</v>
      </c>
      <c r="K106" s="19" t="s">
        <v>173</v>
      </c>
      <c r="L106" s="19" t="s">
        <v>48</v>
      </c>
      <c r="M106" s="19" t="s">
        <v>317</v>
      </c>
      <c r="N106" s="19" t="s">
        <v>318</v>
      </c>
      <c r="O106" s="19" t="s">
        <v>317</v>
      </c>
      <c r="P106" s="19" t="s">
        <v>319</v>
      </c>
      <c r="Q106" s="19" t="s">
        <v>490</v>
      </c>
      <c r="R106" s="19" t="s">
        <v>607</v>
      </c>
      <c r="S106" s="19" t="s">
        <v>608</v>
      </c>
      <c r="T106" s="19" t="s">
        <v>54</v>
      </c>
      <c r="U106" s="19" t="s">
        <v>146</v>
      </c>
      <c r="V106" s="19" t="s">
        <v>209</v>
      </c>
      <c r="W106" s="19" t="s">
        <v>134</v>
      </c>
      <c r="X106" s="19" t="s">
        <v>93</v>
      </c>
      <c r="Y106" s="19" t="s">
        <v>93</v>
      </c>
      <c r="Z106" s="19" t="s">
        <v>609</v>
      </c>
      <c r="AA106" s="19">
        <v>2</v>
      </c>
      <c r="AB106" s="19">
        <v>2</v>
      </c>
      <c r="AC106" s="19" t="s">
        <v>60</v>
      </c>
      <c r="AD106" s="19" t="s">
        <v>319</v>
      </c>
      <c r="AE106" s="19" t="s">
        <v>610</v>
      </c>
      <c r="AF106" s="19" t="s">
        <v>611</v>
      </c>
    </row>
    <row r="107" spans="1:34">
      <c r="A107" s="19">
        <v>102</v>
      </c>
      <c r="B107" s="19" t="s">
        <v>182</v>
      </c>
      <c r="C107" s="19" t="s">
        <v>612</v>
      </c>
      <c r="D107" s="19" t="str">
        <f>HYPERLINK("http://henontech.com/fieldsafety/harzard/harzard_show.php?rid=2859&amp;url=harzardrecs.php","南风机1#初冷器中段蒸汽阀门平台处有一块废弃铁皮，假设一名操作工在中夜班冲洗1#初冷器开中段蒸汽阀门时，被平台上铁皮绊倒磕伤膝盖，去医务室简单包扎后恢复工作。")</f>
        <v>南风机1#初冷器中段蒸汽阀门平台处有一块废弃铁皮，假设一名操作工在中夜班冲洗1#初冷器开中段蒸汽阀门时，被平台上铁皮绊倒磕伤膝盖，去医务室简单包扎后恢复工作。</v>
      </c>
      <c r="E107" s="19" t="s">
        <v>613</v>
      </c>
      <c r="F107" s="20" t="s">
        <v>42</v>
      </c>
      <c r="G107" s="21" t="s">
        <v>43</v>
      </c>
      <c r="H107" s="19" t="s">
        <v>44</v>
      </c>
      <c r="I107" s="19" t="s">
        <v>66</v>
      </c>
      <c r="J107" s="19" t="s">
        <v>109</v>
      </c>
      <c r="K107" s="19" t="s">
        <v>47</v>
      </c>
      <c r="L107" s="19" t="s">
        <v>48</v>
      </c>
      <c r="M107" s="19" t="s">
        <v>204</v>
      </c>
      <c r="N107" s="19" t="s">
        <v>614</v>
      </c>
      <c r="O107" s="19" t="s">
        <v>204</v>
      </c>
      <c r="P107" s="19" t="s">
        <v>206</v>
      </c>
      <c r="Q107" s="19" t="s">
        <v>556</v>
      </c>
      <c r="R107" s="19" t="s">
        <v>615</v>
      </c>
      <c r="S107" s="19"/>
      <c r="T107" s="19" t="s">
        <v>54</v>
      </c>
      <c r="U107" s="19" t="s">
        <v>146</v>
      </c>
      <c r="V107" s="19" t="s">
        <v>69</v>
      </c>
      <c r="W107" s="19" t="s">
        <v>134</v>
      </c>
      <c r="X107" s="19"/>
      <c r="Y107" s="19"/>
      <c r="Z107" s="19" t="s">
        <v>616</v>
      </c>
      <c r="AA107" s="19">
        <v>1</v>
      </c>
      <c r="AB107" s="19">
        <v>1</v>
      </c>
      <c r="AC107" s="19" t="s">
        <v>60</v>
      </c>
      <c r="AD107" s="19" t="s">
        <v>206</v>
      </c>
      <c r="AE107" s="19" t="s">
        <v>161</v>
      </c>
      <c r="AF107" s="19"/>
    </row>
    <row r="108" spans="1:34">
      <c r="A108" s="19">
        <v>103</v>
      </c>
      <c r="B108" s="19" t="s">
        <v>182</v>
      </c>
      <c r="C108" s="19" t="s">
        <v>85</v>
      </c>
      <c r="D108" s="19" t="str">
        <f>HYPERLINK("http://henontech.com/fieldsafety/harzard/harzard_show.php?rid=2860&amp;url=harzardrecs.php","汽轮机房地沟盖板缺失松动，操作工巡检经过时腿脚滑落至地沟内，导致腿部划伤,送医治疗。")</f>
        <v>汽轮机房地沟盖板缺失松动，操作工巡检经过时腿脚滑落至地沟内，导致腿部划伤,送医治疗。</v>
      </c>
      <c r="E108" s="19" t="s">
        <v>617</v>
      </c>
      <c r="F108" s="25" t="s">
        <v>425</v>
      </c>
      <c r="G108" s="21" t="s">
        <v>43</v>
      </c>
      <c r="H108" s="19" t="s">
        <v>44</v>
      </c>
      <c r="I108" s="19" t="s">
        <v>45</v>
      </c>
      <c r="J108" s="19" t="s">
        <v>46</v>
      </c>
      <c r="K108" s="19" t="s">
        <v>127</v>
      </c>
      <c r="L108" s="19" t="s">
        <v>48</v>
      </c>
      <c r="M108" s="19" t="s">
        <v>87</v>
      </c>
      <c r="N108" s="19" t="s">
        <v>128</v>
      </c>
      <c r="O108" s="19" t="s">
        <v>87</v>
      </c>
      <c r="P108" s="19" t="s">
        <v>128</v>
      </c>
      <c r="Q108" s="19" t="s">
        <v>556</v>
      </c>
      <c r="R108" s="19" t="s">
        <v>618</v>
      </c>
      <c r="S108" s="19" t="s">
        <v>619</v>
      </c>
      <c r="T108" s="19" t="s">
        <v>54</v>
      </c>
      <c r="U108" s="19" t="s">
        <v>146</v>
      </c>
      <c r="V108" s="19" t="s">
        <v>80</v>
      </c>
      <c r="W108" s="19" t="s">
        <v>70</v>
      </c>
      <c r="X108" s="19" t="s">
        <v>58</v>
      </c>
      <c r="Y108" s="19" t="s">
        <v>58</v>
      </c>
      <c r="Z108" s="19" t="s">
        <v>620</v>
      </c>
      <c r="AA108" s="19">
        <v>1</v>
      </c>
      <c r="AB108" s="19"/>
      <c r="AC108" s="19" t="s">
        <v>330</v>
      </c>
      <c r="AD108" s="19"/>
      <c r="AE108" s="19"/>
      <c r="AF108" s="19"/>
    </row>
    <row r="109" spans="1:34">
      <c r="A109" s="19">
        <v>104</v>
      </c>
      <c r="B109" s="19" t="s">
        <v>182</v>
      </c>
      <c r="C109" s="19" t="s">
        <v>621</v>
      </c>
      <c r="D109" s="19" t="str">
        <f>HYPERLINK("http://henontech.com/fieldsafety/harzard/harzard_show.php?rid=2862&amp;url=harzardrecs.php","北班长室东侧管架，管道保温铝皮脱落，如果在大风天气一名操作工在巡检时经过此处可能被掉落的铝皮轻微划伤手臂，简单包扎后能正常工作")</f>
        <v>北班长室东侧管架，管道保温铝皮脱落，如果在大风天气一名操作工在巡检时经过此处可能被掉落的铝皮轻微划伤手臂，简单包扎后能正常工作</v>
      </c>
      <c r="E109" s="19" t="s">
        <v>622</v>
      </c>
      <c r="F109" s="25" t="s">
        <v>425</v>
      </c>
      <c r="G109" s="21" t="s">
        <v>43</v>
      </c>
      <c r="H109" s="19" t="s">
        <v>44</v>
      </c>
      <c r="I109" s="19" t="s">
        <v>66</v>
      </c>
      <c r="J109" s="19" t="s">
        <v>46</v>
      </c>
      <c r="K109" s="19" t="s">
        <v>47</v>
      </c>
      <c r="L109" s="19"/>
      <c r="M109" s="19" t="s">
        <v>204</v>
      </c>
      <c r="N109" s="19" t="s">
        <v>623</v>
      </c>
      <c r="O109" s="19" t="s">
        <v>204</v>
      </c>
      <c r="P109" s="19" t="s">
        <v>206</v>
      </c>
      <c r="Q109" s="19" t="s">
        <v>556</v>
      </c>
      <c r="R109" s="19" t="s">
        <v>621</v>
      </c>
      <c r="S109" s="19"/>
      <c r="T109" s="19" t="s">
        <v>54</v>
      </c>
      <c r="U109" s="19" t="s">
        <v>146</v>
      </c>
      <c r="V109" s="19" t="s">
        <v>69</v>
      </c>
      <c r="W109" s="19" t="s">
        <v>134</v>
      </c>
      <c r="X109" s="19"/>
      <c r="Y109" s="19"/>
      <c r="Z109" s="19" t="s">
        <v>624</v>
      </c>
      <c r="AA109" s="19">
        <v>1</v>
      </c>
      <c r="AB109" s="19"/>
      <c r="AC109" s="19" t="s">
        <v>330</v>
      </c>
      <c r="AD109" s="19"/>
      <c r="AE109" s="19"/>
      <c r="AF109" s="19"/>
    </row>
    <row r="110" spans="1:34">
      <c r="A110" s="19">
        <v>105</v>
      </c>
      <c r="B110" s="19" t="s">
        <v>161</v>
      </c>
      <c r="C110" s="19" t="s">
        <v>202</v>
      </c>
      <c r="D110" s="19" t="str">
        <f>HYPERLINK("http://henontech.com/fieldsafety/harzard/harzard_show.php?rid=2863&amp;url=harzardrecs.php","煤气外供站去往溪水建材的煤气压力表短节焊口腐蚀断裂泄漏煤气，如果一名操作工到此处巡检时有可能会造成煤气中毒")</f>
        <v>煤气外供站去往溪水建材的煤气压力表短节焊口腐蚀断裂泄漏煤气，如果一名操作工到此处巡检时有可能会造成煤气中毒</v>
      </c>
      <c r="E110" s="19" t="s">
        <v>625</v>
      </c>
      <c r="F110" s="20" t="s">
        <v>42</v>
      </c>
      <c r="G110" s="21" t="s">
        <v>43</v>
      </c>
      <c r="H110" s="19" t="s">
        <v>44</v>
      </c>
      <c r="I110" s="19" t="s">
        <v>66</v>
      </c>
      <c r="J110" s="19" t="s">
        <v>46</v>
      </c>
      <c r="K110" s="19" t="s">
        <v>47</v>
      </c>
      <c r="L110" s="19" t="s">
        <v>48</v>
      </c>
      <c r="M110" s="19" t="s">
        <v>204</v>
      </c>
      <c r="N110" s="19" t="s">
        <v>626</v>
      </c>
      <c r="O110" s="19" t="s">
        <v>204</v>
      </c>
      <c r="P110" s="19" t="s">
        <v>206</v>
      </c>
      <c r="Q110" s="19" t="s">
        <v>556</v>
      </c>
      <c r="R110" s="19" t="s">
        <v>551</v>
      </c>
      <c r="S110" s="19"/>
      <c r="T110" s="19" t="s">
        <v>54</v>
      </c>
      <c r="U110" s="19" t="s">
        <v>146</v>
      </c>
      <c r="V110" s="19" t="s">
        <v>69</v>
      </c>
      <c r="W110" s="19" t="s">
        <v>134</v>
      </c>
      <c r="X110" s="19"/>
      <c r="Y110" s="19"/>
      <c r="Z110" s="19" t="s">
        <v>627</v>
      </c>
      <c r="AA110" s="19">
        <v>1</v>
      </c>
      <c r="AB110" s="19">
        <v>1</v>
      </c>
      <c r="AC110" s="19" t="s">
        <v>60</v>
      </c>
      <c r="AD110" s="19" t="s">
        <v>206</v>
      </c>
      <c r="AE110" s="19" t="s">
        <v>161</v>
      </c>
      <c r="AF110" s="19"/>
    </row>
    <row r="111" spans="1:34">
      <c r="A111" s="19">
        <v>106</v>
      </c>
      <c r="B111" s="19" t="s">
        <v>161</v>
      </c>
      <c r="C111" s="19" t="s">
        <v>628</v>
      </c>
      <c r="D111" s="19" t="str">
        <f>HYPERLINK("http://henontech.com/fieldsafety/harzard/harzard_show.php?rid=2864&amp;url=harzardrecs.php","老凉水架顶部电缆桥架盖板松动，如果一名操作工在大风天气巡检时经过此处，有可能会被掉落的盖板砸伤肩部")</f>
        <v>老凉水架顶部电缆桥架盖板松动，如果一名操作工在大风天气巡检时经过此处，有可能会被掉落的盖板砸伤肩部</v>
      </c>
      <c r="E111" s="19" t="s">
        <v>629</v>
      </c>
      <c r="F111" s="20" t="s">
        <v>42</v>
      </c>
      <c r="G111" s="21" t="s">
        <v>43</v>
      </c>
      <c r="H111" s="19" t="s">
        <v>44</v>
      </c>
      <c r="I111" s="19" t="s">
        <v>66</v>
      </c>
      <c r="J111" s="19" t="s">
        <v>46</v>
      </c>
      <c r="K111" s="19" t="s">
        <v>173</v>
      </c>
      <c r="L111" s="19" t="s">
        <v>48</v>
      </c>
      <c r="M111" s="19" t="s">
        <v>204</v>
      </c>
      <c r="N111" s="19" t="s">
        <v>630</v>
      </c>
      <c r="O111" s="19" t="s">
        <v>204</v>
      </c>
      <c r="P111" s="19" t="s">
        <v>206</v>
      </c>
      <c r="Q111" s="19" t="s">
        <v>556</v>
      </c>
      <c r="R111" s="19" t="s">
        <v>631</v>
      </c>
      <c r="S111" s="19"/>
      <c r="T111" s="19" t="s">
        <v>54</v>
      </c>
      <c r="U111" s="19" t="s">
        <v>55</v>
      </c>
      <c r="V111" s="19" t="s">
        <v>69</v>
      </c>
      <c r="W111" s="19" t="s">
        <v>70</v>
      </c>
      <c r="X111" s="19"/>
      <c r="Y111" s="19"/>
      <c r="Z111" s="19" t="s">
        <v>632</v>
      </c>
      <c r="AA111" s="19">
        <v>1</v>
      </c>
      <c r="AB111" s="19">
        <v>1</v>
      </c>
      <c r="AC111" s="19" t="s">
        <v>60</v>
      </c>
      <c r="AD111" s="19" t="s">
        <v>206</v>
      </c>
      <c r="AE111" s="19" t="s">
        <v>161</v>
      </c>
      <c r="AF111" s="19"/>
    </row>
    <row r="112" spans="1:34">
      <c r="A112" s="19">
        <v>107</v>
      </c>
      <c r="B112" s="19" t="s">
        <v>161</v>
      </c>
      <c r="C112" s="19" t="s">
        <v>633</v>
      </c>
      <c r="D112" s="19" t="str">
        <f>HYPERLINK("http://henontech.com/fieldsafety/harzard/harzard_show.php?rid=2865&amp;url=harzardrecs.php","污水车在卸车时未放泊车木，导致溜车操作人员在对接管道时并压伤脚面。")</f>
        <v>污水车在卸车时未放泊车木，导致溜车操作人员在对接管道时并压伤脚面。</v>
      </c>
      <c r="E112" s="19" t="s">
        <v>634</v>
      </c>
      <c r="F112" s="20" t="s">
        <v>42</v>
      </c>
      <c r="G112" s="21" t="s">
        <v>43</v>
      </c>
      <c r="H112" s="19" t="s">
        <v>44</v>
      </c>
      <c r="I112" s="19" t="s">
        <v>108</v>
      </c>
      <c r="J112" s="19" t="s">
        <v>109</v>
      </c>
      <c r="K112" s="19"/>
      <c r="L112" s="19" t="s">
        <v>48</v>
      </c>
      <c r="M112" s="19" t="s">
        <v>229</v>
      </c>
      <c r="N112" s="19" t="s">
        <v>635</v>
      </c>
      <c r="O112" s="19" t="s">
        <v>229</v>
      </c>
      <c r="P112" s="19" t="s">
        <v>231</v>
      </c>
      <c r="Q112" s="19" t="s">
        <v>636</v>
      </c>
      <c r="R112" s="19" t="s">
        <v>637</v>
      </c>
      <c r="S112" s="19" t="s">
        <v>638</v>
      </c>
      <c r="T112" s="19" t="s">
        <v>54</v>
      </c>
      <c r="U112" s="19" t="s">
        <v>146</v>
      </c>
      <c r="V112" s="19" t="s">
        <v>69</v>
      </c>
      <c r="W112" s="19" t="s">
        <v>134</v>
      </c>
      <c r="X112" s="19" t="s">
        <v>58</v>
      </c>
      <c r="Y112" s="19" t="s">
        <v>58</v>
      </c>
      <c r="Z112" s="19" t="s">
        <v>639</v>
      </c>
      <c r="AA112" s="19">
        <v>1</v>
      </c>
      <c r="AB112" s="19">
        <v>1</v>
      </c>
      <c r="AC112" s="19" t="s">
        <v>60</v>
      </c>
      <c r="AD112" s="19" t="s">
        <v>231</v>
      </c>
      <c r="AE112" s="19" t="s">
        <v>332</v>
      </c>
      <c r="AF112" s="19" t="s">
        <v>640</v>
      </c>
    </row>
    <row r="113" spans="1:34" customHeight="1" ht="42">
      <c r="A113" s="19">
        <v>108</v>
      </c>
      <c r="B113" s="19" t="s">
        <v>161</v>
      </c>
      <c r="C113" s="19" t="s">
        <v>480</v>
      </c>
      <c r="D113" s="19" t="str">
        <f>HYPERLINK("http://henontech.com/fieldsafety/harzard/harzard_show.php?rid=2866&amp;url=harzardrecs.php","操作工注意力不集中不慎从破碎观察孔掉出驾驶室造成摔伤。")</f>
        <v>操作工注意力不集中不慎从破碎观察孔掉出驾驶室造成摔伤。</v>
      </c>
      <c r="E113" s="19" t="s">
        <v>641</v>
      </c>
      <c r="F113" s="20" t="s">
        <v>42</v>
      </c>
      <c r="G113" s="21" t="s">
        <v>43</v>
      </c>
      <c r="H113" s="19" t="s">
        <v>44</v>
      </c>
      <c r="I113" s="19" t="s">
        <v>66</v>
      </c>
      <c r="J113" s="19" t="s">
        <v>77</v>
      </c>
      <c r="K113" s="19"/>
      <c r="L113" s="19"/>
      <c r="M113" s="19" t="s">
        <v>49</v>
      </c>
      <c r="N113" s="19" t="s">
        <v>642</v>
      </c>
      <c r="O113" s="19" t="s">
        <v>49</v>
      </c>
      <c r="P113" s="19" t="s">
        <v>51</v>
      </c>
      <c r="Q113" s="19" t="s">
        <v>358</v>
      </c>
      <c r="R113" s="19" t="s">
        <v>643</v>
      </c>
      <c r="S113" s="19"/>
      <c r="T113" s="19" t="s">
        <v>54</v>
      </c>
      <c r="U113" s="19" t="s">
        <v>55</v>
      </c>
      <c r="V113" s="19" t="s">
        <v>69</v>
      </c>
      <c r="W113" s="19" t="s">
        <v>70</v>
      </c>
      <c r="X113" s="19" t="s">
        <v>58</v>
      </c>
      <c r="Y113" s="19"/>
      <c r="Z113" s="19" t="s">
        <v>644</v>
      </c>
      <c r="AA113" s="19">
        <v>2</v>
      </c>
      <c r="AB113" s="19">
        <v>2</v>
      </c>
      <c r="AC113" s="19" t="s">
        <v>60</v>
      </c>
      <c r="AD113" s="19" t="s">
        <v>51</v>
      </c>
      <c r="AE113" s="19" t="s">
        <v>61</v>
      </c>
      <c r="AF113" s="19" t="s">
        <v>645</v>
      </c>
    </row>
    <row r="114" spans="1:34">
      <c r="A114" s="19">
        <v>109</v>
      </c>
      <c r="B114" s="19" t="s">
        <v>161</v>
      </c>
      <c r="C114" s="19" t="s">
        <v>646</v>
      </c>
      <c r="D114" s="19" t="str">
        <f>HYPERLINK("http://henontech.com/fieldsafety/harzard/harzard_show.php?rid=2867&amp;url=harzardrecs.php","电捕焦油器上部一根吹扫进电捕焦油器煤气管线的蒸汽胶皮管及固定胶皮管的铁管未及时撤走，如果一名巡检人员在巡检经过时，铁管坠落砸中巡检人员右肩部，造成一人右肩部轻微擦伤，送医务室简单处理后正常工作。")</f>
        <v>电捕焦油器上部一根吹扫进电捕焦油器煤气管线的蒸汽胶皮管及固定胶皮管的铁管未及时撤走，如果一名巡检人员在巡检经过时，铁管坠落砸中巡检人员右肩部，造成一人右肩部轻微擦伤，送医务室简单处理后正常工作。</v>
      </c>
      <c r="E114" s="19" t="s">
        <v>647</v>
      </c>
      <c r="F114" s="20" t="s">
        <v>42</v>
      </c>
      <c r="G114" s="21" t="s">
        <v>43</v>
      </c>
      <c r="H114" s="19" t="s">
        <v>44</v>
      </c>
      <c r="I114" s="19" t="s">
        <v>108</v>
      </c>
      <c r="J114" s="19" t="s">
        <v>46</v>
      </c>
      <c r="K114" s="19" t="s">
        <v>127</v>
      </c>
      <c r="L114" s="19" t="s">
        <v>48</v>
      </c>
      <c r="M114" s="19" t="s">
        <v>204</v>
      </c>
      <c r="N114" s="19" t="s">
        <v>167</v>
      </c>
      <c r="O114" s="19" t="s">
        <v>204</v>
      </c>
      <c r="P114" s="19" t="s">
        <v>206</v>
      </c>
      <c r="Q114" s="19" t="s">
        <v>648</v>
      </c>
      <c r="R114" s="19" t="s">
        <v>649</v>
      </c>
      <c r="S114" s="19"/>
      <c r="T114" s="19" t="s">
        <v>54</v>
      </c>
      <c r="U114" s="19" t="s">
        <v>146</v>
      </c>
      <c r="V114" s="19" t="s">
        <v>80</v>
      </c>
      <c r="W114" s="19" t="s">
        <v>70</v>
      </c>
      <c r="X114" s="19"/>
      <c r="Y114" s="19"/>
      <c r="Z114" s="19" t="s">
        <v>650</v>
      </c>
      <c r="AA114" s="19">
        <v>1</v>
      </c>
      <c r="AB114" s="19">
        <v>1</v>
      </c>
      <c r="AC114" s="19" t="s">
        <v>60</v>
      </c>
      <c r="AD114" s="19" t="s">
        <v>206</v>
      </c>
      <c r="AE114" s="19" t="s">
        <v>466</v>
      </c>
      <c r="AF114" s="19"/>
    </row>
    <row r="115" spans="1:34">
      <c r="A115" s="19">
        <v>110</v>
      </c>
      <c r="B115" s="19" t="s">
        <v>171</v>
      </c>
      <c r="C115" s="19" t="s">
        <v>651</v>
      </c>
      <c r="D115" s="19" t="str">
        <f>HYPERLINK("http://henontech.com/fieldsafety/harzard/harzard_show.php?rid=2869&amp;url=harzardrecs.php","干熄炉二层平台铁板开焊，巡检人员路过不慎被绊倒，擦伤右手手掌，送医治疗损工半天")</f>
        <v>干熄炉二层平台铁板开焊，巡检人员路过不慎被绊倒，擦伤右手手掌，送医治疗损工半天</v>
      </c>
      <c r="E115" s="19" t="s">
        <v>652</v>
      </c>
      <c r="F115" s="25" t="s">
        <v>425</v>
      </c>
      <c r="G115" s="21" t="s">
        <v>43</v>
      </c>
      <c r="H115" s="19" t="s">
        <v>44</v>
      </c>
      <c r="I115" s="19" t="s">
        <v>45</v>
      </c>
      <c r="J115" s="19" t="s">
        <v>109</v>
      </c>
      <c r="K115" s="19"/>
      <c r="L115" s="19"/>
      <c r="M115" s="19" t="s">
        <v>87</v>
      </c>
      <c r="N115" s="19" t="s">
        <v>653</v>
      </c>
      <c r="O115" s="19" t="s">
        <v>87</v>
      </c>
      <c r="P115" s="19" t="s">
        <v>128</v>
      </c>
      <c r="Q115" s="19" t="s">
        <v>358</v>
      </c>
      <c r="R115" s="19" t="s">
        <v>654</v>
      </c>
      <c r="S115" s="19" t="s">
        <v>655</v>
      </c>
      <c r="T115" s="19" t="s">
        <v>54</v>
      </c>
      <c r="U115" s="19" t="s">
        <v>55</v>
      </c>
      <c r="V115" s="19" t="s">
        <v>80</v>
      </c>
      <c r="W115" s="19" t="s">
        <v>81</v>
      </c>
      <c r="X115" s="19" t="s">
        <v>169</v>
      </c>
      <c r="Y115" s="19"/>
      <c r="Z115" s="19" t="s">
        <v>656</v>
      </c>
      <c r="AA115" s="19">
        <v>1</v>
      </c>
      <c r="AB115" s="19"/>
      <c r="AC115" s="19" t="s">
        <v>330</v>
      </c>
      <c r="AD115" s="19"/>
      <c r="AE115" s="19"/>
      <c r="AF115" s="19"/>
    </row>
    <row r="116" spans="1:34" customHeight="1" ht="42">
      <c r="A116" s="19">
        <v>111</v>
      </c>
      <c r="B116" s="19" t="s">
        <v>161</v>
      </c>
      <c r="C116" s="19" t="s">
        <v>147</v>
      </c>
      <c r="D116" s="19" t="str">
        <f>HYPERLINK("http://henontech.com/fieldsafety/harzard/harzard_show.php?rid=2870&amp;url=harzardrecs.php","除盐水站二楼加药间加碱泵未固定，一员工巡检至加药间调节碱泵上量时，碱泵倾斜，员工被溅出的碱灼伤手部，立即用大量清水冲洗，皮肤发红无损工")</f>
        <v>除盐水站二楼加药间加碱泵未固定，一员工巡检至加药间调节碱泵上量时，碱泵倾斜，员工被溅出的碱灼伤手部，立即用大量清水冲洗，皮肤发红无损工</v>
      </c>
      <c r="E116" s="19" t="s">
        <v>657</v>
      </c>
      <c r="F116" s="25" t="s">
        <v>425</v>
      </c>
      <c r="G116" s="21" t="s">
        <v>43</v>
      </c>
      <c r="H116" s="19" t="s">
        <v>44</v>
      </c>
      <c r="I116" s="19"/>
      <c r="J116" s="19" t="s">
        <v>77</v>
      </c>
      <c r="K116" s="19" t="s">
        <v>137</v>
      </c>
      <c r="L116" s="19" t="s">
        <v>48</v>
      </c>
      <c r="M116" s="19" t="s">
        <v>87</v>
      </c>
      <c r="N116" s="19" t="s">
        <v>149</v>
      </c>
      <c r="O116" s="19" t="s">
        <v>49</v>
      </c>
      <c r="P116" s="19" t="s">
        <v>51</v>
      </c>
      <c r="Q116" s="19" t="s">
        <v>358</v>
      </c>
      <c r="R116" s="19" t="s">
        <v>658</v>
      </c>
      <c r="S116" s="19"/>
      <c r="T116" s="19" t="s">
        <v>54</v>
      </c>
      <c r="U116" s="19" t="s">
        <v>133</v>
      </c>
      <c r="V116" s="19" t="s">
        <v>69</v>
      </c>
      <c r="W116" s="19" t="s">
        <v>134</v>
      </c>
      <c r="X116" s="19" t="s">
        <v>58</v>
      </c>
      <c r="Y116" s="19"/>
      <c r="Z116" s="19" t="s">
        <v>659</v>
      </c>
      <c r="AA116" s="19">
        <v>2</v>
      </c>
      <c r="AB116" s="19"/>
      <c r="AC116" s="19" t="s">
        <v>330</v>
      </c>
      <c r="AD116" s="19"/>
      <c r="AE116" s="19"/>
      <c r="AF116" s="19"/>
    </row>
    <row r="117" spans="1:34">
      <c r="A117" s="19">
        <v>112</v>
      </c>
      <c r="B117" s="19" t="s">
        <v>466</v>
      </c>
      <c r="C117" s="19" t="s">
        <v>204</v>
      </c>
      <c r="D117" s="19" t="str">
        <f>HYPERLINK("http://henontech.com/fieldsafety/harzard/harzard_show.php?rid=2871&amp;url=harzardrecs.php","北脱硫泵房北侧高处电缆桥架上遗留一根铁管，如果一名操作工在大风天气中巡检时，被大风吹落的铁管砸中左肩膀送往医院经诊断左肩膀骨裂住院治疗7天在家休养1个月。")</f>
        <v>北脱硫泵房北侧高处电缆桥架上遗留一根铁管，如果一名操作工在大风天气中巡检时，被大风吹落的铁管砸中左肩膀送往医院经诊断左肩膀骨裂住院治疗7天在家休养1个月。</v>
      </c>
      <c r="E117" s="19" t="s">
        <v>660</v>
      </c>
      <c r="F117" s="20" t="s">
        <v>42</v>
      </c>
      <c r="G117" s="21" t="s">
        <v>43</v>
      </c>
      <c r="H117" s="19" t="s">
        <v>44</v>
      </c>
      <c r="I117" s="19" t="s">
        <v>66</v>
      </c>
      <c r="J117" s="19" t="s">
        <v>77</v>
      </c>
      <c r="K117" s="19" t="s">
        <v>47</v>
      </c>
      <c r="L117" s="19" t="s">
        <v>48</v>
      </c>
      <c r="M117" s="19" t="s">
        <v>204</v>
      </c>
      <c r="N117" s="19" t="s">
        <v>661</v>
      </c>
      <c r="O117" s="19" t="s">
        <v>204</v>
      </c>
      <c r="P117" s="19" t="s">
        <v>206</v>
      </c>
      <c r="Q117" s="19" t="s">
        <v>648</v>
      </c>
      <c r="R117" s="19" t="s">
        <v>529</v>
      </c>
      <c r="S117" s="19"/>
      <c r="T117" s="19" t="s">
        <v>54</v>
      </c>
      <c r="U117" s="19" t="s">
        <v>55</v>
      </c>
      <c r="V117" s="19" t="s">
        <v>69</v>
      </c>
      <c r="W117" s="19" t="s">
        <v>70</v>
      </c>
      <c r="X117" s="19"/>
      <c r="Y117" s="19"/>
      <c r="Z117" s="19" t="s">
        <v>662</v>
      </c>
      <c r="AA117" s="19">
        <v>1</v>
      </c>
      <c r="AB117" s="19">
        <v>1</v>
      </c>
      <c r="AC117" s="19" t="s">
        <v>60</v>
      </c>
      <c r="AD117" s="19" t="s">
        <v>206</v>
      </c>
      <c r="AE117" s="19" t="s">
        <v>466</v>
      </c>
      <c r="AF117" s="19"/>
    </row>
    <row r="118" spans="1:34">
      <c r="A118" s="19">
        <v>113</v>
      </c>
      <c r="B118" s="19" t="s">
        <v>466</v>
      </c>
      <c r="C118" s="19" t="s">
        <v>597</v>
      </c>
      <c r="D118" s="19" t="str">
        <f>HYPERLINK("http://henontech.com/fieldsafety/harzard/harzard_show.php?rid=2872&amp;url=harzardrecs.php","空压站东管道保温铝皮破损，如果有人从下面经过，有可能铝皮突然坠落会造成人员脸部轻微擦伤，去医务室简单包扎后复工。")</f>
        <v>空压站东管道保温铝皮破损，如果有人从下面经过，有可能铝皮突然坠落会造成人员脸部轻微擦伤，去医务室简单包扎后复工。</v>
      </c>
      <c r="E118" s="19" t="s">
        <v>663</v>
      </c>
      <c r="F118" s="20" t="s">
        <v>42</v>
      </c>
      <c r="G118" s="21" t="s">
        <v>43</v>
      </c>
      <c r="H118" s="19" t="s">
        <v>44</v>
      </c>
      <c r="I118" s="19" t="s">
        <v>66</v>
      </c>
      <c r="J118" s="19" t="s">
        <v>77</v>
      </c>
      <c r="K118" s="19" t="s">
        <v>47</v>
      </c>
      <c r="L118" s="19"/>
      <c r="M118" s="19" t="s">
        <v>204</v>
      </c>
      <c r="N118" s="19" t="s">
        <v>664</v>
      </c>
      <c r="O118" s="19" t="s">
        <v>204</v>
      </c>
      <c r="P118" s="19" t="s">
        <v>206</v>
      </c>
      <c r="Q118" s="19" t="s">
        <v>648</v>
      </c>
      <c r="R118" s="19" t="s">
        <v>665</v>
      </c>
      <c r="S118" s="19"/>
      <c r="T118" s="19" t="s">
        <v>54</v>
      </c>
      <c r="U118" s="19" t="s">
        <v>146</v>
      </c>
      <c r="V118" s="19" t="s">
        <v>80</v>
      </c>
      <c r="W118" s="19" t="s">
        <v>70</v>
      </c>
      <c r="X118" s="19"/>
      <c r="Y118" s="19"/>
      <c r="Z118" s="19" t="s">
        <v>666</v>
      </c>
      <c r="AA118" s="19">
        <v>1</v>
      </c>
      <c r="AB118" s="19">
        <v>1</v>
      </c>
      <c r="AC118" s="19" t="s">
        <v>60</v>
      </c>
      <c r="AD118" s="19" t="s">
        <v>206</v>
      </c>
      <c r="AE118" s="19" t="s">
        <v>276</v>
      </c>
      <c r="AF118" s="19"/>
    </row>
    <row r="119" spans="1:34" customHeight="1" ht="42">
      <c r="A119" s="19">
        <v>114</v>
      </c>
      <c r="B119" s="19" t="s">
        <v>466</v>
      </c>
      <c r="C119" s="19" t="s">
        <v>378</v>
      </c>
      <c r="D119" s="19" t="str">
        <f>HYPERLINK("http://henontech.com/fieldsafety/harzard/harzard_show.php?rid=2874&amp;url=harzardrecs.php","老超滤设备东南侧地沟石板盖板断裂，巡检人员巡检时右脚掉入地沟内，右小腿擦伤")</f>
        <v>老超滤设备东南侧地沟石板盖板断裂，巡检人员巡检时右脚掉入地沟内，右小腿擦伤</v>
      </c>
      <c r="E119" s="19" t="s">
        <v>667</v>
      </c>
      <c r="F119" s="20" t="s">
        <v>42</v>
      </c>
      <c r="G119" s="21" t="s">
        <v>43</v>
      </c>
      <c r="H119" s="19" t="s">
        <v>44</v>
      </c>
      <c r="I119" s="19" t="s">
        <v>66</v>
      </c>
      <c r="J119" s="19" t="s">
        <v>77</v>
      </c>
      <c r="K119" s="19" t="s">
        <v>137</v>
      </c>
      <c r="L119" s="19"/>
      <c r="M119" s="19" t="s">
        <v>49</v>
      </c>
      <c r="N119" s="19" t="s">
        <v>78</v>
      </c>
      <c r="O119" s="19" t="s">
        <v>49</v>
      </c>
      <c r="P119" s="19" t="s">
        <v>51</v>
      </c>
      <c r="Q119" s="19" t="s">
        <v>358</v>
      </c>
      <c r="R119" s="19" t="s">
        <v>668</v>
      </c>
      <c r="S119" s="19"/>
      <c r="T119" s="19" t="s">
        <v>54</v>
      </c>
      <c r="U119" s="19" t="s">
        <v>55</v>
      </c>
      <c r="V119" s="19" t="s">
        <v>69</v>
      </c>
      <c r="W119" s="19" t="s">
        <v>70</v>
      </c>
      <c r="X119" s="19" t="s">
        <v>58</v>
      </c>
      <c r="Y119" s="19"/>
      <c r="Z119" s="19" t="s">
        <v>669</v>
      </c>
      <c r="AA119" s="19">
        <v>2</v>
      </c>
      <c r="AB119" s="19">
        <v>1</v>
      </c>
      <c r="AC119" s="19" t="s">
        <v>60</v>
      </c>
      <c r="AD119" s="19" t="s">
        <v>51</v>
      </c>
      <c r="AE119" s="19" t="s">
        <v>670</v>
      </c>
      <c r="AF119" s="19" t="s">
        <v>671</v>
      </c>
    </row>
    <row r="120" spans="1:34">
      <c r="A120" s="19">
        <v>115</v>
      </c>
      <c r="B120" s="19" t="s">
        <v>466</v>
      </c>
      <c r="C120" s="19" t="s">
        <v>612</v>
      </c>
      <c r="D120" s="19" t="str">
        <f>HYPERLINK("http://henontech.com/fieldsafety/harzard/harzard_show.php?rid=2875&amp;url=harzardrecs.php","南风机初冷器东北角高处电缆桥架上有一块废弃线路板，如果一名操作人员在大风天气中巡检时，废弃线路板被大风吹落划伤右手部，经包扎后不影响工作。")</f>
        <v>南风机初冷器东北角高处电缆桥架上有一块废弃线路板，如果一名操作人员在大风天气中巡检时，废弃线路板被大风吹落划伤右手部，经包扎后不影响工作。</v>
      </c>
      <c r="E120" s="19" t="s">
        <v>672</v>
      </c>
      <c r="F120" s="25" t="s">
        <v>425</v>
      </c>
      <c r="G120" s="21" t="s">
        <v>43</v>
      </c>
      <c r="H120" s="19" t="s">
        <v>44</v>
      </c>
      <c r="I120" s="19" t="s">
        <v>45</v>
      </c>
      <c r="J120" s="19" t="s">
        <v>46</v>
      </c>
      <c r="K120" s="19" t="s">
        <v>47</v>
      </c>
      <c r="L120" s="19" t="s">
        <v>48</v>
      </c>
      <c r="M120" s="19" t="s">
        <v>204</v>
      </c>
      <c r="N120" s="19" t="s">
        <v>673</v>
      </c>
      <c r="O120" s="19" t="s">
        <v>204</v>
      </c>
      <c r="P120" s="19" t="s">
        <v>206</v>
      </c>
      <c r="Q120" s="19" t="s">
        <v>358</v>
      </c>
      <c r="R120" s="19" t="s">
        <v>674</v>
      </c>
      <c r="S120" s="19"/>
      <c r="T120" s="19" t="s">
        <v>54</v>
      </c>
      <c r="U120" s="19" t="s">
        <v>146</v>
      </c>
      <c r="V120" s="19" t="s">
        <v>80</v>
      </c>
      <c r="W120" s="19" t="s">
        <v>70</v>
      </c>
      <c r="X120" s="19"/>
      <c r="Y120" s="19"/>
      <c r="Z120" s="19" t="s">
        <v>675</v>
      </c>
      <c r="AA120" s="19">
        <v>1</v>
      </c>
      <c r="AB120" s="19"/>
      <c r="AC120" s="19" t="s">
        <v>330</v>
      </c>
      <c r="AD120" s="19"/>
      <c r="AE120" s="19"/>
      <c r="AF120" s="19"/>
    </row>
    <row r="121" spans="1:34" customHeight="1" ht="42">
      <c r="A121" s="19">
        <v>116</v>
      </c>
      <c r="B121" s="19" t="s">
        <v>171</v>
      </c>
      <c r="C121" s="19" t="s">
        <v>535</v>
      </c>
      <c r="D121" s="19" t="str">
        <f>HYPERLINK("http://henontech.com/fieldsafety/harzard/harzard_show.php?rid=2877&amp;url=harzardrecs.php","煤六后尾彩钢架顶部彩钢瓦铁皮脱落，行人行至煤六时铁皮被风吹落划伤行人脖颈，送医院包扎在家休息七天！")</f>
        <v>煤六后尾彩钢架顶部彩钢瓦铁皮脱落，行人行至煤六时铁皮被风吹落划伤行人脖颈，送医院包扎在家休息七天！</v>
      </c>
      <c r="E121" s="19" t="s">
        <v>676</v>
      </c>
      <c r="F121" s="20" t="s">
        <v>42</v>
      </c>
      <c r="G121" s="23" t="s">
        <v>289</v>
      </c>
      <c r="H121" s="19" t="s">
        <v>44</v>
      </c>
      <c r="I121" s="19" t="s">
        <v>45</v>
      </c>
      <c r="J121" s="19" t="s">
        <v>156</v>
      </c>
      <c r="K121" s="19" t="s">
        <v>173</v>
      </c>
      <c r="L121" s="19" t="s">
        <v>48</v>
      </c>
      <c r="M121" s="19" t="s">
        <v>317</v>
      </c>
      <c r="N121" s="19" t="s">
        <v>318</v>
      </c>
      <c r="O121" s="19" t="s">
        <v>317</v>
      </c>
      <c r="P121" s="19" t="s">
        <v>319</v>
      </c>
      <c r="Q121" s="19" t="s">
        <v>490</v>
      </c>
      <c r="R121" s="19" t="s">
        <v>677</v>
      </c>
      <c r="S121" s="19" t="s">
        <v>678</v>
      </c>
      <c r="T121" s="19" t="s">
        <v>54</v>
      </c>
      <c r="U121" s="19" t="s">
        <v>146</v>
      </c>
      <c r="V121" s="19" t="s">
        <v>209</v>
      </c>
      <c r="W121" s="19" t="s">
        <v>134</v>
      </c>
      <c r="X121" s="19" t="s">
        <v>93</v>
      </c>
      <c r="Y121" s="19" t="s">
        <v>93</v>
      </c>
      <c r="Z121" s="19" t="s">
        <v>679</v>
      </c>
      <c r="AA121" s="19">
        <v>2</v>
      </c>
      <c r="AB121" s="19">
        <v>2</v>
      </c>
      <c r="AC121" s="19" t="s">
        <v>60</v>
      </c>
      <c r="AD121" s="19" t="s">
        <v>319</v>
      </c>
      <c r="AE121" s="19" t="s">
        <v>610</v>
      </c>
      <c r="AF121" s="19" t="s">
        <v>680</v>
      </c>
    </row>
    <row r="122" spans="1:34" customHeight="1" ht="42">
      <c r="A122" s="19">
        <v>117</v>
      </c>
      <c r="B122" s="19" t="s">
        <v>171</v>
      </c>
      <c r="C122" s="19" t="s">
        <v>315</v>
      </c>
      <c r="D122" s="19" t="str">
        <f>HYPERLINK("http://henontech.com/fieldsafety/harzard/harzard_show.php?rid=2878&amp;url=harzardrecs.php","煤棚西北角水沟篦子破损，夜间煤场人员在巡检时不慎踩在破损的篦子处，导致左小腿划伤，送医务室包扎，在家休息三天！")</f>
        <v>煤棚西北角水沟篦子破损，夜间煤场人员在巡检时不慎踩在破损的篦子处，导致左小腿划伤，送医务室包扎，在家休息三天！</v>
      </c>
      <c r="E122" s="19" t="s">
        <v>681</v>
      </c>
      <c r="F122" s="20" t="s">
        <v>42</v>
      </c>
      <c r="G122" s="22" t="s">
        <v>107</v>
      </c>
      <c r="H122" s="19" t="s">
        <v>44</v>
      </c>
      <c r="I122" s="19" t="s">
        <v>45</v>
      </c>
      <c r="J122" s="19" t="s">
        <v>156</v>
      </c>
      <c r="K122" s="19" t="s">
        <v>173</v>
      </c>
      <c r="L122" s="19" t="s">
        <v>48</v>
      </c>
      <c r="M122" s="19" t="s">
        <v>317</v>
      </c>
      <c r="N122" s="19" t="s">
        <v>318</v>
      </c>
      <c r="O122" s="19" t="s">
        <v>317</v>
      </c>
      <c r="P122" s="19" t="s">
        <v>319</v>
      </c>
      <c r="Q122" s="19" t="s">
        <v>490</v>
      </c>
      <c r="R122" s="19" t="s">
        <v>682</v>
      </c>
      <c r="S122" s="19" t="s">
        <v>683</v>
      </c>
      <c r="T122" s="19" t="s">
        <v>54</v>
      </c>
      <c r="U122" s="19" t="s">
        <v>146</v>
      </c>
      <c r="V122" s="19" t="s">
        <v>209</v>
      </c>
      <c r="W122" s="19" t="s">
        <v>134</v>
      </c>
      <c r="X122" s="19" t="s">
        <v>93</v>
      </c>
      <c r="Y122" s="19" t="s">
        <v>93</v>
      </c>
      <c r="Z122" s="19" t="s">
        <v>684</v>
      </c>
      <c r="AA122" s="19">
        <v>2</v>
      </c>
      <c r="AB122" s="19">
        <v>2</v>
      </c>
      <c r="AC122" s="19" t="s">
        <v>60</v>
      </c>
      <c r="AD122" s="19" t="s">
        <v>319</v>
      </c>
      <c r="AE122" s="19" t="s">
        <v>610</v>
      </c>
      <c r="AF122" s="19" t="s">
        <v>685</v>
      </c>
    </row>
    <row r="123" spans="1:34">
      <c r="A123" s="19">
        <v>118</v>
      </c>
      <c r="B123" s="19" t="s">
        <v>171</v>
      </c>
      <c r="C123" s="19" t="s">
        <v>118</v>
      </c>
      <c r="D123" s="19" t="str">
        <f>HYPERLINK("http://henontech.com/fieldsafety/harzard/harzard_show.php?rid=2879&amp;url=harzardrecs.php","干熄焦5#减温减压三层平台东侧墙体有1米见方洞口无有效护栏，岗位人员夜间巡检时不慎踩空，从7米高洞口处坠落至外部地面，头部着地摔伤昏迷")</f>
        <v>干熄焦5#减温减压三层平台东侧墙体有1米见方洞口无有效护栏，岗位人员夜间巡检时不慎踩空，从7米高洞口处坠落至外部地面，头部着地摔伤昏迷</v>
      </c>
      <c r="E123" s="19" t="s">
        <v>686</v>
      </c>
      <c r="F123" s="20" t="s">
        <v>42</v>
      </c>
      <c r="G123" s="21" t="s">
        <v>43</v>
      </c>
      <c r="H123" s="19" t="s">
        <v>44</v>
      </c>
      <c r="I123" s="19" t="s">
        <v>45</v>
      </c>
      <c r="J123" s="19" t="s">
        <v>77</v>
      </c>
      <c r="K123" s="19"/>
      <c r="L123" s="19"/>
      <c r="M123" s="19" t="s">
        <v>87</v>
      </c>
      <c r="N123" s="19" t="s">
        <v>687</v>
      </c>
      <c r="O123" s="19" t="s">
        <v>87</v>
      </c>
      <c r="P123" s="19" t="s">
        <v>128</v>
      </c>
      <c r="Q123" s="19" t="s">
        <v>688</v>
      </c>
      <c r="R123" s="19" t="s">
        <v>689</v>
      </c>
      <c r="S123" s="19" t="s">
        <v>690</v>
      </c>
      <c r="T123" s="19" t="s">
        <v>54</v>
      </c>
      <c r="U123" s="19" t="s">
        <v>114</v>
      </c>
      <c r="V123" s="19" t="s">
        <v>69</v>
      </c>
      <c r="W123" s="19" t="s">
        <v>81</v>
      </c>
      <c r="X123" s="19" t="s">
        <v>169</v>
      </c>
      <c r="Y123" s="19"/>
      <c r="Z123" s="19" t="s">
        <v>691</v>
      </c>
      <c r="AA123" s="19">
        <v>1</v>
      </c>
      <c r="AB123" s="19">
        <v>1</v>
      </c>
      <c r="AC123" s="19" t="s">
        <v>60</v>
      </c>
      <c r="AD123" s="19" t="s">
        <v>128</v>
      </c>
      <c r="AE123" s="19" t="s">
        <v>490</v>
      </c>
      <c r="AF123" s="19" t="s">
        <v>692</v>
      </c>
    </row>
    <row r="124" spans="1:34">
      <c r="A124" s="19">
        <v>119</v>
      </c>
      <c r="B124" s="19" t="s">
        <v>171</v>
      </c>
      <c r="C124" s="19" t="s">
        <v>597</v>
      </c>
      <c r="D124" s="19" t="str">
        <f>HYPERLINK("http://henontech.com/fieldsafety/harzard/harzard_show.php?rid=2880&amp;url=harzardrecs.php","溶液缓冲泵新按装进液管线未加支撑，如果管线堵塞需要疏通，一名维修工在进行拆卸时可能被掉落的管道砸伤脚部，造成脚部骨折，送医院治疗一个月，回家休养两个月后复工")</f>
        <v>溶液缓冲泵新按装进液管线未加支撑，如果管线堵塞需要疏通，一名维修工在进行拆卸时可能被掉落的管道砸伤脚部，造成脚部骨折，送医院治疗一个月，回家休养两个月后复工</v>
      </c>
      <c r="E124" s="19" t="s">
        <v>693</v>
      </c>
      <c r="F124" s="20" t="s">
        <v>42</v>
      </c>
      <c r="G124" s="21" t="s">
        <v>43</v>
      </c>
      <c r="H124" s="19" t="s">
        <v>44</v>
      </c>
      <c r="I124" s="19" t="s">
        <v>66</v>
      </c>
      <c r="J124" s="19" t="s">
        <v>46</v>
      </c>
      <c r="K124" s="19" t="s">
        <v>47</v>
      </c>
      <c r="L124" s="19"/>
      <c r="M124" s="19" t="s">
        <v>204</v>
      </c>
      <c r="N124" s="19" t="s">
        <v>694</v>
      </c>
      <c r="O124" s="19" t="s">
        <v>204</v>
      </c>
      <c r="P124" s="19" t="s">
        <v>206</v>
      </c>
      <c r="Q124" s="19" t="s">
        <v>695</v>
      </c>
      <c r="R124" s="19" t="s">
        <v>696</v>
      </c>
      <c r="S124" s="19"/>
      <c r="T124" s="19" t="s">
        <v>54</v>
      </c>
      <c r="U124" s="19" t="s">
        <v>55</v>
      </c>
      <c r="V124" s="19" t="s">
        <v>69</v>
      </c>
      <c r="W124" s="19" t="s">
        <v>70</v>
      </c>
      <c r="X124" s="19"/>
      <c r="Y124" s="19"/>
      <c r="Z124" s="19" t="s">
        <v>697</v>
      </c>
      <c r="AA124" s="19">
        <v>1</v>
      </c>
      <c r="AB124" s="19">
        <v>1</v>
      </c>
      <c r="AC124" s="19" t="s">
        <v>60</v>
      </c>
      <c r="AD124" s="19" t="s">
        <v>206</v>
      </c>
      <c r="AE124" s="19" t="s">
        <v>520</v>
      </c>
      <c r="AF124" s="19"/>
    </row>
    <row r="125" spans="1:34" customHeight="1" ht="42">
      <c r="A125" s="19">
        <v>120</v>
      </c>
      <c r="B125" s="19" t="s">
        <v>171</v>
      </c>
      <c r="C125" s="19" t="s">
        <v>535</v>
      </c>
      <c r="D125" s="19" t="str">
        <f>HYPERLINK("http://henontech.com/fieldsafety/harzard/harzard_show.php?rid=2881&amp;url=harzardrecs.php","煤八后尾破碎机下料筒振动电机电源线未套管 线皮磨损漏电 操作工清理卫生时不慎触电摔倒 扭伤脚踝  休息一会不影响工作")</f>
        <v>煤八后尾破碎机下料筒振动电机电源线未套管 线皮磨损漏电 操作工清理卫生时不慎触电摔倒 扭伤脚踝  休息一会不影响工作</v>
      </c>
      <c r="E125" s="19" t="s">
        <v>698</v>
      </c>
      <c r="F125" s="20" t="s">
        <v>42</v>
      </c>
      <c r="G125" s="21" t="s">
        <v>43</v>
      </c>
      <c r="H125" s="19" t="s">
        <v>44</v>
      </c>
      <c r="I125" s="19" t="s">
        <v>45</v>
      </c>
      <c r="J125" s="19" t="s">
        <v>46</v>
      </c>
      <c r="K125" s="19" t="s">
        <v>173</v>
      </c>
      <c r="L125" s="19" t="s">
        <v>48</v>
      </c>
      <c r="M125" s="19" t="s">
        <v>317</v>
      </c>
      <c r="N125" s="19" t="s">
        <v>337</v>
      </c>
      <c r="O125" s="19" t="s">
        <v>317</v>
      </c>
      <c r="P125" s="19" t="s">
        <v>341</v>
      </c>
      <c r="Q125" s="19" t="s">
        <v>699</v>
      </c>
      <c r="R125" s="19" t="s">
        <v>700</v>
      </c>
      <c r="S125" s="19"/>
      <c r="T125" s="19" t="s">
        <v>54</v>
      </c>
      <c r="U125" s="19" t="s">
        <v>146</v>
      </c>
      <c r="V125" s="19" t="s">
        <v>69</v>
      </c>
      <c r="W125" s="19" t="s">
        <v>134</v>
      </c>
      <c r="X125" s="19"/>
      <c r="Y125" s="19"/>
      <c r="Z125" s="19" t="s">
        <v>701</v>
      </c>
      <c r="AA125" s="19">
        <v>2</v>
      </c>
      <c r="AB125" s="19">
        <v>2</v>
      </c>
      <c r="AC125" s="19" t="s">
        <v>60</v>
      </c>
      <c r="AD125" s="19" t="s">
        <v>341</v>
      </c>
      <c r="AE125" s="19" t="s">
        <v>610</v>
      </c>
      <c r="AF125" s="19"/>
    </row>
    <row r="126" spans="1:34" customHeight="1" ht="42">
      <c r="A126" s="19">
        <v>121</v>
      </c>
      <c r="B126" s="19" t="s">
        <v>171</v>
      </c>
      <c r="C126" s="19" t="s">
        <v>335</v>
      </c>
      <c r="D126" s="19" t="str">
        <f>HYPERLINK("http://henontech.com/fieldsafety/harzard/harzard_show.php?rid=2882&amp;url=harzardrecs.php","煤五斜桥一照明灯损坏  操作工巡检上下楼梯 不慎摔倒右前臂骨折 送医治疗 住院一个月 在家休养91天")</f>
        <v>煤五斜桥一照明灯损坏  操作工巡检上下楼梯 不慎摔倒右前臂骨折 送医治疗 住院一个月 在家休养91天</v>
      </c>
      <c r="E126" s="19" t="s">
        <v>702</v>
      </c>
      <c r="F126" s="20" t="s">
        <v>42</v>
      </c>
      <c r="G126" s="21" t="s">
        <v>43</v>
      </c>
      <c r="H126" s="19" t="s">
        <v>44</v>
      </c>
      <c r="I126" s="19" t="s">
        <v>66</v>
      </c>
      <c r="J126" s="19" t="s">
        <v>46</v>
      </c>
      <c r="K126" s="19" t="s">
        <v>137</v>
      </c>
      <c r="L126" s="19" t="s">
        <v>48</v>
      </c>
      <c r="M126" s="19" t="s">
        <v>317</v>
      </c>
      <c r="N126" s="19" t="s">
        <v>337</v>
      </c>
      <c r="O126" s="19" t="s">
        <v>317</v>
      </c>
      <c r="P126" s="19" t="s">
        <v>341</v>
      </c>
      <c r="Q126" s="19" t="s">
        <v>699</v>
      </c>
      <c r="R126" s="19" t="s">
        <v>703</v>
      </c>
      <c r="S126" s="19"/>
      <c r="T126" s="19" t="s">
        <v>54</v>
      </c>
      <c r="U126" s="19" t="s">
        <v>55</v>
      </c>
      <c r="V126" s="19" t="s">
        <v>80</v>
      </c>
      <c r="W126" s="19" t="s">
        <v>81</v>
      </c>
      <c r="X126" s="19"/>
      <c r="Y126" s="19"/>
      <c r="Z126" s="19" t="s">
        <v>473</v>
      </c>
      <c r="AA126" s="19">
        <v>2</v>
      </c>
      <c r="AB126" s="19">
        <v>2</v>
      </c>
      <c r="AC126" s="19" t="s">
        <v>60</v>
      </c>
      <c r="AD126" s="19" t="s">
        <v>341</v>
      </c>
      <c r="AE126" s="19" t="s">
        <v>610</v>
      </c>
      <c r="AF126" s="19"/>
    </row>
    <row r="127" spans="1:34">
      <c r="A127" s="19">
        <v>122</v>
      </c>
      <c r="B127" s="19" t="s">
        <v>610</v>
      </c>
      <c r="C127" s="19" t="s">
        <v>236</v>
      </c>
      <c r="D127" s="19" t="str">
        <f>HYPERLINK("http://henontech.com/fieldsafety/harzard/harzard_show.php?rid=2883&amp;url=harzardrecs.php","西硫铵三楼热水分离器无包装，缺失安全警示牌。假如在日常操作中一名操作工在工作时碰到了热水分离上人问，右手被烫伤，紧急用凉水冲洗后送医院治疗，在家修养七天后正常上班。")</f>
        <v>西硫铵三楼热水分离器无包装，缺失安全警示牌。假如在日常操作中一名操作工在工作时碰到了热水分离上人问，右手被烫伤，紧急用凉水冲洗后送医院治疗，在家修养七天后正常上班。</v>
      </c>
      <c r="E127" s="19" t="s">
        <v>704</v>
      </c>
      <c r="F127" s="20" t="s">
        <v>42</v>
      </c>
      <c r="G127" s="21" t="s">
        <v>43</v>
      </c>
      <c r="H127" s="19" t="s">
        <v>44</v>
      </c>
      <c r="I127" s="19" t="s">
        <v>108</v>
      </c>
      <c r="J127" s="19" t="s">
        <v>77</v>
      </c>
      <c r="K127" s="19" t="s">
        <v>173</v>
      </c>
      <c r="L127" s="19"/>
      <c r="M127" s="19" t="s">
        <v>204</v>
      </c>
      <c r="N127" s="19" t="s">
        <v>238</v>
      </c>
      <c r="O127" s="19" t="s">
        <v>204</v>
      </c>
      <c r="P127" s="19" t="s">
        <v>206</v>
      </c>
      <c r="Q127" s="19" t="s">
        <v>699</v>
      </c>
      <c r="R127" s="19" t="s">
        <v>705</v>
      </c>
      <c r="S127" s="19"/>
      <c r="T127" s="19" t="s">
        <v>54</v>
      </c>
      <c r="U127" s="19" t="s">
        <v>55</v>
      </c>
      <c r="V127" s="19" t="s">
        <v>69</v>
      </c>
      <c r="W127" s="19" t="s">
        <v>70</v>
      </c>
      <c r="X127" s="19"/>
      <c r="Y127" s="19"/>
      <c r="Z127" s="19" t="s">
        <v>706</v>
      </c>
      <c r="AA127" s="19">
        <v>1</v>
      </c>
      <c r="AB127" s="19">
        <v>1</v>
      </c>
      <c r="AC127" s="19" t="s">
        <v>60</v>
      </c>
      <c r="AD127" s="19" t="s">
        <v>206</v>
      </c>
      <c r="AE127" s="19" t="s">
        <v>281</v>
      </c>
      <c r="AF127" s="19"/>
    </row>
    <row r="128" spans="1:34" customHeight="1" ht="42">
      <c r="A128" s="19">
        <v>123</v>
      </c>
      <c r="B128" s="19" t="s">
        <v>61</v>
      </c>
      <c r="C128" s="19" t="s">
        <v>315</v>
      </c>
      <c r="D128" s="19" t="str">
        <f>HYPERLINK("http://henontech.com/fieldsafety/harzard/harzard_show.php?rid=2884&amp;url=harzardrecs.php","西四电缆线未按套管线头外漏，岗位操作工在工作时，左手不慎碰到外漏线头，导致左手电伤在家休息三天！")</f>
        <v>西四电缆线未按套管线头外漏，岗位操作工在工作时，左手不慎碰到外漏线头，导致左手电伤在家休息三天！</v>
      </c>
      <c r="E128" s="19" t="s">
        <v>707</v>
      </c>
      <c r="F128" s="20" t="s">
        <v>42</v>
      </c>
      <c r="G128" s="21" t="s">
        <v>43</v>
      </c>
      <c r="H128" s="19" t="s">
        <v>44</v>
      </c>
      <c r="I128" s="19" t="s">
        <v>45</v>
      </c>
      <c r="J128" s="19" t="s">
        <v>156</v>
      </c>
      <c r="K128" s="19" t="s">
        <v>173</v>
      </c>
      <c r="L128" s="19" t="s">
        <v>48</v>
      </c>
      <c r="M128" s="19" t="s">
        <v>317</v>
      </c>
      <c r="N128" s="19" t="s">
        <v>708</v>
      </c>
      <c r="O128" s="19" t="s">
        <v>317</v>
      </c>
      <c r="P128" s="19" t="s">
        <v>319</v>
      </c>
      <c r="Q128" s="19" t="s">
        <v>636</v>
      </c>
      <c r="R128" s="19" t="s">
        <v>709</v>
      </c>
      <c r="S128" s="19" t="s">
        <v>710</v>
      </c>
      <c r="T128" s="19" t="s">
        <v>54</v>
      </c>
      <c r="U128" s="19" t="s">
        <v>146</v>
      </c>
      <c r="V128" s="19" t="s">
        <v>209</v>
      </c>
      <c r="W128" s="19" t="s">
        <v>134</v>
      </c>
      <c r="X128" s="19" t="s">
        <v>93</v>
      </c>
      <c r="Y128" s="19" t="s">
        <v>93</v>
      </c>
      <c r="Z128" s="19" t="s">
        <v>711</v>
      </c>
      <c r="AA128" s="19">
        <v>2</v>
      </c>
      <c r="AB128" s="19">
        <v>2</v>
      </c>
      <c r="AC128" s="19" t="s">
        <v>60</v>
      </c>
      <c r="AD128" s="19" t="s">
        <v>319</v>
      </c>
      <c r="AE128" s="19" t="s">
        <v>610</v>
      </c>
      <c r="AF128" s="19" t="s">
        <v>712</v>
      </c>
    </row>
    <row r="129" spans="1:34">
      <c r="A129" s="19">
        <v>124</v>
      </c>
      <c r="B129" s="19" t="s">
        <v>61</v>
      </c>
      <c r="C129" s="19" t="s">
        <v>474</v>
      </c>
      <c r="D129" s="19" t="str">
        <f>HYPERLINK("http://henontech.com/fieldsafety/harzard/harzard_show.php?rid=2885&amp;url=harzardrecs.php","24日晚付晓寺在巡检到冷凝液低位槽西南侧时发现低位槽照明线路穿线管有烟雾冒出，观察穿线管破损处电线有打火现象，于是立即切断电源，并通知电工进行处理。电工检查处理完毕后送电恢复正常")</f>
        <v>24日晚付晓寺在巡检到冷凝液低位槽西南侧时发现低位槽照明线路穿线管有烟雾冒出，观察穿线管破损处电线有打火现象，于是立即切断电源，并通知电工进行处理。电工检查处理完毕后送电恢复正常</v>
      </c>
      <c r="E129" s="19" t="s">
        <v>713</v>
      </c>
      <c r="F129" s="20" t="s">
        <v>42</v>
      </c>
      <c r="G129" s="22" t="s">
        <v>107</v>
      </c>
      <c r="H129" s="19" t="s">
        <v>44</v>
      </c>
      <c r="I129" s="19"/>
      <c r="J129" s="19" t="s">
        <v>46</v>
      </c>
      <c r="K129" s="19"/>
      <c r="L129" s="19"/>
      <c r="M129" s="19" t="s">
        <v>204</v>
      </c>
      <c r="N129" s="19" t="s">
        <v>714</v>
      </c>
      <c r="O129" s="19" t="s">
        <v>204</v>
      </c>
      <c r="P129" s="19" t="s">
        <v>206</v>
      </c>
      <c r="Q129" s="19" t="s">
        <v>699</v>
      </c>
      <c r="R129" s="19" t="s">
        <v>715</v>
      </c>
      <c r="S129" s="19"/>
      <c r="T129" s="19" t="s">
        <v>132</v>
      </c>
      <c r="U129" s="19" t="s">
        <v>133</v>
      </c>
      <c r="V129" s="19" t="s">
        <v>80</v>
      </c>
      <c r="W129" s="19" t="s">
        <v>134</v>
      </c>
      <c r="X129" s="19"/>
      <c r="Y129" s="19"/>
      <c r="Z129" s="19" t="s">
        <v>716</v>
      </c>
      <c r="AA129" s="19">
        <v>1</v>
      </c>
      <c r="AB129" s="19">
        <v>1</v>
      </c>
      <c r="AC129" s="19" t="s">
        <v>60</v>
      </c>
      <c r="AD129" s="19" t="s">
        <v>206</v>
      </c>
      <c r="AE129" s="19" t="s">
        <v>95</v>
      </c>
      <c r="AF129" s="19"/>
    </row>
    <row r="130" spans="1:34">
      <c r="A130" s="19">
        <v>125</v>
      </c>
      <c r="B130" s="19" t="s">
        <v>61</v>
      </c>
      <c r="C130" s="19" t="s">
        <v>633</v>
      </c>
      <c r="D130" s="19" t="str">
        <f>HYPERLINK("http://henontech.com/fieldsafety/harzard/harzard_show.php?rid=2886&amp;url=harzardrecs.php","一名操作工在主副塔疏通管道作业时，不慎从六米平台坠落受伤。")</f>
        <v>一名操作工在主副塔疏通管道作业时，不慎从六米平台坠落受伤。</v>
      </c>
      <c r="E130" s="19" t="s">
        <v>717</v>
      </c>
      <c r="F130" s="20" t="s">
        <v>42</v>
      </c>
      <c r="G130" s="21" t="s">
        <v>43</v>
      </c>
      <c r="H130" s="19" t="s">
        <v>44</v>
      </c>
      <c r="I130" s="19" t="s">
        <v>66</v>
      </c>
      <c r="J130" s="19" t="s">
        <v>46</v>
      </c>
      <c r="K130" s="19" t="s">
        <v>173</v>
      </c>
      <c r="L130" s="19" t="s">
        <v>48</v>
      </c>
      <c r="M130" s="19" t="s">
        <v>229</v>
      </c>
      <c r="N130" s="19" t="s">
        <v>718</v>
      </c>
      <c r="O130" s="19" t="s">
        <v>229</v>
      </c>
      <c r="P130" s="19" t="s">
        <v>231</v>
      </c>
      <c r="Q130" s="19" t="s">
        <v>719</v>
      </c>
      <c r="R130" s="19" t="s">
        <v>720</v>
      </c>
      <c r="S130" s="19"/>
      <c r="T130" s="19" t="s">
        <v>54</v>
      </c>
      <c r="U130" s="19" t="s">
        <v>55</v>
      </c>
      <c r="V130" s="19" t="s">
        <v>80</v>
      </c>
      <c r="W130" s="19" t="s">
        <v>81</v>
      </c>
      <c r="X130" s="19" t="s">
        <v>58</v>
      </c>
      <c r="Y130" s="19" t="s">
        <v>58</v>
      </c>
      <c r="Z130" s="19" t="s">
        <v>721</v>
      </c>
      <c r="AA130" s="19">
        <v>1</v>
      </c>
      <c r="AB130" s="19">
        <v>1</v>
      </c>
      <c r="AC130" s="19" t="s">
        <v>60</v>
      </c>
      <c r="AD130" s="19" t="s">
        <v>231</v>
      </c>
      <c r="AE130" s="19" t="s">
        <v>291</v>
      </c>
      <c r="AF130" s="19"/>
    </row>
    <row r="131" spans="1:34">
      <c r="A131" s="19">
        <v>126</v>
      </c>
      <c r="B131" s="19" t="s">
        <v>610</v>
      </c>
      <c r="C131" s="19" t="s">
        <v>722</v>
      </c>
      <c r="D131" s="19" t="str">
        <f>HYPERLINK("http://henontech.com/fieldsafety/harzard/harzard_show.php?rid=2887&amp;url=harzardrecs.php","一名风机操作工在巡检过程中发现风机房内东北角支撑柱上方有旧复合板悬挂，一旦有人经过，旧复合板掉落，造成操作工右臂砸伤，住院治疗5天，出院后返工，损工5天。")</f>
        <v>一名风机操作工在巡检过程中发现风机房内东北角支撑柱上方有旧复合板悬挂，一旦有人经过，旧复合板掉落，造成操作工右臂砸伤，住院治疗5天，出院后返工，损工5天。</v>
      </c>
      <c r="E131" s="19" t="s">
        <v>723</v>
      </c>
      <c r="F131" s="20" t="s">
        <v>42</v>
      </c>
      <c r="G131" s="21" t="s">
        <v>43</v>
      </c>
      <c r="H131" s="19" t="s">
        <v>44</v>
      </c>
      <c r="I131" s="19" t="s">
        <v>66</v>
      </c>
      <c r="J131" s="19" t="s">
        <v>46</v>
      </c>
      <c r="K131" s="19" t="s">
        <v>137</v>
      </c>
      <c r="L131" s="19" t="s">
        <v>48</v>
      </c>
      <c r="M131" s="19" t="s">
        <v>204</v>
      </c>
      <c r="N131" s="19" t="s">
        <v>724</v>
      </c>
      <c r="O131" s="19" t="s">
        <v>204</v>
      </c>
      <c r="P131" s="19" t="s">
        <v>206</v>
      </c>
      <c r="Q131" s="19" t="s">
        <v>699</v>
      </c>
      <c r="R131" s="19" t="s">
        <v>725</v>
      </c>
      <c r="S131" s="19"/>
      <c r="T131" s="19" t="s">
        <v>54</v>
      </c>
      <c r="U131" s="19" t="s">
        <v>55</v>
      </c>
      <c r="V131" s="19" t="s">
        <v>80</v>
      </c>
      <c r="W131" s="19" t="s">
        <v>81</v>
      </c>
      <c r="X131" s="19"/>
      <c r="Y131" s="19"/>
      <c r="Z131" s="19" t="s">
        <v>726</v>
      </c>
      <c r="AA131" s="19">
        <v>1</v>
      </c>
      <c r="AB131" s="19">
        <v>1</v>
      </c>
      <c r="AC131" s="19" t="s">
        <v>60</v>
      </c>
      <c r="AD131" s="19" t="s">
        <v>206</v>
      </c>
      <c r="AE131" s="19" t="s">
        <v>311</v>
      </c>
      <c r="AF131" s="19"/>
    </row>
    <row r="132" spans="1:34">
      <c r="A132" s="19">
        <v>127</v>
      </c>
      <c r="B132" s="19" t="s">
        <v>610</v>
      </c>
      <c r="C132" s="19" t="s">
        <v>722</v>
      </c>
      <c r="D132" s="19" t="str">
        <f>HYPERLINK("http://henontech.com/fieldsafety/harzard/harzard_show.php?rid=2888&amp;url=harzardrecs.php","初冷器东南角框架上维修人员拆卸的铝皮未及时复原（清理），如果一名操作工在清理草坪时，铝皮被大风吹落砸中操作工的后背，造成后背轻微擦伤，不影响工作，正常上班")</f>
        <v>初冷器东南角框架上维修人员拆卸的铝皮未及时复原（清理），如果一名操作工在清理草坪时，铝皮被大风吹落砸中操作工的后背，造成后背轻微擦伤，不影响工作，正常上班</v>
      </c>
      <c r="E132" s="19" t="s">
        <v>727</v>
      </c>
      <c r="F132" s="20" t="s">
        <v>42</v>
      </c>
      <c r="G132" s="21" t="s">
        <v>43</v>
      </c>
      <c r="H132" s="19" t="s">
        <v>44</v>
      </c>
      <c r="I132" s="19"/>
      <c r="J132" s="19"/>
      <c r="K132" s="19" t="s">
        <v>47</v>
      </c>
      <c r="L132" s="19" t="s">
        <v>48</v>
      </c>
      <c r="M132" s="19" t="s">
        <v>204</v>
      </c>
      <c r="N132" s="19" t="s">
        <v>728</v>
      </c>
      <c r="O132" s="19" t="s">
        <v>204</v>
      </c>
      <c r="P132" s="19" t="s">
        <v>206</v>
      </c>
      <c r="Q132" s="19" t="s">
        <v>729</v>
      </c>
      <c r="R132" s="19" t="s">
        <v>730</v>
      </c>
      <c r="S132" s="19"/>
      <c r="T132" s="19" t="s">
        <v>54</v>
      </c>
      <c r="U132" s="19" t="s">
        <v>146</v>
      </c>
      <c r="V132" s="19" t="s">
        <v>69</v>
      </c>
      <c r="W132" s="19" t="s">
        <v>134</v>
      </c>
      <c r="X132" s="19"/>
      <c r="Y132" s="19"/>
      <c r="Z132" s="19" t="s">
        <v>731</v>
      </c>
      <c r="AA132" s="19">
        <v>1</v>
      </c>
      <c r="AB132" s="19">
        <v>1</v>
      </c>
      <c r="AC132" s="19" t="s">
        <v>60</v>
      </c>
      <c r="AD132" s="19" t="s">
        <v>206</v>
      </c>
      <c r="AE132" s="19" t="s">
        <v>95</v>
      </c>
      <c r="AF132" s="19"/>
    </row>
    <row r="133" spans="1:34">
      <c r="A133" s="19">
        <v>128</v>
      </c>
      <c r="B133" s="19" t="s">
        <v>610</v>
      </c>
      <c r="C133" s="19" t="s">
        <v>236</v>
      </c>
      <c r="D133" s="19" t="str">
        <f>HYPERLINK("http://henontech.com/fieldsafety/harzard/harzard_show.php?rid=2889&amp;url=harzardrecs.php","西硫铵硫酸低位槽装卸车接地线因长年使用被腐蚀断裂。如果在无人监护的情况下，司机私自卸硫酸并且未按规定使用接地线，在卸车过程中可能会引发静电着火，操作工巡检时发现并及时制止才避免了一场安全事故的发生。")</f>
        <v>西硫铵硫酸低位槽装卸车接地线因长年使用被腐蚀断裂。如果在无人监护的情况下，司机私自卸硫酸并且未按规定使用接地线，在卸车过程中可能会引发静电着火，操作工巡检时发现并及时制止才避免了一场安全事故的发生。</v>
      </c>
      <c r="E133" s="19" t="s">
        <v>732</v>
      </c>
      <c r="F133" s="20" t="s">
        <v>42</v>
      </c>
      <c r="G133" s="21" t="s">
        <v>43</v>
      </c>
      <c r="H133" s="19" t="s">
        <v>44</v>
      </c>
      <c r="I133" s="19"/>
      <c r="J133" s="19" t="s">
        <v>46</v>
      </c>
      <c r="K133" s="19"/>
      <c r="L133" s="19"/>
      <c r="M133" s="19" t="s">
        <v>204</v>
      </c>
      <c r="N133" s="19" t="s">
        <v>733</v>
      </c>
      <c r="O133" s="19" t="s">
        <v>204</v>
      </c>
      <c r="P133" s="19" t="s">
        <v>206</v>
      </c>
      <c r="Q133" s="19" t="s">
        <v>729</v>
      </c>
      <c r="R133" s="19" t="s">
        <v>734</v>
      </c>
      <c r="S133" s="19"/>
      <c r="T133" s="19" t="s">
        <v>54</v>
      </c>
      <c r="U133" s="19" t="s">
        <v>133</v>
      </c>
      <c r="V133" s="19" t="s">
        <v>69</v>
      </c>
      <c r="W133" s="19" t="s">
        <v>134</v>
      </c>
      <c r="X133" s="19"/>
      <c r="Y133" s="19"/>
      <c r="Z133" s="19" t="s">
        <v>735</v>
      </c>
      <c r="AA133" s="19">
        <v>1</v>
      </c>
      <c r="AB133" s="19">
        <v>1</v>
      </c>
      <c r="AC133" s="19" t="s">
        <v>60</v>
      </c>
      <c r="AD133" s="19" t="s">
        <v>206</v>
      </c>
      <c r="AE133" s="19" t="s">
        <v>281</v>
      </c>
      <c r="AF133" s="19"/>
    </row>
    <row r="134" spans="1:34" customHeight="1" ht="42">
      <c r="A134" s="19">
        <v>129</v>
      </c>
      <c r="B134" s="19" t="s">
        <v>610</v>
      </c>
      <c r="C134" s="19" t="s">
        <v>335</v>
      </c>
      <c r="D134" s="19" t="str">
        <f>HYPERLINK("http://henontech.com/fieldsafety/harzard/harzard_show.php?rid=2890&amp;url=harzardrecs.php","车间宣传栏玻璃破裂未及时更换，职工在擦拭宣传栏时不慎将手划伤，送医务室包扎，在家休息三天！")</f>
        <v>车间宣传栏玻璃破裂未及时更换，职工在擦拭宣传栏时不慎将手划伤，送医务室包扎，在家休息三天！</v>
      </c>
      <c r="E134" s="19" t="s">
        <v>736</v>
      </c>
      <c r="F134" s="20" t="s">
        <v>42</v>
      </c>
      <c r="G134" s="22" t="s">
        <v>107</v>
      </c>
      <c r="H134" s="19" t="s">
        <v>44</v>
      </c>
      <c r="I134" s="19" t="s">
        <v>108</v>
      </c>
      <c r="J134" s="19" t="s">
        <v>156</v>
      </c>
      <c r="K134" s="19" t="s">
        <v>173</v>
      </c>
      <c r="L134" s="19" t="s">
        <v>48</v>
      </c>
      <c r="M134" s="19" t="s">
        <v>317</v>
      </c>
      <c r="N134" s="19" t="s">
        <v>318</v>
      </c>
      <c r="O134" s="19" t="s">
        <v>317</v>
      </c>
      <c r="P134" s="19" t="s">
        <v>319</v>
      </c>
      <c r="Q134" s="19" t="s">
        <v>490</v>
      </c>
      <c r="R134" s="19" t="s">
        <v>737</v>
      </c>
      <c r="S134" s="19" t="s">
        <v>738</v>
      </c>
      <c r="T134" s="19" t="s">
        <v>54</v>
      </c>
      <c r="U134" s="19" t="s">
        <v>146</v>
      </c>
      <c r="V134" s="19" t="s">
        <v>209</v>
      </c>
      <c r="W134" s="19" t="s">
        <v>134</v>
      </c>
      <c r="X134" s="19" t="s">
        <v>93</v>
      </c>
      <c r="Y134" s="19" t="s">
        <v>93</v>
      </c>
      <c r="Z134" s="19" t="s">
        <v>739</v>
      </c>
      <c r="AA134" s="19">
        <v>2</v>
      </c>
      <c r="AB134" s="19">
        <v>2</v>
      </c>
      <c r="AC134" s="19" t="s">
        <v>60</v>
      </c>
      <c r="AD134" s="19" t="s">
        <v>319</v>
      </c>
      <c r="AE134" s="19" t="s">
        <v>490</v>
      </c>
      <c r="AF134" s="19" t="s">
        <v>740</v>
      </c>
    </row>
    <row r="135" spans="1:34">
      <c r="A135" s="19">
        <v>130</v>
      </c>
      <c r="B135" s="19" t="s">
        <v>490</v>
      </c>
      <c r="C135" s="19" t="s">
        <v>722</v>
      </c>
      <c r="D135" s="19" t="str">
        <f>HYPERLINK("http://henontech.com/fieldsafety/harzard/harzard_show.php?rid=2891&amp;url=harzardrecs.php","2号初冷器出口管与初冷器本体连接处有20公分焊口开裂 初冷器属于负压设备 长时间吸入空气影响含氧超标 影响电捕使用 有爆炸的危险！")</f>
        <v>2号初冷器出口管与初冷器本体连接处有20公分焊口开裂 初冷器属于负压设备 长时间吸入空气影响含氧超标 影响电捕使用 有爆炸的危险！</v>
      </c>
      <c r="E135" s="19" t="s">
        <v>741</v>
      </c>
      <c r="F135" s="20" t="s">
        <v>42</v>
      </c>
      <c r="G135" s="21" t="s">
        <v>43</v>
      </c>
      <c r="H135" s="19" t="s">
        <v>44</v>
      </c>
      <c r="I135" s="19" t="s">
        <v>45</v>
      </c>
      <c r="J135" s="19"/>
      <c r="K135" s="19" t="s">
        <v>47</v>
      </c>
      <c r="L135" s="19" t="s">
        <v>48</v>
      </c>
      <c r="M135" s="19" t="s">
        <v>204</v>
      </c>
      <c r="N135" s="19" t="s">
        <v>742</v>
      </c>
      <c r="O135" s="19" t="s">
        <v>204</v>
      </c>
      <c r="P135" s="19" t="s">
        <v>206</v>
      </c>
      <c r="Q135" s="19" t="s">
        <v>719</v>
      </c>
      <c r="R135" s="19" t="s">
        <v>743</v>
      </c>
      <c r="S135" s="19"/>
      <c r="T135" s="19" t="s">
        <v>132</v>
      </c>
      <c r="U135" s="19" t="s">
        <v>146</v>
      </c>
      <c r="V135" s="19" t="s">
        <v>69</v>
      </c>
      <c r="W135" s="19" t="s">
        <v>134</v>
      </c>
      <c r="X135" s="19"/>
      <c r="Y135" s="19"/>
      <c r="Z135" s="19" t="s">
        <v>744</v>
      </c>
      <c r="AA135" s="19">
        <v>1</v>
      </c>
      <c r="AB135" s="19">
        <v>1</v>
      </c>
      <c r="AC135" s="19" t="s">
        <v>60</v>
      </c>
      <c r="AD135" s="19" t="s">
        <v>206</v>
      </c>
      <c r="AE135" s="19" t="s">
        <v>745</v>
      </c>
      <c r="AF135" s="19"/>
    </row>
    <row r="136" spans="1:34">
      <c r="A136" s="19">
        <v>131</v>
      </c>
      <c r="B136" s="19" t="s">
        <v>490</v>
      </c>
      <c r="C136" s="19" t="s">
        <v>85</v>
      </c>
      <c r="D136" s="19" t="str">
        <f>HYPERLINK("http://henontech.com/fieldsafety/harzard/harzard_show.php?rid=2892&amp;url=harzardrecs.php","4#减温减压电动调节阀阀门压盖漏汽，巡检人员巡检至此时被突然漏出的高温高压蒸汽烫伤右侧手臂，送医院救治。")</f>
        <v>4#减温减压电动调节阀阀门压盖漏汽，巡检人员巡检至此时被突然漏出的高温高压蒸汽烫伤右侧手臂，送医院救治。</v>
      </c>
      <c r="E136" s="19" t="s">
        <v>746</v>
      </c>
      <c r="F136" s="20" t="s">
        <v>42</v>
      </c>
      <c r="G136" s="21" t="s">
        <v>43</v>
      </c>
      <c r="H136" s="19" t="s">
        <v>44</v>
      </c>
      <c r="I136" s="19" t="s">
        <v>45</v>
      </c>
      <c r="J136" s="19" t="s">
        <v>366</v>
      </c>
      <c r="K136" s="19" t="s">
        <v>47</v>
      </c>
      <c r="L136" s="19" t="s">
        <v>48</v>
      </c>
      <c r="M136" s="19" t="s">
        <v>87</v>
      </c>
      <c r="N136" s="19" t="s">
        <v>747</v>
      </c>
      <c r="O136" s="19" t="s">
        <v>87</v>
      </c>
      <c r="P136" s="19" t="s">
        <v>89</v>
      </c>
      <c r="Q136" s="19" t="s">
        <v>719</v>
      </c>
      <c r="R136" s="19" t="s">
        <v>748</v>
      </c>
      <c r="S136" s="19" t="s">
        <v>749</v>
      </c>
      <c r="T136" s="19" t="s">
        <v>54</v>
      </c>
      <c r="U136" s="19" t="s">
        <v>55</v>
      </c>
      <c r="V136" s="19" t="s">
        <v>56</v>
      </c>
      <c r="W136" s="19" t="s">
        <v>57</v>
      </c>
      <c r="X136" s="19" t="s">
        <v>58</v>
      </c>
      <c r="Y136" s="19"/>
      <c r="Z136" s="19" t="s">
        <v>750</v>
      </c>
      <c r="AA136" s="19">
        <v>1</v>
      </c>
      <c r="AB136" s="19">
        <v>1</v>
      </c>
      <c r="AC136" s="19" t="s">
        <v>60</v>
      </c>
      <c r="AD136" s="19" t="s">
        <v>89</v>
      </c>
      <c r="AE136" s="19" t="s">
        <v>291</v>
      </c>
      <c r="AF136" s="19"/>
    </row>
    <row r="137" spans="1:34">
      <c r="A137" s="19">
        <v>132</v>
      </c>
      <c r="B137" s="19" t="s">
        <v>276</v>
      </c>
      <c r="C137" s="19" t="s">
        <v>751</v>
      </c>
      <c r="D137" s="19" t="str">
        <f>HYPERLINK("http://henontech.com/fieldsafety/harzard/harzard_show.php?rid=2893&amp;url=harzardrecs.php","给水泵处漏气，如果一维修工在维修流量计会造成右手臂烫伤，在家休养3天，损工三天")</f>
        <v>给水泵处漏气，如果一维修工在维修流量计会造成右手臂烫伤，在家休养3天，损工三天</v>
      </c>
      <c r="E137" s="19" t="s">
        <v>752</v>
      </c>
      <c r="F137" s="24" t="s">
        <v>326</v>
      </c>
      <c r="G137" s="21" t="s">
        <v>43</v>
      </c>
      <c r="H137" s="19" t="s">
        <v>44</v>
      </c>
      <c r="I137" s="19" t="s">
        <v>108</v>
      </c>
      <c r="J137" s="19" t="s">
        <v>366</v>
      </c>
      <c r="K137" s="19" t="s">
        <v>47</v>
      </c>
      <c r="L137" s="19" t="s">
        <v>48</v>
      </c>
      <c r="M137" s="19" t="s">
        <v>49</v>
      </c>
      <c r="N137" s="19" t="s">
        <v>753</v>
      </c>
      <c r="O137" s="19"/>
      <c r="P137" s="19"/>
      <c r="Q137" s="19"/>
      <c r="R137" s="19" t="s">
        <v>754</v>
      </c>
      <c r="S137" s="19" t="s">
        <v>755</v>
      </c>
      <c r="T137" s="19" t="s">
        <v>54</v>
      </c>
      <c r="U137" s="19" t="s">
        <v>55</v>
      </c>
      <c r="V137" s="19" t="s">
        <v>69</v>
      </c>
      <c r="W137" s="19" t="s">
        <v>70</v>
      </c>
      <c r="X137" s="19"/>
      <c r="Y137" s="19"/>
      <c r="Z137" s="19"/>
      <c r="AA137" s="19">
        <v>0</v>
      </c>
      <c r="AB137" s="19"/>
      <c r="AC137" s="19" t="s">
        <v>330</v>
      </c>
      <c r="AD137" s="19"/>
      <c r="AE137" s="19"/>
      <c r="AF137" s="19"/>
    </row>
    <row r="138" spans="1:34">
      <c r="A138" s="19">
        <v>133</v>
      </c>
      <c r="B138" s="19" t="s">
        <v>490</v>
      </c>
      <c r="C138" s="19" t="s">
        <v>315</v>
      </c>
      <c r="D138" s="19" t="str">
        <f>HYPERLINK("http://henontech.com/fieldsafety/harzard/harzard_show.php?rid=2894&amp;url=harzardrecs.php","一操作工从挡风墙下经过，被挡风墙网片损坏部分脱落砸伤右臂，送医确诊为右小臂骨折，住院15天，在家休养2个月后复工。")</f>
        <v>一操作工从挡风墙下经过，被挡风墙网片损坏部分脱落砸伤右臂，送医确诊为右小臂骨折，住院15天，在家休养2个月后复工。</v>
      </c>
      <c r="E138" s="19" t="s">
        <v>756</v>
      </c>
      <c r="F138" s="20" t="s">
        <v>42</v>
      </c>
      <c r="G138" s="22" t="s">
        <v>107</v>
      </c>
      <c r="H138" s="19" t="s">
        <v>44</v>
      </c>
      <c r="I138" s="19" t="s">
        <v>66</v>
      </c>
      <c r="J138" s="19" t="s">
        <v>46</v>
      </c>
      <c r="K138" s="19" t="s">
        <v>173</v>
      </c>
      <c r="L138" s="19" t="s">
        <v>48</v>
      </c>
      <c r="M138" s="19" t="s">
        <v>317</v>
      </c>
      <c r="N138" s="19" t="s">
        <v>757</v>
      </c>
      <c r="O138" s="19" t="s">
        <v>317</v>
      </c>
      <c r="P138" s="19" t="s">
        <v>533</v>
      </c>
      <c r="Q138" s="19" t="s">
        <v>276</v>
      </c>
      <c r="R138" s="19" t="s">
        <v>758</v>
      </c>
      <c r="S138" s="19"/>
      <c r="T138" s="19" t="s">
        <v>54</v>
      </c>
      <c r="U138" s="19" t="s">
        <v>146</v>
      </c>
      <c r="V138" s="19" t="s">
        <v>80</v>
      </c>
      <c r="W138" s="19" t="s">
        <v>70</v>
      </c>
      <c r="X138" s="19"/>
      <c r="Y138" s="19"/>
      <c r="Z138" s="19" t="s">
        <v>759</v>
      </c>
      <c r="AA138" s="19">
        <v>1</v>
      </c>
      <c r="AB138" s="19">
        <v>1</v>
      </c>
      <c r="AC138" s="19" t="s">
        <v>60</v>
      </c>
      <c r="AD138" s="19" t="s">
        <v>533</v>
      </c>
      <c r="AE138" s="19" t="s">
        <v>276</v>
      </c>
      <c r="AF138" s="19"/>
    </row>
    <row r="139" spans="1:34">
      <c r="A139" s="19">
        <v>134</v>
      </c>
      <c r="B139" s="19" t="s">
        <v>490</v>
      </c>
      <c r="C139" s="19" t="s">
        <v>154</v>
      </c>
      <c r="D139" s="19" t="str">
        <f>HYPERLINK("http://henontech.com/fieldsafety/harzard/harzard_show.php?rid=2895&amp;url=harzardrecs.php","汽轮机七米至楼顶减温减压爬梯无防滑条，一员工在巡检完下爬梯时，不慎脚底打滑  从五米高处摔落至下方平台，送医救治。")</f>
        <v>汽轮机七米至楼顶减温减压爬梯无防滑条，一员工在巡检完下爬梯时，不慎脚底打滑  从五米高处摔落至下方平台，送医救治。</v>
      </c>
      <c r="E139" s="19" t="s">
        <v>760</v>
      </c>
      <c r="F139" s="20" t="s">
        <v>42</v>
      </c>
      <c r="G139" s="21" t="s">
        <v>43</v>
      </c>
      <c r="H139" s="19" t="s">
        <v>44</v>
      </c>
      <c r="I139" s="19" t="s">
        <v>108</v>
      </c>
      <c r="J139" s="19" t="s">
        <v>156</v>
      </c>
      <c r="K139" s="19" t="s">
        <v>137</v>
      </c>
      <c r="L139" s="19" t="s">
        <v>48</v>
      </c>
      <c r="M139" s="19" t="s">
        <v>87</v>
      </c>
      <c r="N139" s="19" t="s">
        <v>298</v>
      </c>
      <c r="O139" s="19" t="s">
        <v>87</v>
      </c>
      <c r="P139" s="19" t="s">
        <v>89</v>
      </c>
      <c r="Q139" s="19" t="s">
        <v>719</v>
      </c>
      <c r="R139" s="19" t="s">
        <v>761</v>
      </c>
      <c r="S139" s="19" t="s">
        <v>762</v>
      </c>
      <c r="T139" s="19" t="s">
        <v>54</v>
      </c>
      <c r="U139" s="19" t="s">
        <v>55</v>
      </c>
      <c r="V139" s="19" t="s">
        <v>56</v>
      </c>
      <c r="W139" s="19" t="s">
        <v>57</v>
      </c>
      <c r="X139" s="19" t="s">
        <v>58</v>
      </c>
      <c r="Y139" s="19"/>
      <c r="Z139" s="19" t="s">
        <v>763</v>
      </c>
      <c r="AA139" s="19">
        <v>1</v>
      </c>
      <c r="AB139" s="19">
        <v>1</v>
      </c>
      <c r="AC139" s="19" t="s">
        <v>60</v>
      </c>
      <c r="AD139" s="19" t="s">
        <v>89</v>
      </c>
      <c r="AE139" s="19" t="s">
        <v>276</v>
      </c>
      <c r="AF139" s="19"/>
    </row>
    <row r="140" spans="1:34">
      <c r="A140" s="19">
        <v>135</v>
      </c>
      <c r="B140" s="19" t="s">
        <v>281</v>
      </c>
      <c r="C140" s="19" t="s">
        <v>202</v>
      </c>
      <c r="D140" s="19" t="str">
        <f>HYPERLINK("http://henontech.com/fieldsafety/harzard/harzard_show.php?rid=2896&amp;url=harzardrecs.php","粗苯终冷器下液管保温铝皮破损，如果一名操作工在巡检时从下面经过，铝皮掉落砸中操作工的后背，造成后背轻微擦伤，到医务室处理后，正常上班。")</f>
        <v>粗苯终冷器下液管保温铝皮破损，如果一名操作工在巡检时从下面经过，铝皮掉落砸中操作工的后背，造成后背轻微擦伤，到医务室处理后，正常上班。</v>
      </c>
      <c r="E140" s="19" t="s">
        <v>764</v>
      </c>
      <c r="F140" s="20" t="s">
        <v>42</v>
      </c>
      <c r="G140" s="21" t="s">
        <v>43</v>
      </c>
      <c r="H140" s="19" t="s">
        <v>44</v>
      </c>
      <c r="I140" s="19" t="s">
        <v>66</v>
      </c>
      <c r="J140" s="19" t="s">
        <v>46</v>
      </c>
      <c r="K140" s="19" t="s">
        <v>47</v>
      </c>
      <c r="L140" s="19" t="s">
        <v>48</v>
      </c>
      <c r="M140" s="19" t="s">
        <v>204</v>
      </c>
      <c r="N140" s="19" t="s">
        <v>765</v>
      </c>
      <c r="O140" s="19" t="s">
        <v>204</v>
      </c>
      <c r="P140" s="19" t="s">
        <v>206</v>
      </c>
      <c r="Q140" s="19" t="s">
        <v>719</v>
      </c>
      <c r="R140" s="19" t="s">
        <v>766</v>
      </c>
      <c r="S140" s="19"/>
      <c r="T140" s="19" t="s">
        <v>54</v>
      </c>
      <c r="U140" s="19" t="s">
        <v>146</v>
      </c>
      <c r="V140" s="19" t="s">
        <v>80</v>
      </c>
      <c r="W140" s="19" t="s">
        <v>70</v>
      </c>
      <c r="X140" s="19"/>
      <c r="Y140" s="19"/>
      <c r="Z140" s="19" t="s">
        <v>767</v>
      </c>
      <c r="AA140" s="19">
        <v>1</v>
      </c>
      <c r="AB140" s="19">
        <v>1</v>
      </c>
      <c r="AC140" s="19" t="s">
        <v>60</v>
      </c>
      <c r="AD140" s="19" t="s">
        <v>206</v>
      </c>
      <c r="AE140" s="19" t="s">
        <v>636</v>
      </c>
      <c r="AF140" s="19"/>
    </row>
    <row r="141" spans="1:34">
      <c r="A141" s="19">
        <v>136</v>
      </c>
      <c r="B141" s="19" t="s">
        <v>281</v>
      </c>
      <c r="C141" s="19" t="s">
        <v>335</v>
      </c>
      <c r="D141" s="19" t="str">
        <f>HYPERLINK("http://henontech.com/fieldsafety/harzard/harzard_show.php?rid=2897&amp;url=harzardrecs.php","煤场人员在指挥生产作业时，被地面翘起的钢筋绊倒，双手扑地，手掌擦伤。")</f>
        <v>煤场人员在指挥生产作业时，被地面翘起的钢筋绊倒，双手扑地，手掌擦伤。</v>
      </c>
      <c r="E141" s="19" t="s">
        <v>768</v>
      </c>
      <c r="F141" s="20" t="s">
        <v>42</v>
      </c>
      <c r="G141" s="21" t="s">
        <v>43</v>
      </c>
      <c r="H141" s="19" t="s">
        <v>44</v>
      </c>
      <c r="I141" s="19" t="s">
        <v>66</v>
      </c>
      <c r="J141" s="19"/>
      <c r="K141" s="19"/>
      <c r="L141" s="19"/>
      <c r="M141" s="19" t="s">
        <v>317</v>
      </c>
      <c r="N141" s="19" t="s">
        <v>399</v>
      </c>
      <c r="O141" s="19" t="s">
        <v>317</v>
      </c>
      <c r="P141" s="19" t="s">
        <v>400</v>
      </c>
      <c r="Q141" s="19" t="s">
        <v>769</v>
      </c>
      <c r="R141" s="19" t="s">
        <v>770</v>
      </c>
      <c r="S141" s="19"/>
      <c r="T141" s="19" t="s">
        <v>54</v>
      </c>
      <c r="U141" s="19" t="s">
        <v>146</v>
      </c>
      <c r="V141" s="19" t="s">
        <v>56</v>
      </c>
      <c r="W141" s="19" t="s">
        <v>81</v>
      </c>
      <c r="X141" s="19"/>
      <c r="Y141" s="19"/>
      <c r="Z141" s="19" t="s">
        <v>771</v>
      </c>
      <c r="AA141" s="19">
        <v>1</v>
      </c>
      <c r="AB141" s="19">
        <v>1</v>
      </c>
      <c r="AC141" s="19" t="s">
        <v>60</v>
      </c>
      <c r="AD141" s="19" t="s">
        <v>400</v>
      </c>
      <c r="AE141" s="19" t="s">
        <v>276</v>
      </c>
      <c r="AF141" s="19"/>
    </row>
    <row r="142" spans="1:34">
      <c r="A142" s="19">
        <v>137</v>
      </c>
      <c r="B142" s="19" t="s">
        <v>281</v>
      </c>
      <c r="C142" s="19" t="s">
        <v>544</v>
      </c>
      <c r="D142" s="19" t="str">
        <f>HYPERLINK("http://henontech.com/fieldsafety/harzard/harzard_show.php?rid=2898&amp;url=harzardrecs.php","如果一名操作工，在冲洗初冷器时，上下楼梯被人孔盖伴倒，造成右腿皮肤划伤，去医务室治疗后，正常上班")</f>
        <v>如果一名操作工，在冲洗初冷器时，上下楼梯被人孔盖伴倒，造成右腿皮肤划伤，去医务室治疗后，正常上班</v>
      </c>
      <c r="E142" s="19" t="s">
        <v>772</v>
      </c>
      <c r="F142" s="20" t="s">
        <v>42</v>
      </c>
      <c r="G142" s="21" t="s">
        <v>43</v>
      </c>
      <c r="H142" s="19" t="s">
        <v>44</v>
      </c>
      <c r="I142" s="19" t="s">
        <v>66</v>
      </c>
      <c r="J142" s="19" t="s">
        <v>46</v>
      </c>
      <c r="K142" s="19" t="s">
        <v>47</v>
      </c>
      <c r="L142" s="19" t="s">
        <v>48</v>
      </c>
      <c r="M142" s="19" t="s">
        <v>204</v>
      </c>
      <c r="N142" s="19" t="s">
        <v>773</v>
      </c>
      <c r="O142" s="19" t="s">
        <v>204</v>
      </c>
      <c r="P142" s="19" t="s">
        <v>206</v>
      </c>
      <c r="Q142" s="19" t="s">
        <v>719</v>
      </c>
      <c r="R142" s="19" t="s">
        <v>774</v>
      </c>
      <c r="S142" s="19"/>
      <c r="T142" s="19" t="s">
        <v>54</v>
      </c>
      <c r="U142" s="19" t="s">
        <v>146</v>
      </c>
      <c r="V142" s="19" t="s">
        <v>80</v>
      </c>
      <c r="W142" s="19" t="s">
        <v>70</v>
      </c>
      <c r="X142" s="19"/>
      <c r="Y142" s="19"/>
      <c r="Z142" s="19" t="s">
        <v>775</v>
      </c>
      <c r="AA142" s="19">
        <v>1</v>
      </c>
      <c r="AB142" s="19">
        <v>1</v>
      </c>
      <c r="AC142" s="19" t="s">
        <v>60</v>
      </c>
      <c r="AD142" s="19" t="s">
        <v>206</v>
      </c>
      <c r="AE142" s="19" t="s">
        <v>276</v>
      </c>
      <c r="AF142" s="19"/>
    </row>
    <row r="143" spans="1:34">
      <c r="A143" s="19">
        <v>138</v>
      </c>
      <c r="B143" s="19" t="s">
        <v>281</v>
      </c>
      <c r="C143" s="19" t="s">
        <v>751</v>
      </c>
      <c r="D143" s="19" t="str">
        <f>HYPERLINK("http://henontech.com/fieldsafety/harzard/harzard_show.php?rid=2899&amp;url=harzardrecs.php","操作室配点盘附近地板砖破裂，地板砖下是电缆通道，地板砖下有大量电缆电线，操作工在路过时不慎踩到破裂地板砖，掉入电缆通道")</f>
        <v>操作室配点盘附近地板砖破裂，地板砖下是电缆通道，地板砖下有大量电缆电线，操作工在路过时不慎踩到破裂地板砖，掉入电缆通道</v>
      </c>
      <c r="E143" s="19" t="s">
        <v>776</v>
      </c>
      <c r="F143" s="24" t="s">
        <v>326</v>
      </c>
      <c r="G143" s="21" t="s">
        <v>43</v>
      </c>
      <c r="H143" s="19" t="s">
        <v>44</v>
      </c>
      <c r="I143" s="19" t="s">
        <v>108</v>
      </c>
      <c r="J143" s="19" t="s">
        <v>46</v>
      </c>
      <c r="K143" s="19"/>
      <c r="L143" s="19"/>
      <c r="M143" s="19" t="s">
        <v>49</v>
      </c>
      <c r="N143" s="19" t="s">
        <v>777</v>
      </c>
      <c r="O143" s="19"/>
      <c r="P143" s="19"/>
      <c r="Q143" s="19"/>
      <c r="R143" s="19" t="s">
        <v>778</v>
      </c>
      <c r="S143" s="19" t="s">
        <v>779</v>
      </c>
      <c r="T143" s="19" t="s">
        <v>54</v>
      </c>
      <c r="U143" s="19" t="s">
        <v>146</v>
      </c>
      <c r="V143" s="19" t="s">
        <v>56</v>
      </c>
      <c r="W143" s="19" t="s">
        <v>81</v>
      </c>
      <c r="X143" s="19"/>
      <c r="Y143" s="19"/>
      <c r="Z143" s="19"/>
      <c r="AA143" s="19">
        <v>0</v>
      </c>
      <c r="AB143" s="19"/>
      <c r="AC143" s="19" t="s">
        <v>330</v>
      </c>
      <c r="AD143" s="19"/>
      <c r="AE143" s="19"/>
      <c r="AF143" s="19"/>
    </row>
    <row r="144" spans="1:34" customHeight="1" ht="42">
      <c r="A144" s="19">
        <v>139</v>
      </c>
      <c r="B144" s="19" t="s">
        <v>281</v>
      </c>
      <c r="C144" s="19" t="s">
        <v>780</v>
      </c>
      <c r="D144" s="19" t="str">
        <f>HYPERLINK("http://henontech.com/fieldsafety/harzard/harzard_show.php?rid=2900&amp;url=harzardrecs.php","一操作工巡检，二层玻璃破裂掉碎玻璃扎到脖子上，造成大面积出血，送医院就治")</f>
        <v>一操作工巡检，二层玻璃破裂掉碎玻璃扎到脖子上，造成大面积出血，送医院就治</v>
      </c>
      <c r="E144" s="19" t="s">
        <v>54</v>
      </c>
      <c r="F144" s="20" t="s">
        <v>42</v>
      </c>
      <c r="G144" s="21" t="s">
        <v>43</v>
      </c>
      <c r="H144" s="19" t="s">
        <v>44</v>
      </c>
      <c r="I144" s="19"/>
      <c r="J144" s="19" t="s">
        <v>109</v>
      </c>
      <c r="K144" s="19"/>
      <c r="L144" s="19"/>
      <c r="M144" s="19" t="s">
        <v>49</v>
      </c>
      <c r="N144" s="19" t="s">
        <v>781</v>
      </c>
      <c r="O144" s="19" t="s">
        <v>49</v>
      </c>
      <c r="P144" s="19" t="s">
        <v>51</v>
      </c>
      <c r="Q144" s="19" t="s">
        <v>782</v>
      </c>
      <c r="R144" s="19" t="s">
        <v>783</v>
      </c>
      <c r="S144" s="19"/>
      <c r="T144" s="19" t="s">
        <v>54</v>
      </c>
      <c r="U144" s="19" t="s">
        <v>146</v>
      </c>
      <c r="V144" s="19" t="s">
        <v>69</v>
      </c>
      <c r="W144" s="19" t="s">
        <v>134</v>
      </c>
      <c r="X144" s="19" t="s">
        <v>58</v>
      </c>
      <c r="Y144" s="19"/>
      <c r="Z144" s="19" t="s">
        <v>784</v>
      </c>
      <c r="AA144" s="19">
        <v>2</v>
      </c>
      <c r="AB144" s="19">
        <v>1</v>
      </c>
      <c r="AC144" s="19" t="s">
        <v>60</v>
      </c>
      <c r="AD144" s="19" t="s">
        <v>51</v>
      </c>
      <c r="AE144" s="19" t="s">
        <v>670</v>
      </c>
      <c r="AF144" s="19" t="s">
        <v>785</v>
      </c>
    </row>
    <row r="145" spans="1:34">
      <c r="A145" s="19">
        <v>140</v>
      </c>
      <c r="B145" s="19" t="s">
        <v>95</v>
      </c>
      <c r="C145" s="19" t="s">
        <v>474</v>
      </c>
      <c r="D145" s="19" t="str">
        <f>HYPERLINK("http://henontech.com/fieldsafety/harzard/harzard_show.php?rid=2901&amp;url=harzardrecs.php","脱硫液换热器倒淋阀开焊漏蒸汽，夜间巡检工开阀门时，蒸汽喷到右手臂，造成轻微烫伤，损工三天，")</f>
        <v>脱硫液换热器倒淋阀开焊漏蒸汽，夜间巡检工开阀门时，蒸汽喷到右手臂，造成轻微烫伤，损工三天，</v>
      </c>
      <c r="E145" s="19" t="s">
        <v>786</v>
      </c>
      <c r="F145" s="20" t="s">
        <v>42</v>
      </c>
      <c r="G145" s="21" t="s">
        <v>43</v>
      </c>
      <c r="H145" s="19" t="s">
        <v>44</v>
      </c>
      <c r="I145" s="19" t="s">
        <v>45</v>
      </c>
      <c r="J145" s="19" t="s">
        <v>156</v>
      </c>
      <c r="K145" s="19" t="s">
        <v>47</v>
      </c>
      <c r="L145" s="19" t="s">
        <v>48</v>
      </c>
      <c r="M145" s="19" t="s">
        <v>204</v>
      </c>
      <c r="N145" s="19" t="s">
        <v>787</v>
      </c>
      <c r="O145" s="19" t="s">
        <v>204</v>
      </c>
      <c r="P145" s="19" t="s">
        <v>206</v>
      </c>
      <c r="Q145" s="19" t="s">
        <v>769</v>
      </c>
      <c r="R145" s="19" t="s">
        <v>788</v>
      </c>
      <c r="S145" s="19"/>
      <c r="T145" s="19" t="s">
        <v>54</v>
      </c>
      <c r="U145" s="19" t="s">
        <v>55</v>
      </c>
      <c r="V145" s="19" t="s">
        <v>69</v>
      </c>
      <c r="W145" s="19" t="s">
        <v>70</v>
      </c>
      <c r="X145" s="19"/>
      <c r="Y145" s="19"/>
      <c r="Z145" s="19" t="s">
        <v>789</v>
      </c>
      <c r="AA145" s="19">
        <v>1</v>
      </c>
      <c r="AB145" s="19">
        <v>1</v>
      </c>
      <c r="AC145" s="19" t="s">
        <v>60</v>
      </c>
      <c r="AD145" s="19" t="s">
        <v>206</v>
      </c>
      <c r="AE145" s="19" t="s">
        <v>276</v>
      </c>
      <c r="AF145" s="19"/>
    </row>
    <row r="146" spans="1:34">
      <c r="A146" s="19">
        <v>141</v>
      </c>
      <c r="B146" s="19" t="s">
        <v>281</v>
      </c>
      <c r="C146" s="19" t="s">
        <v>474</v>
      </c>
      <c r="D146" s="19" t="str">
        <f>HYPERLINK("http://henontech.com/fieldsafety/harzard/harzard_show.php?rid=2902&amp;url=harzardrecs.php","脱硫液换热器倒淋阀开焊口开焊漏蒸汽，夜间巡检工开阀门时蒸汽喷到右手臂，造成轻微烫伤，损工三天。")</f>
        <v>脱硫液换热器倒淋阀开焊口开焊漏蒸汽，夜间巡检工开阀门时蒸汽喷到右手臂，造成轻微烫伤，损工三天。</v>
      </c>
      <c r="E146" s="19" t="s">
        <v>790</v>
      </c>
      <c r="F146" s="24" t="s">
        <v>326</v>
      </c>
      <c r="G146" s="21" t="s">
        <v>43</v>
      </c>
      <c r="H146" s="19" t="s">
        <v>44</v>
      </c>
      <c r="I146" s="19" t="s">
        <v>45</v>
      </c>
      <c r="J146" s="19" t="s">
        <v>156</v>
      </c>
      <c r="K146" s="19" t="s">
        <v>47</v>
      </c>
      <c r="L146" s="19" t="s">
        <v>48</v>
      </c>
      <c r="M146" s="19" t="s">
        <v>204</v>
      </c>
      <c r="N146" s="19" t="s">
        <v>787</v>
      </c>
      <c r="O146" s="19"/>
      <c r="P146" s="19"/>
      <c r="Q146" s="19"/>
      <c r="R146" s="19" t="s">
        <v>788</v>
      </c>
      <c r="S146" s="19" t="s">
        <v>791</v>
      </c>
      <c r="T146" s="19" t="s">
        <v>54</v>
      </c>
      <c r="U146" s="19" t="s">
        <v>146</v>
      </c>
      <c r="V146" s="19" t="s">
        <v>69</v>
      </c>
      <c r="W146" s="19" t="s">
        <v>134</v>
      </c>
      <c r="X146" s="19"/>
      <c r="Y146" s="19"/>
      <c r="Z146" s="19"/>
      <c r="AA146" s="19">
        <v>0</v>
      </c>
      <c r="AB146" s="19"/>
      <c r="AC146" s="19" t="s">
        <v>330</v>
      </c>
      <c r="AD146" s="19"/>
      <c r="AE146" s="19"/>
      <c r="AF146" s="19"/>
    </row>
    <row r="147" spans="1:34">
      <c r="A147" s="19">
        <v>142</v>
      </c>
      <c r="B147" s="19" t="s">
        <v>281</v>
      </c>
      <c r="C147" s="19" t="s">
        <v>722</v>
      </c>
      <c r="D147" s="19" t="str">
        <f>HYPERLINK("http://henontech.com/fieldsafety/harzard/harzard_show.php?rid=2903&amp;url=harzardrecs.php","一名操作工在攀爬初冷器东侧爬梯时，因爬梯无护笼致使该操作工坠落到地面，导致右小腿骨折，送医救治，治疗三个月后恢复出院，损工三个月。")</f>
        <v>一名操作工在攀爬初冷器东侧爬梯时，因爬梯无护笼致使该操作工坠落到地面，导致右小腿骨折，送医救治，治疗三个月后恢复出院，损工三个月。</v>
      </c>
      <c r="E147" s="19" t="s">
        <v>792</v>
      </c>
      <c r="F147" s="25" t="s">
        <v>425</v>
      </c>
      <c r="G147" s="21" t="s">
        <v>43</v>
      </c>
      <c r="H147" s="19" t="s">
        <v>44</v>
      </c>
      <c r="I147" s="19" t="s">
        <v>108</v>
      </c>
      <c r="J147" s="19" t="s">
        <v>46</v>
      </c>
      <c r="K147" s="19" t="s">
        <v>99</v>
      </c>
      <c r="L147" s="19"/>
      <c r="M147" s="19" t="s">
        <v>204</v>
      </c>
      <c r="N147" s="19" t="s">
        <v>793</v>
      </c>
      <c r="O147" s="19" t="s">
        <v>204</v>
      </c>
      <c r="P147" s="19" t="s">
        <v>206</v>
      </c>
      <c r="Q147" s="19" t="s">
        <v>719</v>
      </c>
      <c r="R147" s="19" t="s">
        <v>794</v>
      </c>
      <c r="S147" s="19"/>
      <c r="T147" s="19" t="s">
        <v>54</v>
      </c>
      <c r="U147" s="19" t="s">
        <v>55</v>
      </c>
      <c r="V147" s="19" t="s">
        <v>56</v>
      </c>
      <c r="W147" s="19" t="s">
        <v>57</v>
      </c>
      <c r="X147" s="19"/>
      <c r="Y147" s="19"/>
      <c r="Z147" s="19" t="s">
        <v>795</v>
      </c>
      <c r="AA147" s="19">
        <v>1</v>
      </c>
      <c r="AB147" s="19"/>
      <c r="AC147" s="19" t="s">
        <v>330</v>
      </c>
      <c r="AD147" s="19"/>
      <c r="AE147" s="19"/>
      <c r="AF147" s="19"/>
    </row>
    <row r="148" spans="1:34">
      <c r="A148" s="19">
        <v>143</v>
      </c>
      <c r="B148" s="19" t="s">
        <v>281</v>
      </c>
      <c r="C148" s="19" t="s">
        <v>549</v>
      </c>
      <c r="D148" s="19" t="str">
        <f>HYPERLINK("http://henontech.com/fieldsafety/harzard/harzard_show.php?rid=2904&amp;url=harzardrecs.php","洗苯塔液位计保温铝皮破损，如果操作工在巡检时路过，铝皮掉落砸中操作工颈部，造成颈部轻微擦伤，医务室简单治疗，正常上班。")</f>
        <v>洗苯塔液位计保温铝皮破损，如果操作工在巡检时路过，铝皮掉落砸中操作工颈部，造成颈部轻微擦伤，医务室简单治疗，正常上班。</v>
      </c>
      <c r="E148" s="19" t="s">
        <v>796</v>
      </c>
      <c r="F148" s="20" t="s">
        <v>42</v>
      </c>
      <c r="G148" s="21" t="s">
        <v>43</v>
      </c>
      <c r="H148" s="19" t="s">
        <v>44</v>
      </c>
      <c r="I148" s="19" t="s">
        <v>66</v>
      </c>
      <c r="J148" s="19" t="s">
        <v>46</v>
      </c>
      <c r="K148" s="19" t="s">
        <v>137</v>
      </c>
      <c r="L148" s="19" t="s">
        <v>48</v>
      </c>
      <c r="M148" s="19" t="s">
        <v>204</v>
      </c>
      <c r="N148" s="19" t="s">
        <v>797</v>
      </c>
      <c r="O148" s="19" t="s">
        <v>204</v>
      </c>
      <c r="P148" s="19" t="s">
        <v>206</v>
      </c>
      <c r="Q148" s="19" t="s">
        <v>719</v>
      </c>
      <c r="R148" s="19" t="s">
        <v>798</v>
      </c>
      <c r="S148" s="19"/>
      <c r="T148" s="19" t="s">
        <v>54</v>
      </c>
      <c r="U148" s="19" t="s">
        <v>146</v>
      </c>
      <c r="V148" s="19" t="s">
        <v>80</v>
      </c>
      <c r="W148" s="19" t="s">
        <v>70</v>
      </c>
      <c r="X148" s="19"/>
      <c r="Y148" s="19"/>
      <c r="Z148" s="19" t="s">
        <v>799</v>
      </c>
      <c r="AA148" s="19">
        <v>1</v>
      </c>
      <c r="AB148" s="19">
        <v>1</v>
      </c>
      <c r="AC148" s="19" t="s">
        <v>60</v>
      </c>
      <c r="AD148" s="19" t="s">
        <v>206</v>
      </c>
      <c r="AE148" s="19" t="s">
        <v>636</v>
      </c>
      <c r="AF148" s="19"/>
    </row>
    <row r="149" spans="1:34">
      <c r="A149" s="19">
        <v>144</v>
      </c>
      <c r="B149" s="19" t="s">
        <v>281</v>
      </c>
      <c r="C149" s="19" t="s">
        <v>202</v>
      </c>
      <c r="D149" s="19" t="str">
        <f>HYPERLINK("http://henontech.com/fieldsafety/harzard/harzard_show.php?rid=2905&amp;url=harzardrecs.php","化产车间粗苯一名巡检工在终冷塔下面巡检时，二层平台螺栓未清理，如果平台螺栓掉落，砸到巡检工身上，造成巡检工肩部受伤，经送医诊断，肩部轻微伤。")</f>
        <v>化产车间粗苯一名巡检工在终冷塔下面巡检时，二层平台螺栓未清理，如果平台螺栓掉落，砸到巡检工身上，造成巡检工肩部受伤，经送医诊断，肩部轻微伤。</v>
      </c>
      <c r="E149" s="19" t="s">
        <v>800</v>
      </c>
      <c r="F149" s="20" t="s">
        <v>42</v>
      </c>
      <c r="G149" s="21" t="s">
        <v>43</v>
      </c>
      <c r="H149" s="19" t="s">
        <v>44</v>
      </c>
      <c r="I149" s="19" t="s">
        <v>108</v>
      </c>
      <c r="J149" s="19" t="s">
        <v>156</v>
      </c>
      <c r="K149" s="19" t="s">
        <v>47</v>
      </c>
      <c r="L149" s="19" t="s">
        <v>48</v>
      </c>
      <c r="M149" s="19" t="s">
        <v>204</v>
      </c>
      <c r="N149" s="19" t="s">
        <v>801</v>
      </c>
      <c r="O149" s="19" t="s">
        <v>204</v>
      </c>
      <c r="P149" s="19" t="s">
        <v>206</v>
      </c>
      <c r="Q149" s="19" t="s">
        <v>719</v>
      </c>
      <c r="R149" s="19" t="s">
        <v>802</v>
      </c>
      <c r="S149" s="19"/>
      <c r="T149" s="19" t="s">
        <v>54</v>
      </c>
      <c r="U149" s="19" t="s">
        <v>55</v>
      </c>
      <c r="V149" s="19" t="s">
        <v>69</v>
      </c>
      <c r="W149" s="19" t="s">
        <v>70</v>
      </c>
      <c r="X149" s="19"/>
      <c r="Y149" s="19"/>
      <c r="Z149" s="19" t="s">
        <v>803</v>
      </c>
      <c r="AA149" s="19">
        <v>1</v>
      </c>
      <c r="AB149" s="19">
        <v>1</v>
      </c>
      <c r="AC149" s="19" t="s">
        <v>60</v>
      </c>
      <c r="AD149" s="19" t="s">
        <v>206</v>
      </c>
      <c r="AE149" s="19" t="s">
        <v>636</v>
      </c>
      <c r="AF149" s="19"/>
    </row>
    <row r="150" spans="1:34">
      <c r="A150" s="19">
        <v>145</v>
      </c>
      <c r="B150" s="19" t="s">
        <v>281</v>
      </c>
      <c r="C150" s="19" t="s">
        <v>804</v>
      </c>
      <c r="D150" s="19" t="str">
        <f>HYPERLINK("http://henontech.com/fieldsafety/harzard/harzard_show.php?rid=2906&amp;url=harzardrecs.php","一名操作工用蒸汽吹扫风机下液管时，阀门垫子破损，喷出蒸汽，操作工手臂被轻微烫伤，及时用清水冲洗，返回工作岗位，无损工。")</f>
        <v>一名操作工用蒸汽吹扫风机下液管时，阀门垫子破损，喷出蒸汽，操作工手臂被轻微烫伤，及时用清水冲洗，返回工作岗位，无损工。</v>
      </c>
      <c r="E150" s="19" t="s">
        <v>288</v>
      </c>
      <c r="F150" s="20" t="s">
        <v>42</v>
      </c>
      <c r="G150" s="21" t="s">
        <v>43</v>
      </c>
      <c r="H150" s="19" t="s">
        <v>44</v>
      </c>
      <c r="I150" s="19" t="s">
        <v>45</v>
      </c>
      <c r="J150" s="19" t="s">
        <v>46</v>
      </c>
      <c r="K150" s="19" t="s">
        <v>173</v>
      </c>
      <c r="L150" s="19"/>
      <c r="M150" s="19" t="s">
        <v>204</v>
      </c>
      <c r="N150" s="19" t="s">
        <v>805</v>
      </c>
      <c r="O150" s="19" t="s">
        <v>204</v>
      </c>
      <c r="P150" s="19" t="s">
        <v>206</v>
      </c>
      <c r="Q150" s="19" t="s">
        <v>719</v>
      </c>
      <c r="R150" s="19" t="s">
        <v>806</v>
      </c>
      <c r="S150" s="19"/>
      <c r="T150" s="19" t="s">
        <v>54</v>
      </c>
      <c r="U150" s="19" t="s">
        <v>146</v>
      </c>
      <c r="V150" s="19" t="s">
        <v>80</v>
      </c>
      <c r="W150" s="19" t="s">
        <v>70</v>
      </c>
      <c r="X150" s="19"/>
      <c r="Y150" s="19"/>
      <c r="Z150" s="19" t="s">
        <v>807</v>
      </c>
      <c r="AA150" s="19">
        <v>1</v>
      </c>
      <c r="AB150" s="19">
        <v>1</v>
      </c>
      <c r="AC150" s="19" t="s">
        <v>60</v>
      </c>
      <c r="AD150" s="19" t="s">
        <v>206</v>
      </c>
      <c r="AE150" s="19" t="s">
        <v>311</v>
      </c>
      <c r="AF150" s="19"/>
    </row>
    <row r="151" spans="1:34">
      <c r="A151" s="19">
        <v>146</v>
      </c>
      <c r="B151" s="19" t="s">
        <v>276</v>
      </c>
      <c r="C151" s="19" t="s">
        <v>597</v>
      </c>
      <c r="D151" s="19" t="str">
        <f>HYPERLINK("http://henontech.com/fieldsafety/harzard/harzard_show.php?rid=2907&amp;url=harzardrecs.php","北脱硫浮油器爬梯开焊，一名操作工巡检浮油器时。安全意识不强，下爬梯时踩到开焊部位，滑倒落地，立即就医")</f>
        <v>北脱硫浮油器爬梯开焊，一名操作工巡检浮油器时。安全意识不强，下爬梯时踩到开焊部位，滑倒落地，立即就医</v>
      </c>
      <c r="E151" s="19" t="s">
        <v>808</v>
      </c>
      <c r="F151" s="20" t="s">
        <v>42</v>
      </c>
      <c r="G151" s="21" t="s">
        <v>43</v>
      </c>
      <c r="H151" s="19" t="s">
        <v>44</v>
      </c>
      <c r="I151" s="19" t="s">
        <v>66</v>
      </c>
      <c r="J151" s="19" t="s">
        <v>46</v>
      </c>
      <c r="K151" s="19" t="s">
        <v>47</v>
      </c>
      <c r="L151" s="19"/>
      <c r="M151" s="19" t="s">
        <v>204</v>
      </c>
      <c r="N151" s="19" t="s">
        <v>809</v>
      </c>
      <c r="O151" s="19" t="s">
        <v>204</v>
      </c>
      <c r="P151" s="19" t="s">
        <v>206</v>
      </c>
      <c r="Q151" s="19" t="s">
        <v>810</v>
      </c>
      <c r="R151" s="19" t="s">
        <v>811</v>
      </c>
      <c r="S151" s="19"/>
      <c r="T151" s="19" t="s">
        <v>54</v>
      </c>
      <c r="U151" s="19" t="s">
        <v>55</v>
      </c>
      <c r="V151" s="19" t="s">
        <v>69</v>
      </c>
      <c r="W151" s="19" t="s">
        <v>70</v>
      </c>
      <c r="X151" s="19"/>
      <c r="Y151" s="19"/>
      <c r="Z151" s="19" t="s">
        <v>812</v>
      </c>
      <c r="AA151" s="19">
        <v>1</v>
      </c>
      <c r="AB151" s="19">
        <v>1</v>
      </c>
      <c r="AC151" s="19" t="s">
        <v>60</v>
      </c>
      <c r="AD151" s="19" t="s">
        <v>206</v>
      </c>
      <c r="AE151" s="19" t="s">
        <v>582</v>
      </c>
      <c r="AF151" s="19"/>
    </row>
    <row r="152" spans="1:34">
      <c r="A152" s="19">
        <v>147</v>
      </c>
      <c r="B152" s="19" t="s">
        <v>281</v>
      </c>
      <c r="C152" s="19" t="s">
        <v>628</v>
      </c>
      <c r="D152" s="19" t="str">
        <f>HYPERLINK("http://henontech.com/fieldsafety/harzard/harzard_show.php?rid=2908&amp;url=harzardrecs.php","一小井盖板遮盖不严，一旦巡检人员经过时，一只脚踩蹭，导致小腿部被铁板划伤，经医院处理包扎后，在家休养7天后康复，造成一人损工事故。")</f>
        <v>一小井盖板遮盖不严，一旦巡检人员经过时，一只脚踩蹭，导致小腿部被铁板划伤，经医院处理包扎后，在家休养7天后康复，造成一人损工事故。</v>
      </c>
      <c r="E152" s="19" t="s">
        <v>813</v>
      </c>
      <c r="F152" s="20" t="s">
        <v>42</v>
      </c>
      <c r="G152" s="21" t="s">
        <v>43</v>
      </c>
      <c r="H152" s="19" t="s">
        <v>44</v>
      </c>
      <c r="I152" s="19" t="s">
        <v>66</v>
      </c>
      <c r="J152" s="19" t="s">
        <v>46</v>
      </c>
      <c r="K152" s="19" t="s">
        <v>47</v>
      </c>
      <c r="L152" s="19" t="s">
        <v>48</v>
      </c>
      <c r="M152" s="19" t="s">
        <v>204</v>
      </c>
      <c r="N152" s="19" t="s">
        <v>814</v>
      </c>
      <c r="O152" s="19" t="s">
        <v>204</v>
      </c>
      <c r="P152" s="19" t="s">
        <v>206</v>
      </c>
      <c r="Q152" s="19" t="s">
        <v>719</v>
      </c>
      <c r="R152" s="19" t="s">
        <v>815</v>
      </c>
      <c r="S152" s="19"/>
      <c r="T152" s="19" t="s">
        <v>54</v>
      </c>
      <c r="U152" s="19" t="s">
        <v>55</v>
      </c>
      <c r="V152" s="19" t="s">
        <v>69</v>
      </c>
      <c r="W152" s="19" t="s">
        <v>70</v>
      </c>
      <c r="X152" s="19"/>
      <c r="Y152" s="19"/>
      <c r="Z152" s="19" t="s">
        <v>816</v>
      </c>
      <c r="AA152" s="19">
        <v>1</v>
      </c>
      <c r="AB152" s="19">
        <v>1</v>
      </c>
      <c r="AC152" s="19" t="s">
        <v>60</v>
      </c>
      <c r="AD152" s="19" t="s">
        <v>206</v>
      </c>
      <c r="AE152" s="19" t="s">
        <v>276</v>
      </c>
      <c r="AF152" s="19"/>
    </row>
    <row r="153" spans="1:34">
      <c r="A153" s="19">
        <v>148</v>
      </c>
      <c r="B153" s="19" t="s">
        <v>95</v>
      </c>
      <c r="C153" s="19" t="s">
        <v>633</v>
      </c>
      <c r="D153" s="19" t="str">
        <f>HYPERLINK("http://henontech.com/fieldsafety/harzard/harzard_show.php?rid=2911&amp;url=harzardrecs.php","2#站中间水池盖板腐蚀严重，如果一名操作人员在巡检过程中不慎踩到，造成右小腿多处轻度划伤，送医处理后在家休息三天。")</f>
        <v>2#站中间水池盖板腐蚀严重，如果一名操作人员在巡检过程中不慎踩到，造成右小腿多处轻度划伤，送医处理后在家休息三天。</v>
      </c>
      <c r="E153" s="19" t="s">
        <v>817</v>
      </c>
      <c r="F153" s="20" t="s">
        <v>42</v>
      </c>
      <c r="G153" s="21" t="s">
        <v>43</v>
      </c>
      <c r="H153" s="19" t="s">
        <v>44</v>
      </c>
      <c r="I153" s="19" t="s">
        <v>45</v>
      </c>
      <c r="J153" s="19" t="s">
        <v>46</v>
      </c>
      <c r="K153" s="19"/>
      <c r="L153" s="19"/>
      <c r="M153" s="19" t="s">
        <v>229</v>
      </c>
      <c r="N153" s="19" t="s">
        <v>661</v>
      </c>
      <c r="O153" s="19" t="s">
        <v>229</v>
      </c>
      <c r="P153" s="19" t="s">
        <v>231</v>
      </c>
      <c r="Q153" s="19" t="s">
        <v>719</v>
      </c>
      <c r="R153" s="19" t="s">
        <v>637</v>
      </c>
      <c r="S153" s="19"/>
      <c r="T153" s="19" t="s">
        <v>54</v>
      </c>
      <c r="U153" s="19" t="s">
        <v>55</v>
      </c>
      <c r="V153" s="19" t="s">
        <v>80</v>
      </c>
      <c r="W153" s="19" t="s">
        <v>81</v>
      </c>
      <c r="X153" s="19" t="s">
        <v>418</v>
      </c>
      <c r="Y153" s="19" t="s">
        <v>418</v>
      </c>
      <c r="Z153" s="19" t="s">
        <v>278</v>
      </c>
      <c r="AA153" s="19">
        <v>1</v>
      </c>
      <c r="AB153" s="19">
        <v>1</v>
      </c>
      <c r="AC153" s="19" t="s">
        <v>60</v>
      </c>
      <c r="AD153" s="19" t="s">
        <v>231</v>
      </c>
      <c r="AE153" s="19" t="s">
        <v>291</v>
      </c>
      <c r="AF153" s="19"/>
    </row>
    <row r="154" spans="1:34">
      <c r="A154" s="19">
        <v>149</v>
      </c>
      <c r="B154" s="19" t="s">
        <v>95</v>
      </c>
      <c r="C154" s="19" t="s">
        <v>474</v>
      </c>
      <c r="D154" s="19" t="str">
        <f>HYPERLINK("http://henontech.com/fieldsafety/harzard/harzard_show.php?rid=2912&amp;url=harzardrecs.php","南脱硫二楼压滤机房西侧有一斜放的铁板。操作工在清理地面卫生时，有可能触碰到铁板使铁板滑倒碰伤人员脚部，造成右脚划伤，")</f>
        <v>南脱硫二楼压滤机房西侧有一斜放的铁板。操作工在清理地面卫生时，有可能触碰到铁板使铁板滑倒碰伤人员脚部，造成右脚划伤，</v>
      </c>
      <c r="E154" s="19" t="s">
        <v>818</v>
      </c>
      <c r="F154" s="20" t="s">
        <v>42</v>
      </c>
      <c r="G154" s="21" t="s">
        <v>43</v>
      </c>
      <c r="H154" s="19" t="s">
        <v>44</v>
      </c>
      <c r="I154" s="19" t="s">
        <v>66</v>
      </c>
      <c r="J154" s="19" t="s">
        <v>46</v>
      </c>
      <c r="K154" s="19" t="s">
        <v>137</v>
      </c>
      <c r="L154" s="19" t="s">
        <v>48</v>
      </c>
      <c r="M154" s="19" t="s">
        <v>204</v>
      </c>
      <c r="N154" s="19" t="s">
        <v>819</v>
      </c>
      <c r="O154" s="19" t="s">
        <v>204</v>
      </c>
      <c r="P154" s="19" t="s">
        <v>206</v>
      </c>
      <c r="Q154" s="19" t="s">
        <v>719</v>
      </c>
      <c r="R154" s="19" t="s">
        <v>246</v>
      </c>
      <c r="S154" s="19"/>
      <c r="T154" s="19" t="s">
        <v>54</v>
      </c>
      <c r="U154" s="19" t="s">
        <v>55</v>
      </c>
      <c r="V154" s="19" t="s">
        <v>80</v>
      </c>
      <c r="W154" s="19" t="s">
        <v>81</v>
      </c>
      <c r="X154" s="19"/>
      <c r="Y154" s="19"/>
      <c r="Z154" s="19" t="s">
        <v>820</v>
      </c>
      <c r="AA154" s="19">
        <v>1</v>
      </c>
      <c r="AB154" s="19">
        <v>1</v>
      </c>
      <c r="AC154" s="19" t="s">
        <v>60</v>
      </c>
      <c r="AD154" s="19" t="s">
        <v>206</v>
      </c>
      <c r="AE154" s="19" t="s">
        <v>276</v>
      </c>
      <c r="AF154" s="19"/>
    </row>
    <row r="155" spans="1:34">
      <c r="A155" s="19">
        <v>150</v>
      </c>
      <c r="B155" s="19" t="s">
        <v>95</v>
      </c>
      <c r="C155" s="19" t="s">
        <v>612</v>
      </c>
      <c r="D155" s="19" t="str">
        <f>HYPERLINK("http://henontech.com/fieldsafety/harzard/harzard_show.php?rid=2913&amp;url=harzardrecs.php","南风机1#初冷器二层平台北侧去洗涤塔爬梯无警示牌，爬梯高1.5米，如果一名操作人员在爬该爬梯时风险辩识不到位从爬梯掉落，造成一人右脚腕轻度扭伤，经简单处理后不影响正常工作。")</f>
        <v>南风机1#初冷器二层平台北侧去洗涤塔爬梯无警示牌，爬梯高1.5米，如果一名操作人员在爬该爬梯时风险辩识不到位从爬梯掉落，造成一人右脚腕轻度扭伤，经简单处理后不影响正常工作。</v>
      </c>
      <c r="E155" s="19" t="s">
        <v>821</v>
      </c>
      <c r="F155" s="20" t="s">
        <v>42</v>
      </c>
      <c r="G155" s="21" t="s">
        <v>43</v>
      </c>
      <c r="H155" s="19" t="s">
        <v>44</v>
      </c>
      <c r="I155" s="19" t="s">
        <v>66</v>
      </c>
      <c r="J155" s="19" t="s">
        <v>46</v>
      </c>
      <c r="K155" s="19" t="s">
        <v>47</v>
      </c>
      <c r="L155" s="19" t="s">
        <v>48</v>
      </c>
      <c r="M155" s="19" t="s">
        <v>204</v>
      </c>
      <c r="N155" s="19" t="s">
        <v>822</v>
      </c>
      <c r="O155" s="19" t="s">
        <v>204</v>
      </c>
      <c r="P155" s="19" t="s">
        <v>206</v>
      </c>
      <c r="Q155" s="19" t="s">
        <v>769</v>
      </c>
      <c r="R155" s="19" t="s">
        <v>823</v>
      </c>
      <c r="S155" s="19"/>
      <c r="T155" s="19" t="s">
        <v>54</v>
      </c>
      <c r="U155" s="19" t="s">
        <v>146</v>
      </c>
      <c r="V155" s="19" t="s">
        <v>80</v>
      </c>
      <c r="W155" s="19" t="s">
        <v>70</v>
      </c>
      <c r="X155" s="19"/>
      <c r="Y155" s="19"/>
      <c r="Z155" s="19" t="s">
        <v>824</v>
      </c>
      <c r="AA155" s="19">
        <v>1</v>
      </c>
      <c r="AB155" s="19">
        <v>1</v>
      </c>
      <c r="AC155" s="19" t="s">
        <v>60</v>
      </c>
      <c r="AD155" s="19" t="s">
        <v>206</v>
      </c>
      <c r="AE155" s="19" t="s">
        <v>745</v>
      </c>
      <c r="AF155" s="19"/>
    </row>
    <row r="156" spans="1:34">
      <c r="A156" s="19">
        <v>151</v>
      </c>
      <c r="B156" s="19" t="s">
        <v>95</v>
      </c>
      <c r="C156" s="19" t="s">
        <v>315</v>
      </c>
      <c r="D156" s="19" t="str">
        <f>HYPERLINK("http://henontech.com/fieldsafety/harzard/harzard_show.php?rid=2914&amp;url=harzardrecs.php","一名员工进入户外平台时，因安全门未关闭，不慎滑入下方爬梯，完成身体多处软组织受伤，在家休养三天后复工。")</f>
        <v>一名员工进入户外平台时，因安全门未关闭，不慎滑入下方爬梯，完成身体多处软组织受伤，在家休养三天后复工。</v>
      </c>
      <c r="E156" s="19" t="s">
        <v>825</v>
      </c>
      <c r="F156" s="20" t="s">
        <v>42</v>
      </c>
      <c r="G156" s="22" t="s">
        <v>107</v>
      </c>
      <c r="H156" s="19" t="s">
        <v>44</v>
      </c>
      <c r="I156" s="19" t="s">
        <v>66</v>
      </c>
      <c r="J156" s="19" t="s">
        <v>77</v>
      </c>
      <c r="K156" s="19" t="s">
        <v>47</v>
      </c>
      <c r="L156" s="19" t="s">
        <v>110</v>
      </c>
      <c r="M156" s="19" t="s">
        <v>317</v>
      </c>
      <c r="N156" s="19" t="s">
        <v>533</v>
      </c>
      <c r="O156" s="19" t="s">
        <v>317</v>
      </c>
      <c r="P156" s="19" t="s">
        <v>533</v>
      </c>
      <c r="Q156" s="19" t="s">
        <v>276</v>
      </c>
      <c r="R156" s="19" t="s">
        <v>826</v>
      </c>
      <c r="S156" s="19"/>
      <c r="T156" s="19" t="s">
        <v>54</v>
      </c>
      <c r="U156" s="19" t="s">
        <v>146</v>
      </c>
      <c r="V156" s="19" t="s">
        <v>80</v>
      </c>
      <c r="W156" s="19" t="s">
        <v>70</v>
      </c>
      <c r="X156" s="19"/>
      <c r="Y156" s="19"/>
      <c r="Z156" s="19" t="s">
        <v>827</v>
      </c>
      <c r="AA156" s="19">
        <v>1</v>
      </c>
      <c r="AB156" s="19">
        <v>1</v>
      </c>
      <c r="AC156" s="19" t="s">
        <v>60</v>
      </c>
      <c r="AD156" s="19" t="s">
        <v>533</v>
      </c>
      <c r="AE156" s="19" t="s">
        <v>276</v>
      </c>
      <c r="AF156" s="19"/>
    </row>
    <row r="157" spans="1:34" customHeight="1" ht="42">
      <c r="A157" s="19">
        <v>152</v>
      </c>
      <c r="B157" s="19" t="s">
        <v>276</v>
      </c>
      <c r="C157" s="19" t="s">
        <v>335</v>
      </c>
      <c r="D157" s="19" t="str">
        <f>HYPERLINK("http://henontech.com/fieldsafety/harzard/harzard_show.php?rid=2915&amp;url=harzardrecs.php","值班室西侧水沟破损，一职工经过时不慎踏入水沟，腿部受伤，造成腿部骨折，住院治疗一个月，在家休养2个月，误工90天")</f>
        <v>值班室西侧水沟破损，一职工经过时不慎踏入水沟，腿部受伤，造成腿部骨折，住院治疗一个月，在家休养2个月，误工90天</v>
      </c>
      <c r="E157" s="19" t="s">
        <v>828</v>
      </c>
      <c r="F157" s="20" t="s">
        <v>42</v>
      </c>
      <c r="G157" s="21" t="s">
        <v>43</v>
      </c>
      <c r="H157" s="19" t="s">
        <v>44</v>
      </c>
      <c r="I157" s="19" t="s">
        <v>45</v>
      </c>
      <c r="J157" s="19" t="s">
        <v>46</v>
      </c>
      <c r="K157" s="19" t="s">
        <v>47</v>
      </c>
      <c r="L157" s="19"/>
      <c r="M157" s="19" t="s">
        <v>317</v>
      </c>
      <c r="N157" s="19" t="s">
        <v>829</v>
      </c>
      <c r="O157" s="19" t="s">
        <v>317</v>
      </c>
      <c r="P157" s="19" t="s">
        <v>319</v>
      </c>
      <c r="Q157" s="19" t="s">
        <v>636</v>
      </c>
      <c r="R157" s="19" t="s">
        <v>830</v>
      </c>
      <c r="S157" s="19" t="s">
        <v>831</v>
      </c>
      <c r="T157" s="19" t="s">
        <v>54</v>
      </c>
      <c r="U157" s="19" t="s">
        <v>146</v>
      </c>
      <c r="V157" s="19" t="s">
        <v>80</v>
      </c>
      <c r="W157" s="19" t="s">
        <v>70</v>
      </c>
      <c r="X157" s="19" t="s">
        <v>93</v>
      </c>
      <c r="Y157" s="19" t="s">
        <v>93</v>
      </c>
      <c r="Z157" s="19" t="s">
        <v>832</v>
      </c>
      <c r="AA157" s="19">
        <v>2</v>
      </c>
      <c r="AB157" s="19">
        <v>2</v>
      </c>
      <c r="AC157" s="19" t="s">
        <v>60</v>
      </c>
      <c r="AD157" s="19" t="s">
        <v>319</v>
      </c>
      <c r="AE157" s="19" t="s">
        <v>833</v>
      </c>
      <c r="AF157" s="19" t="s">
        <v>834</v>
      </c>
    </row>
    <row r="158" spans="1:34">
      <c r="A158" s="19">
        <v>153</v>
      </c>
      <c r="B158" s="19" t="s">
        <v>276</v>
      </c>
      <c r="C158" s="19" t="s">
        <v>85</v>
      </c>
      <c r="D158" s="19" t="str">
        <f>HYPERLINK("http://henontech.com/fieldsafety/harzard/harzard_show.php?rid=2916&amp;url=harzardrecs.php","干熄焦主控室内，地面砖翘起，一名员工从此处走，被绊倒，从地面起来后回到岗位继续工作，未造成人员伤害。")</f>
        <v>干熄焦主控室内，地面砖翘起，一名员工从此处走，被绊倒，从地面起来后回到岗位继续工作，未造成人员伤害。</v>
      </c>
      <c r="E158" s="19" t="s">
        <v>835</v>
      </c>
      <c r="F158" s="25" t="s">
        <v>425</v>
      </c>
      <c r="G158" s="21" t="s">
        <v>43</v>
      </c>
      <c r="H158" s="19" t="s">
        <v>44</v>
      </c>
      <c r="I158" s="19" t="s">
        <v>45</v>
      </c>
      <c r="J158" s="19" t="s">
        <v>46</v>
      </c>
      <c r="K158" s="19" t="s">
        <v>137</v>
      </c>
      <c r="L158" s="19"/>
      <c r="M158" s="19" t="s">
        <v>87</v>
      </c>
      <c r="N158" s="19" t="s">
        <v>836</v>
      </c>
      <c r="O158" s="19" t="s">
        <v>87</v>
      </c>
      <c r="P158" s="19" t="s">
        <v>128</v>
      </c>
      <c r="Q158" s="19" t="s">
        <v>810</v>
      </c>
      <c r="R158" s="19" t="s">
        <v>837</v>
      </c>
      <c r="S158" s="19" t="s">
        <v>838</v>
      </c>
      <c r="T158" s="19" t="s">
        <v>54</v>
      </c>
      <c r="U158" s="19" t="s">
        <v>133</v>
      </c>
      <c r="V158" s="19" t="s">
        <v>69</v>
      </c>
      <c r="W158" s="19" t="s">
        <v>134</v>
      </c>
      <c r="X158" s="19" t="s">
        <v>58</v>
      </c>
      <c r="Y158" s="19"/>
      <c r="Z158" s="19" t="s">
        <v>839</v>
      </c>
      <c r="AA158" s="19">
        <v>1</v>
      </c>
      <c r="AB158" s="19"/>
      <c r="AC158" s="19" t="s">
        <v>330</v>
      </c>
      <c r="AD158" s="19"/>
      <c r="AE158" s="19"/>
      <c r="AF158" s="19"/>
    </row>
    <row r="159" spans="1:34" customHeight="1" ht="42">
      <c r="A159" s="19">
        <v>154</v>
      </c>
      <c r="B159" s="19" t="s">
        <v>276</v>
      </c>
      <c r="C159" s="19" t="s">
        <v>335</v>
      </c>
      <c r="D159" s="19" t="str">
        <f>HYPERLINK("http://henontech.com/fieldsafety/harzard/harzard_show.php?rid=2917&amp;url=harzardrecs.php","东四二中号配料称配料铁磨损过大，职工在操作过程中不慎挤伤手部，去医务室检查后手部皮肉受伤，经包扎后休息三天。")</f>
        <v>东四二中号配料称配料铁磨损过大，职工在操作过程中不慎挤伤手部，去医务室检查后手部皮肉受伤，经包扎后休息三天。</v>
      </c>
      <c r="E159" s="19" t="s">
        <v>840</v>
      </c>
      <c r="F159" s="20" t="s">
        <v>42</v>
      </c>
      <c r="G159" s="22" t="s">
        <v>107</v>
      </c>
      <c r="H159" s="19" t="s">
        <v>44</v>
      </c>
      <c r="I159" s="19" t="s">
        <v>45</v>
      </c>
      <c r="J159" s="19" t="s">
        <v>46</v>
      </c>
      <c r="K159" s="19" t="s">
        <v>137</v>
      </c>
      <c r="L159" s="19" t="s">
        <v>48</v>
      </c>
      <c r="M159" s="19" t="s">
        <v>317</v>
      </c>
      <c r="N159" s="19" t="s">
        <v>841</v>
      </c>
      <c r="O159" s="19" t="s">
        <v>317</v>
      </c>
      <c r="P159" s="19" t="s">
        <v>319</v>
      </c>
      <c r="Q159" s="19" t="s">
        <v>636</v>
      </c>
      <c r="R159" s="19" t="s">
        <v>338</v>
      </c>
      <c r="S159" s="19" t="s">
        <v>842</v>
      </c>
      <c r="T159" s="19" t="s">
        <v>54</v>
      </c>
      <c r="U159" s="19" t="s">
        <v>146</v>
      </c>
      <c r="V159" s="19" t="s">
        <v>69</v>
      </c>
      <c r="W159" s="19" t="s">
        <v>134</v>
      </c>
      <c r="X159" s="19" t="s">
        <v>58</v>
      </c>
      <c r="Y159" s="19" t="s">
        <v>58</v>
      </c>
      <c r="Z159" s="19" t="s">
        <v>843</v>
      </c>
      <c r="AA159" s="19">
        <v>2</v>
      </c>
      <c r="AB159" s="19">
        <v>2</v>
      </c>
      <c r="AC159" s="19" t="s">
        <v>60</v>
      </c>
      <c r="AD159" s="19" t="s">
        <v>319</v>
      </c>
      <c r="AE159" s="19" t="s">
        <v>833</v>
      </c>
      <c r="AF159" s="19" t="s">
        <v>844</v>
      </c>
    </row>
    <row r="160" spans="1:34">
      <c r="A160" s="19">
        <v>155</v>
      </c>
      <c r="B160" s="19" t="s">
        <v>276</v>
      </c>
      <c r="C160" s="19" t="s">
        <v>845</v>
      </c>
      <c r="D160" s="19" t="str">
        <f>HYPERLINK("http://henontech.com/fieldsafety/harzard/harzard_show.php?rid=2918&amp;url=harzardrecs.php","制氮机消音过滤器在制氮机组的长期震动下，一消音过滤器振落下来，打到正在巡检的操作工，造成腿部轻微碰伤，休息片刻后继续工作。")</f>
        <v>制氮机消音过滤器在制氮机组的长期震动下，一消音过滤器振落下来，打到正在巡检的操作工，造成腿部轻微碰伤，休息片刻后继续工作。</v>
      </c>
      <c r="E160" s="19" t="s">
        <v>846</v>
      </c>
      <c r="F160" s="20" t="s">
        <v>42</v>
      </c>
      <c r="G160" s="21" t="s">
        <v>43</v>
      </c>
      <c r="H160" s="19" t="s">
        <v>44</v>
      </c>
      <c r="I160" s="19" t="s">
        <v>45</v>
      </c>
      <c r="J160" s="19" t="s">
        <v>46</v>
      </c>
      <c r="K160" s="19" t="s">
        <v>173</v>
      </c>
      <c r="L160" s="19" t="s">
        <v>48</v>
      </c>
      <c r="M160" s="19" t="s">
        <v>204</v>
      </c>
      <c r="N160" s="19" t="s">
        <v>847</v>
      </c>
      <c r="O160" s="19" t="s">
        <v>204</v>
      </c>
      <c r="P160" s="19" t="s">
        <v>206</v>
      </c>
      <c r="Q160" s="19" t="s">
        <v>769</v>
      </c>
      <c r="R160" s="19" t="s">
        <v>848</v>
      </c>
      <c r="S160" s="19"/>
      <c r="T160" s="19" t="s">
        <v>54</v>
      </c>
      <c r="U160" s="19" t="s">
        <v>146</v>
      </c>
      <c r="V160" s="19" t="s">
        <v>80</v>
      </c>
      <c r="W160" s="19" t="s">
        <v>70</v>
      </c>
      <c r="X160" s="19"/>
      <c r="Y160" s="19"/>
      <c r="Z160" s="19" t="s">
        <v>849</v>
      </c>
      <c r="AA160" s="19">
        <v>1</v>
      </c>
      <c r="AB160" s="19">
        <v>1</v>
      </c>
      <c r="AC160" s="19" t="s">
        <v>60</v>
      </c>
      <c r="AD160" s="19" t="s">
        <v>206</v>
      </c>
      <c r="AE160" s="19" t="s">
        <v>276</v>
      </c>
      <c r="AF160" s="19"/>
    </row>
    <row r="161" spans="1:34" customHeight="1" ht="42">
      <c r="A161" s="19">
        <v>156</v>
      </c>
      <c r="B161" s="19" t="s">
        <v>276</v>
      </c>
      <c r="C161" s="19" t="s">
        <v>335</v>
      </c>
      <c r="D161" s="19" t="str">
        <f>HYPERLINK("http://henontech.com/fieldsafety/harzard/harzard_show.php?rid=2919&amp;url=harzardrecs.php","东三卸料车行走电机开焊，人员操作时电机掉落砸伤脚面，住院治疗脚面骨折需住院一个月，在家修养两个月，")</f>
        <v>东三卸料车行走电机开焊，人员操作时电机掉落砸伤脚面，住院治疗脚面骨折需住院一个月，在家修养两个月，</v>
      </c>
      <c r="E161" s="19" t="s">
        <v>850</v>
      </c>
      <c r="F161" s="20" t="s">
        <v>42</v>
      </c>
      <c r="G161" s="23" t="s">
        <v>289</v>
      </c>
      <c r="H161" s="19" t="s">
        <v>44</v>
      </c>
      <c r="I161" s="19" t="s">
        <v>45</v>
      </c>
      <c r="J161" s="19" t="s">
        <v>46</v>
      </c>
      <c r="K161" s="19" t="s">
        <v>173</v>
      </c>
      <c r="L161" s="19"/>
      <c r="M161" s="19" t="s">
        <v>317</v>
      </c>
      <c r="N161" s="19" t="s">
        <v>708</v>
      </c>
      <c r="O161" s="19" t="s">
        <v>317</v>
      </c>
      <c r="P161" s="19" t="s">
        <v>319</v>
      </c>
      <c r="Q161" s="19" t="s">
        <v>636</v>
      </c>
      <c r="R161" s="19" t="s">
        <v>851</v>
      </c>
      <c r="S161" s="19" t="s">
        <v>852</v>
      </c>
      <c r="T161" s="19" t="s">
        <v>54</v>
      </c>
      <c r="U161" s="19" t="s">
        <v>55</v>
      </c>
      <c r="V161" s="19" t="s">
        <v>69</v>
      </c>
      <c r="W161" s="19" t="s">
        <v>70</v>
      </c>
      <c r="X161" s="19" t="s">
        <v>58</v>
      </c>
      <c r="Y161" s="19" t="s">
        <v>58</v>
      </c>
      <c r="Z161" s="19" t="s">
        <v>853</v>
      </c>
      <c r="AA161" s="19">
        <v>2</v>
      </c>
      <c r="AB161" s="19">
        <v>2</v>
      </c>
      <c r="AC161" s="19" t="s">
        <v>60</v>
      </c>
      <c r="AD161" s="19" t="s">
        <v>319</v>
      </c>
      <c r="AE161" s="19" t="s">
        <v>833</v>
      </c>
      <c r="AF161" s="19" t="s">
        <v>854</v>
      </c>
    </row>
    <row r="162" spans="1:34">
      <c r="A162" s="19">
        <v>157</v>
      </c>
      <c r="B162" s="19" t="s">
        <v>276</v>
      </c>
      <c r="C162" s="19" t="s">
        <v>335</v>
      </c>
      <c r="D162" s="19" t="str">
        <f>HYPERLINK("http://henontech.com/fieldsafety/harzard/harzard_show.php?rid=2920&amp;url=harzardrecs.php","降尘泵护罩底部护栏开焊斜出，操作人员经过时绊倒，造成膝盖擦伤。")</f>
        <v>降尘泵护罩底部护栏开焊斜出，操作人员经过时绊倒，造成膝盖擦伤。</v>
      </c>
      <c r="E162" s="19" t="s">
        <v>855</v>
      </c>
      <c r="F162" s="20" t="s">
        <v>42</v>
      </c>
      <c r="G162" s="21" t="s">
        <v>43</v>
      </c>
      <c r="H162" s="19" t="s">
        <v>44</v>
      </c>
      <c r="I162" s="19" t="s">
        <v>66</v>
      </c>
      <c r="J162" s="19"/>
      <c r="K162" s="19"/>
      <c r="L162" s="19"/>
      <c r="M162" s="19" t="s">
        <v>317</v>
      </c>
      <c r="N162" s="19" t="s">
        <v>399</v>
      </c>
      <c r="O162" s="19" t="s">
        <v>317</v>
      </c>
      <c r="P162" s="19" t="s">
        <v>400</v>
      </c>
      <c r="Q162" s="19" t="s">
        <v>769</v>
      </c>
      <c r="R162" s="19" t="s">
        <v>856</v>
      </c>
      <c r="S162" s="19"/>
      <c r="T162" s="19" t="s">
        <v>54</v>
      </c>
      <c r="U162" s="19" t="s">
        <v>146</v>
      </c>
      <c r="V162" s="19" t="s">
        <v>56</v>
      </c>
      <c r="W162" s="19" t="s">
        <v>81</v>
      </c>
      <c r="X162" s="19"/>
      <c r="Y162" s="19"/>
      <c r="Z162" s="19" t="s">
        <v>857</v>
      </c>
      <c r="AA162" s="19">
        <v>1</v>
      </c>
      <c r="AB162" s="19">
        <v>1</v>
      </c>
      <c r="AC162" s="19" t="s">
        <v>60</v>
      </c>
      <c r="AD162" s="19" t="s">
        <v>400</v>
      </c>
      <c r="AE162" s="19" t="s">
        <v>291</v>
      </c>
      <c r="AF162" s="19"/>
    </row>
    <row r="163" spans="1:34">
      <c r="A163" s="19">
        <v>158</v>
      </c>
      <c r="B163" s="19" t="s">
        <v>276</v>
      </c>
      <c r="C163" s="19" t="s">
        <v>858</v>
      </c>
      <c r="D163" s="19" t="str">
        <f>HYPERLINK("http://henontech.com/fieldsafety/harzard/harzard_show.php?rid=2921&amp;url=harzardrecs.php","液氨罐出口阀门填料漏，如果一名职工巡检到此处，造成呼吸道灼伤，经洗消后，立即复工。")</f>
        <v>液氨罐出口阀门填料漏，如果一名职工巡检到此处，造成呼吸道灼伤，经洗消后，立即复工。</v>
      </c>
      <c r="E163" s="19" t="s">
        <v>859</v>
      </c>
      <c r="F163" s="24" t="s">
        <v>326</v>
      </c>
      <c r="G163" s="21" t="s">
        <v>43</v>
      </c>
      <c r="H163" s="19" t="s">
        <v>44</v>
      </c>
      <c r="I163" s="19" t="s">
        <v>45</v>
      </c>
      <c r="J163" s="19" t="s">
        <v>109</v>
      </c>
      <c r="K163" s="19" t="s">
        <v>47</v>
      </c>
      <c r="L163" s="19" t="s">
        <v>48</v>
      </c>
      <c r="M163" s="19" t="s">
        <v>860</v>
      </c>
      <c r="N163" s="19" t="s">
        <v>861</v>
      </c>
      <c r="O163" s="19"/>
      <c r="P163" s="19"/>
      <c r="Q163" s="19"/>
      <c r="R163" s="19" t="s">
        <v>862</v>
      </c>
      <c r="S163" s="19" t="s">
        <v>863</v>
      </c>
      <c r="T163" s="19" t="s">
        <v>54</v>
      </c>
      <c r="U163" s="19" t="s">
        <v>146</v>
      </c>
      <c r="V163" s="19" t="s">
        <v>209</v>
      </c>
      <c r="W163" s="19" t="s">
        <v>134</v>
      </c>
      <c r="X163" s="19"/>
      <c r="Y163" s="19"/>
      <c r="Z163" s="19"/>
      <c r="AA163" s="19">
        <v>0</v>
      </c>
      <c r="AB163" s="19"/>
      <c r="AC163" s="19" t="s">
        <v>330</v>
      </c>
      <c r="AD163" s="19"/>
      <c r="AE163" s="19"/>
      <c r="AF163" s="19"/>
    </row>
    <row r="164" spans="1:34">
      <c r="A164" s="19">
        <v>159</v>
      </c>
      <c r="B164" s="19" t="s">
        <v>276</v>
      </c>
      <c r="C164" s="19" t="s">
        <v>535</v>
      </c>
      <c r="D164" s="19" t="str">
        <f>HYPERLINK("http://henontech.com/fieldsafety/harzard/harzard_show.php?rid=2922&amp;url=harzardrecs.php","煤八后尾振动电机电源线未在套管内，振动摩擦绝缘层磨破，操作人员清擦机架时，误触电源线触电击倒，送医院治疗一个月，在家修养一个月。")</f>
        <v>煤八后尾振动电机电源线未在套管内，振动摩擦绝缘层磨破，操作人员清擦机架时，误触电源线触电击倒，送医院治疗一个月，在家修养一个月。</v>
      </c>
      <c r="E164" s="19" t="s">
        <v>864</v>
      </c>
      <c r="F164" s="20" t="s">
        <v>42</v>
      </c>
      <c r="G164" s="21" t="s">
        <v>43</v>
      </c>
      <c r="H164" s="19" t="s">
        <v>44</v>
      </c>
      <c r="I164" s="19" t="s">
        <v>66</v>
      </c>
      <c r="J164" s="19" t="s">
        <v>228</v>
      </c>
      <c r="K164" s="19"/>
      <c r="L164" s="19"/>
      <c r="M164" s="19" t="s">
        <v>317</v>
      </c>
      <c r="N164" s="19" t="s">
        <v>399</v>
      </c>
      <c r="O164" s="19" t="s">
        <v>317</v>
      </c>
      <c r="P164" s="19" t="s">
        <v>400</v>
      </c>
      <c r="Q164" s="19" t="s">
        <v>769</v>
      </c>
      <c r="R164" s="19" t="s">
        <v>865</v>
      </c>
      <c r="S164" s="19"/>
      <c r="T164" s="19" t="s">
        <v>54</v>
      </c>
      <c r="U164" s="19" t="s">
        <v>55</v>
      </c>
      <c r="V164" s="19" t="s">
        <v>80</v>
      </c>
      <c r="W164" s="19" t="s">
        <v>81</v>
      </c>
      <c r="X164" s="19"/>
      <c r="Y164" s="19"/>
      <c r="Z164" s="19" t="s">
        <v>866</v>
      </c>
      <c r="AA164" s="19">
        <v>1</v>
      </c>
      <c r="AB164" s="19">
        <v>1</v>
      </c>
      <c r="AC164" s="19" t="s">
        <v>60</v>
      </c>
      <c r="AD164" s="19" t="s">
        <v>400</v>
      </c>
      <c r="AE164" s="19" t="s">
        <v>291</v>
      </c>
      <c r="AF164" s="19"/>
    </row>
    <row r="165" spans="1:34">
      <c r="A165" s="19">
        <v>160</v>
      </c>
      <c r="B165" s="19" t="s">
        <v>276</v>
      </c>
      <c r="C165" s="19" t="s">
        <v>287</v>
      </c>
      <c r="D165" s="19" t="str">
        <f>HYPERLINK("http://henontech.com/fieldsafety/harzard/harzard_show.php?rid=2923&amp;url=harzardrecs.php","环境除尘4#卸灰电机叶轮无防护罩，操作工在给4#灰仓卸灰，走到电机处观看是否下灰，叶轮松动脱落飞起划伤人员脸部，需要住院治疗半个月，造成损工事故。")</f>
        <v>环境除尘4#卸灰电机叶轮无防护罩，操作工在给4#灰仓卸灰，走到电机处观看是否下灰，叶轮松动脱落飞起划伤人员脸部，需要住院治疗半个月，造成损工事故。</v>
      </c>
      <c r="E165" s="19" t="s">
        <v>867</v>
      </c>
      <c r="F165" s="20" t="s">
        <v>42</v>
      </c>
      <c r="G165" s="21" t="s">
        <v>43</v>
      </c>
      <c r="H165" s="19" t="s">
        <v>44</v>
      </c>
      <c r="I165" s="19" t="s">
        <v>45</v>
      </c>
      <c r="J165" s="19" t="s">
        <v>46</v>
      </c>
      <c r="K165" s="19" t="s">
        <v>47</v>
      </c>
      <c r="L165" s="19"/>
      <c r="M165" s="19" t="s">
        <v>87</v>
      </c>
      <c r="N165" s="19" t="s">
        <v>868</v>
      </c>
      <c r="O165" s="19" t="s">
        <v>87</v>
      </c>
      <c r="P165" s="19" t="s">
        <v>89</v>
      </c>
      <c r="Q165" s="19" t="s">
        <v>810</v>
      </c>
      <c r="R165" s="19" t="s">
        <v>869</v>
      </c>
      <c r="S165" s="19" t="s">
        <v>870</v>
      </c>
      <c r="T165" s="19" t="s">
        <v>54</v>
      </c>
      <c r="U165" s="19" t="s">
        <v>55</v>
      </c>
      <c r="V165" s="19" t="s">
        <v>69</v>
      </c>
      <c r="W165" s="19" t="s">
        <v>70</v>
      </c>
      <c r="X165" s="19" t="s">
        <v>58</v>
      </c>
      <c r="Y165" s="19"/>
      <c r="Z165" s="19" t="s">
        <v>871</v>
      </c>
      <c r="AA165" s="19">
        <v>1</v>
      </c>
      <c r="AB165" s="19">
        <v>1</v>
      </c>
      <c r="AC165" s="19" t="s">
        <v>60</v>
      </c>
      <c r="AD165" s="19" t="s">
        <v>89</v>
      </c>
      <c r="AE165" s="19" t="s">
        <v>291</v>
      </c>
      <c r="AF165" s="19"/>
    </row>
    <row r="166" spans="1:34">
      <c r="A166" s="19">
        <v>161</v>
      </c>
      <c r="B166" s="19" t="s">
        <v>276</v>
      </c>
      <c r="C166" s="19" t="s">
        <v>428</v>
      </c>
      <c r="D166" s="19" t="str">
        <f>HYPERLINK("http://henontech.com/fieldsafety/harzard/harzard_show.php?rid=2924&amp;url=harzardrecs.php","深度脱硫拉货车辆司机安全帽带子未系，假如在装货过程中物料撒落，由于人员安全帽绳没有悬挂，造成安全帽脱落砸伤头部，送医院治疗七天，在家休息五天后正常上班。")</f>
        <v>深度脱硫拉货车辆司机安全帽带子未系，假如在装货过程中物料撒落，由于人员安全帽绳没有悬挂，造成安全帽脱落砸伤头部，送医院治疗七天，在家休息五天后正常上班。</v>
      </c>
      <c r="E166" s="19" t="s">
        <v>872</v>
      </c>
      <c r="F166" s="20" t="s">
        <v>42</v>
      </c>
      <c r="G166" s="21" t="s">
        <v>43</v>
      </c>
      <c r="H166" s="19" t="s">
        <v>44</v>
      </c>
      <c r="I166" s="19"/>
      <c r="J166" s="19" t="s">
        <v>77</v>
      </c>
      <c r="K166" s="19" t="s">
        <v>47</v>
      </c>
      <c r="L166" s="19" t="s">
        <v>48</v>
      </c>
      <c r="M166" s="19" t="s">
        <v>204</v>
      </c>
      <c r="N166" s="19" t="s">
        <v>873</v>
      </c>
      <c r="O166" s="19" t="s">
        <v>204</v>
      </c>
      <c r="P166" s="19" t="s">
        <v>206</v>
      </c>
      <c r="Q166" s="19" t="s">
        <v>769</v>
      </c>
      <c r="R166" s="19" t="s">
        <v>874</v>
      </c>
      <c r="S166" s="19"/>
      <c r="T166" s="19" t="s">
        <v>54</v>
      </c>
      <c r="U166" s="19" t="s">
        <v>55</v>
      </c>
      <c r="V166" s="19" t="s">
        <v>69</v>
      </c>
      <c r="W166" s="19" t="s">
        <v>70</v>
      </c>
      <c r="X166" s="19"/>
      <c r="Y166" s="19"/>
      <c r="Z166" s="19" t="s">
        <v>875</v>
      </c>
      <c r="AA166" s="19">
        <v>1</v>
      </c>
      <c r="AB166" s="19">
        <v>1</v>
      </c>
      <c r="AC166" s="19" t="s">
        <v>60</v>
      </c>
      <c r="AD166" s="19" t="s">
        <v>206</v>
      </c>
      <c r="AE166" s="19" t="s">
        <v>291</v>
      </c>
      <c r="AF166" s="19"/>
    </row>
    <row r="167" spans="1:34">
      <c r="A167" s="19">
        <v>162</v>
      </c>
      <c r="B167" s="19" t="s">
        <v>276</v>
      </c>
      <c r="C167" s="19" t="s">
        <v>474</v>
      </c>
      <c r="D167" s="19" t="str">
        <f>HYPERLINK("http://henontech.com/fieldsafety/harzard/harzard_show.php?rid=2926&amp;url=harzardrecs.php","脱硫泡沫板顶部盖板遮盖不严,一旦巡检人员经过时,一只脚踩蹭被铁板划伤腿部,经医院包扎,在家休养7天后康复,造成一人损工事故")</f>
        <v>脱硫泡沫板顶部盖板遮盖不严,一旦巡检人员经过时,一只脚踩蹭被铁板划伤腿部,经医院包扎,在家休养7天后康复,造成一人损工事故</v>
      </c>
      <c r="E167" s="19" t="s">
        <v>876</v>
      </c>
      <c r="F167" s="20" t="s">
        <v>42</v>
      </c>
      <c r="G167" s="21" t="s">
        <v>43</v>
      </c>
      <c r="H167" s="19" t="s">
        <v>44</v>
      </c>
      <c r="I167" s="19"/>
      <c r="J167" s="19" t="s">
        <v>77</v>
      </c>
      <c r="K167" s="19"/>
      <c r="L167" s="19"/>
      <c r="M167" s="19" t="s">
        <v>204</v>
      </c>
      <c r="N167" s="19" t="s">
        <v>877</v>
      </c>
      <c r="O167" s="19" t="s">
        <v>204</v>
      </c>
      <c r="P167" s="19" t="s">
        <v>206</v>
      </c>
      <c r="Q167" s="19" t="s">
        <v>810</v>
      </c>
      <c r="R167" s="19" t="s">
        <v>878</v>
      </c>
      <c r="S167" s="19"/>
      <c r="T167" s="19" t="s">
        <v>54</v>
      </c>
      <c r="U167" s="19" t="s">
        <v>55</v>
      </c>
      <c r="V167" s="19" t="s">
        <v>69</v>
      </c>
      <c r="W167" s="19" t="s">
        <v>70</v>
      </c>
      <c r="X167" s="19"/>
      <c r="Y167" s="19"/>
      <c r="Z167" s="19" t="s">
        <v>879</v>
      </c>
      <c r="AA167" s="19">
        <v>1</v>
      </c>
      <c r="AB167" s="19">
        <v>1</v>
      </c>
      <c r="AC167" s="19" t="s">
        <v>60</v>
      </c>
      <c r="AD167" s="19" t="s">
        <v>206</v>
      </c>
      <c r="AE167" s="19" t="s">
        <v>582</v>
      </c>
      <c r="AF167" s="19"/>
    </row>
    <row r="168" spans="1:34">
      <c r="A168" s="19">
        <v>163</v>
      </c>
      <c r="B168" s="19" t="s">
        <v>276</v>
      </c>
      <c r="C168" s="19" t="s">
        <v>147</v>
      </c>
      <c r="D168" s="19" t="str">
        <f>HYPERLINK("http://henontech.com/fieldsafety/harzard/harzard_show.php?rid=2927&amp;url=harzardrecs.php","一楼加药间地面水泥盖板破损，还有铁质盖板，两种盖板高低不平，一员工巡检至此时一脚踏空，摔倒，送医确诊胳膊骨裂，误工3天。")</f>
        <v>一楼加药间地面水泥盖板破损，还有铁质盖板，两种盖板高低不平，一员工巡检至此时一脚踏空，摔倒，送医确诊胳膊骨裂，误工3天。</v>
      </c>
      <c r="E168" s="19" t="s">
        <v>880</v>
      </c>
      <c r="F168" s="25" t="s">
        <v>425</v>
      </c>
      <c r="G168" s="21" t="s">
        <v>43</v>
      </c>
      <c r="H168" s="19" t="s">
        <v>44</v>
      </c>
      <c r="I168" s="19" t="s">
        <v>66</v>
      </c>
      <c r="J168" s="19" t="s">
        <v>77</v>
      </c>
      <c r="K168" s="19" t="s">
        <v>137</v>
      </c>
      <c r="L168" s="19"/>
      <c r="M168" s="19" t="s">
        <v>87</v>
      </c>
      <c r="N168" s="19" t="s">
        <v>881</v>
      </c>
      <c r="O168" s="19" t="s">
        <v>87</v>
      </c>
      <c r="P168" s="19" t="s">
        <v>89</v>
      </c>
      <c r="Q168" s="19" t="s">
        <v>882</v>
      </c>
      <c r="R168" s="19" t="s">
        <v>883</v>
      </c>
      <c r="S168" s="19" t="s">
        <v>884</v>
      </c>
      <c r="T168" s="19" t="s">
        <v>54</v>
      </c>
      <c r="U168" s="19" t="s">
        <v>146</v>
      </c>
      <c r="V168" s="19" t="s">
        <v>69</v>
      </c>
      <c r="W168" s="19" t="s">
        <v>134</v>
      </c>
      <c r="X168" s="19" t="s">
        <v>58</v>
      </c>
      <c r="Y168" s="19"/>
      <c r="Z168" s="19" t="s">
        <v>885</v>
      </c>
      <c r="AA168" s="19">
        <v>1</v>
      </c>
      <c r="AB168" s="19"/>
      <c r="AC168" s="19" t="s">
        <v>330</v>
      </c>
      <c r="AD168" s="19"/>
      <c r="AE168" s="19"/>
      <c r="AF168" s="19"/>
    </row>
    <row r="169" spans="1:34">
      <c r="A169" s="19">
        <v>164</v>
      </c>
      <c r="B169" s="19" t="s">
        <v>276</v>
      </c>
      <c r="C169" s="19" t="s">
        <v>335</v>
      </c>
      <c r="D169" s="19" t="str">
        <f>HYPERLINK("http://henontech.com/fieldsafety/harzard/harzard_show.php?rid=2928&amp;url=harzardrecs.php","东一地沟1#给料机电机护罩缺失，运行中操作人员清理卫生，右手被转动的叶轮割伤腕骨扭伤，送医院治疗一个月，在家修养2个月。")</f>
        <v>东一地沟1#给料机电机护罩缺失，运行中操作人员清理卫生，右手被转动的叶轮割伤腕骨扭伤，送医院治疗一个月，在家修养2个月。</v>
      </c>
      <c r="E169" s="19" t="s">
        <v>886</v>
      </c>
      <c r="F169" s="20" t="s">
        <v>42</v>
      </c>
      <c r="G169" s="22" t="s">
        <v>107</v>
      </c>
      <c r="H169" s="19" t="s">
        <v>44</v>
      </c>
      <c r="I169" s="19" t="s">
        <v>66</v>
      </c>
      <c r="J169" s="19" t="s">
        <v>77</v>
      </c>
      <c r="K169" s="19"/>
      <c r="L169" s="19"/>
      <c r="M169" s="19" t="s">
        <v>317</v>
      </c>
      <c r="N169" s="19" t="s">
        <v>399</v>
      </c>
      <c r="O169" s="19" t="s">
        <v>317</v>
      </c>
      <c r="P169" s="19" t="s">
        <v>400</v>
      </c>
      <c r="Q169" s="19" t="s">
        <v>769</v>
      </c>
      <c r="R169" s="19" t="s">
        <v>409</v>
      </c>
      <c r="S169" s="19"/>
      <c r="T169" s="19" t="s">
        <v>54</v>
      </c>
      <c r="U169" s="19" t="s">
        <v>55</v>
      </c>
      <c r="V169" s="19" t="s">
        <v>80</v>
      </c>
      <c r="W169" s="19" t="s">
        <v>81</v>
      </c>
      <c r="X169" s="19"/>
      <c r="Y169" s="19"/>
      <c r="Z169" s="19" t="s">
        <v>887</v>
      </c>
      <c r="AA169" s="19">
        <v>1</v>
      </c>
      <c r="AB169" s="19">
        <v>1</v>
      </c>
      <c r="AC169" s="19" t="s">
        <v>60</v>
      </c>
      <c r="AD169" s="19" t="s">
        <v>400</v>
      </c>
      <c r="AE169" s="19" t="s">
        <v>291</v>
      </c>
      <c r="AF169" s="19"/>
    </row>
    <row r="170" spans="1:34">
      <c r="A170" s="19">
        <v>165</v>
      </c>
      <c r="B170" s="19" t="s">
        <v>276</v>
      </c>
      <c r="C170" s="19" t="s">
        <v>315</v>
      </c>
      <c r="D170" s="19" t="str">
        <f>HYPERLINK("http://henontech.com/fieldsafety/harzard/harzard_show.php?rid=2929&amp;url=harzardrecs.php","撕裂的挡风网片斜倚在西二外部爬梯上，操作人员在通过时被网片绊倒割伤面部，清洗包扎后继续工作。")</f>
        <v>撕裂的挡风网片斜倚在西二外部爬梯上，操作人员在通过时被网片绊倒割伤面部，清洗包扎后继续工作。</v>
      </c>
      <c r="E170" s="19" t="s">
        <v>888</v>
      </c>
      <c r="F170" s="20" t="s">
        <v>42</v>
      </c>
      <c r="G170" s="21" t="s">
        <v>43</v>
      </c>
      <c r="H170" s="19" t="s">
        <v>44</v>
      </c>
      <c r="I170" s="19" t="s">
        <v>66</v>
      </c>
      <c r="J170" s="19"/>
      <c r="K170" s="19"/>
      <c r="L170" s="19" t="s">
        <v>48</v>
      </c>
      <c r="M170" s="19" t="s">
        <v>317</v>
      </c>
      <c r="N170" s="19" t="s">
        <v>399</v>
      </c>
      <c r="O170" s="19" t="s">
        <v>317</v>
      </c>
      <c r="P170" s="19" t="s">
        <v>400</v>
      </c>
      <c r="Q170" s="19" t="s">
        <v>769</v>
      </c>
      <c r="R170" s="19" t="s">
        <v>889</v>
      </c>
      <c r="S170" s="19"/>
      <c r="T170" s="19" t="s">
        <v>54</v>
      </c>
      <c r="U170" s="19" t="s">
        <v>146</v>
      </c>
      <c r="V170" s="19" t="s">
        <v>80</v>
      </c>
      <c r="W170" s="19" t="s">
        <v>70</v>
      </c>
      <c r="X170" s="19"/>
      <c r="Y170" s="19"/>
      <c r="Z170" s="19" t="s">
        <v>890</v>
      </c>
      <c r="AA170" s="19">
        <v>1</v>
      </c>
      <c r="AB170" s="19">
        <v>1</v>
      </c>
      <c r="AC170" s="19" t="s">
        <v>60</v>
      </c>
      <c r="AD170" s="19" t="s">
        <v>400</v>
      </c>
      <c r="AE170" s="19" t="s">
        <v>291</v>
      </c>
      <c r="AF170" s="19"/>
    </row>
    <row r="171" spans="1:34">
      <c r="A171" s="19">
        <v>166</v>
      </c>
      <c r="B171" s="19" t="s">
        <v>276</v>
      </c>
      <c r="C171" s="19" t="s">
        <v>858</v>
      </c>
      <c r="D171" s="19" t="str">
        <f>HYPERLINK("http://henontech.com/fieldsafety/harzard/harzard_show.php?rid=2930&amp;url=harzardrecs.php","液氨罐出口阀门填料漏，如果一名职工巡检到此处，造成呼吸道灼伤，经洗消后，立即复工。")</f>
        <v>液氨罐出口阀门填料漏，如果一名职工巡检到此处，造成呼吸道灼伤，经洗消后，立即复工。</v>
      </c>
      <c r="E171" s="19" t="s">
        <v>859</v>
      </c>
      <c r="F171" s="24" t="s">
        <v>326</v>
      </c>
      <c r="G171" s="21" t="s">
        <v>43</v>
      </c>
      <c r="H171" s="19" t="s">
        <v>44</v>
      </c>
      <c r="I171" s="19" t="s">
        <v>45</v>
      </c>
      <c r="J171" s="19" t="s">
        <v>109</v>
      </c>
      <c r="K171" s="19" t="s">
        <v>47</v>
      </c>
      <c r="L171" s="19" t="s">
        <v>48</v>
      </c>
      <c r="M171" s="19" t="s">
        <v>860</v>
      </c>
      <c r="N171" s="19" t="s">
        <v>861</v>
      </c>
      <c r="O171" s="19"/>
      <c r="P171" s="19"/>
      <c r="Q171" s="19"/>
      <c r="R171" s="19" t="s">
        <v>862</v>
      </c>
      <c r="S171" s="19" t="s">
        <v>891</v>
      </c>
      <c r="T171" s="19" t="s">
        <v>54</v>
      </c>
      <c r="U171" s="19" t="s">
        <v>146</v>
      </c>
      <c r="V171" s="19" t="s">
        <v>209</v>
      </c>
      <c r="W171" s="19" t="s">
        <v>134</v>
      </c>
      <c r="X171" s="19"/>
      <c r="Y171" s="19"/>
      <c r="Z171" s="19"/>
      <c r="AA171" s="19">
        <v>0</v>
      </c>
      <c r="AB171" s="19"/>
      <c r="AC171" s="19" t="s">
        <v>330</v>
      </c>
      <c r="AD171" s="19"/>
      <c r="AE171" s="19"/>
      <c r="AF171" s="19"/>
    </row>
    <row r="172" spans="1:34" customHeight="1" ht="42">
      <c r="A172" s="19">
        <v>167</v>
      </c>
      <c r="B172" s="19" t="s">
        <v>276</v>
      </c>
      <c r="C172" s="19" t="s">
        <v>480</v>
      </c>
      <c r="D172" s="19" t="str">
        <f>HYPERLINK("http://henontech.com/fieldsafety/harzard/harzard_show.php?rid=2931&amp;url=harzardrecs.php","75t减温减压管线电动阀填料螺丝松动，如果一巡检工巡检到此处时，突然发生蒸汽泄露，可能导致左手臂烫伤，用清水冲洗后送往医院就医，在家修养3天，损工3天")</f>
        <v>75t减温减压管线电动阀填料螺丝松动，如果一巡检工巡检到此处时，突然发生蒸汽泄露，可能导致左手臂烫伤，用清水冲洗后送往医院就医，在家修养3天，损工3天</v>
      </c>
      <c r="E172" s="19" t="s">
        <v>892</v>
      </c>
      <c r="F172" s="20" t="s">
        <v>42</v>
      </c>
      <c r="G172" s="21" t="s">
        <v>43</v>
      </c>
      <c r="H172" s="19" t="s">
        <v>44</v>
      </c>
      <c r="I172" s="19" t="s">
        <v>108</v>
      </c>
      <c r="J172" s="19" t="s">
        <v>366</v>
      </c>
      <c r="K172" s="19" t="s">
        <v>137</v>
      </c>
      <c r="L172" s="19" t="s">
        <v>48</v>
      </c>
      <c r="M172" s="19" t="s">
        <v>49</v>
      </c>
      <c r="N172" s="19" t="s">
        <v>893</v>
      </c>
      <c r="O172" s="19" t="s">
        <v>49</v>
      </c>
      <c r="P172" s="19" t="s">
        <v>51</v>
      </c>
      <c r="Q172" s="19" t="s">
        <v>487</v>
      </c>
      <c r="R172" s="19" t="s">
        <v>894</v>
      </c>
      <c r="S172" s="19"/>
      <c r="T172" s="19" t="s">
        <v>54</v>
      </c>
      <c r="U172" s="19" t="s">
        <v>55</v>
      </c>
      <c r="V172" s="19" t="s">
        <v>69</v>
      </c>
      <c r="W172" s="19" t="s">
        <v>70</v>
      </c>
      <c r="X172" s="19" t="s">
        <v>58</v>
      </c>
      <c r="Y172" s="19"/>
      <c r="Z172" s="19" t="s">
        <v>895</v>
      </c>
      <c r="AA172" s="19">
        <v>2</v>
      </c>
      <c r="AB172" s="19">
        <v>2</v>
      </c>
      <c r="AC172" s="19" t="s">
        <v>60</v>
      </c>
      <c r="AD172" s="19" t="s">
        <v>51</v>
      </c>
      <c r="AE172" s="19" t="s">
        <v>670</v>
      </c>
      <c r="AF172" s="19" t="s">
        <v>896</v>
      </c>
    </row>
    <row r="173" spans="1:34">
      <c r="A173" s="19">
        <v>168</v>
      </c>
      <c r="B173" s="19" t="s">
        <v>276</v>
      </c>
      <c r="C173" s="19" t="s">
        <v>804</v>
      </c>
      <c r="D173" s="19" t="str">
        <f>HYPERLINK("http://henontech.com/fieldsafety/harzard/harzard_show.php?rid=2932&amp;url=harzardrecs.php","南风机初冷器一层一盏照明灯罩破损，阴雨天气雨水一旦流进灯罩内，夜间开启电源，灯罩内的水与热灯泡交替造成灯泡爆炸停电，影响生产。")</f>
        <v>南风机初冷器一层一盏照明灯罩破损，阴雨天气雨水一旦流进灯罩内，夜间开启电源，灯罩内的水与热灯泡交替造成灯泡爆炸停电，影响生产。</v>
      </c>
      <c r="E173" s="19" t="s">
        <v>897</v>
      </c>
      <c r="F173" s="20" t="s">
        <v>42</v>
      </c>
      <c r="G173" s="21" t="s">
        <v>43</v>
      </c>
      <c r="H173" s="19" t="s">
        <v>44</v>
      </c>
      <c r="I173" s="19" t="s">
        <v>45</v>
      </c>
      <c r="J173" s="19" t="s">
        <v>46</v>
      </c>
      <c r="K173" s="19" t="s">
        <v>47</v>
      </c>
      <c r="L173" s="19" t="s">
        <v>48</v>
      </c>
      <c r="M173" s="19" t="s">
        <v>204</v>
      </c>
      <c r="N173" s="19" t="s">
        <v>898</v>
      </c>
      <c r="O173" s="19" t="s">
        <v>204</v>
      </c>
      <c r="P173" s="19" t="s">
        <v>206</v>
      </c>
      <c r="Q173" s="19" t="s">
        <v>810</v>
      </c>
      <c r="R173" s="19" t="s">
        <v>899</v>
      </c>
      <c r="S173" s="19"/>
      <c r="T173" s="19" t="s">
        <v>132</v>
      </c>
      <c r="U173" s="19" t="s">
        <v>133</v>
      </c>
      <c r="V173" s="19" t="s">
        <v>209</v>
      </c>
      <c r="W173" s="19" t="s">
        <v>134</v>
      </c>
      <c r="X173" s="19"/>
      <c r="Y173" s="19"/>
      <c r="Z173" s="19" t="s">
        <v>900</v>
      </c>
      <c r="AA173" s="19">
        <v>1</v>
      </c>
      <c r="AB173" s="19">
        <v>1</v>
      </c>
      <c r="AC173" s="19" t="s">
        <v>60</v>
      </c>
      <c r="AD173" s="19" t="s">
        <v>206</v>
      </c>
      <c r="AE173" s="19" t="s">
        <v>401</v>
      </c>
      <c r="AF173" s="19"/>
    </row>
    <row r="174" spans="1:34">
      <c r="A174" s="19">
        <v>169</v>
      </c>
      <c r="B174" s="19" t="s">
        <v>276</v>
      </c>
      <c r="C174" s="19" t="s">
        <v>780</v>
      </c>
      <c r="D174" s="19" t="str">
        <f>HYPERLINK("http://henontech.com/fieldsafety/harzard/harzard_show.php?rid=2933&amp;url=harzardrecs.php","一名化学水操作工在巡检时不慎从爬梯上滑倒摔到地面，造成左手前臂骨折。住")</f>
        <v>一名化学水操作工在巡检时不慎从爬梯上滑倒摔到地面，造成左手前臂骨折。住</v>
      </c>
      <c r="E174" s="19" t="s">
        <v>901</v>
      </c>
      <c r="F174" s="24" t="s">
        <v>326</v>
      </c>
      <c r="G174" s="21" t="s">
        <v>43</v>
      </c>
      <c r="H174" s="19" t="s">
        <v>44</v>
      </c>
      <c r="I174" s="19" t="s">
        <v>108</v>
      </c>
      <c r="J174" s="19" t="s">
        <v>46</v>
      </c>
      <c r="K174" s="19"/>
      <c r="L174" s="19"/>
      <c r="M174" s="19" t="s">
        <v>49</v>
      </c>
      <c r="N174" s="19" t="s">
        <v>902</v>
      </c>
      <c r="O174" s="19"/>
      <c r="P174" s="19"/>
      <c r="Q174" s="19"/>
      <c r="R174" s="19" t="s">
        <v>903</v>
      </c>
      <c r="S174" s="19" t="s">
        <v>904</v>
      </c>
      <c r="T174" s="19" t="s">
        <v>54</v>
      </c>
      <c r="U174" s="19" t="s">
        <v>55</v>
      </c>
      <c r="V174" s="19" t="s">
        <v>80</v>
      </c>
      <c r="W174" s="19" t="s">
        <v>81</v>
      </c>
      <c r="X174" s="19"/>
      <c r="Y174" s="19"/>
      <c r="Z174" s="19"/>
      <c r="AA174" s="19">
        <v>0</v>
      </c>
      <c r="AB174" s="19"/>
      <c r="AC174" s="19" t="s">
        <v>330</v>
      </c>
      <c r="AD174" s="19"/>
      <c r="AE174" s="19"/>
      <c r="AF174" s="19"/>
    </row>
    <row r="175" spans="1:34" customHeight="1" ht="42">
      <c r="A175" s="19">
        <v>170</v>
      </c>
      <c r="B175" s="19" t="s">
        <v>291</v>
      </c>
      <c r="C175" s="19" t="s">
        <v>535</v>
      </c>
      <c r="D175" s="19" t="str">
        <f>HYPERLINK("http://henontech.com/fieldsafety/harzard/harzard_show.php?rid=2934&amp;url=harzardrecs.php","1618破碎机房上方玻璃破裂，一人员经过时，玻璃掉落，不慎割伤胳膊，造成皮肉伤害，住院治疗后，在家休养7天")</f>
        <v>1618破碎机房上方玻璃破裂，一人员经过时，玻璃掉落，不慎割伤胳膊，造成皮肉伤害，住院治疗后，在家休养7天</v>
      </c>
      <c r="E175" s="19" t="s">
        <v>905</v>
      </c>
      <c r="F175" s="20" t="s">
        <v>42</v>
      </c>
      <c r="G175" s="22" t="s">
        <v>107</v>
      </c>
      <c r="H175" s="19" t="s">
        <v>44</v>
      </c>
      <c r="I175" s="19" t="s">
        <v>45</v>
      </c>
      <c r="J175" s="19" t="s">
        <v>77</v>
      </c>
      <c r="K175" s="19" t="s">
        <v>173</v>
      </c>
      <c r="L175" s="19" t="s">
        <v>48</v>
      </c>
      <c r="M175" s="19" t="s">
        <v>317</v>
      </c>
      <c r="N175" s="19" t="s">
        <v>906</v>
      </c>
      <c r="O175" s="19" t="s">
        <v>317</v>
      </c>
      <c r="P175" s="19" t="s">
        <v>319</v>
      </c>
      <c r="Q175" s="19" t="s">
        <v>636</v>
      </c>
      <c r="R175" s="19" t="s">
        <v>907</v>
      </c>
      <c r="S175" s="19" t="s">
        <v>908</v>
      </c>
      <c r="T175" s="19" t="s">
        <v>54</v>
      </c>
      <c r="U175" s="19" t="s">
        <v>146</v>
      </c>
      <c r="V175" s="19" t="s">
        <v>209</v>
      </c>
      <c r="W175" s="19" t="s">
        <v>134</v>
      </c>
      <c r="X175" s="19" t="s">
        <v>93</v>
      </c>
      <c r="Y175" s="19" t="s">
        <v>93</v>
      </c>
      <c r="Z175" s="19" t="s">
        <v>909</v>
      </c>
      <c r="AA175" s="19">
        <v>2</v>
      </c>
      <c r="AB175" s="19">
        <v>2</v>
      </c>
      <c r="AC175" s="19" t="s">
        <v>60</v>
      </c>
      <c r="AD175" s="19" t="s">
        <v>319</v>
      </c>
      <c r="AE175" s="19" t="s">
        <v>833</v>
      </c>
      <c r="AF175" s="19" t="s">
        <v>910</v>
      </c>
    </row>
    <row r="176" spans="1:34">
      <c r="A176" s="19">
        <v>171</v>
      </c>
      <c r="B176" s="19" t="s">
        <v>291</v>
      </c>
      <c r="C176" s="19" t="s">
        <v>804</v>
      </c>
      <c r="D176" s="19" t="str">
        <f>HYPERLINK("http://henontech.com/fieldsafety/harzard/harzard_show.php?rid=2935&amp;url=harzardrecs.php","预冷塔水封爬梯，支撑腿残缺，假如一操作工，在夜间视线模糊的情况下，未发现爬梯的异常，爬到爬梯上关阀门，导致从爬梯上摔落。")</f>
        <v>预冷塔水封爬梯，支撑腿残缺，假如一操作工，在夜间视线模糊的情况下，未发现爬梯的异常，爬到爬梯上关阀门，导致从爬梯上摔落。</v>
      </c>
      <c r="E176" s="19" t="s">
        <v>911</v>
      </c>
      <c r="F176" s="20" t="s">
        <v>42</v>
      </c>
      <c r="G176" s="21" t="s">
        <v>43</v>
      </c>
      <c r="H176" s="19" t="s">
        <v>44</v>
      </c>
      <c r="I176" s="19" t="s">
        <v>66</v>
      </c>
      <c r="J176" s="19" t="s">
        <v>46</v>
      </c>
      <c r="K176" s="19" t="s">
        <v>99</v>
      </c>
      <c r="L176" s="19"/>
      <c r="M176" s="19" t="s">
        <v>204</v>
      </c>
      <c r="N176" s="19" t="s">
        <v>912</v>
      </c>
      <c r="O176" s="19" t="s">
        <v>204</v>
      </c>
      <c r="P176" s="19" t="s">
        <v>206</v>
      </c>
      <c r="Q176" s="19" t="s">
        <v>810</v>
      </c>
      <c r="R176" s="19" t="s">
        <v>913</v>
      </c>
      <c r="S176" s="19"/>
      <c r="T176" s="19" t="s">
        <v>54</v>
      </c>
      <c r="U176" s="19" t="s">
        <v>55</v>
      </c>
      <c r="V176" s="19" t="s">
        <v>80</v>
      </c>
      <c r="W176" s="19" t="s">
        <v>81</v>
      </c>
      <c r="X176" s="19"/>
      <c r="Y176" s="19"/>
      <c r="Z176" s="19" t="s">
        <v>914</v>
      </c>
      <c r="AA176" s="19">
        <v>1</v>
      </c>
      <c r="AB176" s="19">
        <v>1</v>
      </c>
      <c r="AC176" s="19" t="s">
        <v>60</v>
      </c>
      <c r="AD176" s="19" t="s">
        <v>206</v>
      </c>
      <c r="AE176" s="19" t="s">
        <v>520</v>
      </c>
      <c r="AF176" s="19"/>
    </row>
    <row r="177" spans="1:34">
      <c r="A177" s="19">
        <v>172</v>
      </c>
      <c r="B177" s="19" t="s">
        <v>305</v>
      </c>
      <c r="C177" s="19" t="s">
        <v>242</v>
      </c>
      <c r="D177" s="19" t="str">
        <f>HYPERLINK("http://henontech.com/fieldsafety/harzard/harzard_show.php?rid=2937&amp;url=harzardrecs.php","深度处理工段DEC过滤罐上人孔处漏水，检修人员爬上脚手架查看漏点时没有系安全带，致使人员跌落造成脊椎骨断裂，损工一年。")</f>
        <v>深度处理工段DEC过滤罐上人孔处漏水，检修人员爬上脚手架查看漏点时没有系安全带，致使人员跌落造成脊椎骨断裂，损工一年。</v>
      </c>
      <c r="E177" s="19" t="s">
        <v>915</v>
      </c>
      <c r="F177" s="20" t="s">
        <v>42</v>
      </c>
      <c r="G177" s="21" t="s">
        <v>43</v>
      </c>
      <c r="H177" s="19" t="s">
        <v>44</v>
      </c>
      <c r="I177" s="19" t="s">
        <v>66</v>
      </c>
      <c r="J177" s="19" t="s">
        <v>46</v>
      </c>
      <c r="K177" s="19"/>
      <c r="L177" s="19"/>
      <c r="M177" s="19" t="s">
        <v>229</v>
      </c>
      <c r="N177" s="19" t="s">
        <v>304</v>
      </c>
      <c r="O177" s="19" t="s">
        <v>229</v>
      </c>
      <c r="P177" s="19" t="s">
        <v>231</v>
      </c>
      <c r="Q177" s="19" t="s">
        <v>342</v>
      </c>
      <c r="R177" s="19" t="s">
        <v>916</v>
      </c>
      <c r="S177" s="19"/>
      <c r="T177" s="19" t="s">
        <v>54</v>
      </c>
      <c r="U177" s="19" t="s">
        <v>55</v>
      </c>
      <c r="V177" s="19" t="s">
        <v>80</v>
      </c>
      <c r="W177" s="19" t="s">
        <v>81</v>
      </c>
      <c r="X177" s="19" t="s">
        <v>503</v>
      </c>
      <c r="Y177" s="19" t="s">
        <v>503</v>
      </c>
      <c r="Z177" s="19" t="s">
        <v>917</v>
      </c>
      <c r="AA177" s="19">
        <v>1</v>
      </c>
      <c r="AB177" s="19">
        <v>1</v>
      </c>
      <c r="AC177" s="19" t="s">
        <v>60</v>
      </c>
      <c r="AD177" s="19" t="s">
        <v>231</v>
      </c>
      <c r="AE177" s="19" t="s">
        <v>401</v>
      </c>
      <c r="AF177" s="19"/>
    </row>
    <row r="178" spans="1:34" customHeight="1" ht="42">
      <c r="A178" s="19">
        <v>173</v>
      </c>
      <c r="B178" s="19" t="s">
        <v>305</v>
      </c>
      <c r="C178" s="19" t="s">
        <v>535</v>
      </c>
      <c r="D178" s="19" t="str">
        <f>HYPERLINK("http://henontech.com/fieldsafety/harzard/harzard_show.php?rid=2938&amp;url=harzardrecs.php","1618破碎机平台护栏开焊 操作工清理卫生时 不慎掉落 右腿骨折 送医治疗 住院一个月 在家休养90天")</f>
        <v>1618破碎机平台护栏开焊 操作工清理卫生时 不慎掉落 右腿骨折 送医治疗 住院一个月 在家休养90天</v>
      </c>
      <c r="E178" s="19" t="s">
        <v>918</v>
      </c>
      <c r="F178" s="20" t="s">
        <v>42</v>
      </c>
      <c r="G178" s="21" t="s">
        <v>43</v>
      </c>
      <c r="H178" s="19" t="s">
        <v>44</v>
      </c>
      <c r="I178" s="19" t="s">
        <v>66</v>
      </c>
      <c r="J178" s="19" t="s">
        <v>46</v>
      </c>
      <c r="K178" s="19" t="s">
        <v>173</v>
      </c>
      <c r="L178" s="19" t="s">
        <v>48</v>
      </c>
      <c r="M178" s="19" t="s">
        <v>317</v>
      </c>
      <c r="N178" s="19" t="s">
        <v>337</v>
      </c>
      <c r="O178" s="19" t="s">
        <v>317</v>
      </c>
      <c r="P178" s="19" t="s">
        <v>341</v>
      </c>
      <c r="Q178" s="19" t="s">
        <v>919</v>
      </c>
      <c r="R178" s="19" t="s">
        <v>920</v>
      </c>
      <c r="S178" s="19"/>
      <c r="T178" s="19" t="s">
        <v>54</v>
      </c>
      <c r="U178" s="19" t="s">
        <v>55</v>
      </c>
      <c r="V178" s="19" t="s">
        <v>80</v>
      </c>
      <c r="W178" s="19" t="s">
        <v>81</v>
      </c>
      <c r="X178" s="19"/>
      <c r="Y178" s="19"/>
      <c r="Z178" s="19" t="s">
        <v>921</v>
      </c>
      <c r="AA178" s="19">
        <v>2</v>
      </c>
      <c r="AB178" s="19">
        <v>2</v>
      </c>
      <c r="AC178" s="19" t="s">
        <v>60</v>
      </c>
      <c r="AD178" s="19" t="s">
        <v>341</v>
      </c>
      <c r="AE178" s="19" t="s">
        <v>745</v>
      </c>
      <c r="AF178" s="19"/>
    </row>
    <row r="179" spans="1:34" customHeight="1" ht="42">
      <c r="A179" s="19">
        <v>174</v>
      </c>
      <c r="B179" s="19" t="s">
        <v>305</v>
      </c>
      <c r="C179" s="19" t="s">
        <v>315</v>
      </c>
      <c r="D179" s="19" t="str">
        <f>HYPERLINK("http://henontech.com/fieldsafety/harzard/harzard_show.php?rid=2939&amp;url=harzardrecs.php","西线挡风网松动掉落 有人员从此处经过 防风网掉落 砸到头上 送医治疗抢救无效死亡")</f>
        <v>西线挡风网松动掉落 有人员从此处经过 防风网掉落 砸到头上 送医治疗抢救无效死亡</v>
      </c>
      <c r="E179" s="19" t="s">
        <v>922</v>
      </c>
      <c r="F179" s="20" t="s">
        <v>42</v>
      </c>
      <c r="G179" s="21" t="s">
        <v>43</v>
      </c>
      <c r="H179" s="19" t="s">
        <v>44</v>
      </c>
      <c r="I179" s="19" t="s">
        <v>66</v>
      </c>
      <c r="J179" s="19" t="s">
        <v>46</v>
      </c>
      <c r="K179" s="19" t="s">
        <v>173</v>
      </c>
      <c r="L179" s="19" t="s">
        <v>48</v>
      </c>
      <c r="M179" s="19" t="s">
        <v>317</v>
      </c>
      <c r="N179" s="19" t="s">
        <v>337</v>
      </c>
      <c r="O179" s="19" t="s">
        <v>317</v>
      </c>
      <c r="P179" s="19" t="s">
        <v>341</v>
      </c>
      <c r="Q179" s="19" t="s">
        <v>919</v>
      </c>
      <c r="R179" s="19" t="s">
        <v>923</v>
      </c>
      <c r="S179" s="19"/>
      <c r="T179" s="19" t="s">
        <v>54</v>
      </c>
      <c r="U179" s="19" t="s">
        <v>114</v>
      </c>
      <c r="V179" s="19" t="s">
        <v>56</v>
      </c>
      <c r="W179" s="19" t="s">
        <v>57</v>
      </c>
      <c r="X179" s="19"/>
      <c r="Y179" s="19"/>
      <c r="Z179" s="19" t="s">
        <v>924</v>
      </c>
      <c r="AA179" s="19">
        <v>2</v>
      </c>
      <c r="AB179" s="19">
        <v>2</v>
      </c>
      <c r="AC179" s="19" t="s">
        <v>60</v>
      </c>
      <c r="AD179" s="19" t="s">
        <v>341</v>
      </c>
      <c r="AE179" s="19" t="s">
        <v>745</v>
      </c>
      <c r="AF179" s="19"/>
    </row>
    <row r="180" spans="1:34">
      <c r="A180" s="19">
        <v>175</v>
      </c>
      <c r="B180" s="19" t="s">
        <v>305</v>
      </c>
      <c r="C180" s="19" t="s">
        <v>925</v>
      </c>
      <c r="D180" s="19" t="str">
        <f>HYPERLINK("http://henontech.com/fieldsafety/harzard/harzard_show.php?rid=2940&amp;url=harzardrecs.php","4.3焦炉捣固塔西侧铁皮锈蚀坠落，一操作工巡检路过被砸中")</f>
        <v>4.3焦炉捣固塔西侧铁皮锈蚀坠落，一操作工巡检路过被砸中</v>
      </c>
      <c r="E180" s="19" t="s">
        <v>926</v>
      </c>
      <c r="F180" s="25" t="s">
        <v>425</v>
      </c>
      <c r="G180" s="21" t="s">
        <v>43</v>
      </c>
      <c r="H180" s="19" t="s">
        <v>44</v>
      </c>
      <c r="I180" s="19" t="s">
        <v>66</v>
      </c>
      <c r="J180" s="19" t="s">
        <v>46</v>
      </c>
      <c r="K180" s="19" t="s">
        <v>173</v>
      </c>
      <c r="L180" s="19" t="s">
        <v>48</v>
      </c>
      <c r="M180" s="19" t="s">
        <v>87</v>
      </c>
      <c r="N180" s="19" t="s">
        <v>927</v>
      </c>
      <c r="O180" s="19" t="s">
        <v>87</v>
      </c>
      <c r="P180" s="19" t="s">
        <v>89</v>
      </c>
      <c r="Q180" s="19" t="s">
        <v>928</v>
      </c>
      <c r="R180" s="19" t="s">
        <v>925</v>
      </c>
      <c r="S180" s="19" t="s">
        <v>929</v>
      </c>
      <c r="T180" s="19" t="s">
        <v>54</v>
      </c>
      <c r="U180" s="19" t="s">
        <v>55</v>
      </c>
      <c r="V180" s="19" t="s">
        <v>69</v>
      </c>
      <c r="W180" s="19" t="s">
        <v>70</v>
      </c>
      <c r="X180" s="19" t="s">
        <v>58</v>
      </c>
      <c r="Y180" s="19"/>
      <c r="Z180" s="19" t="s">
        <v>930</v>
      </c>
      <c r="AA180" s="19">
        <v>1</v>
      </c>
      <c r="AB180" s="19"/>
      <c r="AC180" s="19" t="s">
        <v>330</v>
      </c>
      <c r="AD180" s="19"/>
      <c r="AE180" s="19"/>
      <c r="AF180" s="19"/>
    </row>
    <row r="181" spans="1:34" customHeight="1" ht="42">
      <c r="A181" s="19">
        <v>176</v>
      </c>
      <c r="B181" s="19" t="s">
        <v>305</v>
      </c>
      <c r="C181" s="19" t="s">
        <v>480</v>
      </c>
      <c r="D181" s="19" t="str">
        <f>HYPERLINK("http://henontech.com/fieldsafety/harzard/harzard_show.php?rid=2941&amp;url=harzardrecs.php","热力东区污水地沟一块盖板老化，一操作工夜班巡检时，右脚踩在盖板上盖板断裂，造成右脚脱臼。")</f>
        <v>热力东区污水地沟一块盖板老化，一操作工夜班巡检时，右脚踩在盖板上盖板断裂，造成右脚脱臼。</v>
      </c>
      <c r="E181" s="19" t="s">
        <v>931</v>
      </c>
      <c r="F181" s="25" t="s">
        <v>425</v>
      </c>
      <c r="G181" s="21" t="s">
        <v>43</v>
      </c>
      <c r="H181" s="19" t="s">
        <v>44</v>
      </c>
      <c r="I181" s="19" t="s">
        <v>108</v>
      </c>
      <c r="J181" s="19" t="s">
        <v>46</v>
      </c>
      <c r="K181" s="19"/>
      <c r="L181" s="19"/>
      <c r="M181" s="19" t="s">
        <v>49</v>
      </c>
      <c r="N181" s="19" t="s">
        <v>932</v>
      </c>
      <c r="O181" s="19" t="s">
        <v>49</v>
      </c>
      <c r="P181" s="19" t="s">
        <v>51</v>
      </c>
      <c r="Q181" s="19" t="s">
        <v>487</v>
      </c>
      <c r="R181" s="19" t="s">
        <v>75</v>
      </c>
      <c r="S181" s="19"/>
      <c r="T181" s="19" t="s">
        <v>54</v>
      </c>
      <c r="U181" s="19" t="s">
        <v>146</v>
      </c>
      <c r="V181" s="19" t="s">
        <v>80</v>
      </c>
      <c r="W181" s="19" t="s">
        <v>70</v>
      </c>
      <c r="X181" s="19" t="s">
        <v>58</v>
      </c>
      <c r="Y181" s="19"/>
      <c r="Z181" s="19" t="s">
        <v>933</v>
      </c>
      <c r="AA181" s="19">
        <v>2</v>
      </c>
      <c r="AB181" s="19"/>
      <c r="AC181" s="19" t="s">
        <v>330</v>
      </c>
      <c r="AD181" s="19"/>
      <c r="AE181" s="19"/>
      <c r="AF181" s="19"/>
    </row>
    <row r="182" spans="1:34">
      <c r="A182" s="19">
        <v>177</v>
      </c>
      <c r="B182" s="19" t="s">
        <v>305</v>
      </c>
      <c r="C182" s="19" t="s">
        <v>934</v>
      </c>
      <c r="D182" s="19" t="str">
        <f>HYPERLINK("http://henontech.com/fieldsafety/harzard/harzard_show.php?rid=2943&amp;url=harzardrecs.php","蒸汽吹扫胶管开裂，假如一名操作工在用蒸汽吹扫管道作业中，开蒸汽阀门过大，开裂的胶管断裂，阀门关闭不及时，胶管在蒸汽压力下漫天飞舞，造成该操作工脸部烫伤，去医院住院治疗七天，回家修养三天上班，损工十天。")</f>
        <v>蒸汽吹扫胶管开裂，假如一名操作工在用蒸汽吹扫管道作业中，开蒸汽阀门过大，开裂的胶管断裂，阀门关闭不及时，胶管在蒸汽压力下漫天飞舞，造成该操作工脸部烫伤，去医院住院治疗七天，回家修养三天上班，损工十天。</v>
      </c>
      <c r="E182" s="19" t="s">
        <v>935</v>
      </c>
      <c r="F182" s="20" t="s">
        <v>42</v>
      </c>
      <c r="G182" s="21" t="s">
        <v>43</v>
      </c>
      <c r="H182" s="19" t="s">
        <v>44</v>
      </c>
      <c r="I182" s="19" t="s">
        <v>66</v>
      </c>
      <c r="J182" s="19" t="s">
        <v>46</v>
      </c>
      <c r="K182" s="19" t="s">
        <v>47</v>
      </c>
      <c r="L182" s="19"/>
      <c r="M182" s="19" t="s">
        <v>204</v>
      </c>
      <c r="N182" s="19" t="s">
        <v>936</v>
      </c>
      <c r="O182" s="19" t="s">
        <v>204</v>
      </c>
      <c r="P182" s="19" t="s">
        <v>206</v>
      </c>
      <c r="Q182" s="19" t="s">
        <v>919</v>
      </c>
      <c r="R182" s="19" t="s">
        <v>937</v>
      </c>
      <c r="S182" s="19"/>
      <c r="T182" s="19" t="s">
        <v>54</v>
      </c>
      <c r="U182" s="19" t="s">
        <v>55</v>
      </c>
      <c r="V182" s="19" t="s">
        <v>80</v>
      </c>
      <c r="W182" s="19" t="s">
        <v>81</v>
      </c>
      <c r="X182" s="19"/>
      <c r="Y182" s="19"/>
      <c r="Z182" s="19" t="s">
        <v>938</v>
      </c>
      <c r="AA182" s="19">
        <v>1</v>
      </c>
      <c r="AB182" s="19">
        <v>1</v>
      </c>
      <c r="AC182" s="19" t="s">
        <v>60</v>
      </c>
      <c r="AD182" s="19" t="s">
        <v>206</v>
      </c>
      <c r="AE182" s="19" t="s">
        <v>745</v>
      </c>
      <c r="AF182" s="19"/>
    </row>
    <row r="183" spans="1:34" customHeight="1" ht="42">
      <c r="A183" s="19">
        <v>178</v>
      </c>
      <c r="B183" s="19" t="s">
        <v>745</v>
      </c>
      <c r="C183" s="19" t="s">
        <v>335</v>
      </c>
      <c r="D183" s="19" t="str">
        <f>HYPERLINK("http://henontech.com/fieldsafety/harzard/harzard_show.php?rid=2945&amp;url=harzardrecs.php","值班室西侧201水池北侧水沟缺失一块盖板，夜间操作工在巡检时不慎掉入水沟导致双腿划伤送医务室包扎，在家休养七天！")</f>
        <v>值班室西侧201水池北侧水沟缺失一块盖板，夜间操作工在巡检时不慎掉入水沟导致双腿划伤送医务室包扎，在家休养七天！</v>
      </c>
      <c r="E183" s="19" t="s">
        <v>939</v>
      </c>
      <c r="F183" s="20" t="s">
        <v>42</v>
      </c>
      <c r="G183" s="22" t="s">
        <v>107</v>
      </c>
      <c r="H183" s="19" t="s">
        <v>44</v>
      </c>
      <c r="I183" s="19" t="s">
        <v>45</v>
      </c>
      <c r="J183" s="19" t="s">
        <v>156</v>
      </c>
      <c r="K183" s="19" t="s">
        <v>173</v>
      </c>
      <c r="L183" s="19" t="s">
        <v>48</v>
      </c>
      <c r="M183" s="19" t="s">
        <v>317</v>
      </c>
      <c r="N183" s="19" t="s">
        <v>318</v>
      </c>
      <c r="O183" s="19" t="s">
        <v>317</v>
      </c>
      <c r="P183" s="19" t="s">
        <v>319</v>
      </c>
      <c r="Q183" s="19" t="s">
        <v>636</v>
      </c>
      <c r="R183" s="19" t="s">
        <v>830</v>
      </c>
      <c r="S183" s="19" t="s">
        <v>940</v>
      </c>
      <c r="T183" s="19" t="s">
        <v>54</v>
      </c>
      <c r="U183" s="19" t="s">
        <v>146</v>
      </c>
      <c r="V183" s="19" t="s">
        <v>209</v>
      </c>
      <c r="W183" s="19" t="s">
        <v>134</v>
      </c>
      <c r="X183" s="19" t="s">
        <v>93</v>
      </c>
      <c r="Y183" s="19" t="s">
        <v>93</v>
      </c>
      <c r="Z183" s="19" t="s">
        <v>941</v>
      </c>
      <c r="AA183" s="19">
        <v>2</v>
      </c>
      <c r="AB183" s="19">
        <v>2</v>
      </c>
      <c r="AC183" s="19" t="s">
        <v>60</v>
      </c>
      <c r="AD183" s="19" t="s">
        <v>319</v>
      </c>
      <c r="AE183" s="19" t="s">
        <v>833</v>
      </c>
      <c r="AF183" s="19" t="s">
        <v>942</v>
      </c>
    </row>
    <row r="184" spans="1:34" customHeight="1" ht="42">
      <c r="A184" s="19">
        <v>179</v>
      </c>
      <c r="B184" s="19" t="s">
        <v>745</v>
      </c>
      <c r="C184" s="19" t="s">
        <v>480</v>
      </c>
      <c r="D184" s="19" t="str">
        <f>HYPERLINK("http://henontech.com/fieldsafety/harzard/harzard_show.php?rid=2947&amp;url=harzardrecs.php","巡检人员在巡查过程中因无警示牌造成巡查人员头部碰伤。")</f>
        <v>巡检人员在巡查过程中因无警示牌造成巡查人员头部碰伤。</v>
      </c>
      <c r="E184" s="19" t="s">
        <v>943</v>
      </c>
      <c r="F184" s="20" t="s">
        <v>42</v>
      </c>
      <c r="G184" s="21" t="s">
        <v>43</v>
      </c>
      <c r="H184" s="19" t="s">
        <v>44</v>
      </c>
      <c r="I184" s="19" t="s">
        <v>108</v>
      </c>
      <c r="J184" s="19" t="s">
        <v>77</v>
      </c>
      <c r="K184" s="19" t="s">
        <v>99</v>
      </c>
      <c r="L184" s="19" t="s">
        <v>48</v>
      </c>
      <c r="M184" s="19" t="s">
        <v>49</v>
      </c>
      <c r="N184" s="19" t="s">
        <v>944</v>
      </c>
      <c r="O184" s="19" t="s">
        <v>49</v>
      </c>
      <c r="P184" s="19" t="s">
        <v>51</v>
      </c>
      <c r="Q184" s="19" t="s">
        <v>487</v>
      </c>
      <c r="R184" s="19" t="s">
        <v>945</v>
      </c>
      <c r="S184" s="19"/>
      <c r="T184" s="19" t="s">
        <v>54</v>
      </c>
      <c r="U184" s="19" t="s">
        <v>146</v>
      </c>
      <c r="V184" s="19" t="s">
        <v>56</v>
      </c>
      <c r="W184" s="19" t="s">
        <v>81</v>
      </c>
      <c r="X184" s="19" t="s">
        <v>93</v>
      </c>
      <c r="Y184" s="19"/>
      <c r="Z184" s="19" t="s">
        <v>946</v>
      </c>
      <c r="AA184" s="19">
        <v>2</v>
      </c>
      <c r="AB184" s="19">
        <v>1</v>
      </c>
      <c r="AC184" s="19" t="s">
        <v>60</v>
      </c>
      <c r="AD184" s="19" t="s">
        <v>51</v>
      </c>
      <c r="AE184" s="19" t="s">
        <v>332</v>
      </c>
      <c r="AF184" s="19" t="s">
        <v>947</v>
      </c>
    </row>
    <row r="185" spans="1:34">
      <c r="A185" s="19">
        <v>180</v>
      </c>
      <c r="B185" s="19" t="s">
        <v>745</v>
      </c>
      <c r="C185" s="19" t="s">
        <v>948</v>
      </c>
      <c r="D185" s="19" t="str">
        <f>HYPERLINK("http://henontech.com/fieldsafety/harzard/harzard_show.php?rid=2948&amp;url=harzardrecs.php","5.5米推焦车平台竖梯子，推焦车行走过程中梯子倾倒")</f>
        <v>5.5米推焦车平台竖梯子，推焦车行走过程中梯子倾倒</v>
      </c>
      <c r="E185" s="19" t="s">
        <v>949</v>
      </c>
      <c r="F185" s="26" t="s">
        <v>950</v>
      </c>
      <c r="G185" s="19"/>
      <c r="H185" s="19" t="s">
        <v>44</v>
      </c>
      <c r="I185" s="19"/>
      <c r="J185" s="19"/>
      <c r="K185" s="19" t="s">
        <v>47</v>
      </c>
      <c r="L185" s="19" t="s">
        <v>48</v>
      </c>
      <c r="M185" s="19" t="s">
        <v>87</v>
      </c>
      <c r="N185" s="19" t="s">
        <v>951</v>
      </c>
      <c r="O185" s="19"/>
      <c r="P185" s="19"/>
      <c r="Q185" s="19"/>
      <c r="R185" s="19" t="s">
        <v>952</v>
      </c>
      <c r="S185" s="19"/>
      <c r="T185" s="19" t="s">
        <v>54</v>
      </c>
      <c r="U185" s="19" t="s">
        <v>146</v>
      </c>
      <c r="V185" s="19" t="s">
        <v>56</v>
      </c>
      <c r="W185" s="19" t="s">
        <v>81</v>
      </c>
      <c r="X185" s="19"/>
      <c r="Y185" s="19"/>
      <c r="Z185" s="19"/>
      <c r="AA185" s="19"/>
      <c r="AB185" s="19"/>
      <c r="AC185" s="19" t="s">
        <v>330</v>
      </c>
      <c r="AD185" s="19"/>
      <c r="AE185" s="19"/>
      <c r="AF185" s="19"/>
    </row>
    <row r="186" spans="1:34" customHeight="1" ht="42">
      <c r="A186" s="19">
        <v>181</v>
      </c>
      <c r="B186" s="19" t="s">
        <v>833</v>
      </c>
      <c r="C186" s="19" t="s">
        <v>953</v>
      </c>
      <c r="D186" s="19" t="str">
        <f>HYPERLINK("http://henontech.com/fieldsafety/harzard/harzard_show.php?rid=2949&amp;url=harzardrecs.php","煤八机头护栏拆除后未及时按装，正在巡查人员未发现地面障碍物(护栏)被拌倒造成右臂骨折，住院治疗1个月，在家休养2个月。")</f>
        <v>煤八机头护栏拆除后未及时按装，正在巡查人员未发现地面障碍物(护栏)被拌倒造成右臂骨折，住院治疗1个月，在家休养2个月。</v>
      </c>
      <c r="E186" s="19" t="s">
        <v>954</v>
      </c>
      <c r="F186" s="20" t="s">
        <v>42</v>
      </c>
      <c r="G186" s="22" t="s">
        <v>107</v>
      </c>
      <c r="H186" s="19" t="s">
        <v>44</v>
      </c>
      <c r="I186" s="19" t="s">
        <v>955</v>
      </c>
      <c r="J186" s="19" t="s">
        <v>46</v>
      </c>
      <c r="K186" s="19" t="s">
        <v>137</v>
      </c>
      <c r="L186" s="19"/>
      <c r="M186" s="19" t="s">
        <v>317</v>
      </c>
      <c r="N186" s="19" t="s">
        <v>956</v>
      </c>
      <c r="O186" s="19" t="s">
        <v>317</v>
      </c>
      <c r="P186" s="19" t="s">
        <v>319</v>
      </c>
      <c r="Q186" s="19" t="s">
        <v>349</v>
      </c>
      <c r="R186" s="19" t="s">
        <v>957</v>
      </c>
      <c r="S186" s="19" t="s">
        <v>958</v>
      </c>
      <c r="T186" s="19" t="s">
        <v>54</v>
      </c>
      <c r="U186" s="19" t="s">
        <v>55</v>
      </c>
      <c r="V186" s="19" t="s">
        <v>56</v>
      </c>
      <c r="W186" s="19" t="s">
        <v>57</v>
      </c>
      <c r="X186" s="19" t="s">
        <v>93</v>
      </c>
      <c r="Y186" s="19" t="s">
        <v>93</v>
      </c>
      <c r="Z186" s="19" t="s">
        <v>959</v>
      </c>
      <c r="AA186" s="19">
        <v>2</v>
      </c>
      <c r="AB186" s="19">
        <v>2</v>
      </c>
      <c r="AC186" s="19" t="s">
        <v>60</v>
      </c>
      <c r="AD186" s="19" t="s">
        <v>319</v>
      </c>
      <c r="AE186" s="19" t="s">
        <v>960</v>
      </c>
      <c r="AF186" s="19" t="s">
        <v>961</v>
      </c>
    </row>
    <row r="187" spans="1:34">
      <c r="A187" s="19">
        <v>182</v>
      </c>
      <c r="B187" s="19" t="s">
        <v>520</v>
      </c>
      <c r="C187" s="19" t="s">
        <v>934</v>
      </c>
      <c r="D187" s="19" t="str">
        <f>HYPERLINK("http://henontech.com/fieldsafety/harzard/harzard_show.php?rid=2950&amp;url=harzardrecs.php","4楼取样管母液阀门有一砂眼往外渗液，因母液有腐蚀性如不及时处理，砂眼就会扩大，到时母液会大量溢出，造成环保事故。")</f>
        <v>4楼取样管母液阀门有一砂眼往外渗液，因母液有腐蚀性如不及时处理，砂眼就会扩大，到时母液会大量溢出，造成环保事故。</v>
      </c>
      <c r="E187" s="19" t="s">
        <v>222</v>
      </c>
      <c r="F187" s="20" t="s">
        <v>42</v>
      </c>
      <c r="G187" s="21" t="s">
        <v>43</v>
      </c>
      <c r="H187" s="19" t="s">
        <v>44</v>
      </c>
      <c r="I187" s="19" t="s">
        <v>45</v>
      </c>
      <c r="J187" s="19" t="s">
        <v>156</v>
      </c>
      <c r="K187" s="19" t="s">
        <v>173</v>
      </c>
      <c r="L187" s="19" t="s">
        <v>48</v>
      </c>
      <c r="M187" s="19" t="s">
        <v>204</v>
      </c>
      <c r="N187" s="19" t="s">
        <v>962</v>
      </c>
      <c r="O187" s="19" t="s">
        <v>204</v>
      </c>
      <c r="P187" s="19" t="s">
        <v>206</v>
      </c>
      <c r="Q187" s="19" t="s">
        <v>963</v>
      </c>
      <c r="R187" s="19" t="s">
        <v>964</v>
      </c>
      <c r="S187" s="19"/>
      <c r="T187" s="19" t="s">
        <v>224</v>
      </c>
      <c r="U187" s="19" t="s">
        <v>133</v>
      </c>
      <c r="V187" s="19" t="s">
        <v>56</v>
      </c>
      <c r="W187" s="19" t="s">
        <v>134</v>
      </c>
      <c r="X187" s="19"/>
      <c r="Y187" s="19"/>
      <c r="Z187" s="19" t="s">
        <v>965</v>
      </c>
      <c r="AA187" s="19">
        <v>1</v>
      </c>
      <c r="AB187" s="19">
        <v>1</v>
      </c>
      <c r="AC187" s="19" t="s">
        <v>60</v>
      </c>
      <c r="AD187" s="19" t="s">
        <v>206</v>
      </c>
      <c r="AE187" s="19" t="s">
        <v>520</v>
      </c>
      <c r="AF187" s="19"/>
    </row>
    <row r="188" spans="1:34">
      <c r="A188" s="19">
        <v>183</v>
      </c>
      <c r="B188" s="19" t="s">
        <v>520</v>
      </c>
      <c r="C188" s="19" t="s">
        <v>242</v>
      </c>
      <c r="D188" s="19" t="str">
        <f>HYPERLINK("http://henontech.com/fieldsafety/harzard/harzard_show.php?rid=2951&amp;url=harzardrecs.php","3号站洗眼器上方一3米长桥架板被风吹起,挂在桥架上方摇摇欲坠,巡检人员察看洗眼器情况时，被坠落下来的桥架板击中胳膊，造成胳膊脱臼，经送医院恢复后在家休息两天康复。")</f>
        <v>3号站洗眼器上方一3米长桥架板被风吹起,挂在桥架上方摇摇欲坠,巡检人员察看洗眼器情况时，被坠落下来的桥架板击中胳膊，造成胳膊脱臼，经送医院恢复后在家休息两天康复。</v>
      </c>
      <c r="E188" s="19" t="s">
        <v>966</v>
      </c>
      <c r="F188" s="25" t="s">
        <v>425</v>
      </c>
      <c r="G188" s="21" t="s">
        <v>43</v>
      </c>
      <c r="H188" s="19" t="s">
        <v>44</v>
      </c>
      <c r="I188" s="19"/>
      <c r="J188" s="19" t="s">
        <v>967</v>
      </c>
      <c r="K188" s="19"/>
      <c r="L188" s="19"/>
      <c r="M188" s="19" t="s">
        <v>262</v>
      </c>
      <c r="N188" s="19" t="s">
        <v>275</v>
      </c>
      <c r="O188" s="19" t="s">
        <v>229</v>
      </c>
      <c r="P188" s="19" t="s">
        <v>231</v>
      </c>
      <c r="Q188" s="19" t="s">
        <v>968</v>
      </c>
      <c r="R188" s="19" t="s">
        <v>277</v>
      </c>
      <c r="S188" s="19"/>
      <c r="T188" s="19" t="s">
        <v>54</v>
      </c>
      <c r="U188" s="19" t="s">
        <v>55</v>
      </c>
      <c r="V188" s="19" t="s">
        <v>69</v>
      </c>
      <c r="W188" s="19" t="s">
        <v>70</v>
      </c>
      <c r="X188" s="19" t="s">
        <v>58</v>
      </c>
      <c r="Y188" s="19" t="s">
        <v>58</v>
      </c>
      <c r="Z188" s="19" t="s">
        <v>969</v>
      </c>
      <c r="AA188" s="19">
        <v>1</v>
      </c>
      <c r="AB188" s="19"/>
      <c r="AC188" s="19" t="s">
        <v>330</v>
      </c>
      <c r="AD188" s="19"/>
      <c r="AE188" s="19"/>
      <c r="AF188" s="19"/>
    </row>
    <row r="189" spans="1:34">
      <c r="A189" s="19">
        <v>184</v>
      </c>
      <c r="B189" s="19" t="s">
        <v>520</v>
      </c>
      <c r="C189" s="19" t="s">
        <v>934</v>
      </c>
      <c r="D189" s="19" t="str">
        <f>HYPERLINK("http://henontech.com/fieldsafety/harzard/harzard_show.php?rid=2952&amp;url=harzardrecs.php","三米高的皮带输送机滚筒支架断裂，仅有一点连接，大风天气，有一操作人员在下方经过时，滚筒被大风刮落，划伤操作人员脸部，回家休养一周")</f>
        <v>三米高的皮带输送机滚筒支架断裂，仅有一点连接，大风天气，有一操作人员在下方经过时，滚筒被大风刮落，划伤操作人员脸部，回家休养一周</v>
      </c>
      <c r="E189" s="19" t="s">
        <v>970</v>
      </c>
      <c r="F189" s="20" t="s">
        <v>42</v>
      </c>
      <c r="G189" s="21" t="s">
        <v>43</v>
      </c>
      <c r="H189" s="19" t="s">
        <v>44</v>
      </c>
      <c r="I189" s="19" t="s">
        <v>45</v>
      </c>
      <c r="J189" s="19" t="s">
        <v>46</v>
      </c>
      <c r="K189" s="19"/>
      <c r="L189" s="19"/>
      <c r="M189" s="19" t="s">
        <v>262</v>
      </c>
      <c r="N189" s="19" t="s">
        <v>971</v>
      </c>
      <c r="O189" s="19" t="s">
        <v>204</v>
      </c>
      <c r="P189" s="19" t="s">
        <v>206</v>
      </c>
      <c r="Q189" s="19" t="s">
        <v>963</v>
      </c>
      <c r="R189" s="19" t="s">
        <v>972</v>
      </c>
      <c r="S189" s="19"/>
      <c r="T189" s="19" t="s">
        <v>54</v>
      </c>
      <c r="U189" s="19" t="s">
        <v>55</v>
      </c>
      <c r="V189" s="19" t="s">
        <v>56</v>
      </c>
      <c r="W189" s="19" t="s">
        <v>57</v>
      </c>
      <c r="X189" s="19"/>
      <c r="Y189" s="19"/>
      <c r="Z189" s="19" t="s">
        <v>973</v>
      </c>
      <c r="AA189" s="19">
        <v>1</v>
      </c>
      <c r="AB189" s="19">
        <v>1</v>
      </c>
      <c r="AC189" s="19" t="s">
        <v>60</v>
      </c>
      <c r="AD189" s="19" t="s">
        <v>206</v>
      </c>
      <c r="AE189" s="19" t="s">
        <v>520</v>
      </c>
      <c r="AF189" s="19"/>
    </row>
    <row r="190" spans="1:34" customHeight="1" ht="42">
      <c r="A190" s="19">
        <v>185</v>
      </c>
      <c r="B190" s="19" t="s">
        <v>636</v>
      </c>
      <c r="C190" s="19" t="s">
        <v>480</v>
      </c>
      <c r="D190" s="19" t="str">
        <f>HYPERLINK("http://henontech.com/fieldsafety/harzard/harzard_show.php?rid=2953&amp;url=harzardrecs.php","75T锅炉顶电动葫芦电源线损坏，维修人员在现场施工时，易发生触电事故，造成事故人员住院，住院5天，损工5天")</f>
        <v>75T锅炉顶电动葫芦电源线损坏，维修人员在现场施工时，易发生触电事故，造成事故人员住院，住院5天，损工5天</v>
      </c>
      <c r="E190" s="19" t="s">
        <v>974</v>
      </c>
      <c r="F190" s="25" t="s">
        <v>425</v>
      </c>
      <c r="G190" s="21" t="s">
        <v>43</v>
      </c>
      <c r="H190" s="19" t="s">
        <v>44</v>
      </c>
      <c r="I190" s="19" t="s">
        <v>108</v>
      </c>
      <c r="J190" s="19" t="s">
        <v>228</v>
      </c>
      <c r="K190" s="19" t="s">
        <v>47</v>
      </c>
      <c r="L190" s="19" t="s">
        <v>975</v>
      </c>
      <c r="M190" s="19" t="s">
        <v>49</v>
      </c>
      <c r="N190" s="19" t="s">
        <v>976</v>
      </c>
      <c r="O190" s="19" t="s">
        <v>49</v>
      </c>
      <c r="P190" s="19" t="s">
        <v>781</v>
      </c>
      <c r="Q190" s="19" t="s">
        <v>487</v>
      </c>
      <c r="R190" s="19" t="s">
        <v>977</v>
      </c>
      <c r="S190" s="19"/>
      <c r="T190" s="19" t="s">
        <v>54</v>
      </c>
      <c r="U190" s="19" t="s">
        <v>146</v>
      </c>
      <c r="V190" s="19" t="s">
        <v>69</v>
      </c>
      <c r="W190" s="19" t="s">
        <v>134</v>
      </c>
      <c r="X190" s="19" t="s">
        <v>58</v>
      </c>
      <c r="Y190" s="19"/>
      <c r="Z190" s="19" t="s">
        <v>978</v>
      </c>
      <c r="AA190" s="19">
        <v>2</v>
      </c>
      <c r="AB190" s="19"/>
      <c r="AC190" s="19" t="s">
        <v>330</v>
      </c>
      <c r="AD190" s="19"/>
      <c r="AE190" s="19"/>
      <c r="AF190" s="19"/>
    </row>
    <row r="191" spans="1:34" customHeight="1" ht="42">
      <c r="A191" s="19">
        <v>186</v>
      </c>
      <c r="B191" s="19" t="s">
        <v>636</v>
      </c>
      <c r="C191" s="19" t="s">
        <v>780</v>
      </c>
      <c r="D191" s="19" t="str">
        <f>HYPERLINK("http://henontech.com/fieldsafety/harzard/harzard_show.php?rid=2954&amp;url=harzardrecs.php","化学水二楼南侧玻璃破损，一员工擦拭玻璃时，右手手掌不慎被破损的玻璃割伤，送往医院包扎，在家休息7天后恢复健康上班。")</f>
        <v>化学水二楼南侧玻璃破损，一员工擦拭玻璃时，右手手掌不慎被破损的玻璃割伤，送往医院包扎，在家休息7天后恢复健康上班。</v>
      </c>
      <c r="E191" s="19" t="s">
        <v>979</v>
      </c>
      <c r="F191" s="20" t="s">
        <v>42</v>
      </c>
      <c r="G191" s="21" t="s">
        <v>43</v>
      </c>
      <c r="H191" s="19" t="s">
        <v>44</v>
      </c>
      <c r="I191" s="19" t="s">
        <v>66</v>
      </c>
      <c r="J191" s="19" t="s">
        <v>46</v>
      </c>
      <c r="K191" s="19"/>
      <c r="L191" s="19"/>
      <c r="M191" s="19" t="s">
        <v>262</v>
      </c>
      <c r="N191" s="19" t="s">
        <v>980</v>
      </c>
      <c r="O191" s="19" t="s">
        <v>49</v>
      </c>
      <c r="P191" s="19" t="s">
        <v>51</v>
      </c>
      <c r="Q191" s="19" t="s">
        <v>782</v>
      </c>
      <c r="R191" s="19" t="s">
        <v>981</v>
      </c>
      <c r="S191" s="19"/>
      <c r="T191" s="19" t="s">
        <v>54</v>
      </c>
      <c r="U191" s="19" t="s">
        <v>55</v>
      </c>
      <c r="V191" s="19" t="s">
        <v>80</v>
      </c>
      <c r="W191" s="19" t="s">
        <v>81</v>
      </c>
      <c r="X191" s="19" t="s">
        <v>58</v>
      </c>
      <c r="Y191" s="19"/>
      <c r="Z191" s="19" t="s">
        <v>784</v>
      </c>
      <c r="AA191" s="19">
        <v>2</v>
      </c>
      <c r="AB191" s="19">
        <v>1</v>
      </c>
      <c r="AC191" s="19" t="s">
        <v>60</v>
      </c>
      <c r="AD191" s="19" t="s">
        <v>51</v>
      </c>
      <c r="AE191" s="19" t="s">
        <v>670</v>
      </c>
      <c r="AF191" s="19" t="s">
        <v>785</v>
      </c>
    </row>
    <row r="192" spans="1:34" customHeight="1" ht="42">
      <c r="A192" s="19">
        <v>187</v>
      </c>
      <c r="B192" s="19" t="s">
        <v>636</v>
      </c>
      <c r="C192" s="19" t="s">
        <v>535</v>
      </c>
      <c r="D192" s="19" t="str">
        <f>HYPERLINK("http://henontech.com/fieldsafety/harzard/harzard_show.php?rid=2956&amp;url=harzardrecs.php","煤六机头电机护罩螺丝缺失，护罩磨损，人员擦拭电机时，被磨损的电机护罩擦伤手部，经送医务室简单包扎后，继续上班，造成损工三天。")</f>
        <v>煤六机头电机护罩螺丝缺失，护罩磨损，人员擦拭电机时，被磨损的电机护罩擦伤手部，经送医务室简单包扎后，继续上班，造成损工三天。</v>
      </c>
      <c r="E192" s="19" t="s">
        <v>982</v>
      </c>
      <c r="F192" s="20" t="s">
        <v>42</v>
      </c>
      <c r="G192" s="22" t="s">
        <v>107</v>
      </c>
      <c r="H192" s="19" t="s">
        <v>44</v>
      </c>
      <c r="I192" s="19" t="s">
        <v>45</v>
      </c>
      <c r="J192" s="19" t="s">
        <v>46</v>
      </c>
      <c r="K192" s="19" t="s">
        <v>173</v>
      </c>
      <c r="L192" s="19" t="s">
        <v>48</v>
      </c>
      <c r="M192" s="19" t="s">
        <v>317</v>
      </c>
      <c r="N192" s="19" t="s">
        <v>983</v>
      </c>
      <c r="O192" s="19" t="s">
        <v>317</v>
      </c>
      <c r="P192" s="19" t="s">
        <v>319</v>
      </c>
      <c r="Q192" s="19" t="s">
        <v>349</v>
      </c>
      <c r="R192" s="19" t="s">
        <v>984</v>
      </c>
      <c r="S192" s="19" t="s">
        <v>985</v>
      </c>
      <c r="T192" s="19" t="s">
        <v>54</v>
      </c>
      <c r="U192" s="19" t="s">
        <v>146</v>
      </c>
      <c r="V192" s="19" t="s">
        <v>80</v>
      </c>
      <c r="W192" s="19" t="s">
        <v>70</v>
      </c>
      <c r="X192" s="19" t="s">
        <v>58</v>
      </c>
      <c r="Y192" s="19" t="s">
        <v>58</v>
      </c>
      <c r="Z192" s="19" t="s">
        <v>986</v>
      </c>
      <c r="AA192" s="19">
        <v>2</v>
      </c>
      <c r="AB192" s="19">
        <v>2</v>
      </c>
      <c r="AC192" s="19" t="s">
        <v>60</v>
      </c>
      <c r="AD192" s="19" t="s">
        <v>319</v>
      </c>
      <c r="AE192" s="19" t="s">
        <v>960</v>
      </c>
      <c r="AF192" s="19" t="s">
        <v>987</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E1:M1"/>
    <mergeCell ref="E2:M2"/>
    <mergeCell ref="E3:M3"/>
    <mergeCell ref="A4:F4"/>
    <mergeCell ref="G4:S4"/>
    <mergeCell ref="T4:W4"/>
    <mergeCell ref="X4:Y4"/>
    <mergeCell ref="Z4:AF4"/>
    <mergeCell ref="A6:A6"/>
    <mergeCell ref="B6:B6"/>
    <mergeCell ref="C6:C6"/>
    <mergeCell ref="F6:F6"/>
    <mergeCell ref="G6:G6"/>
    <mergeCell ref="H6:H6"/>
    <mergeCell ref="M6:M6"/>
    <mergeCell ref="N6:N6"/>
    <mergeCell ref="O6:O6"/>
    <mergeCell ref="P6:P6"/>
    <mergeCell ref="Q6:Q6"/>
    <mergeCell ref="R6:R6"/>
    <mergeCell ref="S6:S6"/>
    <mergeCell ref="X6:X6"/>
    <mergeCell ref="Y6:Y6"/>
    <mergeCell ref="Z6:Z6"/>
    <mergeCell ref="AA6:AA6"/>
    <mergeCell ref="AB6:AB6"/>
    <mergeCell ref="AC6:AC6"/>
    <mergeCell ref="AD6:AD6"/>
    <mergeCell ref="AE6:AE6"/>
    <mergeCell ref="AF6:AF6"/>
    <mergeCell ref="A7:A7"/>
    <mergeCell ref="B7:B7"/>
    <mergeCell ref="C7:C7"/>
    <mergeCell ref="F7:F7"/>
    <mergeCell ref="G7:G7"/>
    <mergeCell ref="H7:H7"/>
    <mergeCell ref="M7:M7"/>
    <mergeCell ref="N7:N7"/>
    <mergeCell ref="O7:O7"/>
    <mergeCell ref="P7:P7"/>
    <mergeCell ref="Q7:Q7"/>
    <mergeCell ref="R7:R7"/>
    <mergeCell ref="S7:S7"/>
    <mergeCell ref="X7:X7"/>
    <mergeCell ref="Y7:Y7"/>
    <mergeCell ref="Z7:Z7"/>
    <mergeCell ref="AA7:AA7"/>
    <mergeCell ref="AB7:AB7"/>
    <mergeCell ref="AC7:AC7"/>
    <mergeCell ref="AD7:AD7"/>
    <mergeCell ref="AE7:AE7"/>
    <mergeCell ref="AF7:AF7"/>
    <mergeCell ref="A8:A8"/>
    <mergeCell ref="B8:B8"/>
    <mergeCell ref="C8:C8"/>
    <mergeCell ref="F8:F8"/>
    <mergeCell ref="G8:G8"/>
    <mergeCell ref="H8:H8"/>
    <mergeCell ref="M8:M8"/>
    <mergeCell ref="N8:N8"/>
    <mergeCell ref="O8:O8"/>
    <mergeCell ref="P8:P8"/>
    <mergeCell ref="Q8:Q8"/>
    <mergeCell ref="R8:R8"/>
    <mergeCell ref="S8:S8"/>
    <mergeCell ref="X8:X8"/>
    <mergeCell ref="Y8:Y8"/>
    <mergeCell ref="Z8:Z8"/>
    <mergeCell ref="AA8:AA8"/>
    <mergeCell ref="AB8:AB8"/>
    <mergeCell ref="AC8:AC8"/>
    <mergeCell ref="AD8:AD8"/>
    <mergeCell ref="AE8:AE8"/>
    <mergeCell ref="AF8:AF8"/>
    <mergeCell ref="A9:A9"/>
    <mergeCell ref="B9:B9"/>
    <mergeCell ref="C9:C9"/>
    <mergeCell ref="F9:F9"/>
    <mergeCell ref="G9:G9"/>
    <mergeCell ref="H9:H9"/>
    <mergeCell ref="M9:M9"/>
    <mergeCell ref="N9:N9"/>
    <mergeCell ref="O9:O9"/>
    <mergeCell ref="P9:P9"/>
    <mergeCell ref="Q9:Q9"/>
    <mergeCell ref="R9:R9"/>
    <mergeCell ref="S9:S9"/>
    <mergeCell ref="X9:X9"/>
    <mergeCell ref="Y9:Y9"/>
    <mergeCell ref="Z9:Z9"/>
    <mergeCell ref="AA9:AA9"/>
    <mergeCell ref="AB9:AB9"/>
    <mergeCell ref="AC9:AC9"/>
    <mergeCell ref="AD9:AD9"/>
    <mergeCell ref="AE9:AE9"/>
    <mergeCell ref="AF9:AF9"/>
    <mergeCell ref="A10:A10"/>
    <mergeCell ref="B10:B10"/>
    <mergeCell ref="C10:C10"/>
    <mergeCell ref="F10:F10"/>
    <mergeCell ref="G10:G10"/>
    <mergeCell ref="H10:H10"/>
    <mergeCell ref="M10:M10"/>
    <mergeCell ref="N10:N10"/>
    <mergeCell ref="O10:O10"/>
    <mergeCell ref="P10:P10"/>
    <mergeCell ref="Q10:Q10"/>
    <mergeCell ref="R10:R10"/>
    <mergeCell ref="S10:S10"/>
    <mergeCell ref="X10:X10"/>
    <mergeCell ref="Y10:Y10"/>
    <mergeCell ref="Z10:Z10"/>
    <mergeCell ref="AA10:AA10"/>
    <mergeCell ref="AB10:AB10"/>
    <mergeCell ref="AC10:AC10"/>
    <mergeCell ref="AD10:AD10"/>
    <mergeCell ref="AE10:AE10"/>
    <mergeCell ref="AF10:AF10"/>
    <mergeCell ref="A11:A11"/>
    <mergeCell ref="B11:B11"/>
    <mergeCell ref="C11:C11"/>
    <mergeCell ref="F11:F11"/>
    <mergeCell ref="G11:G11"/>
    <mergeCell ref="H11:H11"/>
    <mergeCell ref="M11:M11"/>
    <mergeCell ref="N11:N11"/>
    <mergeCell ref="O11:O11"/>
    <mergeCell ref="P11:P11"/>
    <mergeCell ref="Q11:Q11"/>
    <mergeCell ref="R11:R11"/>
    <mergeCell ref="S11:S11"/>
    <mergeCell ref="X11:X11"/>
    <mergeCell ref="Y11:Y11"/>
    <mergeCell ref="Z11:Z11"/>
    <mergeCell ref="AA11:AA11"/>
    <mergeCell ref="AB11:AB11"/>
    <mergeCell ref="AC11:AC11"/>
    <mergeCell ref="AD11:AD11"/>
    <mergeCell ref="AE11:AE11"/>
    <mergeCell ref="AF11:AF11"/>
    <mergeCell ref="A12:A12"/>
    <mergeCell ref="B12:B12"/>
    <mergeCell ref="C12:C12"/>
    <mergeCell ref="F12:F12"/>
    <mergeCell ref="G12:G12"/>
    <mergeCell ref="H12:H12"/>
    <mergeCell ref="M12:M12"/>
    <mergeCell ref="N12:N12"/>
    <mergeCell ref="O12:O12"/>
    <mergeCell ref="P12:P12"/>
    <mergeCell ref="Q12:Q12"/>
    <mergeCell ref="R12:R12"/>
    <mergeCell ref="S12:S12"/>
    <mergeCell ref="X12:X12"/>
    <mergeCell ref="Y12:Y12"/>
    <mergeCell ref="Z12:Z12"/>
    <mergeCell ref="AA12:AA12"/>
    <mergeCell ref="AB12:AB12"/>
    <mergeCell ref="AC12:AC12"/>
    <mergeCell ref="AD12:AD12"/>
    <mergeCell ref="AE12:AE12"/>
    <mergeCell ref="AF12:AF12"/>
    <mergeCell ref="A13:A13"/>
    <mergeCell ref="B13:B13"/>
    <mergeCell ref="C13:C13"/>
    <mergeCell ref="F13:F13"/>
    <mergeCell ref="G13:G13"/>
    <mergeCell ref="H13:H13"/>
    <mergeCell ref="M13:M13"/>
    <mergeCell ref="N13:N13"/>
    <mergeCell ref="O13:O13"/>
    <mergeCell ref="P13:P13"/>
    <mergeCell ref="Q13:Q13"/>
    <mergeCell ref="R13:R13"/>
    <mergeCell ref="S13:S13"/>
    <mergeCell ref="X13:X13"/>
    <mergeCell ref="Y13:Y13"/>
    <mergeCell ref="Z13:Z13"/>
    <mergeCell ref="AA13:AA13"/>
    <mergeCell ref="AB13:AB13"/>
    <mergeCell ref="AC13:AC13"/>
    <mergeCell ref="AD13:AD13"/>
    <mergeCell ref="AE13:AE13"/>
    <mergeCell ref="AF13:AF13"/>
    <mergeCell ref="A14:A14"/>
    <mergeCell ref="B14:B14"/>
    <mergeCell ref="C14:C14"/>
    <mergeCell ref="F14:F14"/>
    <mergeCell ref="G14:G14"/>
    <mergeCell ref="H14:H14"/>
    <mergeCell ref="M14:M14"/>
    <mergeCell ref="N14:N14"/>
    <mergeCell ref="O14:O14"/>
    <mergeCell ref="P14:P14"/>
    <mergeCell ref="Q14:Q14"/>
    <mergeCell ref="R14:R14"/>
    <mergeCell ref="S14:S14"/>
    <mergeCell ref="X14:X14"/>
    <mergeCell ref="Y14:Y14"/>
    <mergeCell ref="Z14:Z14"/>
    <mergeCell ref="AA14:AA14"/>
    <mergeCell ref="AB14:AB14"/>
    <mergeCell ref="AC14:AC14"/>
    <mergeCell ref="AD14:AD14"/>
    <mergeCell ref="AE14:AE14"/>
    <mergeCell ref="AF14:AF14"/>
    <mergeCell ref="A15:A15"/>
    <mergeCell ref="B15:B15"/>
    <mergeCell ref="C15:C15"/>
    <mergeCell ref="F15:F15"/>
    <mergeCell ref="G15:G15"/>
    <mergeCell ref="H15:H15"/>
    <mergeCell ref="M15:M15"/>
    <mergeCell ref="N15:N15"/>
    <mergeCell ref="O15:O15"/>
    <mergeCell ref="P15:P15"/>
    <mergeCell ref="Q15:Q15"/>
    <mergeCell ref="R15:R15"/>
    <mergeCell ref="S15:S15"/>
    <mergeCell ref="X15:X15"/>
    <mergeCell ref="Y15:Y15"/>
    <mergeCell ref="Z15:Z15"/>
    <mergeCell ref="AA15:AA15"/>
    <mergeCell ref="AB15:AB15"/>
    <mergeCell ref="AC15:AC15"/>
    <mergeCell ref="AD15:AD15"/>
    <mergeCell ref="AE15:AE15"/>
    <mergeCell ref="AF15:AF15"/>
    <mergeCell ref="A16:A16"/>
    <mergeCell ref="B16:B16"/>
    <mergeCell ref="C16:C16"/>
    <mergeCell ref="F16:F16"/>
    <mergeCell ref="G16:G16"/>
    <mergeCell ref="H16:H16"/>
    <mergeCell ref="M16:M16"/>
    <mergeCell ref="N16:N16"/>
    <mergeCell ref="O16:O16"/>
    <mergeCell ref="P16:P16"/>
    <mergeCell ref="Q16:Q16"/>
    <mergeCell ref="R16:R16"/>
    <mergeCell ref="S16:S16"/>
    <mergeCell ref="X16:X16"/>
    <mergeCell ref="Y16:Y16"/>
    <mergeCell ref="Z16:Z16"/>
    <mergeCell ref="AA16:AA16"/>
    <mergeCell ref="AB16:AB16"/>
    <mergeCell ref="AC16:AC16"/>
    <mergeCell ref="AD16:AD16"/>
    <mergeCell ref="AE16:AE16"/>
    <mergeCell ref="AF16:AF16"/>
    <mergeCell ref="A17:A17"/>
    <mergeCell ref="B17:B17"/>
    <mergeCell ref="C17:C17"/>
    <mergeCell ref="F17:F17"/>
    <mergeCell ref="G17:G17"/>
    <mergeCell ref="H17:H17"/>
    <mergeCell ref="M17:M17"/>
    <mergeCell ref="N17:N17"/>
    <mergeCell ref="O17:O17"/>
    <mergeCell ref="P17:P17"/>
    <mergeCell ref="Q17:Q17"/>
    <mergeCell ref="R17:R17"/>
    <mergeCell ref="S17:S17"/>
    <mergeCell ref="X17:X17"/>
    <mergeCell ref="Y17:Y17"/>
    <mergeCell ref="Z17:Z17"/>
    <mergeCell ref="AA17:AA17"/>
    <mergeCell ref="AB17:AB17"/>
    <mergeCell ref="AC17:AC17"/>
    <mergeCell ref="AD17:AD17"/>
    <mergeCell ref="AE17:AE17"/>
    <mergeCell ref="AF17:AF17"/>
    <mergeCell ref="A18:A18"/>
    <mergeCell ref="B18:B18"/>
    <mergeCell ref="C18:C18"/>
    <mergeCell ref="F18:F18"/>
    <mergeCell ref="G18:G18"/>
    <mergeCell ref="H18:H18"/>
    <mergeCell ref="M18:M18"/>
    <mergeCell ref="N18:N18"/>
    <mergeCell ref="O18:O18"/>
    <mergeCell ref="P18:P18"/>
    <mergeCell ref="Q18:Q18"/>
    <mergeCell ref="R18:R18"/>
    <mergeCell ref="S18:S18"/>
    <mergeCell ref="X18:X18"/>
    <mergeCell ref="Y18:Y18"/>
    <mergeCell ref="Z18:Z18"/>
    <mergeCell ref="AA18:AA18"/>
    <mergeCell ref="AB18:AB18"/>
    <mergeCell ref="AC18:AC18"/>
    <mergeCell ref="AD18:AD18"/>
    <mergeCell ref="AE18:AE18"/>
    <mergeCell ref="AF18:AF18"/>
    <mergeCell ref="A19:A19"/>
    <mergeCell ref="B19:B19"/>
    <mergeCell ref="C19:C19"/>
    <mergeCell ref="F19:F19"/>
    <mergeCell ref="G19:G19"/>
    <mergeCell ref="H19:H19"/>
    <mergeCell ref="M19:M19"/>
    <mergeCell ref="N19:N19"/>
    <mergeCell ref="O19:O19"/>
    <mergeCell ref="P19:P19"/>
    <mergeCell ref="Q19:Q19"/>
    <mergeCell ref="R19:R19"/>
    <mergeCell ref="S19:S19"/>
    <mergeCell ref="X19:X19"/>
    <mergeCell ref="Y19:Y19"/>
    <mergeCell ref="Z19:Z19"/>
    <mergeCell ref="AA19:AA19"/>
    <mergeCell ref="AB19:AB19"/>
    <mergeCell ref="AC19:AC19"/>
    <mergeCell ref="AD19:AD19"/>
    <mergeCell ref="AE19:AE19"/>
    <mergeCell ref="AF19:AF19"/>
    <mergeCell ref="A20:A20"/>
    <mergeCell ref="B20:B20"/>
    <mergeCell ref="C20:C20"/>
    <mergeCell ref="F20:F20"/>
    <mergeCell ref="G20:G20"/>
    <mergeCell ref="H20:H20"/>
    <mergeCell ref="M20:M20"/>
    <mergeCell ref="N20:N20"/>
    <mergeCell ref="O20:O20"/>
    <mergeCell ref="P20:P20"/>
    <mergeCell ref="Q20:Q20"/>
    <mergeCell ref="R20:R20"/>
    <mergeCell ref="S20:S20"/>
    <mergeCell ref="X20:X20"/>
    <mergeCell ref="Y20:Y20"/>
    <mergeCell ref="Z20:Z20"/>
    <mergeCell ref="AA20:AA20"/>
    <mergeCell ref="AB20:AB20"/>
    <mergeCell ref="AC20:AC20"/>
    <mergeCell ref="AD20:AD20"/>
    <mergeCell ref="AE20:AE20"/>
    <mergeCell ref="AF20:AF20"/>
    <mergeCell ref="A21:A21"/>
    <mergeCell ref="B21:B21"/>
    <mergeCell ref="C21:C21"/>
    <mergeCell ref="F21:F21"/>
    <mergeCell ref="G21:G21"/>
    <mergeCell ref="H21:H21"/>
    <mergeCell ref="M21:M21"/>
    <mergeCell ref="N21:N21"/>
    <mergeCell ref="O21:O21"/>
    <mergeCell ref="P21:P21"/>
    <mergeCell ref="Q21:Q21"/>
    <mergeCell ref="R21:R21"/>
    <mergeCell ref="S21:S21"/>
    <mergeCell ref="X21:X21"/>
    <mergeCell ref="Y21:Y21"/>
    <mergeCell ref="Z21:Z21"/>
    <mergeCell ref="AA21:AA21"/>
    <mergeCell ref="AB21:AB21"/>
    <mergeCell ref="AC21:AC21"/>
    <mergeCell ref="AD21:AD21"/>
    <mergeCell ref="AE21:AE21"/>
    <mergeCell ref="AF21:AF21"/>
    <mergeCell ref="A22:A22"/>
    <mergeCell ref="B22:B22"/>
    <mergeCell ref="C22:C22"/>
    <mergeCell ref="F22:F22"/>
    <mergeCell ref="G22:G22"/>
    <mergeCell ref="H22:H22"/>
    <mergeCell ref="M22:M22"/>
    <mergeCell ref="N22:N22"/>
    <mergeCell ref="O22:O22"/>
    <mergeCell ref="P22:P22"/>
    <mergeCell ref="Q22:Q22"/>
    <mergeCell ref="R22:R22"/>
    <mergeCell ref="S22:S22"/>
    <mergeCell ref="X22:X22"/>
    <mergeCell ref="Y22:Y22"/>
    <mergeCell ref="Z22:Z22"/>
    <mergeCell ref="AA22:AA22"/>
    <mergeCell ref="AB22:AB22"/>
    <mergeCell ref="AC22:AC22"/>
    <mergeCell ref="AD22:AD22"/>
    <mergeCell ref="AE22:AE22"/>
    <mergeCell ref="AF22:AF22"/>
    <mergeCell ref="A23:A23"/>
    <mergeCell ref="B23:B23"/>
    <mergeCell ref="C23:C23"/>
    <mergeCell ref="F23:F23"/>
    <mergeCell ref="G23:G23"/>
    <mergeCell ref="H23:H23"/>
    <mergeCell ref="M23:M23"/>
    <mergeCell ref="N23:N23"/>
    <mergeCell ref="O23:O23"/>
    <mergeCell ref="P23:P23"/>
    <mergeCell ref="Q23:Q23"/>
    <mergeCell ref="R23:R23"/>
    <mergeCell ref="S23:S23"/>
    <mergeCell ref="X23:X23"/>
    <mergeCell ref="Y23:Y23"/>
    <mergeCell ref="Z23:Z23"/>
    <mergeCell ref="AA23:AA23"/>
    <mergeCell ref="AB23:AB23"/>
    <mergeCell ref="AC23:AC23"/>
    <mergeCell ref="AD23:AD23"/>
    <mergeCell ref="AE23:AE23"/>
    <mergeCell ref="AF23:AF23"/>
    <mergeCell ref="A24:A24"/>
    <mergeCell ref="B24:B24"/>
    <mergeCell ref="C24:C24"/>
    <mergeCell ref="F24:F24"/>
    <mergeCell ref="G24:G24"/>
    <mergeCell ref="H24:H24"/>
    <mergeCell ref="M24:M24"/>
    <mergeCell ref="N24:N24"/>
    <mergeCell ref="O24:O24"/>
    <mergeCell ref="P24:P24"/>
    <mergeCell ref="Q24:Q24"/>
    <mergeCell ref="R24:R24"/>
    <mergeCell ref="S24:S24"/>
    <mergeCell ref="X24:X24"/>
    <mergeCell ref="Y24:Y24"/>
    <mergeCell ref="Z24:Z24"/>
    <mergeCell ref="AA24:AA24"/>
    <mergeCell ref="AB24:AB24"/>
    <mergeCell ref="AC24:AC24"/>
    <mergeCell ref="AD24:AD24"/>
    <mergeCell ref="AE24:AE24"/>
    <mergeCell ref="AF24:AF24"/>
    <mergeCell ref="A25:A25"/>
    <mergeCell ref="B25:B25"/>
    <mergeCell ref="C25:C25"/>
    <mergeCell ref="F25:F25"/>
    <mergeCell ref="G25:G25"/>
    <mergeCell ref="H25:H25"/>
    <mergeCell ref="M25:M25"/>
    <mergeCell ref="N25:N25"/>
    <mergeCell ref="O25:O25"/>
    <mergeCell ref="P25:P25"/>
    <mergeCell ref="Q25:Q25"/>
    <mergeCell ref="R25:R25"/>
    <mergeCell ref="S25:S25"/>
    <mergeCell ref="X25:X25"/>
    <mergeCell ref="Y25:Y25"/>
    <mergeCell ref="Z25:Z25"/>
    <mergeCell ref="AA25:AA25"/>
    <mergeCell ref="AB25:AB25"/>
    <mergeCell ref="AC25:AC25"/>
    <mergeCell ref="AD25:AD25"/>
    <mergeCell ref="AE25:AE25"/>
    <mergeCell ref="AF25:AF25"/>
    <mergeCell ref="A26:A26"/>
    <mergeCell ref="B26:B26"/>
    <mergeCell ref="C26:C26"/>
    <mergeCell ref="F26:F26"/>
    <mergeCell ref="G26:G26"/>
    <mergeCell ref="H26:H26"/>
    <mergeCell ref="M26:M26"/>
    <mergeCell ref="N26:N26"/>
    <mergeCell ref="O26:O26"/>
    <mergeCell ref="P26:P26"/>
    <mergeCell ref="Q26:Q26"/>
    <mergeCell ref="R26:R26"/>
    <mergeCell ref="S26:S26"/>
    <mergeCell ref="X26:X26"/>
    <mergeCell ref="Y26:Y26"/>
    <mergeCell ref="Z26:Z26"/>
    <mergeCell ref="AA26:AA26"/>
    <mergeCell ref="AB26:AB26"/>
    <mergeCell ref="AC26:AC26"/>
    <mergeCell ref="AD26:AD26"/>
    <mergeCell ref="AE26:AE26"/>
    <mergeCell ref="AF26:AF26"/>
    <mergeCell ref="A27:A27"/>
    <mergeCell ref="B27:B27"/>
    <mergeCell ref="C27:C27"/>
    <mergeCell ref="F27:F27"/>
    <mergeCell ref="G27:G27"/>
    <mergeCell ref="H27:H27"/>
    <mergeCell ref="M27:M27"/>
    <mergeCell ref="N27:N27"/>
    <mergeCell ref="O27:O27"/>
    <mergeCell ref="P27:P27"/>
    <mergeCell ref="Q27:Q27"/>
    <mergeCell ref="R27:R27"/>
    <mergeCell ref="S27:S27"/>
    <mergeCell ref="X27:X27"/>
    <mergeCell ref="Y27:Y27"/>
    <mergeCell ref="Z27:Z27"/>
    <mergeCell ref="AA27:AA27"/>
    <mergeCell ref="AB27:AB27"/>
    <mergeCell ref="AC27:AC27"/>
    <mergeCell ref="AD27:AD27"/>
    <mergeCell ref="AE27:AE27"/>
    <mergeCell ref="AF27:AF27"/>
    <mergeCell ref="A28:A28"/>
    <mergeCell ref="B28:B28"/>
    <mergeCell ref="C28:C28"/>
    <mergeCell ref="F28:F28"/>
    <mergeCell ref="G28:G28"/>
    <mergeCell ref="H28:H28"/>
    <mergeCell ref="M28:M28"/>
    <mergeCell ref="N28:N28"/>
    <mergeCell ref="O28:O28"/>
    <mergeCell ref="P28:P28"/>
    <mergeCell ref="Q28:Q28"/>
    <mergeCell ref="R28:R28"/>
    <mergeCell ref="S28:S28"/>
    <mergeCell ref="X28:X28"/>
    <mergeCell ref="Y28:Y28"/>
    <mergeCell ref="Z28:Z28"/>
    <mergeCell ref="AA28:AA28"/>
    <mergeCell ref="AB28:AB28"/>
    <mergeCell ref="AC28:AC28"/>
    <mergeCell ref="AD28:AD28"/>
    <mergeCell ref="AE28:AE28"/>
    <mergeCell ref="AF28:AF28"/>
    <mergeCell ref="A29:A29"/>
    <mergeCell ref="B29:B29"/>
    <mergeCell ref="C29:C29"/>
    <mergeCell ref="F29:F29"/>
    <mergeCell ref="G29:G29"/>
    <mergeCell ref="H29:H29"/>
    <mergeCell ref="M29:M29"/>
    <mergeCell ref="N29:N29"/>
    <mergeCell ref="O29:O29"/>
    <mergeCell ref="P29:P29"/>
    <mergeCell ref="Q29:Q29"/>
    <mergeCell ref="R29:R29"/>
    <mergeCell ref="S29:S29"/>
    <mergeCell ref="X29:X29"/>
    <mergeCell ref="Y29:Y29"/>
    <mergeCell ref="Z29:Z29"/>
    <mergeCell ref="AA29:AA29"/>
    <mergeCell ref="AB29:AB29"/>
    <mergeCell ref="AC29:AC29"/>
    <mergeCell ref="AD29:AD29"/>
    <mergeCell ref="AE29:AE29"/>
    <mergeCell ref="AF29:AF29"/>
    <mergeCell ref="A30:A30"/>
    <mergeCell ref="B30:B30"/>
    <mergeCell ref="C30:C30"/>
    <mergeCell ref="F30:F30"/>
    <mergeCell ref="G30:G30"/>
    <mergeCell ref="H30:H30"/>
    <mergeCell ref="M30:M30"/>
    <mergeCell ref="N30:N30"/>
    <mergeCell ref="O30:O30"/>
    <mergeCell ref="P30:P30"/>
    <mergeCell ref="Q30:Q30"/>
    <mergeCell ref="R30:R30"/>
    <mergeCell ref="S30:S30"/>
    <mergeCell ref="X30:X30"/>
    <mergeCell ref="Y30:Y30"/>
    <mergeCell ref="Z30:Z30"/>
    <mergeCell ref="AA30:AA30"/>
    <mergeCell ref="AB30:AB30"/>
    <mergeCell ref="AC30:AC30"/>
    <mergeCell ref="AD30:AD30"/>
    <mergeCell ref="AE30:AE30"/>
    <mergeCell ref="AF30:AF30"/>
    <mergeCell ref="A31:A31"/>
    <mergeCell ref="B31:B31"/>
    <mergeCell ref="C31:C31"/>
    <mergeCell ref="F31:F31"/>
    <mergeCell ref="G31:G31"/>
    <mergeCell ref="H31:H31"/>
    <mergeCell ref="M31:M31"/>
    <mergeCell ref="N31:N31"/>
    <mergeCell ref="O31:O31"/>
    <mergeCell ref="P31:P31"/>
    <mergeCell ref="Q31:Q31"/>
    <mergeCell ref="R31:R31"/>
    <mergeCell ref="S31:S31"/>
    <mergeCell ref="X31:X31"/>
    <mergeCell ref="Y31:Y31"/>
    <mergeCell ref="Z31:Z31"/>
    <mergeCell ref="AA31:AA31"/>
    <mergeCell ref="AB31:AB31"/>
    <mergeCell ref="AC31:AC31"/>
    <mergeCell ref="AD31:AD31"/>
    <mergeCell ref="AE31:AE31"/>
    <mergeCell ref="AF31:AF31"/>
    <mergeCell ref="A32:A32"/>
    <mergeCell ref="B32:B32"/>
    <mergeCell ref="C32:C32"/>
    <mergeCell ref="F32:F32"/>
    <mergeCell ref="G32:G32"/>
    <mergeCell ref="H32:H32"/>
    <mergeCell ref="M32:M32"/>
    <mergeCell ref="N32:N32"/>
    <mergeCell ref="O32:O32"/>
    <mergeCell ref="P32:P32"/>
    <mergeCell ref="Q32:Q32"/>
    <mergeCell ref="R32:R32"/>
    <mergeCell ref="S32:S32"/>
    <mergeCell ref="X32:X32"/>
    <mergeCell ref="Y32:Y32"/>
    <mergeCell ref="Z32:Z32"/>
    <mergeCell ref="AA32:AA32"/>
    <mergeCell ref="AB32:AB32"/>
    <mergeCell ref="AC32:AC32"/>
    <mergeCell ref="AD32:AD32"/>
    <mergeCell ref="AE32:AE32"/>
    <mergeCell ref="AF32:AF32"/>
    <mergeCell ref="A33:A33"/>
    <mergeCell ref="B33:B33"/>
    <mergeCell ref="C33:C33"/>
    <mergeCell ref="F33:F33"/>
    <mergeCell ref="G33:G33"/>
    <mergeCell ref="H33:H33"/>
    <mergeCell ref="M33:M33"/>
    <mergeCell ref="N33:N33"/>
    <mergeCell ref="O33:O33"/>
    <mergeCell ref="P33:P33"/>
    <mergeCell ref="Q33:Q33"/>
    <mergeCell ref="R33:R33"/>
    <mergeCell ref="S33:S33"/>
    <mergeCell ref="X33:X33"/>
    <mergeCell ref="Y33:Y33"/>
    <mergeCell ref="Z33:Z33"/>
    <mergeCell ref="AA33:AA33"/>
    <mergeCell ref="AB33:AB33"/>
    <mergeCell ref="AC33:AC33"/>
    <mergeCell ref="AD33:AD33"/>
    <mergeCell ref="AE33:AE33"/>
    <mergeCell ref="AF33:AF33"/>
    <mergeCell ref="A34:A34"/>
    <mergeCell ref="B34:B34"/>
    <mergeCell ref="C34:C34"/>
    <mergeCell ref="F34:F34"/>
    <mergeCell ref="G34:G34"/>
    <mergeCell ref="H34:H34"/>
    <mergeCell ref="M34:M34"/>
    <mergeCell ref="N34:N34"/>
    <mergeCell ref="O34:O34"/>
    <mergeCell ref="P34:P34"/>
    <mergeCell ref="Q34:Q34"/>
    <mergeCell ref="R34:R34"/>
    <mergeCell ref="S34:S34"/>
    <mergeCell ref="X34:X34"/>
    <mergeCell ref="Y34:Y34"/>
    <mergeCell ref="Z34:Z34"/>
    <mergeCell ref="AA34:AA34"/>
    <mergeCell ref="AB34:AB34"/>
    <mergeCell ref="AC34:AC34"/>
    <mergeCell ref="AD34:AD34"/>
    <mergeCell ref="AE34:AE34"/>
    <mergeCell ref="AF34:AF34"/>
    <mergeCell ref="A35:A35"/>
    <mergeCell ref="B35:B35"/>
    <mergeCell ref="C35:C35"/>
    <mergeCell ref="F35:F35"/>
    <mergeCell ref="G35:G35"/>
    <mergeCell ref="H35:H35"/>
    <mergeCell ref="M35:M35"/>
    <mergeCell ref="N35:N35"/>
    <mergeCell ref="O35:O35"/>
    <mergeCell ref="P35:P35"/>
    <mergeCell ref="Q35:Q35"/>
    <mergeCell ref="R35:R35"/>
    <mergeCell ref="S35:S35"/>
    <mergeCell ref="X35:X35"/>
    <mergeCell ref="Y35:Y35"/>
    <mergeCell ref="Z35:Z35"/>
    <mergeCell ref="AA35:AA35"/>
    <mergeCell ref="AB35:AB35"/>
    <mergeCell ref="AC35:AC35"/>
    <mergeCell ref="AD35:AD35"/>
    <mergeCell ref="AE35:AE35"/>
    <mergeCell ref="AF35:AF35"/>
    <mergeCell ref="A36:A36"/>
    <mergeCell ref="B36:B36"/>
    <mergeCell ref="C36:C36"/>
    <mergeCell ref="F36:F36"/>
    <mergeCell ref="G36:G36"/>
    <mergeCell ref="H36:H36"/>
    <mergeCell ref="M36:M36"/>
    <mergeCell ref="N36:N36"/>
    <mergeCell ref="O36:O36"/>
    <mergeCell ref="P36:P36"/>
    <mergeCell ref="Q36:Q36"/>
    <mergeCell ref="R36:R36"/>
    <mergeCell ref="S36:S36"/>
    <mergeCell ref="X36:X36"/>
    <mergeCell ref="Y36:Y36"/>
    <mergeCell ref="Z36:Z36"/>
    <mergeCell ref="AA36:AA36"/>
    <mergeCell ref="AB36:AB36"/>
    <mergeCell ref="AC36:AC36"/>
    <mergeCell ref="AD36:AD36"/>
    <mergeCell ref="AE36:AE36"/>
    <mergeCell ref="AF36:AF36"/>
    <mergeCell ref="A37:A37"/>
    <mergeCell ref="B37:B37"/>
    <mergeCell ref="C37:C37"/>
    <mergeCell ref="F37:F37"/>
    <mergeCell ref="G37:G37"/>
    <mergeCell ref="H37:H37"/>
    <mergeCell ref="M37:M37"/>
    <mergeCell ref="N37:N37"/>
    <mergeCell ref="O37:O37"/>
    <mergeCell ref="P37:P37"/>
    <mergeCell ref="Q37:Q37"/>
    <mergeCell ref="R37:R37"/>
    <mergeCell ref="S37:S37"/>
    <mergeCell ref="X37:X37"/>
    <mergeCell ref="Y37:Y37"/>
    <mergeCell ref="Z37:Z37"/>
    <mergeCell ref="AA37:AA37"/>
    <mergeCell ref="AB37:AB37"/>
    <mergeCell ref="AC37:AC37"/>
    <mergeCell ref="AD37:AD37"/>
    <mergeCell ref="AE37:AE37"/>
    <mergeCell ref="AF37:AF37"/>
    <mergeCell ref="A38:A38"/>
    <mergeCell ref="B38:B38"/>
    <mergeCell ref="C38:C38"/>
    <mergeCell ref="F38:F38"/>
    <mergeCell ref="G38:G38"/>
    <mergeCell ref="H38:H38"/>
    <mergeCell ref="M38:M38"/>
    <mergeCell ref="N38:N38"/>
    <mergeCell ref="O38:O38"/>
    <mergeCell ref="P38:P38"/>
    <mergeCell ref="Q38:Q38"/>
    <mergeCell ref="R38:R38"/>
    <mergeCell ref="S38:S38"/>
    <mergeCell ref="X38:X38"/>
    <mergeCell ref="Y38:Y38"/>
    <mergeCell ref="Z38:Z38"/>
    <mergeCell ref="AA38:AA38"/>
    <mergeCell ref="AB38:AB38"/>
    <mergeCell ref="AC38:AC38"/>
    <mergeCell ref="AD38:AD38"/>
    <mergeCell ref="AE38:AE38"/>
    <mergeCell ref="AF38:AF38"/>
    <mergeCell ref="A39:A39"/>
    <mergeCell ref="B39:B39"/>
    <mergeCell ref="C39:C39"/>
    <mergeCell ref="F39:F39"/>
    <mergeCell ref="G39:G39"/>
    <mergeCell ref="H39:H39"/>
    <mergeCell ref="M39:M39"/>
    <mergeCell ref="N39:N39"/>
    <mergeCell ref="O39:O39"/>
    <mergeCell ref="P39:P39"/>
    <mergeCell ref="Q39:Q39"/>
    <mergeCell ref="R39:R39"/>
    <mergeCell ref="S39:S39"/>
    <mergeCell ref="X39:X39"/>
    <mergeCell ref="Y39:Y39"/>
    <mergeCell ref="Z39:Z39"/>
    <mergeCell ref="AA39:AA39"/>
    <mergeCell ref="AB39:AB39"/>
    <mergeCell ref="AC39:AC39"/>
    <mergeCell ref="AD39:AD39"/>
    <mergeCell ref="AE39:AE39"/>
    <mergeCell ref="AF39:AF39"/>
    <mergeCell ref="A40:A40"/>
    <mergeCell ref="B40:B40"/>
    <mergeCell ref="C40:C40"/>
    <mergeCell ref="F40:F40"/>
    <mergeCell ref="G40:G40"/>
    <mergeCell ref="H40:H40"/>
    <mergeCell ref="M40:M40"/>
    <mergeCell ref="N40:N40"/>
    <mergeCell ref="O40:O40"/>
    <mergeCell ref="P40:P40"/>
    <mergeCell ref="Q40:Q40"/>
    <mergeCell ref="R40:R40"/>
    <mergeCell ref="S40:S40"/>
    <mergeCell ref="X40:X40"/>
    <mergeCell ref="Y40:Y40"/>
    <mergeCell ref="Z40:Z40"/>
    <mergeCell ref="AA40:AA40"/>
    <mergeCell ref="AB40:AB40"/>
    <mergeCell ref="AC40:AC40"/>
    <mergeCell ref="AD40:AD40"/>
    <mergeCell ref="AE40:AE40"/>
    <mergeCell ref="AF40:AF40"/>
    <mergeCell ref="A41:A41"/>
    <mergeCell ref="B41:B41"/>
    <mergeCell ref="C41:C41"/>
    <mergeCell ref="F41:F41"/>
    <mergeCell ref="G41:G41"/>
    <mergeCell ref="H41:H41"/>
    <mergeCell ref="M41:M41"/>
    <mergeCell ref="N41:N41"/>
    <mergeCell ref="O41:O41"/>
    <mergeCell ref="P41:P41"/>
    <mergeCell ref="Q41:Q41"/>
    <mergeCell ref="R41:R41"/>
    <mergeCell ref="S41:S41"/>
    <mergeCell ref="X41:X41"/>
    <mergeCell ref="Y41:Y41"/>
    <mergeCell ref="Z41:Z41"/>
    <mergeCell ref="AA41:AA41"/>
    <mergeCell ref="AB41:AB41"/>
    <mergeCell ref="AC41:AC41"/>
    <mergeCell ref="AD41:AD41"/>
    <mergeCell ref="AE41:AE41"/>
    <mergeCell ref="AF41:AF41"/>
    <mergeCell ref="A42:A42"/>
    <mergeCell ref="B42:B42"/>
    <mergeCell ref="C42:C42"/>
    <mergeCell ref="F42:F42"/>
    <mergeCell ref="G42:G42"/>
    <mergeCell ref="H42:H42"/>
    <mergeCell ref="M42:M42"/>
    <mergeCell ref="N42:N42"/>
    <mergeCell ref="O42:O42"/>
    <mergeCell ref="P42:P42"/>
    <mergeCell ref="Q42:Q42"/>
    <mergeCell ref="R42:R42"/>
    <mergeCell ref="S42:S42"/>
    <mergeCell ref="X42:X42"/>
    <mergeCell ref="Y42:Y42"/>
    <mergeCell ref="Z42:Z42"/>
    <mergeCell ref="AA42:AA42"/>
    <mergeCell ref="AB42:AB42"/>
    <mergeCell ref="AC42:AC42"/>
    <mergeCell ref="AD42:AD42"/>
    <mergeCell ref="AE42:AE42"/>
    <mergeCell ref="AF42:AF42"/>
    <mergeCell ref="A43:A43"/>
    <mergeCell ref="B43:B43"/>
    <mergeCell ref="C43:C43"/>
    <mergeCell ref="F43:F43"/>
    <mergeCell ref="G43:G43"/>
    <mergeCell ref="H43:H43"/>
    <mergeCell ref="M43:M43"/>
    <mergeCell ref="N43:N43"/>
    <mergeCell ref="O43:O43"/>
    <mergeCell ref="P43:P43"/>
    <mergeCell ref="Q43:Q43"/>
    <mergeCell ref="R43:R43"/>
    <mergeCell ref="S43:S43"/>
    <mergeCell ref="X43:X43"/>
    <mergeCell ref="Y43:Y43"/>
    <mergeCell ref="Z43:Z43"/>
    <mergeCell ref="AA43:AA43"/>
    <mergeCell ref="AB43:AB43"/>
    <mergeCell ref="AC43:AC43"/>
    <mergeCell ref="AD43:AD43"/>
    <mergeCell ref="AE43:AE43"/>
    <mergeCell ref="AF43:AF43"/>
    <mergeCell ref="A44:A44"/>
    <mergeCell ref="B44:B44"/>
    <mergeCell ref="C44:C44"/>
    <mergeCell ref="F44:F44"/>
    <mergeCell ref="G44:G44"/>
    <mergeCell ref="H44:H44"/>
    <mergeCell ref="M44:M44"/>
    <mergeCell ref="N44:N44"/>
    <mergeCell ref="O44:O44"/>
    <mergeCell ref="P44:P44"/>
    <mergeCell ref="Q44:Q44"/>
    <mergeCell ref="R44:R44"/>
    <mergeCell ref="S44:S44"/>
    <mergeCell ref="X44:X44"/>
    <mergeCell ref="Y44:Y44"/>
    <mergeCell ref="Z44:Z44"/>
    <mergeCell ref="AA44:AA44"/>
    <mergeCell ref="AB44:AB44"/>
    <mergeCell ref="AC44:AC44"/>
    <mergeCell ref="AD44:AD44"/>
    <mergeCell ref="AE44:AE44"/>
    <mergeCell ref="AF44:AF44"/>
    <mergeCell ref="A45:A45"/>
    <mergeCell ref="B45:B45"/>
    <mergeCell ref="C45:C45"/>
    <mergeCell ref="F45:F45"/>
    <mergeCell ref="G45:G45"/>
    <mergeCell ref="H45:H45"/>
    <mergeCell ref="M45:M45"/>
    <mergeCell ref="N45:N45"/>
    <mergeCell ref="O45:O45"/>
    <mergeCell ref="P45:P45"/>
    <mergeCell ref="Q45:Q45"/>
    <mergeCell ref="R45:R45"/>
    <mergeCell ref="S45:S45"/>
    <mergeCell ref="X45:X45"/>
    <mergeCell ref="Y45:Y45"/>
    <mergeCell ref="Z45:Z45"/>
    <mergeCell ref="AA45:AA45"/>
    <mergeCell ref="AB45:AB45"/>
    <mergeCell ref="AC45:AC45"/>
    <mergeCell ref="AD45:AD45"/>
    <mergeCell ref="AE45:AE45"/>
    <mergeCell ref="AF45:AF45"/>
    <mergeCell ref="A46:A46"/>
    <mergeCell ref="B46:B46"/>
    <mergeCell ref="C46:C46"/>
    <mergeCell ref="F46:F46"/>
    <mergeCell ref="G46:G46"/>
    <mergeCell ref="H46:H46"/>
    <mergeCell ref="M46:M46"/>
    <mergeCell ref="N46:N46"/>
    <mergeCell ref="O46:O46"/>
    <mergeCell ref="P46:P46"/>
    <mergeCell ref="Q46:Q46"/>
    <mergeCell ref="R46:R46"/>
    <mergeCell ref="S46:S46"/>
    <mergeCell ref="X46:X46"/>
    <mergeCell ref="Y46:Y46"/>
    <mergeCell ref="Z46:Z46"/>
    <mergeCell ref="AA46:AA46"/>
    <mergeCell ref="AB46:AB46"/>
    <mergeCell ref="AC46:AC46"/>
    <mergeCell ref="AD46:AD46"/>
    <mergeCell ref="AE46:AE46"/>
    <mergeCell ref="AF46:AF46"/>
    <mergeCell ref="A47:A47"/>
    <mergeCell ref="B47:B47"/>
    <mergeCell ref="C47:C47"/>
    <mergeCell ref="F47:F47"/>
    <mergeCell ref="G47:G47"/>
    <mergeCell ref="H47:H47"/>
    <mergeCell ref="M47:M47"/>
    <mergeCell ref="N47:N47"/>
    <mergeCell ref="O47:O47"/>
    <mergeCell ref="P47:P47"/>
    <mergeCell ref="Q47:Q47"/>
    <mergeCell ref="R47:R47"/>
    <mergeCell ref="S47:S47"/>
    <mergeCell ref="X47:X47"/>
    <mergeCell ref="Y47:Y47"/>
    <mergeCell ref="Z47:Z47"/>
    <mergeCell ref="AA47:AA47"/>
    <mergeCell ref="AB47:AB47"/>
    <mergeCell ref="AC47:AC47"/>
    <mergeCell ref="AD47:AD47"/>
    <mergeCell ref="AE47:AE47"/>
    <mergeCell ref="AF47:AF47"/>
    <mergeCell ref="A48:A48"/>
    <mergeCell ref="B48:B48"/>
    <mergeCell ref="C48:C48"/>
    <mergeCell ref="F48:F48"/>
    <mergeCell ref="G48:G48"/>
    <mergeCell ref="H48:H48"/>
    <mergeCell ref="M48:M48"/>
    <mergeCell ref="N48:N48"/>
    <mergeCell ref="O48:O48"/>
    <mergeCell ref="P48:P48"/>
    <mergeCell ref="Q48:Q48"/>
    <mergeCell ref="R48:R48"/>
    <mergeCell ref="S48:S48"/>
    <mergeCell ref="X48:X48"/>
    <mergeCell ref="Y48:Y48"/>
    <mergeCell ref="Z48:Z48"/>
    <mergeCell ref="AA48:AA48"/>
    <mergeCell ref="AB48:AB48"/>
    <mergeCell ref="AC48:AC48"/>
    <mergeCell ref="AD48:AD48"/>
    <mergeCell ref="AE48:AE48"/>
    <mergeCell ref="AF48:AF48"/>
    <mergeCell ref="A49:A49"/>
    <mergeCell ref="B49:B49"/>
    <mergeCell ref="C49:C49"/>
    <mergeCell ref="F49:F49"/>
    <mergeCell ref="G49:G49"/>
    <mergeCell ref="H49:H49"/>
    <mergeCell ref="M49:M49"/>
    <mergeCell ref="N49:N49"/>
    <mergeCell ref="O49:O49"/>
    <mergeCell ref="P49:P49"/>
    <mergeCell ref="Q49:Q49"/>
    <mergeCell ref="R49:R49"/>
    <mergeCell ref="S49:S49"/>
    <mergeCell ref="X49:X49"/>
    <mergeCell ref="Y49:Y49"/>
    <mergeCell ref="Z49:Z49"/>
    <mergeCell ref="AA49:AA49"/>
    <mergeCell ref="AB49:AB49"/>
    <mergeCell ref="AC49:AC49"/>
    <mergeCell ref="AD49:AD49"/>
    <mergeCell ref="AE49:AE49"/>
    <mergeCell ref="AF49:AF49"/>
    <mergeCell ref="A50:A50"/>
    <mergeCell ref="B50:B50"/>
    <mergeCell ref="C50:C50"/>
    <mergeCell ref="F50:F50"/>
    <mergeCell ref="G50:G50"/>
    <mergeCell ref="H50:H50"/>
    <mergeCell ref="M50:M50"/>
    <mergeCell ref="N50:N50"/>
    <mergeCell ref="O50:O50"/>
    <mergeCell ref="P50:P50"/>
    <mergeCell ref="Q50:Q50"/>
    <mergeCell ref="R50:R50"/>
    <mergeCell ref="S50:S50"/>
    <mergeCell ref="X50:X50"/>
    <mergeCell ref="Y50:Y50"/>
    <mergeCell ref="Z50:Z50"/>
    <mergeCell ref="AA50:AA50"/>
    <mergeCell ref="AB50:AB50"/>
    <mergeCell ref="AC50:AC50"/>
    <mergeCell ref="AD50:AD50"/>
    <mergeCell ref="AE50:AE50"/>
    <mergeCell ref="AF50:AF50"/>
    <mergeCell ref="A51:A51"/>
    <mergeCell ref="B51:B51"/>
    <mergeCell ref="C51:C51"/>
    <mergeCell ref="F51:F51"/>
    <mergeCell ref="G51:G51"/>
    <mergeCell ref="H51:H51"/>
    <mergeCell ref="M51:M51"/>
    <mergeCell ref="N51:N51"/>
    <mergeCell ref="O51:O51"/>
    <mergeCell ref="P51:P51"/>
    <mergeCell ref="Q51:Q51"/>
    <mergeCell ref="R51:R51"/>
    <mergeCell ref="S51:S51"/>
    <mergeCell ref="X51:X51"/>
    <mergeCell ref="Y51:Y51"/>
    <mergeCell ref="Z51:Z51"/>
    <mergeCell ref="AA51:AA51"/>
    <mergeCell ref="AB51:AB51"/>
    <mergeCell ref="AC51:AC51"/>
    <mergeCell ref="AD51:AD51"/>
    <mergeCell ref="AE51:AE51"/>
    <mergeCell ref="AF51:AF51"/>
    <mergeCell ref="A52:A52"/>
    <mergeCell ref="B52:B52"/>
    <mergeCell ref="C52:C52"/>
    <mergeCell ref="F52:F52"/>
    <mergeCell ref="G52:G52"/>
    <mergeCell ref="H52:H52"/>
    <mergeCell ref="M52:M52"/>
    <mergeCell ref="N52:N52"/>
    <mergeCell ref="O52:O52"/>
    <mergeCell ref="P52:P52"/>
    <mergeCell ref="Q52:Q52"/>
    <mergeCell ref="R52:R52"/>
    <mergeCell ref="S52:S52"/>
    <mergeCell ref="X52:X52"/>
    <mergeCell ref="Y52:Y52"/>
    <mergeCell ref="Z52:Z52"/>
    <mergeCell ref="AA52:AA52"/>
    <mergeCell ref="AB52:AB52"/>
    <mergeCell ref="AC52:AC52"/>
    <mergeCell ref="AD52:AD52"/>
    <mergeCell ref="AE52:AE52"/>
    <mergeCell ref="AF52:AF52"/>
    <mergeCell ref="A53:A53"/>
    <mergeCell ref="B53:B53"/>
    <mergeCell ref="C53:C53"/>
    <mergeCell ref="F53:F53"/>
    <mergeCell ref="G53:G53"/>
    <mergeCell ref="H53:H53"/>
    <mergeCell ref="M53:M53"/>
    <mergeCell ref="N53:N53"/>
    <mergeCell ref="O53:O53"/>
    <mergeCell ref="P53:P53"/>
    <mergeCell ref="Q53:Q53"/>
    <mergeCell ref="R53:R53"/>
    <mergeCell ref="S53:S53"/>
    <mergeCell ref="X53:X53"/>
    <mergeCell ref="Y53:Y53"/>
    <mergeCell ref="Z53:Z53"/>
    <mergeCell ref="AA53:AA53"/>
    <mergeCell ref="AB53:AB53"/>
    <mergeCell ref="AC53:AC53"/>
    <mergeCell ref="AD53:AD53"/>
    <mergeCell ref="AE53:AE53"/>
    <mergeCell ref="AF53:AF53"/>
    <mergeCell ref="A54:A54"/>
    <mergeCell ref="B54:B54"/>
    <mergeCell ref="C54:C54"/>
    <mergeCell ref="F54:F54"/>
    <mergeCell ref="G54:G54"/>
    <mergeCell ref="H54:H54"/>
    <mergeCell ref="M54:M54"/>
    <mergeCell ref="N54:N54"/>
    <mergeCell ref="O54:O54"/>
    <mergeCell ref="P54:P54"/>
    <mergeCell ref="Q54:Q54"/>
    <mergeCell ref="R54:R54"/>
    <mergeCell ref="S54:S54"/>
    <mergeCell ref="X54:X54"/>
    <mergeCell ref="Y54:Y54"/>
    <mergeCell ref="Z54:Z54"/>
    <mergeCell ref="AA54:AA54"/>
    <mergeCell ref="AB54:AB54"/>
    <mergeCell ref="AC54:AC54"/>
    <mergeCell ref="AD54:AD54"/>
    <mergeCell ref="AE54:AE54"/>
    <mergeCell ref="AF54:AF54"/>
    <mergeCell ref="A55:A55"/>
    <mergeCell ref="B55:B55"/>
    <mergeCell ref="C55:C55"/>
    <mergeCell ref="F55:F55"/>
    <mergeCell ref="G55:G55"/>
    <mergeCell ref="H55:H55"/>
    <mergeCell ref="M55:M55"/>
    <mergeCell ref="N55:N55"/>
    <mergeCell ref="O55:O55"/>
    <mergeCell ref="P55:P55"/>
    <mergeCell ref="Q55:Q55"/>
    <mergeCell ref="R55:R55"/>
    <mergeCell ref="S55:S55"/>
    <mergeCell ref="X55:X55"/>
    <mergeCell ref="Y55:Y55"/>
    <mergeCell ref="Z55:Z55"/>
    <mergeCell ref="AA55:AA55"/>
    <mergeCell ref="AB55:AB55"/>
    <mergeCell ref="AC55:AC55"/>
    <mergeCell ref="AD55:AD55"/>
    <mergeCell ref="AE55:AE55"/>
    <mergeCell ref="AF55:AF55"/>
    <mergeCell ref="A56:A56"/>
    <mergeCell ref="B56:B56"/>
    <mergeCell ref="C56:C56"/>
    <mergeCell ref="F56:F56"/>
    <mergeCell ref="G56:G56"/>
    <mergeCell ref="H56:H56"/>
    <mergeCell ref="M56:M56"/>
    <mergeCell ref="N56:N56"/>
    <mergeCell ref="O56:O56"/>
    <mergeCell ref="P56:P56"/>
    <mergeCell ref="Q56:Q56"/>
    <mergeCell ref="R56:R56"/>
    <mergeCell ref="S56:S56"/>
    <mergeCell ref="X56:X56"/>
    <mergeCell ref="Y56:Y56"/>
    <mergeCell ref="Z56:Z56"/>
    <mergeCell ref="AA56:AA56"/>
    <mergeCell ref="AB56:AB56"/>
    <mergeCell ref="AC56:AC56"/>
    <mergeCell ref="AD56:AD56"/>
    <mergeCell ref="AE56:AE56"/>
    <mergeCell ref="AF56:AF56"/>
    <mergeCell ref="A57:A57"/>
    <mergeCell ref="B57:B57"/>
    <mergeCell ref="C57:C57"/>
    <mergeCell ref="F57:F57"/>
    <mergeCell ref="G57:G57"/>
    <mergeCell ref="H57:H57"/>
    <mergeCell ref="M57:M57"/>
    <mergeCell ref="N57:N57"/>
    <mergeCell ref="O57:O57"/>
    <mergeCell ref="P57:P57"/>
    <mergeCell ref="Q57:Q57"/>
    <mergeCell ref="R57:R57"/>
    <mergeCell ref="S57:S57"/>
    <mergeCell ref="X57:X57"/>
    <mergeCell ref="Y57:Y57"/>
    <mergeCell ref="Z57:Z57"/>
    <mergeCell ref="AA57:AA57"/>
    <mergeCell ref="AB57:AB57"/>
    <mergeCell ref="AC57:AC57"/>
    <mergeCell ref="AD57:AD57"/>
    <mergeCell ref="AE57:AE57"/>
    <mergeCell ref="AF57:AF57"/>
    <mergeCell ref="A58:A58"/>
    <mergeCell ref="B58:B58"/>
    <mergeCell ref="C58:C58"/>
    <mergeCell ref="F58:F58"/>
    <mergeCell ref="G58:G58"/>
    <mergeCell ref="H58:H58"/>
    <mergeCell ref="M58:M58"/>
    <mergeCell ref="N58:N58"/>
    <mergeCell ref="O58:O58"/>
    <mergeCell ref="P58:P58"/>
    <mergeCell ref="Q58:Q58"/>
    <mergeCell ref="R58:R58"/>
    <mergeCell ref="S58:S58"/>
    <mergeCell ref="X58:X58"/>
    <mergeCell ref="Y58:Y58"/>
    <mergeCell ref="Z58:Z58"/>
    <mergeCell ref="AA58:AA58"/>
    <mergeCell ref="AB58:AB58"/>
    <mergeCell ref="AC58:AC58"/>
    <mergeCell ref="AD58:AD58"/>
    <mergeCell ref="AE58:AE58"/>
    <mergeCell ref="AF58:AF58"/>
    <mergeCell ref="A59:A59"/>
    <mergeCell ref="B59:B59"/>
    <mergeCell ref="C59:C59"/>
    <mergeCell ref="F59:F59"/>
    <mergeCell ref="G59:G59"/>
    <mergeCell ref="H59:H59"/>
    <mergeCell ref="M59:M59"/>
    <mergeCell ref="N59:N59"/>
    <mergeCell ref="O59:O59"/>
    <mergeCell ref="P59:P59"/>
    <mergeCell ref="Q59:Q59"/>
    <mergeCell ref="R59:R59"/>
    <mergeCell ref="S59:S59"/>
    <mergeCell ref="X59:X59"/>
    <mergeCell ref="Y59:Y59"/>
    <mergeCell ref="Z59:Z59"/>
    <mergeCell ref="AA59:AA59"/>
    <mergeCell ref="AB59:AB59"/>
    <mergeCell ref="AC59:AC59"/>
    <mergeCell ref="AD59:AD59"/>
    <mergeCell ref="AE59:AE59"/>
    <mergeCell ref="AF59:AF59"/>
    <mergeCell ref="A60:A60"/>
    <mergeCell ref="B60:B60"/>
    <mergeCell ref="C60:C60"/>
    <mergeCell ref="F60:F60"/>
    <mergeCell ref="G60:G60"/>
    <mergeCell ref="H60:H60"/>
    <mergeCell ref="M60:M60"/>
    <mergeCell ref="N60:N60"/>
    <mergeCell ref="O60:O60"/>
    <mergeCell ref="P60:P60"/>
    <mergeCell ref="Q60:Q60"/>
    <mergeCell ref="R60:R60"/>
    <mergeCell ref="S60:S60"/>
    <mergeCell ref="X60:X60"/>
    <mergeCell ref="Y60:Y60"/>
    <mergeCell ref="Z60:Z60"/>
    <mergeCell ref="AA60:AA60"/>
    <mergeCell ref="AB60:AB60"/>
    <mergeCell ref="AC60:AC60"/>
    <mergeCell ref="AD60:AD60"/>
    <mergeCell ref="AE60:AE60"/>
    <mergeCell ref="AF60:AF60"/>
    <mergeCell ref="A61:A61"/>
    <mergeCell ref="B61:B61"/>
    <mergeCell ref="C61:C61"/>
    <mergeCell ref="F61:F61"/>
    <mergeCell ref="G61:G61"/>
    <mergeCell ref="H61:H61"/>
    <mergeCell ref="M61:M61"/>
    <mergeCell ref="N61:N61"/>
    <mergeCell ref="O61:O61"/>
    <mergeCell ref="P61:P61"/>
    <mergeCell ref="Q61:Q61"/>
    <mergeCell ref="R61:R61"/>
    <mergeCell ref="S61:S61"/>
    <mergeCell ref="X61:X61"/>
    <mergeCell ref="Y61:Y61"/>
    <mergeCell ref="Z61:Z61"/>
    <mergeCell ref="AA61:AA61"/>
    <mergeCell ref="AB61:AB61"/>
    <mergeCell ref="AC61:AC61"/>
    <mergeCell ref="AD61:AD61"/>
    <mergeCell ref="AE61:AE61"/>
    <mergeCell ref="AF61:AF61"/>
    <mergeCell ref="A62:A62"/>
    <mergeCell ref="B62:B62"/>
    <mergeCell ref="C62:C62"/>
    <mergeCell ref="F62:F62"/>
    <mergeCell ref="G62:G62"/>
    <mergeCell ref="H62:H62"/>
    <mergeCell ref="M62:M62"/>
    <mergeCell ref="N62:N62"/>
    <mergeCell ref="O62:O62"/>
    <mergeCell ref="P62:P62"/>
    <mergeCell ref="Q62:Q62"/>
    <mergeCell ref="R62:R62"/>
    <mergeCell ref="S62:S62"/>
    <mergeCell ref="X62:X62"/>
    <mergeCell ref="Y62:Y62"/>
    <mergeCell ref="Z62:Z62"/>
    <mergeCell ref="AA62:AA62"/>
    <mergeCell ref="AB62:AB62"/>
    <mergeCell ref="AC62:AC62"/>
    <mergeCell ref="AD62:AD62"/>
    <mergeCell ref="AE62:AE62"/>
    <mergeCell ref="AF62:AF62"/>
    <mergeCell ref="A63:A63"/>
    <mergeCell ref="B63:B63"/>
    <mergeCell ref="C63:C63"/>
    <mergeCell ref="F63:F63"/>
    <mergeCell ref="G63:G63"/>
    <mergeCell ref="H63:H63"/>
    <mergeCell ref="M63:M63"/>
    <mergeCell ref="N63:N63"/>
    <mergeCell ref="O63:O63"/>
    <mergeCell ref="P63:P63"/>
    <mergeCell ref="Q63:Q63"/>
    <mergeCell ref="R63:R63"/>
    <mergeCell ref="S63:S63"/>
    <mergeCell ref="X63:X63"/>
    <mergeCell ref="Y63:Y63"/>
    <mergeCell ref="Z63:Z63"/>
    <mergeCell ref="AA63:AA63"/>
    <mergeCell ref="AB63:AB63"/>
    <mergeCell ref="AC63:AC63"/>
    <mergeCell ref="AD63:AD63"/>
    <mergeCell ref="AE63:AE63"/>
    <mergeCell ref="AF63:AF63"/>
    <mergeCell ref="A64:A64"/>
    <mergeCell ref="B64:B64"/>
    <mergeCell ref="C64:C64"/>
    <mergeCell ref="F64:F64"/>
    <mergeCell ref="G64:G64"/>
    <mergeCell ref="H64:H64"/>
    <mergeCell ref="M64:M64"/>
    <mergeCell ref="N64:N64"/>
    <mergeCell ref="O64:O64"/>
    <mergeCell ref="P64:P64"/>
    <mergeCell ref="Q64:Q64"/>
    <mergeCell ref="R64:R64"/>
    <mergeCell ref="S64:S64"/>
    <mergeCell ref="X64:X64"/>
    <mergeCell ref="Y64:Y64"/>
    <mergeCell ref="Z64:Z64"/>
    <mergeCell ref="AA64:AA64"/>
    <mergeCell ref="AB64:AB64"/>
    <mergeCell ref="AC64:AC64"/>
    <mergeCell ref="AD64:AD64"/>
    <mergeCell ref="AE64:AE64"/>
    <mergeCell ref="AF64:AF64"/>
    <mergeCell ref="A65:A65"/>
    <mergeCell ref="B65:B65"/>
    <mergeCell ref="C65:C65"/>
    <mergeCell ref="F65:F65"/>
    <mergeCell ref="G65:G65"/>
    <mergeCell ref="H65:H65"/>
    <mergeCell ref="M65:M65"/>
    <mergeCell ref="N65:N65"/>
    <mergeCell ref="O65:O65"/>
    <mergeCell ref="P65:P65"/>
    <mergeCell ref="Q65:Q65"/>
    <mergeCell ref="R65:R65"/>
    <mergeCell ref="S65:S65"/>
    <mergeCell ref="X65:X65"/>
    <mergeCell ref="Y65:Y65"/>
    <mergeCell ref="Z65:Z65"/>
    <mergeCell ref="AA65:AA65"/>
    <mergeCell ref="AB65:AB65"/>
    <mergeCell ref="AC65:AC65"/>
    <mergeCell ref="AD65:AD65"/>
    <mergeCell ref="AE65:AE65"/>
    <mergeCell ref="AF65:AF65"/>
    <mergeCell ref="A66:A66"/>
    <mergeCell ref="B66:B66"/>
    <mergeCell ref="C66:C66"/>
    <mergeCell ref="F66:F66"/>
    <mergeCell ref="G66:G66"/>
    <mergeCell ref="H66:H66"/>
    <mergeCell ref="M66:M66"/>
    <mergeCell ref="N66:N66"/>
    <mergeCell ref="O66:O66"/>
    <mergeCell ref="P66:P66"/>
    <mergeCell ref="Q66:Q66"/>
    <mergeCell ref="R66:R66"/>
    <mergeCell ref="S66:S66"/>
    <mergeCell ref="X66:X66"/>
    <mergeCell ref="Y66:Y66"/>
    <mergeCell ref="Z66:Z66"/>
    <mergeCell ref="AA66:AA66"/>
    <mergeCell ref="AB66:AB66"/>
    <mergeCell ref="AC66:AC66"/>
    <mergeCell ref="AD66:AD66"/>
    <mergeCell ref="AE66:AE66"/>
    <mergeCell ref="AF66:AF66"/>
    <mergeCell ref="A67:A67"/>
    <mergeCell ref="B67:B67"/>
    <mergeCell ref="C67:C67"/>
    <mergeCell ref="F67:F67"/>
    <mergeCell ref="G67:G67"/>
    <mergeCell ref="H67:H67"/>
    <mergeCell ref="M67:M67"/>
    <mergeCell ref="N67:N67"/>
    <mergeCell ref="O67:O67"/>
    <mergeCell ref="P67:P67"/>
    <mergeCell ref="Q67:Q67"/>
    <mergeCell ref="R67:R67"/>
    <mergeCell ref="S67:S67"/>
    <mergeCell ref="X67:X67"/>
    <mergeCell ref="Y67:Y67"/>
    <mergeCell ref="Z67:Z67"/>
    <mergeCell ref="AA67:AA67"/>
    <mergeCell ref="AB67:AB67"/>
    <mergeCell ref="AC67:AC67"/>
    <mergeCell ref="AD67:AD67"/>
    <mergeCell ref="AE67:AE67"/>
    <mergeCell ref="AF67:AF67"/>
    <mergeCell ref="A68:A68"/>
    <mergeCell ref="B68:B68"/>
    <mergeCell ref="C68:C68"/>
    <mergeCell ref="F68:F68"/>
    <mergeCell ref="G68:G68"/>
    <mergeCell ref="H68:H68"/>
    <mergeCell ref="M68:M68"/>
    <mergeCell ref="N68:N68"/>
    <mergeCell ref="O68:O68"/>
    <mergeCell ref="P68:P68"/>
    <mergeCell ref="Q68:Q68"/>
    <mergeCell ref="R68:R68"/>
    <mergeCell ref="S68:S68"/>
    <mergeCell ref="X68:X68"/>
    <mergeCell ref="Y68:Y68"/>
    <mergeCell ref="Z68:Z68"/>
    <mergeCell ref="AA68:AA68"/>
    <mergeCell ref="AB68:AB68"/>
    <mergeCell ref="AC68:AC68"/>
    <mergeCell ref="AD68:AD68"/>
    <mergeCell ref="AE68:AE68"/>
    <mergeCell ref="AF68:AF68"/>
    <mergeCell ref="A69:A69"/>
    <mergeCell ref="B69:B69"/>
    <mergeCell ref="C69:C69"/>
    <mergeCell ref="F69:F69"/>
    <mergeCell ref="G69:G69"/>
    <mergeCell ref="H69:H69"/>
    <mergeCell ref="M69:M69"/>
    <mergeCell ref="N69:N69"/>
    <mergeCell ref="O69:O69"/>
    <mergeCell ref="P69:P69"/>
    <mergeCell ref="Q69:Q69"/>
    <mergeCell ref="R69:R69"/>
    <mergeCell ref="S69:S69"/>
    <mergeCell ref="X69:X69"/>
    <mergeCell ref="Y69:Y69"/>
    <mergeCell ref="Z69:Z69"/>
    <mergeCell ref="AA69:AA69"/>
    <mergeCell ref="AB69:AB69"/>
    <mergeCell ref="AC69:AC69"/>
    <mergeCell ref="AD69:AD69"/>
    <mergeCell ref="AE69:AE69"/>
    <mergeCell ref="AF69:AF69"/>
    <mergeCell ref="A70:A70"/>
    <mergeCell ref="B70:B70"/>
    <mergeCell ref="C70:C70"/>
    <mergeCell ref="F70:F70"/>
    <mergeCell ref="G70:G70"/>
    <mergeCell ref="H70:H70"/>
    <mergeCell ref="M70:M70"/>
    <mergeCell ref="N70:N70"/>
    <mergeCell ref="O70:O70"/>
    <mergeCell ref="P70:P70"/>
    <mergeCell ref="Q70:Q70"/>
    <mergeCell ref="R70:R70"/>
    <mergeCell ref="S70:S70"/>
    <mergeCell ref="X70:X70"/>
    <mergeCell ref="Y70:Y70"/>
    <mergeCell ref="Z70:Z70"/>
    <mergeCell ref="AA70:AA70"/>
    <mergeCell ref="AB70:AB70"/>
    <mergeCell ref="AC70:AC70"/>
    <mergeCell ref="AD70:AD70"/>
    <mergeCell ref="AE70:AE70"/>
    <mergeCell ref="AF70:AF70"/>
    <mergeCell ref="A71:A71"/>
    <mergeCell ref="B71:B71"/>
    <mergeCell ref="C71:C71"/>
    <mergeCell ref="F71:F71"/>
    <mergeCell ref="G71:G71"/>
    <mergeCell ref="H71:H71"/>
    <mergeCell ref="M71:M71"/>
    <mergeCell ref="N71:N71"/>
    <mergeCell ref="O71:O71"/>
    <mergeCell ref="P71:P71"/>
    <mergeCell ref="Q71:Q71"/>
    <mergeCell ref="R71:R71"/>
    <mergeCell ref="S71:S71"/>
    <mergeCell ref="X71:X71"/>
    <mergeCell ref="Y71:Y71"/>
    <mergeCell ref="Z71:Z71"/>
    <mergeCell ref="AA71:AA71"/>
    <mergeCell ref="AB71:AB71"/>
    <mergeCell ref="AC71:AC71"/>
    <mergeCell ref="AD71:AD71"/>
    <mergeCell ref="AE71:AE71"/>
    <mergeCell ref="AF71:AF71"/>
    <mergeCell ref="A72:A72"/>
    <mergeCell ref="B72:B72"/>
    <mergeCell ref="C72:C72"/>
    <mergeCell ref="F72:F72"/>
    <mergeCell ref="G72:G72"/>
    <mergeCell ref="H72:H72"/>
    <mergeCell ref="M72:M72"/>
    <mergeCell ref="N72:N72"/>
    <mergeCell ref="O72:O72"/>
    <mergeCell ref="P72:P72"/>
    <mergeCell ref="Q72:Q72"/>
    <mergeCell ref="R72:R72"/>
    <mergeCell ref="S72:S72"/>
    <mergeCell ref="X72:X72"/>
    <mergeCell ref="Y72:Y72"/>
    <mergeCell ref="Z72:Z72"/>
    <mergeCell ref="AA72:AA72"/>
    <mergeCell ref="AB72:AB72"/>
    <mergeCell ref="AC72:AC72"/>
    <mergeCell ref="AD72:AD72"/>
    <mergeCell ref="AE72:AE72"/>
    <mergeCell ref="AF72:AF72"/>
    <mergeCell ref="A73:A73"/>
    <mergeCell ref="B73:B73"/>
    <mergeCell ref="C73:C73"/>
    <mergeCell ref="F73:F73"/>
    <mergeCell ref="G73:G73"/>
    <mergeCell ref="H73:H73"/>
    <mergeCell ref="M73:M73"/>
    <mergeCell ref="N73:N73"/>
    <mergeCell ref="O73:O73"/>
    <mergeCell ref="P73:P73"/>
    <mergeCell ref="Q73:Q73"/>
    <mergeCell ref="R73:R73"/>
    <mergeCell ref="S73:S73"/>
    <mergeCell ref="X73:X73"/>
    <mergeCell ref="Y73:Y73"/>
    <mergeCell ref="Z73:Z73"/>
    <mergeCell ref="AA73:AA73"/>
    <mergeCell ref="AB73:AB73"/>
    <mergeCell ref="AC73:AC73"/>
    <mergeCell ref="AD73:AD73"/>
    <mergeCell ref="AE73:AE73"/>
    <mergeCell ref="AF73:AF73"/>
    <mergeCell ref="A74:A74"/>
    <mergeCell ref="B74:B74"/>
    <mergeCell ref="C74:C74"/>
    <mergeCell ref="F74:F74"/>
    <mergeCell ref="G74:G74"/>
    <mergeCell ref="H74:H74"/>
    <mergeCell ref="M74:M74"/>
    <mergeCell ref="N74:N74"/>
    <mergeCell ref="O74:O74"/>
    <mergeCell ref="P74:P74"/>
    <mergeCell ref="Q74:Q74"/>
    <mergeCell ref="R74:R74"/>
    <mergeCell ref="S74:S74"/>
    <mergeCell ref="X74:X74"/>
    <mergeCell ref="Y74:Y74"/>
    <mergeCell ref="Z74:Z74"/>
    <mergeCell ref="AA74:AA74"/>
    <mergeCell ref="AB74:AB74"/>
    <mergeCell ref="AC74:AC74"/>
    <mergeCell ref="AD74:AD74"/>
    <mergeCell ref="AE74:AE74"/>
    <mergeCell ref="AF74:AF74"/>
    <mergeCell ref="A75:A75"/>
    <mergeCell ref="B75:B75"/>
    <mergeCell ref="C75:C75"/>
    <mergeCell ref="F75:F75"/>
    <mergeCell ref="G75:G75"/>
    <mergeCell ref="H75:H75"/>
    <mergeCell ref="M75:M75"/>
    <mergeCell ref="N75:N75"/>
    <mergeCell ref="O75:O75"/>
    <mergeCell ref="P75:P75"/>
    <mergeCell ref="Q75:Q75"/>
    <mergeCell ref="R75:R75"/>
    <mergeCell ref="S75:S75"/>
    <mergeCell ref="X75:X75"/>
    <mergeCell ref="Y75:Y75"/>
    <mergeCell ref="Z75:Z75"/>
    <mergeCell ref="AA75:AA75"/>
    <mergeCell ref="AB75:AB75"/>
    <mergeCell ref="AC75:AC75"/>
    <mergeCell ref="AD75:AD75"/>
    <mergeCell ref="AE75:AE75"/>
    <mergeCell ref="AF75:AF75"/>
    <mergeCell ref="A76:A76"/>
    <mergeCell ref="B76:B76"/>
    <mergeCell ref="C76:C76"/>
    <mergeCell ref="F76:F76"/>
    <mergeCell ref="G76:G76"/>
    <mergeCell ref="H76:H76"/>
    <mergeCell ref="M76:M76"/>
    <mergeCell ref="N76:N76"/>
    <mergeCell ref="O76:O76"/>
    <mergeCell ref="P76:P76"/>
    <mergeCell ref="Q76:Q76"/>
    <mergeCell ref="R76:R76"/>
    <mergeCell ref="S76:S76"/>
    <mergeCell ref="X76:X76"/>
    <mergeCell ref="Y76:Y76"/>
    <mergeCell ref="Z76:Z76"/>
    <mergeCell ref="AA76:AA76"/>
    <mergeCell ref="AB76:AB76"/>
    <mergeCell ref="AC76:AC76"/>
    <mergeCell ref="AD76:AD76"/>
    <mergeCell ref="AE76:AE76"/>
    <mergeCell ref="AF76:AF76"/>
    <mergeCell ref="A77:A77"/>
    <mergeCell ref="B77:B77"/>
    <mergeCell ref="C77:C77"/>
    <mergeCell ref="F77:F77"/>
    <mergeCell ref="G77:G77"/>
    <mergeCell ref="H77:H77"/>
    <mergeCell ref="M77:M77"/>
    <mergeCell ref="N77:N77"/>
    <mergeCell ref="O77:O77"/>
    <mergeCell ref="P77:P77"/>
    <mergeCell ref="Q77:Q77"/>
    <mergeCell ref="R77:R77"/>
    <mergeCell ref="S77:S77"/>
    <mergeCell ref="X77:X77"/>
    <mergeCell ref="Y77:Y77"/>
    <mergeCell ref="Z77:Z77"/>
    <mergeCell ref="AA77:AA77"/>
    <mergeCell ref="AB77:AB77"/>
    <mergeCell ref="AC77:AC77"/>
    <mergeCell ref="AD77:AD77"/>
    <mergeCell ref="AE77:AE77"/>
    <mergeCell ref="AF77:AF77"/>
    <mergeCell ref="A78:A78"/>
    <mergeCell ref="B78:B78"/>
    <mergeCell ref="C78:C78"/>
    <mergeCell ref="F78:F78"/>
    <mergeCell ref="G78:G78"/>
    <mergeCell ref="H78:H78"/>
    <mergeCell ref="M78:M78"/>
    <mergeCell ref="N78:N78"/>
    <mergeCell ref="O78:O78"/>
    <mergeCell ref="P78:P78"/>
    <mergeCell ref="Q78:Q78"/>
    <mergeCell ref="R78:R78"/>
    <mergeCell ref="S78:S78"/>
    <mergeCell ref="X78:X78"/>
    <mergeCell ref="Y78:Y78"/>
    <mergeCell ref="Z78:Z78"/>
    <mergeCell ref="AA78:AA78"/>
    <mergeCell ref="AB78:AB78"/>
    <mergeCell ref="AC78:AC78"/>
    <mergeCell ref="AD78:AD78"/>
    <mergeCell ref="AE78:AE78"/>
    <mergeCell ref="AF78:AF78"/>
    <mergeCell ref="A79:A79"/>
    <mergeCell ref="B79:B79"/>
    <mergeCell ref="C79:C79"/>
    <mergeCell ref="F79:F79"/>
    <mergeCell ref="G79:G79"/>
    <mergeCell ref="H79:H79"/>
    <mergeCell ref="M79:M79"/>
    <mergeCell ref="N79:N79"/>
    <mergeCell ref="O79:O79"/>
    <mergeCell ref="P79:P79"/>
    <mergeCell ref="Q79:Q79"/>
    <mergeCell ref="R79:R79"/>
    <mergeCell ref="S79:S79"/>
    <mergeCell ref="X79:X79"/>
    <mergeCell ref="Y79:Y79"/>
    <mergeCell ref="Z79:Z79"/>
    <mergeCell ref="AA79:AA79"/>
    <mergeCell ref="AB79:AB79"/>
    <mergeCell ref="AC79:AC79"/>
    <mergeCell ref="AD79:AD79"/>
    <mergeCell ref="AE79:AE79"/>
    <mergeCell ref="AF79:AF79"/>
    <mergeCell ref="A80:A80"/>
    <mergeCell ref="B80:B80"/>
    <mergeCell ref="C80:C80"/>
    <mergeCell ref="F80:F80"/>
    <mergeCell ref="G80:G80"/>
    <mergeCell ref="H80:H80"/>
    <mergeCell ref="M80:M80"/>
    <mergeCell ref="N80:N80"/>
    <mergeCell ref="O80:O80"/>
    <mergeCell ref="P80:P80"/>
    <mergeCell ref="Q80:Q80"/>
    <mergeCell ref="R80:R80"/>
    <mergeCell ref="S80:S80"/>
    <mergeCell ref="X80:X80"/>
    <mergeCell ref="Y80:Y80"/>
    <mergeCell ref="Z80:Z80"/>
    <mergeCell ref="AA80:AA80"/>
    <mergeCell ref="AB80:AB80"/>
    <mergeCell ref="AC80:AC80"/>
    <mergeCell ref="AD80:AD80"/>
    <mergeCell ref="AE80:AE80"/>
    <mergeCell ref="AF80:AF80"/>
    <mergeCell ref="A81:A81"/>
    <mergeCell ref="B81:B81"/>
    <mergeCell ref="C81:C81"/>
    <mergeCell ref="F81:F81"/>
    <mergeCell ref="G81:G81"/>
    <mergeCell ref="H81:H81"/>
    <mergeCell ref="M81:M81"/>
    <mergeCell ref="N81:N81"/>
    <mergeCell ref="O81:O81"/>
    <mergeCell ref="P81:P81"/>
    <mergeCell ref="Q81:Q81"/>
    <mergeCell ref="R81:R81"/>
    <mergeCell ref="S81:S81"/>
    <mergeCell ref="X81:X81"/>
    <mergeCell ref="Y81:Y81"/>
    <mergeCell ref="Z81:Z81"/>
    <mergeCell ref="AA81:AA81"/>
    <mergeCell ref="AB81:AB81"/>
    <mergeCell ref="AC81:AC81"/>
    <mergeCell ref="AD81:AD81"/>
    <mergeCell ref="AE81:AE81"/>
    <mergeCell ref="AF81:AF81"/>
    <mergeCell ref="A82:A82"/>
    <mergeCell ref="B82:B82"/>
    <mergeCell ref="C82:C82"/>
    <mergeCell ref="F82:F82"/>
    <mergeCell ref="G82:G82"/>
    <mergeCell ref="H82:H82"/>
    <mergeCell ref="M82:M82"/>
    <mergeCell ref="N82:N82"/>
    <mergeCell ref="O82:O82"/>
    <mergeCell ref="P82:P82"/>
    <mergeCell ref="Q82:Q82"/>
    <mergeCell ref="R82:R82"/>
    <mergeCell ref="S82:S82"/>
    <mergeCell ref="X82:X82"/>
    <mergeCell ref="Y82:Y82"/>
    <mergeCell ref="Z82:Z82"/>
    <mergeCell ref="AA82:AA82"/>
    <mergeCell ref="AB82:AB82"/>
    <mergeCell ref="AC82:AC82"/>
    <mergeCell ref="AD82:AD82"/>
    <mergeCell ref="AE82:AE82"/>
    <mergeCell ref="AF82:AF82"/>
    <mergeCell ref="A83:A83"/>
    <mergeCell ref="B83:B83"/>
    <mergeCell ref="C83:C83"/>
    <mergeCell ref="F83:F83"/>
    <mergeCell ref="G83:G83"/>
    <mergeCell ref="H83:H83"/>
    <mergeCell ref="M83:M83"/>
    <mergeCell ref="N83:N83"/>
    <mergeCell ref="O83:O83"/>
    <mergeCell ref="P83:P83"/>
    <mergeCell ref="Q83:Q83"/>
    <mergeCell ref="R83:R83"/>
    <mergeCell ref="S83:S83"/>
    <mergeCell ref="X83:X83"/>
    <mergeCell ref="Y83:Y83"/>
    <mergeCell ref="Z83:Z83"/>
    <mergeCell ref="AA83:AA83"/>
    <mergeCell ref="AB83:AB83"/>
    <mergeCell ref="AC83:AC83"/>
    <mergeCell ref="AD83:AD83"/>
    <mergeCell ref="AE83:AE83"/>
    <mergeCell ref="AF83:AF83"/>
    <mergeCell ref="A84:A84"/>
    <mergeCell ref="B84:B84"/>
    <mergeCell ref="C84:C84"/>
    <mergeCell ref="F84:F84"/>
    <mergeCell ref="G84:G84"/>
    <mergeCell ref="H84:H84"/>
    <mergeCell ref="M84:M84"/>
    <mergeCell ref="N84:N84"/>
    <mergeCell ref="O84:O84"/>
    <mergeCell ref="P84:P84"/>
    <mergeCell ref="Q84:Q84"/>
    <mergeCell ref="R84:R84"/>
    <mergeCell ref="S84:S84"/>
    <mergeCell ref="X84:X84"/>
    <mergeCell ref="Y84:Y84"/>
    <mergeCell ref="Z84:Z84"/>
    <mergeCell ref="AA84:AA84"/>
    <mergeCell ref="AB84:AB84"/>
    <mergeCell ref="AC84:AC84"/>
    <mergeCell ref="AD84:AD84"/>
    <mergeCell ref="AE84:AE84"/>
    <mergeCell ref="AF84:AF84"/>
    <mergeCell ref="A85:A85"/>
    <mergeCell ref="B85:B85"/>
    <mergeCell ref="C85:C85"/>
    <mergeCell ref="F85:F85"/>
    <mergeCell ref="G85:G85"/>
    <mergeCell ref="H85:H85"/>
    <mergeCell ref="M85:M85"/>
    <mergeCell ref="N85:N85"/>
    <mergeCell ref="O85:O85"/>
    <mergeCell ref="P85:P85"/>
    <mergeCell ref="Q85:Q85"/>
    <mergeCell ref="R85:R85"/>
    <mergeCell ref="S85:S85"/>
    <mergeCell ref="X85:X85"/>
    <mergeCell ref="Y85:Y85"/>
    <mergeCell ref="Z85:Z85"/>
    <mergeCell ref="AA85:AA85"/>
    <mergeCell ref="AB85:AB85"/>
    <mergeCell ref="AC85:AC85"/>
    <mergeCell ref="AD85:AD85"/>
    <mergeCell ref="AE85:AE85"/>
    <mergeCell ref="AF85:AF85"/>
    <mergeCell ref="A86:A86"/>
    <mergeCell ref="B86:B86"/>
    <mergeCell ref="C86:C86"/>
    <mergeCell ref="F86:F86"/>
    <mergeCell ref="G86:G86"/>
    <mergeCell ref="H86:H86"/>
    <mergeCell ref="M86:M86"/>
    <mergeCell ref="N86:N86"/>
    <mergeCell ref="O86:O86"/>
    <mergeCell ref="P86:P86"/>
    <mergeCell ref="Q86:Q86"/>
    <mergeCell ref="R86:R86"/>
    <mergeCell ref="S86:S86"/>
    <mergeCell ref="X86:X86"/>
    <mergeCell ref="Y86:Y86"/>
    <mergeCell ref="Z86:Z86"/>
    <mergeCell ref="AA86:AA86"/>
    <mergeCell ref="AB86:AB86"/>
    <mergeCell ref="AC86:AC86"/>
    <mergeCell ref="AD86:AD86"/>
    <mergeCell ref="AE86:AE86"/>
    <mergeCell ref="AF86:AF86"/>
    <mergeCell ref="A87:A87"/>
    <mergeCell ref="B87:B87"/>
    <mergeCell ref="C87:C87"/>
    <mergeCell ref="F87:F87"/>
    <mergeCell ref="G87:G87"/>
    <mergeCell ref="H87:H87"/>
    <mergeCell ref="M87:M87"/>
    <mergeCell ref="N87:N87"/>
    <mergeCell ref="O87:O87"/>
    <mergeCell ref="P87:P87"/>
    <mergeCell ref="Q87:Q87"/>
    <mergeCell ref="R87:R87"/>
    <mergeCell ref="S87:S87"/>
    <mergeCell ref="X87:X87"/>
    <mergeCell ref="Y87:Y87"/>
    <mergeCell ref="Z87:Z87"/>
    <mergeCell ref="AA87:AA87"/>
    <mergeCell ref="AB87:AB87"/>
    <mergeCell ref="AC87:AC87"/>
    <mergeCell ref="AD87:AD87"/>
    <mergeCell ref="AE87:AE87"/>
    <mergeCell ref="AF87:AF87"/>
    <mergeCell ref="A88:A88"/>
    <mergeCell ref="B88:B88"/>
    <mergeCell ref="C88:C88"/>
    <mergeCell ref="F88:F88"/>
    <mergeCell ref="G88:G88"/>
    <mergeCell ref="H88:H88"/>
    <mergeCell ref="M88:M88"/>
    <mergeCell ref="N88:N88"/>
    <mergeCell ref="O88:O88"/>
    <mergeCell ref="P88:P88"/>
    <mergeCell ref="Q88:Q88"/>
    <mergeCell ref="R88:R88"/>
    <mergeCell ref="S88:S88"/>
    <mergeCell ref="X88:X88"/>
    <mergeCell ref="Y88:Y88"/>
    <mergeCell ref="Z88:Z88"/>
    <mergeCell ref="AA88:AA88"/>
    <mergeCell ref="AB88:AB88"/>
    <mergeCell ref="AC88:AC88"/>
    <mergeCell ref="AD88:AD88"/>
    <mergeCell ref="AE88:AE88"/>
    <mergeCell ref="AF88:AF88"/>
    <mergeCell ref="A89:A89"/>
    <mergeCell ref="B89:B89"/>
    <mergeCell ref="C89:C89"/>
    <mergeCell ref="F89:F89"/>
    <mergeCell ref="G89:G89"/>
    <mergeCell ref="H89:H89"/>
    <mergeCell ref="M89:M89"/>
    <mergeCell ref="N89:N89"/>
    <mergeCell ref="O89:O89"/>
    <mergeCell ref="P89:P89"/>
    <mergeCell ref="Q89:Q89"/>
    <mergeCell ref="R89:R89"/>
    <mergeCell ref="S89:S89"/>
    <mergeCell ref="X89:X89"/>
    <mergeCell ref="Y89:Y89"/>
    <mergeCell ref="Z89:Z89"/>
    <mergeCell ref="AA89:AA89"/>
    <mergeCell ref="AB89:AB89"/>
    <mergeCell ref="AC89:AC89"/>
    <mergeCell ref="AD89:AD89"/>
    <mergeCell ref="AE89:AE89"/>
    <mergeCell ref="AF89:AF89"/>
    <mergeCell ref="A90:A90"/>
    <mergeCell ref="B90:B90"/>
    <mergeCell ref="C90:C90"/>
    <mergeCell ref="F90:F90"/>
    <mergeCell ref="G90:G90"/>
    <mergeCell ref="H90:H90"/>
    <mergeCell ref="M90:M90"/>
    <mergeCell ref="N90:N90"/>
    <mergeCell ref="O90:O90"/>
    <mergeCell ref="P90:P90"/>
    <mergeCell ref="Q90:Q90"/>
    <mergeCell ref="R90:R90"/>
    <mergeCell ref="S90:S90"/>
    <mergeCell ref="X90:X90"/>
    <mergeCell ref="Y90:Y90"/>
    <mergeCell ref="Z90:Z90"/>
    <mergeCell ref="AA90:AA90"/>
    <mergeCell ref="AB90:AB90"/>
    <mergeCell ref="AC90:AC90"/>
    <mergeCell ref="AD90:AD90"/>
    <mergeCell ref="AE90:AE90"/>
    <mergeCell ref="AF90:AF90"/>
    <mergeCell ref="A91:A91"/>
    <mergeCell ref="B91:B91"/>
    <mergeCell ref="C91:C91"/>
    <mergeCell ref="F91:F91"/>
    <mergeCell ref="G91:G91"/>
    <mergeCell ref="H91:H91"/>
    <mergeCell ref="M91:M91"/>
    <mergeCell ref="N91:N91"/>
    <mergeCell ref="O91:O91"/>
    <mergeCell ref="P91:P91"/>
    <mergeCell ref="Q91:Q91"/>
    <mergeCell ref="R91:R91"/>
    <mergeCell ref="S91:S91"/>
    <mergeCell ref="X91:X91"/>
    <mergeCell ref="Y91:Y91"/>
    <mergeCell ref="Z91:Z91"/>
    <mergeCell ref="AA91:AA91"/>
    <mergeCell ref="AB91:AB91"/>
    <mergeCell ref="AC91:AC91"/>
    <mergeCell ref="AD91:AD91"/>
    <mergeCell ref="AE91:AE91"/>
    <mergeCell ref="AF91:AF91"/>
    <mergeCell ref="A92:A92"/>
    <mergeCell ref="B92:B92"/>
    <mergeCell ref="C92:C92"/>
    <mergeCell ref="F92:F92"/>
    <mergeCell ref="G92:G92"/>
    <mergeCell ref="H92:H92"/>
    <mergeCell ref="M92:M92"/>
    <mergeCell ref="N92:N92"/>
    <mergeCell ref="O92:O92"/>
    <mergeCell ref="P92:P92"/>
    <mergeCell ref="Q92:Q92"/>
    <mergeCell ref="R92:R92"/>
    <mergeCell ref="S92:S92"/>
    <mergeCell ref="X92:X92"/>
    <mergeCell ref="Y92:Y92"/>
    <mergeCell ref="Z92:Z92"/>
    <mergeCell ref="AA92:AA92"/>
    <mergeCell ref="AB92:AB92"/>
    <mergeCell ref="AC92:AC92"/>
    <mergeCell ref="AD92:AD92"/>
    <mergeCell ref="AE92:AE92"/>
    <mergeCell ref="AF92:AF92"/>
    <mergeCell ref="A93:A93"/>
    <mergeCell ref="B93:B93"/>
    <mergeCell ref="C93:C93"/>
    <mergeCell ref="F93:F93"/>
    <mergeCell ref="G93:G93"/>
    <mergeCell ref="H93:H93"/>
    <mergeCell ref="M93:M93"/>
    <mergeCell ref="N93:N93"/>
    <mergeCell ref="O93:O93"/>
    <mergeCell ref="P93:P93"/>
    <mergeCell ref="Q93:Q93"/>
    <mergeCell ref="R93:R93"/>
    <mergeCell ref="S93:S93"/>
    <mergeCell ref="X93:X93"/>
    <mergeCell ref="Y93:Y93"/>
    <mergeCell ref="Z93:Z93"/>
    <mergeCell ref="AA93:AA93"/>
    <mergeCell ref="AB93:AB93"/>
    <mergeCell ref="AC93:AC93"/>
    <mergeCell ref="AD93:AD93"/>
    <mergeCell ref="AE93:AE93"/>
    <mergeCell ref="AF93:AF93"/>
    <mergeCell ref="A94:A94"/>
    <mergeCell ref="B94:B94"/>
    <mergeCell ref="C94:C94"/>
    <mergeCell ref="F94:F94"/>
    <mergeCell ref="G94:G94"/>
    <mergeCell ref="H94:H94"/>
    <mergeCell ref="M94:M94"/>
    <mergeCell ref="N94:N94"/>
    <mergeCell ref="O94:O94"/>
    <mergeCell ref="P94:P94"/>
    <mergeCell ref="Q94:Q94"/>
    <mergeCell ref="R94:R94"/>
    <mergeCell ref="S94:S94"/>
    <mergeCell ref="X94:X94"/>
    <mergeCell ref="Y94:Y94"/>
    <mergeCell ref="Z94:Z94"/>
    <mergeCell ref="AA94:AA94"/>
    <mergeCell ref="AB94:AB94"/>
    <mergeCell ref="AC94:AC94"/>
    <mergeCell ref="AD94:AD94"/>
    <mergeCell ref="AE94:AE94"/>
    <mergeCell ref="AF94:AF94"/>
    <mergeCell ref="A95:A95"/>
    <mergeCell ref="B95:B95"/>
    <mergeCell ref="C95:C95"/>
    <mergeCell ref="F95:F95"/>
    <mergeCell ref="G95:G95"/>
    <mergeCell ref="H95:H95"/>
    <mergeCell ref="M95:M95"/>
    <mergeCell ref="N95:N95"/>
    <mergeCell ref="O95:O95"/>
    <mergeCell ref="P95:P95"/>
    <mergeCell ref="Q95:Q95"/>
    <mergeCell ref="R95:R95"/>
    <mergeCell ref="S95:S95"/>
    <mergeCell ref="X95:X95"/>
    <mergeCell ref="Y95:Y95"/>
    <mergeCell ref="Z95:Z95"/>
    <mergeCell ref="AA95:AA95"/>
    <mergeCell ref="AB95:AB95"/>
    <mergeCell ref="AC95:AC95"/>
    <mergeCell ref="AD95:AD95"/>
    <mergeCell ref="AE95:AE95"/>
    <mergeCell ref="AF95:AF95"/>
    <mergeCell ref="A96:A96"/>
    <mergeCell ref="B96:B96"/>
    <mergeCell ref="C96:C96"/>
    <mergeCell ref="F96:F96"/>
    <mergeCell ref="G96:G96"/>
    <mergeCell ref="H96:H96"/>
    <mergeCell ref="M96:M96"/>
    <mergeCell ref="N96:N96"/>
    <mergeCell ref="O96:O96"/>
    <mergeCell ref="P96:P96"/>
    <mergeCell ref="Q96:Q96"/>
    <mergeCell ref="R96:R96"/>
    <mergeCell ref="S96:S96"/>
    <mergeCell ref="X96:X96"/>
    <mergeCell ref="Y96:Y96"/>
    <mergeCell ref="Z96:Z96"/>
    <mergeCell ref="AA96:AA96"/>
    <mergeCell ref="AB96:AB96"/>
    <mergeCell ref="AC96:AC96"/>
    <mergeCell ref="AD96:AD96"/>
    <mergeCell ref="AE96:AE96"/>
    <mergeCell ref="AF96:AF96"/>
    <mergeCell ref="A97:A97"/>
    <mergeCell ref="B97:B97"/>
    <mergeCell ref="C97:C97"/>
    <mergeCell ref="F97:F97"/>
    <mergeCell ref="G97:G97"/>
    <mergeCell ref="H97:H97"/>
    <mergeCell ref="M97:M97"/>
    <mergeCell ref="N97:N97"/>
    <mergeCell ref="O97:O97"/>
    <mergeCell ref="P97:P97"/>
    <mergeCell ref="Q97:Q97"/>
    <mergeCell ref="R97:R97"/>
    <mergeCell ref="S97:S97"/>
    <mergeCell ref="X97:X97"/>
    <mergeCell ref="Y97:Y97"/>
    <mergeCell ref="Z97:Z97"/>
    <mergeCell ref="AA97:AA97"/>
    <mergeCell ref="AB97:AB97"/>
    <mergeCell ref="AC97:AC97"/>
    <mergeCell ref="AD97:AD97"/>
    <mergeCell ref="AE97:AE97"/>
    <mergeCell ref="AF97:AF97"/>
    <mergeCell ref="A98:A98"/>
    <mergeCell ref="B98:B98"/>
    <mergeCell ref="C98:C98"/>
    <mergeCell ref="F98:F98"/>
    <mergeCell ref="G98:G98"/>
    <mergeCell ref="H98:H98"/>
    <mergeCell ref="M98:M98"/>
    <mergeCell ref="N98:N98"/>
    <mergeCell ref="O98:O98"/>
    <mergeCell ref="P98:P98"/>
    <mergeCell ref="Q98:Q98"/>
    <mergeCell ref="R98:R98"/>
    <mergeCell ref="S98:S98"/>
    <mergeCell ref="X98:X98"/>
    <mergeCell ref="Y98:Y98"/>
    <mergeCell ref="Z98:Z98"/>
    <mergeCell ref="AA98:AA98"/>
    <mergeCell ref="AB98:AB98"/>
    <mergeCell ref="AC98:AC98"/>
    <mergeCell ref="AD98:AD98"/>
    <mergeCell ref="AE98:AE98"/>
    <mergeCell ref="AF98:AF98"/>
    <mergeCell ref="A99:A99"/>
    <mergeCell ref="B99:B99"/>
    <mergeCell ref="C99:C99"/>
    <mergeCell ref="F99:F99"/>
    <mergeCell ref="G99:G99"/>
    <mergeCell ref="H99:H99"/>
    <mergeCell ref="M99:M99"/>
    <mergeCell ref="N99:N99"/>
    <mergeCell ref="O99:O99"/>
    <mergeCell ref="P99:P99"/>
    <mergeCell ref="Q99:Q99"/>
    <mergeCell ref="R99:R99"/>
    <mergeCell ref="S99:S99"/>
    <mergeCell ref="X99:X99"/>
    <mergeCell ref="Y99:Y99"/>
    <mergeCell ref="Z99:Z99"/>
    <mergeCell ref="AA99:AA99"/>
    <mergeCell ref="AB99:AB99"/>
    <mergeCell ref="AC99:AC99"/>
    <mergeCell ref="AD99:AD99"/>
    <mergeCell ref="AE99:AE99"/>
    <mergeCell ref="AF99:AF99"/>
    <mergeCell ref="A100:A100"/>
    <mergeCell ref="B100:B100"/>
    <mergeCell ref="C100:C100"/>
    <mergeCell ref="F100:F100"/>
    <mergeCell ref="G100:G100"/>
    <mergeCell ref="H100:H100"/>
    <mergeCell ref="M100:M100"/>
    <mergeCell ref="N100:N100"/>
    <mergeCell ref="O100:O100"/>
    <mergeCell ref="P100:P100"/>
    <mergeCell ref="Q100:Q100"/>
    <mergeCell ref="R100:R100"/>
    <mergeCell ref="S100:S100"/>
    <mergeCell ref="X100:X100"/>
    <mergeCell ref="Y100:Y100"/>
    <mergeCell ref="Z100:Z100"/>
    <mergeCell ref="AA100:AA100"/>
    <mergeCell ref="AB100:AB100"/>
    <mergeCell ref="AC100:AC100"/>
    <mergeCell ref="AD100:AD100"/>
    <mergeCell ref="AE100:AE100"/>
    <mergeCell ref="AF100:AF100"/>
    <mergeCell ref="A101:A101"/>
    <mergeCell ref="B101:B101"/>
    <mergeCell ref="C101:C101"/>
    <mergeCell ref="F101:F101"/>
    <mergeCell ref="G101:G101"/>
    <mergeCell ref="H101:H101"/>
    <mergeCell ref="M101:M101"/>
    <mergeCell ref="N101:N101"/>
    <mergeCell ref="O101:O101"/>
    <mergeCell ref="P101:P101"/>
    <mergeCell ref="Q101:Q101"/>
    <mergeCell ref="R101:R101"/>
    <mergeCell ref="S101:S101"/>
    <mergeCell ref="X101:X101"/>
    <mergeCell ref="Y101:Y101"/>
    <mergeCell ref="Z101:Z101"/>
    <mergeCell ref="AA101:AA101"/>
    <mergeCell ref="AB101:AB101"/>
    <mergeCell ref="AC101:AC101"/>
    <mergeCell ref="AD101:AD101"/>
    <mergeCell ref="AE101:AE101"/>
    <mergeCell ref="AF101:AF101"/>
    <mergeCell ref="A102:A102"/>
    <mergeCell ref="B102:B102"/>
    <mergeCell ref="C102:C102"/>
    <mergeCell ref="F102:F102"/>
    <mergeCell ref="G102:G102"/>
    <mergeCell ref="H102:H102"/>
    <mergeCell ref="M102:M102"/>
    <mergeCell ref="N102:N102"/>
    <mergeCell ref="O102:O102"/>
    <mergeCell ref="P102:P102"/>
    <mergeCell ref="Q102:Q102"/>
    <mergeCell ref="R102:R102"/>
    <mergeCell ref="S102:S102"/>
    <mergeCell ref="X102:X102"/>
    <mergeCell ref="Y102:Y102"/>
    <mergeCell ref="Z102:Z102"/>
    <mergeCell ref="AA102:AA102"/>
    <mergeCell ref="AB102:AB102"/>
    <mergeCell ref="AC102:AC102"/>
    <mergeCell ref="AD102:AD102"/>
    <mergeCell ref="AE102:AE102"/>
    <mergeCell ref="AF102:AF102"/>
    <mergeCell ref="A103:A103"/>
    <mergeCell ref="B103:B103"/>
    <mergeCell ref="C103:C103"/>
    <mergeCell ref="F103:F103"/>
    <mergeCell ref="G103:G103"/>
    <mergeCell ref="H103:H103"/>
    <mergeCell ref="M103:M103"/>
    <mergeCell ref="N103:N103"/>
    <mergeCell ref="O103:O103"/>
    <mergeCell ref="P103:P103"/>
    <mergeCell ref="Q103:Q103"/>
    <mergeCell ref="R103:R103"/>
    <mergeCell ref="S103:S103"/>
    <mergeCell ref="X103:X103"/>
    <mergeCell ref="Y103:Y103"/>
    <mergeCell ref="Z103:Z103"/>
    <mergeCell ref="AA103:AA103"/>
    <mergeCell ref="AB103:AB103"/>
    <mergeCell ref="AC103:AC103"/>
    <mergeCell ref="AD103:AD103"/>
    <mergeCell ref="AE103:AE103"/>
    <mergeCell ref="AF103:AF103"/>
    <mergeCell ref="A104:A104"/>
    <mergeCell ref="B104:B104"/>
    <mergeCell ref="C104:C104"/>
    <mergeCell ref="F104:F104"/>
    <mergeCell ref="G104:G104"/>
    <mergeCell ref="H104:H104"/>
    <mergeCell ref="M104:M104"/>
    <mergeCell ref="N104:N104"/>
    <mergeCell ref="O104:O104"/>
    <mergeCell ref="P104:P104"/>
    <mergeCell ref="Q104:Q104"/>
    <mergeCell ref="R104:R104"/>
    <mergeCell ref="S104:S104"/>
    <mergeCell ref="X104:X104"/>
    <mergeCell ref="Y104:Y104"/>
    <mergeCell ref="Z104:Z104"/>
    <mergeCell ref="AA104:AA104"/>
    <mergeCell ref="AB104:AB104"/>
    <mergeCell ref="AC104:AC104"/>
    <mergeCell ref="AD104:AD104"/>
    <mergeCell ref="AE104:AE104"/>
    <mergeCell ref="AF104:AF104"/>
    <mergeCell ref="A105:A105"/>
    <mergeCell ref="B105:B105"/>
    <mergeCell ref="C105:C105"/>
    <mergeCell ref="F105:F105"/>
    <mergeCell ref="G105:G105"/>
    <mergeCell ref="H105:H105"/>
    <mergeCell ref="M105:M105"/>
    <mergeCell ref="N105:N105"/>
    <mergeCell ref="O105:O105"/>
    <mergeCell ref="P105:P105"/>
    <mergeCell ref="Q105:Q105"/>
    <mergeCell ref="R105:R105"/>
    <mergeCell ref="S105:S105"/>
    <mergeCell ref="X105:X105"/>
    <mergeCell ref="Y105:Y105"/>
    <mergeCell ref="Z105:Z105"/>
    <mergeCell ref="AA105:AA105"/>
    <mergeCell ref="AB105:AB105"/>
    <mergeCell ref="AC105:AC105"/>
    <mergeCell ref="AD105:AD105"/>
    <mergeCell ref="AE105:AE105"/>
    <mergeCell ref="AF105:AF105"/>
    <mergeCell ref="A106:A106"/>
    <mergeCell ref="B106:B106"/>
    <mergeCell ref="C106:C106"/>
    <mergeCell ref="F106:F106"/>
    <mergeCell ref="G106:G106"/>
    <mergeCell ref="H106:H106"/>
    <mergeCell ref="M106:M106"/>
    <mergeCell ref="N106:N106"/>
    <mergeCell ref="O106:O106"/>
    <mergeCell ref="P106:P106"/>
    <mergeCell ref="Q106:Q106"/>
    <mergeCell ref="R106:R106"/>
    <mergeCell ref="S106:S106"/>
    <mergeCell ref="X106:X106"/>
    <mergeCell ref="Y106:Y106"/>
    <mergeCell ref="Z106:Z106"/>
    <mergeCell ref="AA106:AA106"/>
    <mergeCell ref="AB106:AB106"/>
    <mergeCell ref="AC106:AC106"/>
    <mergeCell ref="AD106:AD106"/>
    <mergeCell ref="AE106:AE106"/>
    <mergeCell ref="AF106:AF106"/>
    <mergeCell ref="A107:A107"/>
    <mergeCell ref="B107:B107"/>
    <mergeCell ref="C107:C107"/>
    <mergeCell ref="F107:F107"/>
    <mergeCell ref="G107:G107"/>
    <mergeCell ref="H107:H107"/>
    <mergeCell ref="M107:M107"/>
    <mergeCell ref="N107:N107"/>
    <mergeCell ref="O107:O107"/>
    <mergeCell ref="P107:P107"/>
    <mergeCell ref="Q107:Q107"/>
    <mergeCell ref="R107:R107"/>
    <mergeCell ref="S107:S107"/>
    <mergeCell ref="X107:X107"/>
    <mergeCell ref="Y107:Y107"/>
    <mergeCell ref="Z107:Z107"/>
    <mergeCell ref="AA107:AA107"/>
    <mergeCell ref="AB107:AB107"/>
    <mergeCell ref="AC107:AC107"/>
    <mergeCell ref="AD107:AD107"/>
    <mergeCell ref="AE107:AE107"/>
    <mergeCell ref="AF107:AF107"/>
    <mergeCell ref="A108:A108"/>
    <mergeCell ref="B108:B108"/>
    <mergeCell ref="C108:C108"/>
    <mergeCell ref="F108:F108"/>
    <mergeCell ref="G108:G108"/>
    <mergeCell ref="H108:H108"/>
    <mergeCell ref="M108:M108"/>
    <mergeCell ref="N108:N108"/>
    <mergeCell ref="O108:O108"/>
    <mergeCell ref="P108:P108"/>
    <mergeCell ref="Q108:Q108"/>
    <mergeCell ref="R108:R108"/>
    <mergeCell ref="S108:S108"/>
    <mergeCell ref="X108:X108"/>
    <mergeCell ref="Y108:Y108"/>
    <mergeCell ref="Z108:Z108"/>
    <mergeCell ref="AA108:AA108"/>
    <mergeCell ref="AB108:AB108"/>
    <mergeCell ref="AC108:AC108"/>
    <mergeCell ref="AD108:AD108"/>
    <mergeCell ref="AE108:AE108"/>
    <mergeCell ref="AF108:AF108"/>
    <mergeCell ref="A109:A109"/>
    <mergeCell ref="B109:B109"/>
    <mergeCell ref="C109:C109"/>
    <mergeCell ref="F109:F109"/>
    <mergeCell ref="G109:G109"/>
    <mergeCell ref="H109:H109"/>
    <mergeCell ref="M109:M109"/>
    <mergeCell ref="N109:N109"/>
    <mergeCell ref="O109:O109"/>
    <mergeCell ref="P109:P109"/>
    <mergeCell ref="Q109:Q109"/>
    <mergeCell ref="R109:R109"/>
    <mergeCell ref="S109:S109"/>
    <mergeCell ref="X109:X109"/>
    <mergeCell ref="Y109:Y109"/>
    <mergeCell ref="Z109:Z109"/>
    <mergeCell ref="AA109:AA109"/>
    <mergeCell ref="AB109:AB109"/>
    <mergeCell ref="AC109:AC109"/>
    <mergeCell ref="AD109:AD109"/>
    <mergeCell ref="AE109:AE109"/>
    <mergeCell ref="AF109:AF109"/>
    <mergeCell ref="A110:A110"/>
    <mergeCell ref="B110:B110"/>
    <mergeCell ref="C110:C110"/>
    <mergeCell ref="F110:F110"/>
    <mergeCell ref="G110:G110"/>
    <mergeCell ref="H110:H110"/>
    <mergeCell ref="M110:M110"/>
    <mergeCell ref="N110:N110"/>
    <mergeCell ref="O110:O110"/>
    <mergeCell ref="P110:P110"/>
    <mergeCell ref="Q110:Q110"/>
    <mergeCell ref="R110:R110"/>
    <mergeCell ref="S110:S110"/>
    <mergeCell ref="X110:X110"/>
    <mergeCell ref="Y110:Y110"/>
    <mergeCell ref="Z110:Z110"/>
    <mergeCell ref="AA110:AA110"/>
    <mergeCell ref="AB110:AB110"/>
    <mergeCell ref="AC110:AC110"/>
    <mergeCell ref="AD110:AD110"/>
    <mergeCell ref="AE110:AE110"/>
    <mergeCell ref="AF110:AF110"/>
    <mergeCell ref="A111:A111"/>
    <mergeCell ref="B111:B111"/>
    <mergeCell ref="C111:C111"/>
    <mergeCell ref="F111:F111"/>
    <mergeCell ref="G111:G111"/>
    <mergeCell ref="H111:H111"/>
    <mergeCell ref="M111:M111"/>
    <mergeCell ref="N111:N111"/>
    <mergeCell ref="O111:O111"/>
    <mergeCell ref="P111:P111"/>
    <mergeCell ref="Q111:Q111"/>
    <mergeCell ref="R111:R111"/>
    <mergeCell ref="S111:S111"/>
    <mergeCell ref="X111:X111"/>
    <mergeCell ref="Y111:Y111"/>
    <mergeCell ref="Z111:Z111"/>
    <mergeCell ref="AA111:AA111"/>
    <mergeCell ref="AB111:AB111"/>
    <mergeCell ref="AC111:AC111"/>
    <mergeCell ref="AD111:AD111"/>
    <mergeCell ref="AE111:AE111"/>
    <mergeCell ref="AF111:AF111"/>
    <mergeCell ref="A112:A112"/>
    <mergeCell ref="B112:B112"/>
    <mergeCell ref="C112:C112"/>
    <mergeCell ref="F112:F112"/>
    <mergeCell ref="G112:G112"/>
    <mergeCell ref="H112:H112"/>
    <mergeCell ref="M112:M112"/>
    <mergeCell ref="N112:N112"/>
    <mergeCell ref="O112:O112"/>
    <mergeCell ref="P112:P112"/>
    <mergeCell ref="Q112:Q112"/>
    <mergeCell ref="R112:R112"/>
    <mergeCell ref="S112:S112"/>
    <mergeCell ref="X112:X112"/>
    <mergeCell ref="Y112:Y112"/>
    <mergeCell ref="Z112:Z112"/>
    <mergeCell ref="AA112:AA112"/>
    <mergeCell ref="AB112:AB112"/>
    <mergeCell ref="AC112:AC112"/>
    <mergeCell ref="AD112:AD112"/>
    <mergeCell ref="AE112:AE112"/>
    <mergeCell ref="AF112:AF112"/>
    <mergeCell ref="A113:A113"/>
    <mergeCell ref="B113:B113"/>
    <mergeCell ref="C113:C113"/>
    <mergeCell ref="F113:F113"/>
    <mergeCell ref="G113:G113"/>
    <mergeCell ref="H113:H113"/>
    <mergeCell ref="M113:M113"/>
    <mergeCell ref="N113:N113"/>
    <mergeCell ref="O113:O113"/>
    <mergeCell ref="P113:P113"/>
    <mergeCell ref="Q113:Q113"/>
    <mergeCell ref="R113:R113"/>
    <mergeCell ref="S113:S113"/>
    <mergeCell ref="X113:X113"/>
    <mergeCell ref="Y113:Y113"/>
    <mergeCell ref="Z113:Z113"/>
    <mergeCell ref="AA113:AA113"/>
    <mergeCell ref="AB113:AB113"/>
    <mergeCell ref="AC113:AC113"/>
    <mergeCell ref="AD113:AD113"/>
    <mergeCell ref="AE113:AE113"/>
    <mergeCell ref="AF113:AF113"/>
    <mergeCell ref="A114:A114"/>
    <mergeCell ref="B114:B114"/>
    <mergeCell ref="C114:C114"/>
    <mergeCell ref="F114:F114"/>
    <mergeCell ref="G114:G114"/>
    <mergeCell ref="H114:H114"/>
    <mergeCell ref="M114:M114"/>
    <mergeCell ref="N114:N114"/>
    <mergeCell ref="O114:O114"/>
    <mergeCell ref="P114:P114"/>
    <mergeCell ref="Q114:Q114"/>
    <mergeCell ref="R114:R114"/>
    <mergeCell ref="S114:S114"/>
    <mergeCell ref="X114:X114"/>
    <mergeCell ref="Y114:Y114"/>
    <mergeCell ref="Z114:Z114"/>
    <mergeCell ref="AA114:AA114"/>
    <mergeCell ref="AB114:AB114"/>
    <mergeCell ref="AC114:AC114"/>
    <mergeCell ref="AD114:AD114"/>
    <mergeCell ref="AE114:AE114"/>
    <mergeCell ref="AF114:AF114"/>
    <mergeCell ref="A115:A115"/>
    <mergeCell ref="B115:B115"/>
    <mergeCell ref="C115:C115"/>
    <mergeCell ref="F115:F115"/>
    <mergeCell ref="G115:G115"/>
    <mergeCell ref="H115:H115"/>
    <mergeCell ref="M115:M115"/>
    <mergeCell ref="N115:N115"/>
    <mergeCell ref="O115:O115"/>
    <mergeCell ref="P115:P115"/>
    <mergeCell ref="Q115:Q115"/>
    <mergeCell ref="R115:R115"/>
    <mergeCell ref="S115:S115"/>
    <mergeCell ref="X115:X115"/>
    <mergeCell ref="Y115:Y115"/>
    <mergeCell ref="Z115:Z115"/>
    <mergeCell ref="AA115:AA115"/>
    <mergeCell ref="AB115:AB115"/>
    <mergeCell ref="AC115:AC115"/>
    <mergeCell ref="AD115:AD115"/>
    <mergeCell ref="AE115:AE115"/>
    <mergeCell ref="AF115:AF115"/>
    <mergeCell ref="A116:A116"/>
    <mergeCell ref="B116:B116"/>
    <mergeCell ref="C116:C116"/>
    <mergeCell ref="F116:F116"/>
    <mergeCell ref="G116:G116"/>
    <mergeCell ref="H116:H116"/>
    <mergeCell ref="M116:M116"/>
    <mergeCell ref="N116:N116"/>
    <mergeCell ref="O116:O116"/>
    <mergeCell ref="P116:P116"/>
    <mergeCell ref="Q116:Q116"/>
    <mergeCell ref="R116:R116"/>
    <mergeCell ref="S116:S116"/>
    <mergeCell ref="X116:X116"/>
    <mergeCell ref="Y116:Y116"/>
    <mergeCell ref="Z116:Z116"/>
    <mergeCell ref="AA116:AA116"/>
    <mergeCell ref="AB116:AB116"/>
    <mergeCell ref="AC116:AC116"/>
    <mergeCell ref="AD116:AD116"/>
    <mergeCell ref="AE116:AE116"/>
    <mergeCell ref="AF116:AF116"/>
    <mergeCell ref="A117:A117"/>
    <mergeCell ref="B117:B117"/>
    <mergeCell ref="C117:C117"/>
    <mergeCell ref="F117:F117"/>
    <mergeCell ref="G117:G117"/>
    <mergeCell ref="H117:H117"/>
    <mergeCell ref="M117:M117"/>
    <mergeCell ref="N117:N117"/>
    <mergeCell ref="O117:O117"/>
    <mergeCell ref="P117:P117"/>
    <mergeCell ref="Q117:Q117"/>
    <mergeCell ref="R117:R117"/>
    <mergeCell ref="S117:S117"/>
    <mergeCell ref="X117:X117"/>
    <mergeCell ref="Y117:Y117"/>
    <mergeCell ref="Z117:Z117"/>
    <mergeCell ref="AA117:AA117"/>
    <mergeCell ref="AB117:AB117"/>
    <mergeCell ref="AC117:AC117"/>
    <mergeCell ref="AD117:AD117"/>
    <mergeCell ref="AE117:AE117"/>
    <mergeCell ref="AF117:AF117"/>
    <mergeCell ref="A118:A118"/>
    <mergeCell ref="B118:B118"/>
    <mergeCell ref="C118:C118"/>
    <mergeCell ref="F118:F118"/>
    <mergeCell ref="G118:G118"/>
    <mergeCell ref="H118:H118"/>
    <mergeCell ref="M118:M118"/>
    <mergeCell ref="N118:N118"/>
    <mergeCell ref="O118:O118"/>
    <mergeCell ref="P118:P118"/>
    <mergeCell ref="Q118:Q118"/>
    <mergeCell ref="R118:R118"/>
    <mergeCell ref="S118:S118"/>
    <mergeCell ref="X118:X118"/>
    <mergeCell ref="Y118:Y118"/>
    <mergeCell ref="Z118:Z118"/>
    <mergeCell ref="AA118:AA118"/>
    <mergeCell ref="AB118:AB118"/>
    <mergeCell ref="AC118:AC118"/>
    <mergeCell ref="AD118:AD118"/>
    <mergeCell ref="AE118:AE118"/>
    <mergeCell ref="AF118:AF118"/>
    <mergeCell ref="A119:A119"/>
    <mergeCell ref="B119:B119"/>
    <mergeCell ref="C119:C119"/>
    <mergeCell ref="F119:F119"/>
    <mergeCell ref="G119:G119"/>
    <mergeCell ref="H119:H119"/>
    <mergeCell ref="M119:M119"/>
    <mergeCell ref="N119:N119"/>
    <mergeCell ref="O119:O119"/>
    <mergeCell ref="P119:P119"/>
    <mergeCell ref="Q119:Q119"/>
    <mergeCell ref="R119:R119"/>
    <mergeCell ref="S119:S119"/>
    <mergeCell ref="X119:X119"/>
    <mergeCell ref="Y119:Y119"/>
    <mergeCell ref="Z119:Z119"/>
    <mergeCell ref="AA119:AA119"/>
    <mergeCell ref="AB119:AB119"/>
    <mergeCell ref="AC119:AC119"/>
    <mergeCell ref="AD119:AD119"/>
    <mergeCell ref="AE119:AE119"/>
    <mergeCell ref="AF119:AF119"/>
    <mergeCell ref="A120:A120"/>
    <mergeCell ref="B120:B120"/>
    <mergeCell ref="C120:C120"/>
    <mergeCell ref="F120:F120"/>
    <mergeCell ref="G120:G120"/>
    <mergeCell ref="H120:H120"/>
    <mergeCell ref="M120:M120"/>
    <mergeCell ref="N120:N120"/>
    <mergeCell ref="O120:O120"/>
    <mergeCell ref="P120:P120"/>
    <mergeCell ref="Q120:Q120"/>
    <mergeCell ref="R120:R120"/>
    <mergeCell ref="S120:S120"/>
    <mergeCell ref="X120:X120"/>
    <mergeCell ref="Y120:Y120"/>
    <mergeCell ref="Z120:Z120"/>
    <mergeCell ref="AA120:AA120"/>
    <mergeCell ref="AB120:AB120"/>
    <mergeCell ref="AC120:AC120"/>
    <mergeCell ref="AD120:AD120"/>
    <mergeCell ref="AE120:AE120"/>
    <mergeCell ref="AF120:AF120"/>
    <mergeCell ref="A121:A121"/>
    <mergeCell ref="B121:B121"/>
    <mergeCell ref="C121:C121"/>
    <mergeCell ref="F121:F121"/>
    <mergeCell ref="G121:G121"/>
    <mergeCell ref="H121:H121"/>
    <mergeCell ref="M121:M121"/>
    <mergeCell ref="N121:N121"/>
    <mergeCell ref="O121:O121"/>
    <mergeCell ref="P121:P121"/>
    <mergeCell ref="Q121:Q121"/>
    <mergeCell ref="R121:R121"/>
    <mergeCell ref="S121:S121"/>
    <mergeCell ref="X121:X121"/>
    <mergeCell ref="Y121:Y121"/>
    <mergeCell ref="Z121:Z121"/>
    <mergeCell ref="AA121:AA121"/>
    <mergeCell ref="AB121:AB121"/>
    <mergeCell ref="AC121:AC121"/>
    <mergeCell ref="AD121:AD121"/>
    <mergeCell ref="AE121:AE121"/>
    <mergeCell ref="AF121:AF121"/>
    <mergeCell ref="A122:A122"/>
    <mergeCell ref="B122:B122"/>
    <mergeCell ref="C122:C122"/>
    <mergeCell ref="F122:F122"/>
    <mergeCell ref="G122:G122"/>
    <mergeCell ref="H122:H122"/>
    <mergeCell ref="M122:M122"/>
    <mergeCell ref="N122:N122"/>
    <mergeCell ref="O122:O122"/>
    <mergeCell ref="P122:P122"/>
    <mergeCell ref="Q122:Q122"/>
    <mergeCell ref="R122:R122"/>
    <mergeCell ref="S122:S122"/>
    <mergeCell ref="X122:X122"/>
    <mergeCell ref="Y122:Y122"/>
    <mergeCell ref="Z122:Z122"/>
    <mergeCell ref="AA122:AA122"/>
    <mergeCell ref="AB122:AB122"/>
    <mergeCell ref="AC122:AC122"/>
    <mergeCell ref="AD122:AD122"/>
    <mergeCell ref="AE122:AE122"/>
    <mergeCell ref="AF122:AF122"/>
    <mergeCell ref="A123:A123"/>
    <mergeCell ref="B123:B123"/>
    <mergeCell ref="C123:C123"/>
    <mergeCell ref="F123:F123"/>
    <mergeCell ref="G123:G123"/>
    <mergeCell ref="H123:H123"/>
    <mergeCell ref="M123:M123"/>
    <mergeCell ref="N123:N123"/>
    <mergeCell ref="O123:O123"/>
    <mergeCell ref="P123:P123"/>
    <mergeCell ref="Q123:Q123"/>
    <mergeCell ref="R123:R123"/>
    <mergeCell ref="S123:S123"/>
    <mergeCell ref="X123:X123"/>
    <mergeCell ref="Y123:Y123"/>
    <mergeCell ref="Z123:Z123"/>
    <mergeCell ref="AA123:AA123"/>
    <mergeCell ref="AB123:AB123"/>
    <mergeCell ref="AC123:AC123"/>
    <mergeCell ref="AD123:AD123"/>
    <mergeCell ref="AE123:AE123"/>
    <mergeCell ref="AF123:AF123"/>
    <mergeCell ref="A124:A124"/>
    <mergeCell ref="B124:B124"/>
    <mergeCell ref="C124:C124"/>
    <mergeCell ref="F124:F124"/>
    <mergeCell ref="G124:G124"/>
    <mergeCell ref="H124:H124"/>
    <mergeCell ref="M124:M124"/>
    <mergeCell ref="N124:N124"/>
    <mergeCell ref="O124:O124"/>
    <mergeCell ref="P124:P124"/>
    <mergeCell ref="Q124:Q124"/>
    <mergeCell ref="R124:R124"/>
    <mergeCell ref="S124:S124"/>
    <mergeCell ref="X124:X124"/>
    <mergeCell ref="Y124:Y124"/>
    <mergeCell ref="Z124:Z124"/>
    <mergeCell ref="AA124:AA124"/>
    <mergeCell ref="AB124:AB124"/>
    <mergeCell ref="AC124:AC124"/>
    <mergeCell ref="AD124:AD124"/>
    <mergeCell ref="AE124:AE124"/>
    <mergeCell ref="AF124:AF124"/>
    <mergeCell ref="A125:A125"/>
    <mergeCell ref="B125:B125"/>
    <mergeCell ref="C125:C125"/>
    <mergeCell ref="F125:F125"/>
    <mergeCell ref="G125:G125"/>
    <mergeCell ref="H125:H125"/>
    <mergeCell ref="M125:M125"/>
    <mergeCell ref="N125:N125"/>
    <mergeCell ref="O125:O125"/>
    <mergeCell ref="P125:P125"/>
    <mergeCell ref="Q125:Q125"/>
    <mergeCell ref="R125:R125"/>
    <mergeCell ref="S125:S125"/>
    <mergeCell ref="X125:X125"/>
    <mergeCell ref="Y125:Y125"/>
    <mergeCell ref="Z125:Z125"/>
    <mergeCell ref="AA125:AA125"/>
    <mergeCell ref="AB125:AB125"/>
    <mergeCell ref="AC125:AC125"/>
    <mergeCell ref="AD125:AD125"/>
    <mergeCell ref="AE125:AE125"/>
    <mergeCell ref="AF125:AF125"/>
    <mergeCell ref="A126:A126"/>
    <mergeCell ref="B126:B126"/>
    <mergeCell ref="C126:C126"/>
    <mergeCell ref="F126:F126"/>
    <mergeCell ref="G126:G126"/>
    <mergeCell ref="H126:H126"/>
    <mergeCell ref="M126:M126"/>
    <mergeCell ref="N126:N126"/>
    <mergeCell ref="O126:O126"/>
    <mergeCell ref="P126:P126"/>
    <mergeCell ref="Q126:Q126"/>
    <mergeCell ref="R126:R126"/>
    <mergeCell ref="S126:S126"/>
    <mergeCell ref="X126:X126"/>
    <mergeCell ref="Y126:Y126"/>
    <mergeCell ref="Z126:Z126"/>
    <mergeCell ref="AA126:AA126"/>
    <mergeCell ref="AB126:AB126"/>
    <mergeCell ref="AC126:AC126"/>
    <mergeCell ref="AD126:AD126"/>
    <mergeCell ref="AE126:AE126"/>
    <mergeCell ref="AF126:AF126"/>
    <mergeCell ref="A127:A127"/>
    <mergeCell ref="B127:B127"/>
    <mergeCell ref="C127:C127"/>
    <mergeCell ref="F127:F127"/>
    <mergeCell ref="G127:G127"/>
    <mergeCell ref="H127:H127"/>
    <mergeCell ref="M127:M127"/>
    <mergeCell ref="N127:N127"/>
    <mergeCell ref="O127:O127"/>
    <mergeCell ref="P127:P127"/>
    <mergeCell ref="Q127:Q127"/>
    <mergeCell ref="R127:R127"/>
    <mergeCell ref="S127:S127"/>
    <mergeCell ref="X127:X127"/>
    <mergeCell ref="Y127:Y127"/>
    <mergeCell ref="Z127:Z127"/>
    <mergeCell ref="AA127:AA127"/>
    <mergeCell ref="AB127:AB127"/>
    <mergeCell ref="AC127:AC127"/>
    <mergeCell ref="AD127:AD127"/>
    <mergeCell ref="AE127:AE127"/>
    <mergeCell ref="AF127:AF127"/>
    <mergeCell ref="A128:A128"/>
    <mergeCell ref="B128:B128"/>
    <mergeCell ref="C128:C128"/>
    <mergeCell ref="F128:F128"/>
    <mergeCell ref="G128:G128"/>
    <mergeCell ref="H128:H128"/>
    <mergeCell ref="M128:M128"/>
    <mergeCell ref="N128:N128"/>
    <mergeCell ref="O128:O128"/>
    <mergeCell ref="P128:P128"/>
    <mergeCell ref="Q128:Q128"/>
    <mergeCell ref="R128:R128"/>
    <mergeCell ref="S128:S128"/>
    <mergeCell ref="X128:X128"/>
    <mergeCell ref="Y128:Y128"/>
    <mergeCell ref="Z128:Z128"/>
    <mergeCell ref="AA128:AA128"/>
    <mergeCell ref="AB128:AB128"/>
    <mergeCell ref="AC128:AC128"/>
    <mergeCell ref="AD128:AD128"/>
    <mergeCell ref="AE128:AE128"/>
    <mergeCell ref="AF128:AF128"/>
    <mergeCell ref="A129:A129"/>
    <mergeCell ref="B129:B129"/>
    <mergeCell ref="C129:C129"/>
    <mergeCell ref="F129:F129"/>
    <mergeCell ref="G129:G129"/>
    <mergeCell ref="H129:H129"/>
    <mergeCell ref="M129:M129"/>
    <mergeCell ref="N129:N129"/>
    <mergeCell ref="O129:O129"/>
    <mergeCell ref="P129:P129"/>
    <mergeCell ref="Q129:Q129"/>
    <mergeCell ref="R129:R129"/>
    <mergeCell ref="S129:S129"/>
    <mergeCell ref="X129:X129"/>
    <mergeCell ref="Y129:Y129"/>
    <mergeCell ref="Z129:Z129"/>
    <mergeCell ref="AA129:AA129"/>
    <mergeCell ref="AB129:AB129"/>
    <mergeCell ref="AC129:AC129"/>
    <mergeCell ref="AD129:AD129"/>
    <mergeCell ref="AE129:AE129"/>
    <mergeCell ref="AF129:AF129"/>
    <mergeCell ref="A130:A130"/>
    <mergeCell ref="B130:B130"/>
    <mergeCell ref="C130:C130"/>
    <mergeCell ref="F130:F130"/>
    <mergeCell ref="G130:G130"/>
    <mergeCell ref="H130:H130"/>
    <mergeCell ref="M130:M130"/>
    <mergeCell ref="N130:N130"/>
    <mergeCell ref="O130:O130"/>
    <mergeCell ref="P130:P130"/>
    <mergeCell ref="Q130:Q130"/>
    <mergeCell ref="R130:R130"/>
    <mergeCell ref="S130:S130"/>
    <mergeCell ref="X130:X130"/>
    <mergeCell ref="Y130:Y130"/>
    <mergeCell ref="Z130:Z130"/>
    <mergeCell ref="AA130:AA130"/>
    <mergeCell ref="AB130:AB130"/>
    <mergeCell ref="AC130:AC130"/>
    <mergeCell ref="AD130:AD130"/>
    <mergeCell ref="AE130:AE130"/>
    <mergeCell ref="AF130:AF130"/>
    <mergeCell ref="A131:A131"/>
    <mergeCell ref="B131:B131"/>
    <mergeCell ref="C131:C131"/>
    <mergeCell ref="F131:F131"/>
    <mergeCell ref="G131:G131"/>
    <mergeCell ref="H131:H131"/>
    <mergeCell ref="M131:M131"/>
    <mergeCell ref="N131:N131"/>
    <mergeCell ref="O131:O131"/>
    <mergeCell ref="P131:P131"/>
    <mergeCell ref="Q131:Q131"/>
    <mergeCell ref="R131:R131"/>
    <mergeCell ref="S131:S131"/>
    <mergeCell ref="X131:X131"/>
    <mergeCell ref="Y131:Y131"/>
    <mergeCell ref="Z131:Z131"/>
    <mergeCell ref="AA131:AA131"/>
    <mergeCell ref="AB131:AB131"/>
    <mergeCell ref="AC131:AC131"/>
    <mergeCell ref="AD131:AD131"/>
    <mergeCell ref="AE131:AE131"/>
    <mergeCell ref="AF131:AF131"/>
    <mergeCell ref="A132:A132"/>
    <mergeCell ref="B132:B132"/>
    <mergeCell ref="C132:C132"/>
    <mergeCell ref="F132:F132"/>
    <mergeCell ref="G132:G132"/>
    <mergeCell ref="H132:H132"/>
    <mergeCell ref="M132:M132"/>
    <mergeCell ref="N132:N132"/>
    <mergeCell ref="O132:O132"/>
    <mergeCell ref="P132:P132"/>
    <mergeCell ref="Q132:Q132"/>
    <mergeCell ref="R132:R132"/>
    <mergeCell ref="S132:S132"/>
    <mergeCell ref="X132:X132"/>
    <mergeCell ref="Y132:Y132"/>
    <mergeCell ref="Z132:Z132"/>
    <mergeCell ref="AA132:AA132"/>
    <mergeCell ref="AB132:AB132"/>
    <mergeCell ref="AC132:AC132"/>
    <mergeCell ref="AD132:AD132"/>
    <mergeCell ref="AE132:AE132"/>
    <mergeCell ref="AF132:AF132"/>
    <mergeCell ref="A133:A133"/>
    <mergeCell ref="B133:B133"/>
    <mergeCell ref="C133:C133"/>
    <mergeCell ref="F133:F133"/>
    <mergeCell ref="G133:G133"/>
    <mergeCell ref="H133:H133"/>
    <mergeCell ref="M133:M133"/>
    <mergeCell ref="N133:N133"/>
    <mergeCell ref="O133:O133"/>
    <mergeCell ref="P133:P133"/>
    <mergeCell ref="Q133:Q133"/>
    <mergeCell ref="R133:R133"/>
    <mergeCell ref="S133:S133"/>
    <mergeCell ref="X133:X133"/>
    <mergeCell ref="Y133:Y133"/>
    <mergeCell ref="Z133:Z133"/>
    <mergeCell ref="AA133:AA133"/>
    <mergeCell ref="AB133:AB133"/>
    <mergeCell ref="AC133:AC133"/>
    <mergeCell ref="AD133:AD133"/>
    <mergeCell ref="AE133:AE133"/>
    <mergeCell ref="AF133:AF133"/>
    <mergeCell ref="A134:A134"/>
    <mergeCell ref="B134:B134"/>
    <mergeCell ref="C134:C134"/>
    <mergeCell ref="F134:F134"/>
    <mergeCell ref="G134:G134"/>
    <mergeCell ref="H134:H134"/>
    <mergeCell ref="M134:M134"/>
    <mergeCell ref="N134:N134"/>
    <mergeCell ref="O134:O134"/>
    <mergeCell ref="P134:P134"/>
    <mergeCell ref="Q134:Q134"/>
    <mergeCell ref="R134:R134"/>
    <mergeCell ref="S134:S134"/>
    <mergeCell ref="X134:X134"/>
    <mergeCell ref="Y134:Y134"/>
    <mergeCell ref="Z134:Z134"/>
    <mergeCell ref="AA134:AA134"/>
    <mergeCell ref="AB134:AB134"/>
    <mergeCell ref="AC134:AC134"/>
    <mergeCell ref="AD134:AD134"/>
    <mergeCell ref="AE134:AE134"/>
    <mergeCell ref="AF134:AF134"/>
    <mergeCell ref="A135:A135"/>
    <mergeCell ref="B135:B135"/>
    <mergeCell ref="C135:C135"/>
    <mergeCell ref="F135:F135"/>
    <mergeCell ref="G135:G135"/>
    <mergeCell ref="H135:H135"/>
    <mergeCell ref="M135:M135"/>
    <mergeCell ref="N135:N135"/>
    <mergeCell ref="O135:O135"/>
    <mergeCell ref="P135:P135"/>
    <mergeCell ref="Q135:Q135"/>
    <mergeCell ref="R135:R135"/>
    <mergeCell ref="S135:S135"/>
    <mergeCell ref="X135:X135"/>
    <mergeCell ref="Y135:Y135"/>
    <mergeCell ref="Z135:Z135"/>
    <mergeCell ref="AA135:AA135"/>
    <mergeCell ref="AB135:AB135"/>
    <mergeCell ref="AC135:AC135"/>
    <mergeCell ref="AD135:AD135"/>
    <mergeCell ref="AE135:AE135"/>
    <mergeCell ref="AF135:AF135"/>
    <mergeCell ref="A136:A136"/>
    <mergeCell ref="B136:B136"/>
    <mergeCell ref="C136:C136"/>
    <mergeCell ref="F136:F136"/>
    <mergeCell ref="G136:G136"/>
    <mergeCell ref="H136:H136"/>
    <mergeCell ref="M136:M136"/>
    <mergeCell ref="N136:N136"/>
    <mergeCell ref="O136:O136"/>
    <mergeCell ref="P136:P136"/>
    <mergeCell ref="Q136:Q136"/>
    <mergeCell ref="R136:R136"/>
    <mergeCell ref="S136:S136"/>
    <mergeCell ref="X136:X136"/>
    <mergeCell ref="Y136:Y136"/>
    <mergeCell ref="Z136:Z136"/>
    <mergeCell ref="AA136:AA136"/>
    <mergeCell ref="AB136:AB136"/>
    <mergeCell ref="AC136:AC136"/>
    <mergeCell ref="AD136:AD136"/>
    <mergeCell ref="AE136:AE136"/>
    <mergeCell ref="AF136:AF136"/>
    <mergeCell ref="A137:A137"/>
    <mergeCell ref="B137:B137"/>
    <mergeCell ref="C137:C137"/>
    <mergeCell ref="F137:F137"/>
    <mergeCell ref="G137:G137"/>
    <mergeCell ref="H137:H137"/>
    <mergeCell ref="M137:M137"/>
    <mergeCell ref="N137:N137"/>
    <mergeCell ref="O137:O137"/>
    <mergeCell ref="P137:P137"/>
    <mergeCell ref="Q137:Q137"/>
    <mergeCell ref="R137:R137"/>
    <mergeCell ref="S137:S137"/>
    <mergeCell ref="X137:X137"/>
    <mergeCell ref="Y137:Y137"/>
    <mergeCell ref="Z137:Z137"/>
    <mergeCell ref="AA137:AA137"/>
    <mergeCell ref="AB137:AB137"/>
    <mergeCell ref="AC137:AC137"/>
    <mergeCell ref="AD137:AD137"/>
    <mergeCell ref="AE137:AE137"/>
    <mergeCell ref="AF137:AF137"/>
    <mergeCell ref="A138:A138"/>
    <mergeCell ref="B138:B138"/>
    <mergeCell ref="C138:C138"/>
    <mergeCell ref="F138:F138"/>
    <mergeCell ref="G138:G138"/>
    <mergeCell ref="H138:H138"/>
    <mergeCell ref="M138:M138"/>
    <mergeCell ref="N138:N138"/>
    <mergeCell ref="O138:O138"/>
    <mergeCell ref="P138:P138"/>
    <mergeCell ref="Q138:Q138"/>
    <mergeCell ref="R138:R138"/>
    <mergeCell ref="S138:S138"/>
    <mergeCell ref="X138:X138"/>
    <mergeCell ref="Y138:Y138"/>
    <mergeCell ref="Z138:Z138"/>
    <mergeCell ref="AA138:AA138"/>
    <mergeCell ref="AB138:AB138"/>
    <mergeCell ref="AC138:AC138"/>
    <mergeCell ref="AD138:AD138"/>
    <mergeCell ref="AE138:AE138"/>
    <mergeCell ref="AF138:AF138"/>
    <mergeCell ref="A139:A139"/>
    <mergeCell ref="B139:B139"/>
    <mergeCell ref="C139:C139"/>
    <mergeCell ref="F139:F139"/>
    <mergeCell ref="G139:G139"/>
    <mergeCell ref="H139:H139"/>
    <mergeCell ref="M139:M139"/>
    <mergeCell ref="N139:N139"/>
    <mergeCell ref="O139:O139"/>
    <mergeCell ref="P139:P139"/>
    <mergeCell ref="Q139:Q139"/>
    <mergeCell ref="R139:R139"/>
    <mergeCell ref="S139:S139"/>
    <mergeCell ref="X139:X139"/>
    <mergeCell ref="Y139:Y139"/>
    <mergeCell ref="Z139:Z139"/>
    <mergeCell ref="AA139:AA139"/>
    <mergeCell ref="AB139:AB139"/>
    <mergeCell ref="AC139:AC139"/>
    <mergeCell ref="AD139:AD139"/>
    <mergeCell ref="AE139:AE139"/>
    <mergeCell ref="AF139:AF139"/>
    <mergeCell ref="A140:A140"/>
    <mergeCell ref="B140:B140"/>
    <mergeCell ref="C140:C140"/>
    <mergeCell ref="F140:F140"/>
    <mergeCell ref="G140:G140"/>
    <mergeCell ref="H140:H140"/>
    <mergeCell ref="M140:M140"/>
    <mergeCell ref="N140:N140"/>
    <mergeCell ref="O140:O140"/>
    <mergeCell ref="P140:P140"/>
    <mergeCell ref="Q140:Q140"/>
    <mergeCell ref="R140:R140"/>
    <mergeCell ref="S140:S140"/>
    <mergeCell ref="X140:X140"/>
    <mergeCell ref="Y140:Y140"/>
    <mergeCell ref="Z140:Z140"/>
    <mergeCell ref="AA140:AA140"/>
    <mergeCell ref="AB140:AB140"/>
    <mergeCell ref="AC140:AC140"/>
    <mergeCell ref="AD140:AD140"/>
    <mergeCell ref="AE140:AE140"/>
    <mergeCell ref="AF140:AF140"/>
    <mergeCell ref="A141:A141"/>
    <mergeCell ref="B141:B141"/>
    <mergeCell ref="C141:C141"/>
    <mergeCell ref="F141:F141"/>
    <mergeCell ref="G141:G141"/>
    <mergeCell ref="H141:H141"/>
    <mergeCell ref="M141:M141"/>
    <mergeCell ref="N141:N141"/>
    <mergeCell ref="O141:O141"/>
    <mergeCell ref="P141:P141"/>
    <mergeCell ref="Q141:Q141"/>
    <mergeCell ref="R141:R141"/>
    <mergeCell ref="S141:S141"/>
    <mergeCell ref="X141:X141"/>
    <mergeCell ref="Y141:Y141"/>
    <mergeCell ref="Z141:Z141"/>
    <mergeCell ref="AA141:AA141"/>
    <mergeCell ref="AB141:AB141"/>
    <mergeCell ref="AC141:AC141"/>
    <mergeCell ref="AD141:AD141"/>
    <mergeCell ref="AE141:AE141"/>
    <mergeCell ref="AF141:AF141"/>
    <mergeCell ref="A142:A142"/>
    <mergeCell ref="B142:B142"/>
    <mergeCell ref="C142:C142"/>
    <mergeCell ref="F142:F142"/>
    <mergeCell ref="G142:G142"/>
    <mergeCell ref="H142:H142"/>
    <mergeCell ref="M142:M142"/>
    <mergeCell ref="N142:N142"/>
    <mergeCell ref="O142:O142"/>
    <mergeCell ref="P142:P142"/>
    <mergeCell ref="Q142:Q142"/>
    <mergeCell ref="R142:R142"/>
    <mergeCell ref="S142:S142"/>
    <mergeCell ref="X142:X142"/>
    <mergeCell ref="Y142:Y142"/>
    <mergeCell ref="Z142:Z142"/>
    <mergeCell ref="AA142:AA142"/>
    <mergeCell ref="AB142:AB142"/>
    <mergeCell ref="AC142:AC142"/>
    <mergeCell ref="AD142:AD142"/>
    <mergeCell ref="AE142:AE142"/>
    <mergeCell ref="AF142:AF142"/>
    <mergeCell ref="A143:A143"/>
    <mergeCell ref="B143:B143"/>
    <mergeCell ref="C143:C143"/>
    <mergeCell ref="F143:F143"/>
    <mergeCell ref="G143:G143"/>
    <mergeCell ref="H143:H143"/>
    <mergeCell ref="M143:M143"/>
    <mergeCell ref="N143:N143"/>
    <mergeCell ref="O143:O143"/>
    <mergeCell ref="P143:P143"/>
    <mergeCell ref="Q143:Q143"/>
    <mergeCell ref="R143:R143"/>
    <mergeCell ref="S143:S143"/>
    <mergeCell ref="X143:X143"/>
    <mergeCell ref="Y143:Y143"/>
    <mergeCell ref="Z143:Z143"/>
    <mergeCell ref="AA143:AA143"/>
    <mergeCell ref="AB143:AB143"/>
    <mergeCell ref="AC143:AC143"/>
    <mergeCell ref="AD143:AD143"/>
    <mergeCell ref="AE143:AE143"/>
    <mergeCell ref="AF143:AF143"/>
    <mergeCell ref="A144:A144"/>
    <mergeCell ref="B144:B144"/>
    <mergeCell ref="C144:C144"/>
    <mergeCell ref="F144:F144"/>
    <mergeCell ref="G144:G144"/>
    <mergeCell ref="H144:H144"/>
    <mergeCell ref="M144:M144"/>
    <mergeCell ref="N144:N144"/>
    <mergeCell ref="O144:O144"/>
    <mergeCell ref="P144:P144"/>
    <mergeCell ref="Q144:Q144"/>
    <mergeCell ref="R144:R144"/>
    <mergeCell ref="S144:S144"/>
    <mergeCell ref="X144:X144"/>
    <mergeCell ref="Y144:Y144"/>
    <mergeCell ref="Z144:Z144"/>
    <mergeCell ref="AA144:AA144"/>
    <mergeCell ref="AB144:AB144"/>
    <mergeCell ref="AC144:AC144"/>
    <mergeCell ref="AD144:AD144"/>
    <mergeCell ref="AE144:AE144"/>
    <mergeCell ref="AF144:AF144"/>
    <mergeCell ref="A145:A145"/>
    <mergeCell ref="B145:B145"/>
    <mergeCell ref="C145:C145"/>
    <mergeCell ref="F145:F145"/>
    <mergeCell ref="G145:G145"/>
    <mergeCell ref="H145:H145"/>
    <mergeCell ref="M145:M145"/>
    <mergeCell ref="N145:N145"/>
    <mergeCell ref="O145:O145"/>
    <mergeCell ref="P145:P145"/>
    <mergeCell ref="Q145:Q145"/>
    <mergeCell ref="R145:R145"/>
    <mergeCell ref="S145:S145"/>
    <mergeCell ref="X145:X145"/>
    <mergeCell ref="Y145:Y145"/>
    <mergeCell ref="Z145:Z145"/>
    <mergeCell ref="AA145:AA145"/>
    <mergeCell ref="AB145:AB145"/>
    <mergeCell ref="AC145:AC145"/>
    <mergeCell ref="AD145:AD145"/>
    <mergeCell ref="AE145:AE145"/>
    <mergeCell ref="AF145:AF145"/>
    <mergeCell ref="A146:A146"/>
    <mergeCell ref="B146:B146"/>
    <mergeCell ref="C146:C146"/>
    <mergeCell ref="F146:F146"/>
    <mergeCell ref="G146:G146"/>
    <mergeCell ref="H146:H146"/>
    <mergeCell ref="M146:M146"/>
    <mergeCell ref="N146:N146"/>
    <mergeCell ref="O146:O146"/>
    <mergeCell ref="P146:P146"/>
    <mergeCell ref="Q146:Q146"/>
    <mergeCell ref="R146:R146"/>
    <mergeCell ref="S146:S146"/>
    <mergeCell ref="X146:X146"/>
    <mergeCell ref="Y146:Y146"/>
    <mergeCell ref="Z146:Z146"/>
    <mergeCell ref="AA146:AA146"/>
    <mergeCell ref="AB146:AB146"/>
    <mergeCell ref="AC146:AC146"/>
    <mergeCell ref="AD146:AD146"/>
    <mergeCell ref="AE146:AE146"/>
    <mergeCell ref="AF146:AF146"/>
    <mergeCell ref="A147:A147"/>
    <mergeCell ref="B147:B147"/>
    <mergeCell ref="C147:C147"/>
    <mergeCell ref="F147:F147"/>
    <mergeCell ref="G147:G147"/>
    <mergeCell ref="H147:H147"/>
    <mergeCell ref="M147:M147"/>
    <mergeCell ref="N147:N147"/>
    <mergeCell ref="O147:O147"/>
    <mergeCell ref="P147:P147"/>
    <mergeCell ref="Q147:Q147"/>
    <mergeCell ref="R147:R147"/>
    <mergeCell ref="S147:S147"/>
    <mergeCell ref="X147:X147"/>
    <mergeCell ref="Y147:Y147"/>
    <mergeCell ref="Z147:Z147"/>
    <mergeCell ref="AA147:AA147"/>
    <mergeCell ref="AB147:AB147"/>
    <mergeCell ref="AC147:AC147"/>
    <mergeCell ref="AD147:AD147"/>
    <mergeCell ref="AE147:AE147"/>
    <mergeCell ref="AF147:AF147"/>
    <mergeCell ref="A148:A148"/>
    <mergeCell ref="B148:B148"/>
    <mergeCell ref="C148:C148"/>
    <mergeCell ref="F148:F148"/>
    <mergeCell ref="G148:G148"/>
    <mergeCell ref="H148:H148"/>
    <mergeCell ref="M148:M148"/>
    <mergeCell ref="N148:N148"/>
    <mergeCell ref="O148:O148"/>
    <mergeCell ref="P148:P148"/>
    <mergeCell ref="Q148:Q148"/>
    <mergeCell ref="R148:R148"/>
    <mergeCell ref="S148:S148"/>
    <mergeCell ref="X148:X148"/>
    <mergeCell ref="Y148:Y148"/>
    <mergeCell ref="Z148:Z148"/>
    <mergeCell ref="AA148:AA148"/>
    <mergeCell ref="AB148:AB148"/>
    <mergeCell ref="AC148:AC148"/>
    <mergeCell ref="AD148:AD148"/>
    <mergeCell ref="AE148:AE148"/>
    <mergeCell ref="AF148:AF148"/>
    <mergeCell ref="A149:A149"/>
    <mergeCell ref="B149:B149"/>
    <mergeCell ref="C149:C149"/>
    <mergeCell ref="F149:F149"/>
    <mergeCell ref="G149:G149"/>
    <mergeCell ref="H149:H149"/>
    <mergeCell ref="M149:M149"/>
    <mergeCell ref="N149:N149"/>
    <mergeCell ref="O149:O149"/>
    <mergeCell ref="P149:P149"/>
    <mergeCell ref="Q149:Q149"/>
    <mergeCell ref="R149:R149"/>
    <mergeCell ref="S149:S149"/>
    <mergeCell ref="X149:X149"/>
    <mergeCell ref="Y149:Y149"/>
    <mergeCell ref="Z149:Z149"/>
    <mergeCell ref="AA149:AA149"/>
    <mergeCell ref="AB149:AB149"/>
    <mergeCell ref="AC149:AC149"/>
    <mergeCell ref="AD149:AD149"/>
    <mergeCell ref="AE149:AE149"/>
    <mergeCell ref="AF149:AF149"/>
    <mergeCell ref="A150:A150"/>
    <mergeCell ref="B150:B150"/>
    <mergeCell ref="C150:C150"/>
    <mergeCell ref="F150:F150"/>
    <mergeCell ref="G150:G150"/>
    <mergeCell ref="H150:H150"/>
    <mergeCell ref="M150:M150"/>
    <mergeCell ref="N150:N150"/>
    <mergeCell ref="O150:O150"/>
    <mergeCell ref="P150:P150"/>
    <mergeCell ref="Q150:Q150"/>
    <mergeCell ref="R150:R150"/>
    <mergeCell ref="S150:S150"/>
    <mergeCell ref="X150:X150"/>
    <mergeCell ref="Y150:Y150"/>
    <mergeCell ref="Z150:Z150"/>
    <mergeCell ref="AA150:AA150"/>
    <mergeCell ref="AB150:AB150"/>
    <mergeCell ref="AC150:AC150"/>
    <mergeCell ref="AD150:AD150"/>
    <mergeCell ref="AE150:AE150"/>
    <mergeCell ref="AF150:AF150"/>
    <mergeCell ref="A151:A151"/>
    <mergeCell ref="B151:B151"/>
    <mergeCell ref="C151:C151"/>
    <mergeCell ref="F151:F151"/>
    <mergeCell ref="G151:G151"/>
    <mergeCell ref="H151:H151"/>
    <mergeCell ref="M151:M151"/>
    <mergeCell ref="N151:N151"/>
    <mergeCell ref="O151:O151"/>
    <mergeCell ref="P151:P151"/>
    <mergeCell ref="Q151:Q151"/>
    <mergeCell ref="R151:R151"/>
    <mergeCell ref="S151:S151"/>
    <mergeCell ref="X151:X151"/>
    <mergeCell ref="Y151:Y151"/>
    <mergeCell ref="Z151:Z151"/>
    <mergeCell ref="AA151:AA151"/>
    <mergeCell ref="AB151:AB151"/>
    <mergeCell ref="AC151:AC151"/>
    <mergeCell ref="AD151:AD151"/>
    <mergeCell ref="AE151:AE151"/>
    <mergeCell ref="AF151:AF151"/>
    <mergeCell ref="A152:A152"/>
    <mergeCell ref="B152:B152"/>
    <mergeCell ref="C152:C152"/>
    <mergeCell ref="F152:F152"/>
    <mergeCell ref="G152:G152"/>
    <mergeCell ref="H152:H152"/>
    <mergeCell ref="M152:M152"/>
    <mergeCell ref="N152:N152"/>
    <mergeCell ref="O152:O152"/>
    <mergeCell ref="P152:P152"/>
    <mergeCell ref="Q152:Q152"/>
    <mergeCell ref="R152:R152"/>
    <mergeCell ref="S152:S152"/>
    <mergeCell ref="X152:X152"/>
    <mergeCell ref="Y152:Y152"/>
    <mergeCell ref="Z152:Z152"/>
    <mergeCell ref="AA152:AA152"/>
    <mergeCell ref="AB152:AB152"/>
    <mergeCell ref="AC152:AC152"/>
    <mergeCell ref="AD152:AD152"/>
    <mergeCell ref="AE152:AE152"/>
    <mergeCell ref="AF152:AF152"/>
    <mergeCell ref="A153:A153"/>
    <mergeCell ref="B153:B153"/>
    <mergeCell ref="C153:C153"/>
    <mergeCell ref="F153:F153"/>
    <mergeCell ref="G153:G153"/>
    <mergeCell ref="H153:H153"/>
    <mergeCell ref="M153:M153"/>
    <mergeCell ref="N153:N153"/>
    <mergeCell ref="O153:O153"/>
    <mergeCell ref="P153:P153"/>
    <mergeCell ref="Q153:Q153"/>
    <mergeCell ref="R153:R153"/>
    <mergeCell ref="S153:S153"/>
    <mergeCell ref="X153:X153"/>
    <mergeCell ref="Y153:Y153"/>
    <mergeCell ref="Z153:Z153"/>
    <mergeCell ref="AA153:AA153"/>
    <mergeCell ref="AB153:AB153"/>
    <mergeCell ref="AC153:AC153"/>
    <mergeCell ref="AD153:AD153"/>
    <mergeCell ref="AE153:AE153"/>
    <mergeCell ref="AF153:AF153"/>
    <mergeCell ref="A154:A154"/>
    <mergeCell ref="B154:B154"/>
    <mergeCell ref="C154:C154"/>
    <mergeCell ref="F154:F154"/>
    <mergeCell ref="G154:G154"/>
    <mergeCell ref="H154:H154"/>
    <mergeCell ref="M154:M154"/>
    <mergeCell ref="N154:N154"/>
    <mergeCell ref="O154:O154"/>
    <mergeCell ref="P154:P154"/>
    <mergeCell ref="Q154:Q154"/>
    <mergeCell ref="R154:R154"/>
    <mergeCell ref="S154:S154"/>
    <mergeCell ref="X154:X154"/>
    <mergeCell ref="Y154:Y154"/>
    <mergeCell ref="Z154:Z154"/>
    <mergeCell ref="AA154:AA154"/>
    <mergeCell ref="AB154:AB154"/>
    <mergeCell ref="AC154:AC154"/>
    <mergeCell ref="AD154:AD154"/>
    <mergeCell ref="AE154:AE154"/>
    <mergeCell ref="AF154:AF154"/>
    <mergeCell ref="A155:A155"/>
    <mergeCell ref="B155:B155"/>
    <mergeCell ref="C155:C155"/>
    <mergeCell ref="F155:F155"/>
    <mergeCell ref="G155:G155"/>
    <mergeCell ref="H155:H155"/>
    <mergeCell ref="M155:M155"/>
    <mergeCell ref="N155:N155"/>
    <mergeCell ref="O155:O155"/>
    <mergeCell ref="P155:P155"/>
    <mergeCell ref="Q155:Q155"/>
    <mergeCell ref="R155:R155"/>
    <mergeCell ref="S155:S155"/>
    <mergeCell ref="X155:X155"/>
    <mergeCell ref="Y155:Y155"/>
    <mergeCell ref="Z155:Z155"/>
    <mergeCell ref="AA155:AA155"/>
    <mergeCell ref="AB155:AB155"/>
    <mergeCell ref="AC155:AC155"/>
    <mergeCell ref="AD155:AD155"/>
    <mergeCell ref="AE155:AE155"/>
    <mergeCell ref="AF155:AF155"/>
    <mergeCell ref="A156:A156"/>
    <mergeCell ref="B156:B156"/>
    <mergeCell ref="C156:C156"/>
    <mergeCell ref="F156:F156"/>
    <mergeCell ref="G156:G156"/>
    <mergeCell ref="H156:H156"/>
    <mergeCell ref="M156:M156"/>
    <mergeCell ref="N156:N156"/>
    <mergeCell ref="O156:O156"/>
    <mergeCell ref="P156:P156"/>
    <mergeCell ref="Q156:Q156"/>
    <mergeCell ref="R156:R156"/>
    <mergeCell ref="S156:S156"/>
    <mergeCell ref="X156:X156"/>
    <mergeCell ref="Y156:Y156"/>
    <mergeCell ref="Z156:Z156"/>
    <mergeCell ref="AA156:AA156"/>
    <mergeCell ref="AB156:AB156"/>
    <mergeCell ref="AC156:AC156"/>
    <mergeCell ref="AD156:AD156"/>
    <mergeCell ref="AE156:AE156"/>
    <mergeCell ref="AF156:AF156"/>
    <mergeCell ref="A157:A157"/>
    <mergeCell ref="B157:B157"/>
    <mergeCell ref="C157:C157"/>
    <mergeCell ref="F157:F157"/>
    <mergeCell ref="G157:G157"/>
    <mergeCell ref="H157:H157"/>
    <mergeCell ref="M157:M157"/>
    <mergeCell ref="N157:N157"/>
    <mergeCell ref="O157:O157"/>
    <mergeCell ref="P157:P157"/>
    <mergeCell ref="Q157:Q157"/>
    <mergeCell ref="R157:R157"/>
    <mergeCell ref="S157:S157"/>
    <mergeCell ref="X157:X157"/>
    <mergeCell ref="Y157:Y157"/>
    <mergeCell ref="Z157:Z157"/>
    <mergeCell ref="AA157:AA157"/>
    <mergeCell ref="AB157:AB157"/>
    <mergeCell ref="AC157:AC157"/>
    <mergeCell ref="AD157:AD157"/>
    <mergeCell ref="AE157:AE157"/>
    <mergeCell ref="AF157:AF157"/>
    <mergeCell ref="A158:A158"/>
    <mergeCell ref="B158:B158"/>
    <mergeCell ref="C158:C158"/>
    <mergeCell ref="F158:F158"/>
    <mergeCell ref="G158:G158"/>
    <mergeCell ref="H158:H158"/>
    <mergeCell ref="M158:M158"/>
    <mergeCell ref="N158:N158"/>
    <mergeCell ref="O158:O158"/>
    <mergeCell ref="P158:P158"/>
    <mergeCell ref="Q158:Q158"/>
    <mergeCell ref="R158:R158"/>
    <mergeCell ref="S158:S158"/>
    <mergeCell ref="X158:X158"/>
    <mergeCell ref="Y158:Y158"/>
    <mergeCell ref="Z158:Z158"/>
    <mergeCell ref="AA158:AA158"/>
    <mergeCell ref="AB158:AB158"/>
    <mergeCell ref="AC158:AC158"/>
    <mergeCell ref="AD158:AD158"/>
    <mergeCell ref="AE158:AE158"/>
    <mergeCell ref="AF158:AF158"/>
    <mergeCell ref="A159:A159"/>
    <mergeCell ref="B159:B159"/>
    <mergeCell ref="C159:C159"/>
    <mergeCell ref="F159:F159"/>
    <mergeCell ref="G159:G159"/>
    <mergeCell ref="H159:H159"/>
    <mergeCell ref="M159:M159"/>
    <mergeCell ref="N159:N159"/>
    <mergeCell ref="O159:O159"/>
    <mergeCell ref="P159:P159"/>
    <mergeCell ref="Q159:Q159"/>
    <mergeCell ref="R159:R159"/>
    <mergeCell ref="S159:S159"/>
    <mergeCell ref="X159:X159"/>
    <mergeCell ref="Y159:Y159"/>
    <mergeCell ref="Z159:Z159"/>
    <mergeCell ref="AA159:AA159"/>
    <mergeCell ref="AB159:AB159"/>
    <mergeCell ref="AC159:AC159"/>
    <mergeCell ref="AD159:AD159"/>
    <mergeCell ref="AE159:AE159"/>
    <mergeCell ref="AF159:AF159"/>
    <mergeCell ref="A160:A160"/>
    <mergeCell ref="B160:B160"/>
    <mergeCell ref="C160:C160"/>
    <mergeCell ref="F160:F160"/>
    <mergeCell ref="G160:G160"/>
    <mergeCell ref="H160:H160"/>
    <mergeCell ref="M160:M160"/>
    <mergeCell ref="N160:N160"/>
    <mergeCell ref="O160:O160"/>
    <mergeCell ref="P160:P160"/>
    <mergeCell ref="Q160:Q160"/>
    <mergeCell ref="R160:R160"/>
    <mergeCell ref="S160:S160"/>
    <mergeCell ref="X160:X160"/>
    <mergeCell ref="Y160:Y160"/>
    <mergeCell ref="Z160:Z160"/>
    <mergeCell ref="AA160:AA160"/>
    <mergeCell ref="AB160:AB160"/>
    <mergeCell ref="AC160:AC160"/>
    <mergeCell ref="AD160:AD160"/>
    <mergeCell ref="AE160:AE160"/>
    <mergeCell ref="AF160:AF160"/>
    <mergeCell ref="A161:A161"/>
    <mergeCell ref="B161:B161"/>
    <mergeCell ref="C161:C161"/>
    <mergeCell ref="F161:F161"/>
    <mergeCell ref="G161:G161"/>
    <mergeCell ref="H161:H161"/>
    <mergeCell ref="M161:M161"/>
    <mergeCell ref="N161:N161"/>
    <mergeCell ref="O161:O161"/>
    <mergeCell ref="P161:P161"/>
    <mergeCell ref="Q161:Q161"/>
    <mergeCell ref="R161:R161"/>
    <mergeCell ref="S161:S161"/>
    <mergeCell ref="X161:X161"/>
    <mergeCell ref="Y161:Y161"/>
    <mergeCell ref="Z161:Z161"/>
    <mergeCell ref="AA161:AA161"/>
    <mergeCell ref="AB161:AB161"/>
    <mergeCell ref="AC161:AC161"/>
    <mergeCell ref="AD161:AD161"/>
    <mergeCell ref="AE161:AE161"/>
    <mergeCell ref="AF161:AF161"/>
    <mergeCell ref="A162:A162"/>
    <mergeCell ref="B162:B162"/>
    <mergeCell ref="C162:C162"/>
    <mergeCell ref="F162:F162"/>
    <mergeCell ref="G162:G162"/>
    <mergeCell ref="H162:H162"/>
    <mergeCell ref="M162:M162"/>
    <mergeCell ref="N162:N162"/>
    <mergeCell ref="O162:O162"/>
    <mergeCell ref="P162:P162"/>
    <mergeCell ref="Q162:Q162"/>
    <mergeCell ref="R162:R162"/>
    <mergeCell ref="S162:S162"/>
    <mergeCell ref="X162:X162"/>
    <mergeCell ref="Y162:Y162"/>
    <mergeCell ref="Z162:Z162"/>
    <mergeCell ref="AA162:AA162"/>
    <mergeCell ref="AB162:AB162"/>
    <mergeCell ref="AC162:AC162"/>
    <mergeCell ref="AD162:AD162"/>
    <mergeCell ref="AE162:AE162"/>
    <mergeCell ref="AF162:AF162"/>
    <mergeCell ref="A163:A163"/>
    <mergeCell ref="B163:B163"/>
    <mergeCell ref="C163:C163"/>
    <mergeCell ref="F163:F163"/>
    <mergeCell ref="G163:G163"/>
    <mergeCell ref="H163:H163"/>
    <mergeCell ref="M163:M163"/>
    <mergeCell ref="N163:N163"/>
    <mergeCell ref="O163:O163"/>
    <mergeCell ref="P163:P163"/>
    <mergeCell ref="Q163:Q163"/>
    <mergeCell ref="R163:R163"/>
    <mergeCell ref="S163:S163"/>
    <mergeCell ref="X163:X163"/>
    <mergeCell ref="Y163:Y163"/>
    <mergeCell ref="Z163:Z163"/>
    <mergeCell ref="AA163:AA163"/>
    <mergeCell ref="AB163:AB163"/>
    <mergeCell ref="AC163:AC163"/>
    <mergeCell ref="AD163:AD163"/>
    <mergeCell ref="AE163:AE163"/>
    <mergeCell ref="AF163:AF163"/>
    <mergeCell ref="A164:A164"/>
    <mergeCell ref="B164:B164"/>
    <mergeCell ref="C164:C164"/>
    <mergeCell ref="F164:F164"/>
    <mergeCell ref="G164:G164"/>
    <mergeCell ref="H164:H164"/>
    <mergeCell ref="M164:M164"/>
    <mergeCell ref="N164:N164"/>
    <mergeCell ref="O164:O164"/>
    <mergeCell ref="P164:P164"/>
    <mergeCell ref="Q164:Q164"/>
    <mergeCell ref="R164:R164"/>
    <mergeCell ref="S164:S164"/>
    <mergeCell ref="X164:X164"/>
    <mergeCell ref="Y164:Y164"/>
    <mergeCell ref="Z164:Z164"/>
    <mergeCell ref="AA164:AA164"/>
    <mergeCell ref="AB164:AB164"/>
    <mergeCell ref="AC164:AC164"/>
    <mergeCell ref="AD164:AD164"/>
    <mergeCell ref="AE164:AE164"/>
    <mergeCell ref="AF164:AF164"/>
    <mergeCell ref="A165:A165"/>
    <mergeCell ref="B165:B165"/>
    <mergeCell ref="C165:C165"/>
    <mergeCell ref="F165:F165"/>
    <mergeCell ref="G165:G165"/>
    <mergeCell ref="H165:H165"/>
    <mergeCell ref="M165:M165"/>
    <mergeCell ref="N165:N165"/>
    <mergeCell ref="O165:O165"/>
    <mergeCell ref="P165:P165"/>
    <mergeCell ref="Q165:Q165"/>
    <mergeCell ref="R165:R165"/>
    <mergeCell ref="S165:S165"/>
    <mergeCell ref="X165:X165"/>
    <mergeCell ref="Y165:Y165"/>
    <mergeCell ref="Z165:Z165"/>
    <mergeCell ref="AA165:AA165"/>
    <mergeCell ref="AB165:AB165"/>
    <mergeCell ref="AC165:AC165"/>
    <mergeCell ref="AD165:AD165"/>
    <mergeCell ref="AE165:AE165"/>
    <mergeCell ref="AF165:AF165"/>
    <mergeCell ref="A166:A166"/>
    <mergeCell ref="B166:B166"/>
    <mergeCell ref="C166:C166"/>
    <mergeCell ref="F166:F166"/>
    <mergeCell ref="G166:G166"/>
    <mergeCell ref="H166:H166"/>
    <mergeCell ref="M166:M166"/>
    <mergeCell ref="N166:N166"/>
    <mergeCell ref="O166:O166"/>
    <mergeCell ref="P166:P166"/>
    <mergeCell ref="Q166:Q166"/>
    <mergeCell ref="R166:R166"/>
    <mergeCell ref="S166:S166"/>
    <mergeCell ref="X166:X166"/>
    <mergeCell ref="Y166:Y166"/>
    <mergeCell ref="Z166:Z166"/>
    <mergeCell ref="AA166:AA166"/>
    <mergeCell ref="AB166:AB166"/>
    <mergeCell ref="AC166:AC166"/>
    <mergeCell ref="AD166:AD166"/>
    <mergeCell ref="AE166:AE166"/>
    <mergeCell ref="AF166:AF166"/>
    <mergeCell ref="A167:A167"/>
    <mergeCell ref="B167:B167"/>
    <mergeCell ref="C167:C167"/>
    <mergeCell ref="F167:F167"/>
    <mergeCell ref="G167:G167"/>
    <mergeCell ref="H167:H167"/>
    <mergeCell ref="M167:M167"/>
    <mergeCell ref="N167:N167"/>
    <mergeCell ref="O167:O167"/>
    <mergeCell ref="P167:P167"/>
    <mergeCell ref="Q167:Q167"/>
    <mergeCell ref="R167:R167"/>
    <mergeCell ref="S167:S167"/>
    <mergeCell ref="X167:X167"/>
    <mergeCell ref="Y167:Y167"/>
    <mergeCell ref="Z167:Z167"/>
    <mergeCell ref="AA167:AA167"/>
    <mergeCell ref="AB167:AB167"/>
    <mergeCell ref="AC167:AC167"/>
    <mergeCell ref="AD167:AD167"/>
    <mergeCell ref="AE167:AE167"/>
    <mergeCell ref="AF167:AF167"/>
    <mergeCell ref="A168:A168"/>
    <mergeCell ref="B168:B168"/>
    <mergeCell ref="C168:C168"/>
    <mergeCell ref="F168:F168"/>
    <mergeCell ref="G168:G168"/>
    <mergeCell ref="H168:H168"/>
    <mergeCell ref="M168:M168"/>
    <mergeCell ref="N168:N168"/>
    <mergeCell ref="O168:O168"/>
    <mergeCell ref="P168:P168"/>
    <mergeCell ref="Q168:Q168"/>
    <mergeCell ref="R168:R168"/>
    <mergeCell ref="S168:S168"/>
    <mergeCell ref="X168:X168"/>
    <mergeCell ref="Y168:Y168"/>
    <mergeCell ref="Z168:Z168"/>
    <mergeCell ref="AA168:AA168"/>
    <mergeCell ref="AB168:AB168"/>
    <mergeCell ref="AC168:AC168"/>
    <mergeCell ref="AD168:AD168"/>
    <mergeCell ref="AE168:AE168"/>
    <mergeCell ref="AF168:AF168"/>
    <mergeCell ref="A169:A169"/>
    <mergeCell ref="B169:B169"/>
    <mergeCell ref="C169:C169"/>
    <mergeCell ref="F169:F169"/>
    <mergeCell ref="G169:G169"/>
    <mergeCell ref="H169:H169"/>
    <mergeCell ref="M169:M169"/>
    <mergeCell ref="N169:N169"/>
    <mergeCell ref="O169:O169"/>
    <mergeCell ref="P169:P169"/>
    <mergeCell ref="Q169:Q169"/>
    <mergeCell ref="R169:R169"/>
    <mergeCell ref="S169:S169"/>
    <mergeCell ref="X169:X169"/>
    <mergeCell ref="Y169:Y169"/>
    <mergeCell ref="Z169:Z169"/>
    <mergeCell ref="AA169:AA169"/>
    <mergeCell ref="AB169:AB169"/>
    <mergeCell ref="AC169:AC169"/>
    <mergeCell ref="AD169:AD169"/>
    <mergeCell ref="AE169:AE169"/>
    <mergeCell ref="AF169:AF169"/>
    <mergeCell ref="A170:A170"/>
    <mergeCell ref="B170:B170"/>
    <mergeCell ref="C170:C170"/>
    <mergeCell ref="F170:F170"/>
    <mergeCell ref="G170:G170"/>
    <mergeCell ref="H170:H170"/>
    <mergeCell ref="M170:M170"/>
    <mergeCell ref="N170:N170"/>
    <mergeCell ref="O170:O170"/>
    <mergeCell ref="P170:P170"/>
    <mergeCell ref="Q170:Q170"/>
    <mergeCell ref="R170:R170"/>
    <mergeCell ref="S170:S170"/>
    <mergeCell ref="X170:X170"/>
    <mergeCell ref="Y170:Y170"/>
    <mergeCell ref="Z170:Z170"/>
    <mergeCell ref="AA170:AA170"/>
    <mergeCell ref="AB170:AB170"/>
    <mergeCell ref="AC170:AC170"/>
    <mergeCell ref="AD170:AD170"/>
    <mergeCell ref="AE170:AE170"/>
    <mergeCell ref="AF170:AF170"/>
    <mergeCell ref="A171:A171"/>
    <mergeCell ref="B171:B171"/>
    <mergeCell ref="C171:C171"/>
    <mergeCell ref="F171:F171"/>
    <mergeCell ref="G171:G171"/>
    <mergeCell ref="H171:H171"/>
    <mergeCell ref="M171:M171"/>
    <mergeCell ref="N171:N171"/>
    <mergeCell ref="O171:O171"/>
    <mergeCell ref="P171:P171"/>
    <mergeCell ref="Q171:Q171"/>
    <mergeCell ref="R171:R171"/>
    <mergeCell ref="S171:S171"/>
    <mergeCell ref="X171:X171"/>
    <mergeCell ref="Y171:Y171"/>
    <mergeCell ref="Z171:Z171"/>
    <mergeCell ref="AA171:AA171"/>
    <mergeCell ref="AB171:AB171"/>
    <mergeCell ref="AC171:AC171"/>
    <mergeCell ref="AD171:AD171"/>
    <mergeCell ref="AE171:AE171"/>
    <mergeCell ref="AF171:AF171"/>
    <mergeCell ref="A172:A172"/>
    <mergeCell ref="B172:B172"/>
    <mergeCell ref="C172:C172"/>
    <mergeCell ref="F172:F172"/>
    <mergeCell ref="G172:G172"/>
    <mergeCell ref="H172:H172"/>
    <mergeCell ref="M172:M172"/>
    <mergeCell ref="N172:N172"/>
    <mergeCell ref="O172:O172"/>
    <mergeCell ref="P172:P172"/>
    <mergeCell ref="Q172:Q172"/>
    <mergeCell ref="R172:R172"/>
    <mergeCell ref="S172:S172"/>
    <mergeCell ref="X172:X172"/>
    <mergeCell ref="Y172:Y172"/>
    <mergeCell ref="Z172:Z172"/>
    <mergeCell ref="AA172:AA172"/>
    <mergeCell ref="AB172:AB172"/>
    <mergeCell ref="AC172:AC172"/>
    <mergeCell ref="AD172:AD172"/>
    <mergeCell ref="AE172:AE172"/>
    <mergeCell ref="AF172:AF172"/>
    <mergeCell ref="A173:A173"/>
    <mergeCell ref="B173:B173"/>
    <mergeCell ref="C173:C173"/>
    <mergeCell ref="F173:F173"/>
    <mergeCell ref="G173:G173"/>
    <mergeCell ref="H173:H173"/>
    <mergeCell ref="M173:M173"/>
    <mergeCell ref="N173:N173"/>
    <mergeCell ref="O173:O173"/>
    <mergeCell ref="P173:P173"/>
    <mergeCell ref="Q173:Q173"/>
    <mergeCell ref="R173:R173"/>
    <mergeCell ref="S173:S173"/>
    <mergeCell ref="X173:X173"/>
    <mergeCell ref="Y173:Y173"/>
    <mergeCell ref="Z173:Z173"/>
    <mergeCell ref="AA173:AA173"/>
    <mergeCell ref="AB173:AB173"/>
    <mergeCell ref="AC173:AC173"/>
    <mergeCell ref="AD173:AD173"/>
    <mergeCell ref="AE173:AE173"/>
    <mergeCell ref="AF173:AF173"/>
    <mergeCell ref="A174:A174"/>
    <mergeCell ref="B174:B174"/>
    <mergeCell ref="C174:C174"/>
    <mergeCell ref="F174:F174"/>
    <mergeCell ref="G174:G174"/>
    <mergeCell ref="H174:H174"/>
    <mergeCell ref="M174:M174"/>
    <mergeCell ref="N174:N174"/>
    <mergeCell ref="O174:O174"/>
    <mergeCell ref="P174:P174"/>
    <mergeCell ref="Q174:Q174"/>
    <mergeCell ref="R174:R174"/>
    <mergeCell ref="S174:S174"/>
    <mergeCell ref="X174:X174"/>
    <mergeCell ref="Y174:Y174"/>
    <mergeCell ref="Z174:Z174"/>
    <mergeCell ref="AA174:AA174"/>
    <mergeCell ref="AB174:AB174"/>
    <mergeCell ref="AC174:AC174"/>
    <mergeCell ref="AD174:AD174"/>
    <mergeCell ref="AE174:AE174"/>
    <mergeCell ref="AF174:AF174"/>
    <mergeCell ref="A175:A175"/>
    <mergeCell ref="B175:B175"/>
    <mergeCell ref="C175:C175"/>
    <mergeCell ref="F175:F175"/>
    <mergeCell ref="G175:G175"/>
    <mergeCell ref="H175:H175"/>
    <mergeCell ref="M175:M175"/>
    <mergeCell ref="N175:N175"/>
    <mergeCell ref="O175:O175"/>
    <mergeCell ref="P175:P175"/>
    <mergeCell ref="Q175:Q175"/>
    <mergeCell ref="R175:R175"/>
    <mergeCell ref="S175:S175"/>
    <mergeCell ref="X175:X175"/>
    <mergeCell ref="Y175:Y175"/>
    <mergeCell ref="Z175:Z175"/>
    <mergeCell ref="AA175:AA175"/>
    <mergeCell ref="AB175:AB175"/>
    <mergeCell ref="AC175:AC175"/>
    <mergeCell ref="AD175:AD175"/>
    <mergeCell ref="AE175:AE175"/>
    <mergeCell ref="AF175:AF175"/>
    <mergeCell ref="A176:A176"/>
    <mergeCell ref="B176:B176"/>
    <mergeCell ref="C176:C176"/>
    <mergeCell ref="F176:F176"/>
    <mergeCell ref="G176:G176"/>
    <mergeCell ref="H176:H176"/>
    <mergeCell ref="M176:M176"/>
    <mergeCell ref="N176:N176"/>
    <mergeCell ref="O176:O176"/>
    <mergeCell ref="P176:P176"/>
    <mergeCell ref="Q176:Q176"/>
    <mergeCell ref="R176:R176"/>
    <mergeCell ref="S176:S176"/>
    <mergeCell ref="X176:X176"/>
    <mergeCell ref="Y176:Y176"/>
    <mergeCell ref="Z176:Z176"/>
    <mergeCell ref="AA176:AA176"/>
    <mergeCell ref="AB176:AB176"/>
    <mergeCell ref="AC176:AC176"/>
    <mergeCell ref="AD176:AD176"/>
    <mergeCell ref="AE176:AE176"/>
    <mergeCell ref="AF176:AF176"/>
    <mergeCell ref="A177:A177"/>
    <mergeCell ref="B177:B177"/>
    <mergeCell ref="C177:C177"/>
    <mergeCell ref="F177:F177"/>
    <mergeCell ref="G177:G177"/>
    <mergeCell ref="H177:H177"/>
    <mergeCell ref="M177:M177"/>
    <mergeCell ref="N177:N177"/>
    <mergeCell ref="O177:O177"/>
    <mergeCell ref="P177:P177"/>
    <mergeCell ref="Q177:Q177"/>
    <mergeCell ref="R177:R177"/>
    <mergeCell ref="S177:S177"/>
    <mergeCell ref="X177:X177"/>
    <mergeCell ref="Y177:Y177"/>
    <mergeCell ref="Z177:Z177"/>
    <mergeCell ref="AA177:AA177"/>
    <mergeCell ref="AB177:AB177"/>
    <mergeCell ref="AC177:AC177"/>
    <mergeCell ref="AD177:AD177"/>
    <mergeCell ref="AE177:AE177"/>
    <mergeCell ref="AF177:AF177"/>
    <mergeCell ref="A178:A178"/>
    <mergeCell ref="B178:B178"/>
    <mergeCell ref="C178:C178"/>
    <mergeCell ref="F178:F178"/>
    <mergeCell ref="G178:G178"/>
    <mergeCell ref="H178:H178"/>
    <mergeCell ref="M178:M178"/>
    <mergeCell ref="N178:N178"/>
    <mergeCell ref="O178:O178"/>
    <mergeCell ref="P178:P178"/>
    <mergeCell ref="Q178:Q178"/>
    <mergeCell ref="R178:R178"/>
    <mergeCell ref="S178:S178"/>
    <mergeCell ref="X178:X178"/>
    <mergeCell ref="Y178:Y178"/>
    <mergeCell ref="Z178:Z178"/>
    <mergeCell ref="AA178:AA178"/>
    <mergeCell ref="AB178:AB178"/>
    <mergeCell ref="AC178:AC178"/>
    <mergeCell ref="AD178:AD178"/>
    <mergeCell ref="AE178:AE178"/>
    <mergeCell ref="AF178:AF178"/>
    <mergeCell ref="A179:A179"/>
    <mergeCell ref="B179:B179"/>
    <mergeCell ref="C179:C179"/>
    <mergeCell ref="F179:F179"/>
    <mergeCell ref="G179:G179"/>
    <mergeCell ref="H179:H179"/>
    <mergeCell ref="M179:M179"/>
    <mergeCell ref="N179:N179"/>
    <mergeCell ref="O179:O179"/>
    <mergeCell ref="P179:P179"/>
    <mergeCell ref="Q179:Q179"/>
    <mergeCell ref="R179:R179"/>
    <mergeCell ref="S179:S179"/>
    <mergeCell ref="X179:X179"/>
    <mergeCell ref="Y179:Y179"/>
    <mergeCell ref="Z179:Z179"/>
    <mergeCell ref="AA179:AA179"/>
    <mergeCell ref="AB179:AB179"/>
    <mergeCell ref="AC179:AC179"/>
    <mergeCell ref="AD179:AD179"/>
    <mergeCell ref="AE179:AE179"/>
    <mergeCell ref="AF179:AF179"/>
    <mergeCell ref="A180:A180"/>
    <mergeCell ref="B180:B180"/>
    <mergeCell ref="C180:C180"/>
    <mergeCell ref="F180:F180"/>
    <mergeCell ref="G180:G180"/>
    <mergeCell ref="H180:H180"/>
    <mergeCell ref="M180:M180"/>
    <mergeCell ref="N180:N180"/>
    <mergeCell ref="O180:O180"/>
    <mergeCell ref="P180:P180"/>
    <mergeCell ref="Q180:Q180"/>
    <mergeCell ref="R180:R180"/>
    <mergeCell ref="S180:S180"/>
    <mergeCell ref="X180:X180"/>
    <mergeCell ref="Y180:Y180"/>
    <mergeCell ref="Z180:Z180"/>
    <mergeCell ref="AA180:AA180"/>
    <mergeCell ref="AB180:AB180"/>
    <mergeCell ref="AC180:AC180"/>
    <mergeCell ref="AD180:AD180"/>
    <mergeCell ref="AE180:AE180"/>
    <mergeCell ref="AF180:AF180"/>
    <mergeCell ref="A181:A181"/>
    <mergeCell ref="B181:B181"/>
    <mergeCell ref="C181:C181"/>
    <mergeCell ref="F181:F181"/>
    <mergeCell ref="G181:G181"/>
    <mergeCell ref="H181:H181"/>
    <mergeCell ref="M181:M181"/>
    <mergeCell ref="N181:N181"/>
    <mergeCell ref="O181:O181"/>
    <mergeCell ref="P181:P181"/>
    <mergeCell ref="Q181:Q181"/>
    <mergeCell ref="R181:R181"/>
    <mergeCell ref="S181:S181"/>
    <mergeCell ref="X181:X181"/>
    <mergeCell ref="Y181:Y181"/>
    <mergeCell ref="Z181:Z181"/>
    <mergeCell ref="AA181:AA181"/>
    <mergeCell ref="AB181:AB181"/>
    <mergeCell ref="AC181:AC181"/>
    <mergeCell ref="AD181:AD181"/>
    <mergeCell ref="AE181:AE181"/>
    <mergeCell ref="AF181:AF181"/>
    <mergeCell ref="A182:A182"/>
    <mergeCell ref="B182:B182"/>
    <mergeCell ref="C182:C182"/>
    <mergeCell ref="F182:F182"/>
    <mergeCell ref="G182:G182"/>
    <mergeCell ref="H182:H182"/>
    <mergeCell ref="M182:M182"/>
    <mergeCell ref="N182:N182"/>
    <mergeCell ref="O182:O182"/>
    <mergeCell ref="P182:P182"/>
    <mergeCell ref="Q182:Q182"/>
    <mergeCell ref="R182:R182"/>
    <mergeCell ref="S182:S182"/>
    <mergeCell ref="X182:X182"/>
    <mergeCell ref="Y182:Y182"/>
    <mergeCell ref="Z182:Z182"/>
    <mergeCell ref="AA182:AA182"/>
    <mergeCell ref="AB182:AB182"/>
    <mergeCell ref="AC182:AC182"/>
    <mergeCell ref="AD182:AD182"/>
    <mergeCell ref="AE182:AE182"/>
    <mergeCell ref="AF182:AF182"/>
    <mergeCell ref="A183:A183"/>
    <mergeCell ref="B183:B183"/>
    <mergeCell ref="C183:C183"/>
    <mergeCell ref="F183:F183"/>
    <mergeCell ref="G183:G183"/>
    <mergeCell ref="H183:H183"/>
    <mergeCell ref="M183:M183"/>
    <mergeCell ref="N183:N183"/>
    <mergeCell ref="O183:O183"/>
    <mergeCell ref="P183:P183"/>
    <mergeCell ref="Q183:Q183"/>
    <mergeCell ref="R183:R183"/>
    <mergeCell ref="S183:S183"/>
    <mergeCell ref="X183:X183"/>
    <mergeCell ref="Y183:Y183"/>
    <mergeCell ref="Z183:Z183"/>
    <mergeCell ref="AA183:AA183"/>
    <mergeCell ref="AB183:AB183"/>
    <mergeCell ref="AC183:AC183"/>
    <mergeCell ref="AD183:AD183"/>
    <mergeCell ref="AE183:AE183"/>
    <mergeCell ref="AF183:AF183"/>
    <mergeCell ref="A184:A184"/>
    <mergeCell ref="B184:B184"/>
    <mergeCell ref="C184:C184"/>
    <mergeCell ref="F184:F184"/>
    <mergeCell ref="G184:G184"/>
    <mergeCell ref="H184:H184"/>
    <mergeCell ref="M184:M184"/>
    <mergeCell ref="N184:N184"/>
    <mergeCell ref="O184:O184"/>
    <mergeCell ref="P184:P184"/>
    <mergeCell ref="Q184:Q184"/>
    <mergeCell ref="R184:R184"/>
    <mergeCell ref="S184:S184"/>
    <mergeCell ref="X184:X184"/>
    <mergeCell ref="Y184:Y184"/>
    <mergeCell ref="Z184:Z184"/>
    <mergeCell ref="AA184:AA184"/>
    <mergeCell ref="AB184:AB184"/>
    <mergeCell ref="AC184:AC184"/>
    <mergeCell ref="AD184:AD184"/>
    <mergeCell ref="AE184:AE184"/>
    <mergeCell ref="AF184:AF184"/>
    <mergeCell ref="A185:A185"/>
    <mergeCell ref="B185:B185"/>
    <mergeCell ref="C185:C185"/>
    <mergeCell ref="F185:F185"/>
    <mergeCell ref="G185:G185"/>
    <mergeCell ref="H185:H185"/>
    <mergeCell ref="M185:M185"/>
    <mergeCell ref="N185:N185"/>
    <mergeCell ref="O185:O185"/>
    <mergeCell ref="P185:P185"/>
    <mergeCell ref="Q185:Q185"/>
    <mergeCell ref="R185:R185"/>
    <mergeCell ref="S185:S185"/>
    <mergeCell ref="X185:X185"/>
    <mergeCell ref="Y185:Y185"/>
    <mergeCell ref="Z185:Z185"/>
    <mergeCell ref="AA185:AA185"/>
    <mergeCell ref="AB185:AB185"/>
    <mergeCell ref="AC185:AC185"/>
    <mergeCell ref="AD185:AD185"/>
    <mergeCell ref="AE185:AE185"/>
    <mergeCell ref="AF185:AF185"/>
    <mergeCell ref="A186:A186"/>
    <mergeCell ref="B186:B186"/>
    <mergeCell ref="C186:C186"/>
    <mergeCell ref="F186:F186"/>
    <mergeCell ref="G186:G186"/>
    <mergeCell ref="H186:H186"/>
    <mergeCell ref="M186:M186"/>
    <mergeCell ref="N186:N186"/>
    <mergeCell ref="O186:O186"/>
    <mergeCell ref="P186:P186"/>
    <mergeCell ref="Q186:Q186"/>
    <mergeCell ref="R186:R186"/>
    <mergeCell ref="S186:S186"/>
    <mergeCell ref="X186:X186"/>
    <mergeCell ref="Y186:Y186"/>
    <mergeCell ref="Z186:Z186"/>
    <mergeCell ref="AA186:AA186"/>
    <mergeCell ref="AB186:AB186"/>
    <mergeCell ref="AC186:AC186"/>
    <mergeCell ref="AD186:AD186"/>
    <mergeCell ref="AE186:AE186"/>
    <mergeCell ref="AF186:AF186"/>
    <mergeCell ref="A187:A187"/>
    <mergeCell ref="B187:B187"/>
    <mergeCell ref="C187:C187"/>
    <mergeCell ref="F187:F187"/>
    <mergeCell ref="G187:G187"/>
    <mergeCell ref="H187:H187"/>
    <mergeCell ref="M187:M187"/>
    <mergeCell ref="N187:N187"/>
    <mergeCell ref="O187:O187"/>
    <mergeCell ref="P187:P187"/>
    <mergeCell ref="Q187:Q187"/>
    <mergeCell ref="R187:R187"/>
    <mergeCell ref="S187:S187"/>
    <mergeCell ref="X187:X187"/>
    <mergeCell ref="Y187:Y187"/>
    <mergeCell ref="Z187:Z187"/>
    <mergeCell ref="AA187:AA187"/>
    <mergeCell ref="AB187:AB187"/>
    <mergeCell ref="AC187:AC187"/>
    <mergeCell ref="AD187:AD187"/>
    <mergeCell ref="AE187:AE187"/>
    <mergeCell ref="AF187:AF187"/>
    <mergeCell ref="A188:A188"/>
    <mergeCell ref="B188:B188"/>
    <mergeCell ref="C188:C188"/>
    <mergeCell ref="F188:F188"/>
    <mergeCell ref="G188:G188"/>
    <mergeCell ref="H188:H188"/>
    <mergeCell ref="M188:M188"/>
    <mergeCell ref="N188:N188"/>
    <mergeCell ref="O188:O188"/>
    <mergeCell ref="P188:P188"/>
    <mergeCell ref="Q188:Q188"/>
    <mergeCell ref="R188:R188"/>
    <mergeCell ref="S188:S188"/>
    <mergeCell ref="X188:X188"/>
    <mergeCell ref="Y188:Y188"/>
    <mergeCell ref="Z188:Z188"/>
    <mergeCell ref="AA188:AA188"/>
    <mergeCell ref="AB188:AB188"/>
    <mergeCell ref="AC188:AC188"/>
    <mergeCell ref="AD188:AD188"/>
    <mergeCell ref="AE188:AE188"/>
    <mergeCell ref="AF188:AF188"/>
    <mergeCell ref="A189:A189"/>
    <mergeCell ref="B189:B189"/>
    <mergeCell ref="C189:C189"/>
    <mergeCell ref="F189:F189"/>
    <mergeCell ref="G189:G189"/>
    <mergeCell ref="H189:H189"/>
    <mergeCell ref="M189:M189"/>
    <mergeCell ref="N189:N189"/>
    <mergeCell ref="O189:O189"/>
    <mergeCell ref="P189:P189"/>
    <mergeCell ref="Q189:Q189"/>
    <mergeCell ref="R189:R189"/>
    <mergeCell ref="S189:S189"/>
    <mergeCell ref="X189:X189"/>
    <mergeCell ref="Y189:Y189"/>
    <mergeCell ref="Z189:Z189"/>
    <mergeCell ref="AA189:AA189"/>
    <mergeCell ref="AB189:AB189"/>
    <mergeCell ref="AC189:AC189"/>
    <mergeCell ref="AD189:AD189"/>
    <mergeCell ref="AE189:AE189"/>
    <mergeCell ref="AF189:AF189"/>
    <mergeCell ref="A190:A190"/>
    <mergeCell ref="B190:B190"/>
    <mergeCell ref="C190:C190"/>
    <mergeCell ref="F190:F190"/>
    <mergeCell ref="G190:G190"/>
    <mergeCell ref="H190:H190"/>
    <mergeCell ref="M190:M190"/>
    <mergeCell ref="N190:N190"/>
    <mergeCell ref="O190:O190"/>
    <mergeCell ref="P190:P190"/>
    <mergeCell ref="Q190:Q190"/>
    <mergeCell ref="R190:R190"/>
    <mergeCell ref="S190:S190"/>
    <mergeCell ref="X190:X190"/>
    <mergeCell ref="Y190:Y190"/>
    <mergeCell ref="Z190:Z190"/>
    <mergeCell ref="AA190:AA190"/>
    <mergeCell ref="AB190:AB190"/>
    <mergeCell ref="AC190:AC190"/>
    <mergeCell ref="AD190:AD190"/>
    <mergeCell ref="AE190:AE190"/>
    <mergeCell ref="AF190:AF190"/>
    <mergeCell ref="A191:A191"/>
    <mergeCell ref="B191:B191"/>
    <mergeCell ref="C191:C191"/>
    <mergeCell ref="F191:F191"/>
    <mergeCell ref="G191:G191"/>
    <mergeCell ref="H191:H191"/>
    <mergeCell ref="M191:M191"/>
    <mergeCell ref="N191:N191"/>
    <mergeCell ref="O191:O191"/>
    <mergeCell ref="P191:P191"/>
    <mergeCell ref="Q191:Q191"/>
    <mergeCell ref="R191:R191"/>
    <mergeCell ref="S191:S191"/>
    <mergeCell ref="X191:X191"/>
    <mergeCell ref="Y191:Y191"/>
    <mergeCell ref="Z191:Z191"/>
    <mergeCell ref="AA191:AA191"/>
    <mergeCell ref="AB191:AB191"/>
    <mergeCell ref="AC191:AC191"/>
    <mergeCell ref="AD191:AD191"/>
    <mergeCell ref="AE191:AE191"/>
    <mergeCell ref="AF191:AF191"/>
    <mergeCell ref="A192:A192"/>
    <mergeCell ref="B192:B192"/>
    <mergeCell ref="C192:C192"/>
    <mergeCell ref="F192:F192"/>
    <mergeCell ref="G192:G192"/>
    <mergeCell ref="H192:H192"/>
    <mergeCell ref="M192:M192"/>
    <mergeCell ref="N192:N192"/>
    <mergeCell ref="O192:O192"/>
    <mergeCell ref="P192:P192"/>
    <mergeCell ref="Q192:Q192"/>
    <mergeCell ref="R192:R192"/>
    <mergeCell ref="S192:S192"/>
    <mergeCell ref="X192:X192"/>
    <mergeCell ref="Y192:Y192"/>
    <mergeCell ref="Z192:Z192"/>
    <mergeCell ref="AA192:AA192"/>
    <mergeCell ref="AB192:AB192"/>
    <mergeCell ref="AC192:AC192"/>
    <mergeCell ref="AD192:AD192"/>
    <mergeCell ref="AE192:AE192"/>
    <mergeCell ref="AF192:AF192"/>
  </mergeCells>
  <hyperlinks>
    <hyperlink ref="D6" r:id="rId_hyperlink_1" tooltip="西区化水老系统水池约4米，池顶楼梯平台腐蚀严重有破洞，不牢固，一名操作工在工作时由此跌落，腿先着地受伤，随即送医院治疗。"/>
    <hyperlink ref="D7" r:id="rId_hyperlink_2" tooltip="巡检工经过电缆沟时盖板断裂造成巡检工掉入电缆沟摔伤。"/>
    <hyperlink ref="D8" r:id="rId_hyperlink_3" tooltip="巡检工经过电缆沟时盖板断裂造成巡检工掉入电缆沟摔伤。"/>
    <hyperlink ref="D9" r:id="rId_hyperlink_4" tooltip="巡检人员巡检超滤设备时，因超滤排污管道处无盖板，导致巡检过程中一脚踏入排污沟导致小腿骨折"/>
    <hyperlink ref="D10" r:id="rId_hyperlink_5" tooltip="冷却塔顶部无护栏，平台湿滑，一维修工在清理顶部风机皮带时，未系安全带，脚底打滑，从4米高塔顶跌落，送医救治，诊断为右小腿骨折，住院治疗20天，回家休养三个月。"/>
    <hyperlink ref="D11" r:id="rId_hyperlink_6" tooltip="由于循环水池补水管高50厘米，横跨走廊，补水管没有跨越阶梯，一巡检人员巡检跨越时，不慎绊倒，身体前倾，双手撑地，导致左手手腕扭伤，损工五天。"/>
    <hyperlink ref="D12" r:id="rId_hyperlink_7" tooltip="一操作工在经过熄焦泵房安全门处，安全门脱落砸中操作工头部，当场昏迷，送医抢救。"/>
    <hyperlink ref="D13" r:id="rId_hyperlink_8" tooltip="汽轮机零米1106113配电箱接地线断开，由于柜内开关漏电导致柜体外壳带电，员工在擦拭配电箱时，发生触电！经医院抢救无效死亡！"/>
    <hyperlink ref="D14" r:id="rId_hyperlink_9" tooltip="导管疏水外排管道焊接位置不当，汽轮机开机过程中暖导管之前必须先把电动主蒸汽阀门前疏水关闭，才能开导管疏水，存在疏水积存可能，易造成管道水冲击，建议接至西侧疏水外排管道或新加装疏水管道一根。。"/>
    <hyperlink ref="D15" r:id="rId_hyperlink_10" tooltip="汽轮机零米射水箱与溢流箱联通管道未设置照明，视线不良，中夜班巡检人员到此巡检热水井液位时，不慎被联通管道绊倒，膝盖手腕擦伤，损工一天"/>
    <hyperlink ref="D16" r:id="rId_hyperlink_11" tooltip="汽轮机七米照明不良，一巡检工在巡检时，视线不好，不慎被铁板绊倒，膝盖擦伤，送医务室治疗"/>
    <hyperlink ref="D17" r:id="rId_hyperlink_12" tooltip="除盐水站中控室南侧电缆套管脱落，一员工巡检中经过此处，铁皮套管锈蚀脱落砸中员工右侧肩膀及胳膊，送医检查多处均为皮外伤，未影响工作"/>
    <hyperlink ref="D18" r:id="rId_hyperlink_13" tooltip="分汽缸上方去除氧器供气阀门漏气，一员工从此处楼梯经过被泄露的蒸汽烫伤面部，送医院救治诊断为浅二度烫伤住院治疗一周回家修养十五天"/>
    <hyperlink ref="D19" r:id="rId_hyperlink_14" tooltip="焦炉捣固机南端，电缆槽盖板缺失。长期裸露万一破损连电，将造成焦炉4小时无法生产，经济损失50万元。"/>
    <hyperlink ref="D20" r:id="rId_hyperlink_15" tooltip="维修工在完成维修任务后，未及时撤走倒链支架，一名操作工在巡检过程中由于视线不好被绊倒"/>
    <hyperlink ref="D21" r:id="rId_hyperlink_16" tooltip="洗焦泵房电缆未撤除，万一一名职工巡查时触电。将造成职工身亡的重大事故。"/>
    <hyperlink ref="D22" r:id="rId_hyperlink_17" tooltip="炉顶焦侧集气管工作平台一铁板开焊翘起，万一一名员工在巡检时被绊倒，膝盖磕碰到铁板上，造成膝盖骨骨裂。"/>
    <hyperlink ref="D23" r:id="rId_hyperlink_18" tooltip="炉顶南头照明灯线缆无套管，万一线缆老化出现漏电传导到护栏，造成一名维修护栏操作人员触电身亡"/>
    <hyperlink ref="D24" r:id="rId_hyperlink_19" tooltip="旋臂吊在吊装过程中吊钩脱落，吊装物坠落，致使人员受伤或死亡及吊装物件损坏"/>
    <hyperlink ref="D25" r:id="rId_hyperlink_20" tooltip="焦侧45#上升管操作小平台腐蚀严重，已锈出许多窟窿，人在工作时有可能发生跌落。"/>
    <hyperlink ref="D26" r:id="rId_hyperlink_21" tooltip="外供JFE煤气水封底部发生泄漏，存在煤气泄漏的风险，可能会造成一名操作人员在巡检煤气水封时因风险源辨识不足致使煤气轻微中毒"/>
    <hyperlink ref="D27" r:id="rId_hyperlink_22" tooltip="焦侧上升管通廊平台35上升管处，铺板开焊，铁板翘起，极易造成人员摔倒受伤"/>
    <hyperlink ref="D28" r:id="rId_hyperlink_23" tooltip="5.5米焦炉捣固处滑线上方护铁上一钢筋腐蚀掉落在滑线上，另一头搭在清理卫生的员工身上，导致触电事故。"/>
    <hyperlink ref="D29" r:id="rId_hyperlink_24" tooltip="5.5米焦炉炉顶上升管水封槽下水管熄焦道轨处因腐蚀漏水，影响环保。"/>
    <hyperlink ref="D30" r:id="rId_hyperlink_25" tooltip="好氧池滗水器穿线管老化破损，电线裸露，接地线掉落，雨天，操作工滗水时线路进水联电，操作工触电，造成右手麻痹，手臂酸痛的轻微医疗伤害事件"/>
    <hyperlink ref="D31" r:id="rId_hyperlink_26" tooltip="西硫铵三楼操作室风扇线路损坏，线接头包皮脱落。操作工在擦试风扇时触电，造成右手麻痹，胳膊麻木的轻微医疗伤害事件。"/>
    <hyperlink ref="D32" r:id="rId_hyperlink_27" tooltip="生化压滤机房污泥螺杆泵防护罩不在有效位置，一名职工在擦拭转动设备时，右手腕被联轴器碰伤，造成右手腕骨折，送医院治疗，损工60天。"/>
    <hyperlink ref="D33" r:id="rId_hyperlink_28" tooltip="5.5送煤车车载除尘检修平台东侧护栏缺失，一检修人员在更换除尘电磁阀时，踏空从平台处跌落，头部着地当场昏迷。"/>
    <hyperlink ref="D34" r:id="rId_hyperlink_29" tooltip="2号提升机限位电源线长期裸露，阴雨天气破损连电将造成限位失效，导致提升机大勾与焦罐碰撞，损坏设备，4小时无法生产，经济损失50万元。"/>
    <hyperlink ref="D35" r:id="rId_hyperlink_30" tooltip="干熄焦罐下落过程中干熄车提前驶入接罐位置，一旦干熄焦罐意外掉落，砸到干熄车致使变形，花费5万元紧急维修1天后投入运行。"/>
    <hyperlink ref="D36" r:id="rId_hyperlink_31" tooltip="一巡检人员开主蒸汽疏水时，疏水管漏汽，烫伤巡检人员左小腿，造成一人员左小腿烫伤，送医院治疗。"/>
    <hyperlink ref="D37" r:id="rId_hyperlink_32" tooltip="中间水池一盖板遮盖不严,一旦巡检人员经过时,一只脚踩蹭被铁板划伤腿部,经医院包扎,在家休养7天后康复,造成一人损工事故"/>
    <hyperlink ref="D38" r:id="rId_hyperlink_33" tooltip="操作人员远程开电动阀时，由于限位块脱落，阀门不受控，开度超限位，致使阀门损坏，经济损失1万元。"/>
    <hyperlink ref="D39" r:id="rId_hyperlink_34" tooltip="一巡检工在冲洗汽包双色液位计，左侧电接点漏气未及时发现，左臂关节处被泄露蒸汽烫伤，送医治疗确诊为浅二度烫伤，在医院治疗两周，在家休养一周，后恢复工作。"/>
    <hyperlink ref="D40" r:id="rId_hyperlink_35" tooltip="汽轮机五米均压箱溢流阀处漏水滴至零米高压油泵电机上，致使高压油泵电机烧毁，未影响生产"/>
    <hyperlink ref="D41" r:id="rId_hyperlink_36" tooltip="预处理水解酸化池与曝气池之间储水槽上方盖板腐蚀严重且没有覆盖到位，职工在池顶巡检时被绊倒致左腿小腿跌入储水槽内，造成小腿腿骨骨裂，损工两月。"/>
    <hyperlink ref="D42" r:id="rId_hyperlink_37" tooltip="深度处理泵房反洗水泵未在合理位置连接接地线，电机老化漏电，巡查的操作人员查看时触电倒地，送医院救治抢救无效死亡。"/>
    <hyperlink ref="D43" r:id="rId_hyperlink_38" tooltip="原料煤接收收发室电暖气线破损线头外漏，操作工在工作时不小心将手碰触到外漏的线头处造成电伤！在家休养五天！"/>
    <hyperlink ref="D44" r:id="rId_hyperlink_39" tooltip="生化清水泵管道排气阀安装位置不合理，一名取样工（化验人员）在取样过程中被其绊倒，导致脸部擦伤，右臂骨折，送院就医"/>
    <hyperlink ref="D45" r:id="rId_hyperlink_40" tooltip="生化清水泵管道放气阀安装位置不合理，一名取样工（化验人员）在取样过程中被其绊倒，导致脸部、手部擦伤，经医务室处理后返岗复工"/>
    <hyperlink ref="D46" r:id="rId_hyperlink_41" tooltip="东四一盏照明灯光线暗 夜班操作工巡检时看不清脚下 不慎被绊倒 右前臂骨折 送医治疗 住院治疗一个月在家休养60天"/>
    <hyperlink ref="D47" r:id="rId_hyperlink_42" tooltip="东四一盏照明灯光线暗 夜班操作工巡检时看不清脚下 不慎被绊倒 右前臂骨折 送医治疗 住院治疗一个月在家休养60天"/>
    <hyperlink ref="D48" r:id="rId_hyperlink_43" tooltip="东四东门电源线未套管 线皮磨损漏电 员工经过此处不慎碰触到铁立柱 触电倒地头部擦伤 送医治疗包扎 在家休养10天"/>
    <hyperlink ref="D49" r:id="rId_hyperlink_44" tooltip="废水A泵机封损坏，导致泵体泄漏，造成室内环境污染，经维修两小时后正常运行。"/>
    <hyperlink ref="D50" r:id="rId_hyperlink_45" tooltip="水沟盖板缺失，操作人员行走时不慎跌入水沟摔倒，手掌扶地，手腕皮肤轻微擦伤，不影响工作。"/>
    <hyperlink ref="D51" r:id="rId_hyperlink_46" tooltip="一人经过拦焦车时被开焊坠落的铁板砸伤，就医检查后发现脊柱受损失去工作能力"/>
    <hyperlink ref="D52" r:id="rId_hyperlink_47" tooltip="一操作工在巡检时不慎跌落，送医检查为皮肉划伤、小腿骨骨裂，损工2 个月。"/>
    <hyperlink ref="D53" r:id="rId_hyperlink_48" tooltip="接班时发现25t锅炉水位计漏蒸汽。"/>
    <hyperlink ref="D54" r:id="rId_hyperlink_49" tooltip="操作工在调整工艺指标时发生还原剂计量泵漏液，造成大面积灼伤"/>
    <hyperlink ref="D55" r:id="rId_hyperlink_50" tooltip="岗位人员巡检时不慎掉落"/>
    <hyperlink ref="D56" r:id="rId_hyperlink_51" tooltip="开蒸汽阀门时，未带防护手套，因阀门泄漏导致严重烫伤"/>
    <hyperlink ref="D57" r:id="rId_hyperlink_52" tooltip="操作工抄完电度表后盘面未关闭，巡检时未戴安全帽头碰着盘面。"/>
    <hyperlink ref="D58" r:id="rId_hyperlink_53" tooltip="焦侧集气管平台铁板开焊翘起，操作工巡检时不慎被绊倒扭伤脚踝。"/>
    <hyperlink ref="D59" r:id="rId_hyperlink_54" tooltip="机侧集气管平台护栏开焊，操作工巡检时不慎坠落，造成当场死亡"/>
    <hyperlink ref="D60" r:id="rId_hyperlink_55" tooltip="水沟盖板老化碎裂，人员踩踏陷入沟中"/>
    <hyperlink ref="D61" r:id="rId_hyperlink_56" tooltip="操作人员巡检时，被降尘泵护栏底部开焊的护栏绊倒，造成人员摔伤"/>
    <hyperlink ref="D62" r:id="rId_hyperlink_57" tooltip="东一地沟1#给料机电机护罩缺失，一人在清理卫生时，手部被割伤"/>
    <hyperlink ref="D63" r:id="rId_hyperlink_58" tooltip="一名职工夜间巡检时，由于走道有废旧搅拌器切走道狭窄被绊倒，未造成人员伤害"/>
    <hyperlink ref="D64" r:id="rId_hyperlink_59" tooltip="一名操作工在进行气浮机刮渣操作时，由于走道盖板长时间腐蚀破损严重铁板变薄，来回走动时踏入破损处，造成跌倒脚踝轻微扭伤，休息片刻后正常工作。"/>
    <hyperlink ref="D65" r:id="rId_hyperlink_60" tooltip="硫酸储槽南围堰过桥爬梯因长年使用踏板腐蚀严重，如果一名操作工在巡检时攀爬过桥爬梯时，踏板因腐蚀严重造成塌陷，造成人员左脚扭伤，送医救治回家休养15天后复工，损工15天"/>
    <hyperlink ref="D66" r:id="rId_hyperlink_61" tooltip="操作工在放炉门准备清理过程中，炉门突然跌落，砸伤1人，送医抢救无效死亡。"/>
    <hyperlink ref="D67" r:id="rId_hyperlink_62" tooltip="深度脱硫1号熔硫釜蒸汽出口管道泄漏，如果一名操作人员在开关阀门时，手腕被泄露出的蒸汽烫伤。到医务室治疗后在家休养15天后正常上班"/>
    <hyperlink ref="D68" r:id="rId_hyperlink_63" tooltip="西硫铵硫酸贮槽爬梯腐蚀严重，夜间巡检时，巡检人员不慎从爬梯踏空，造成右脚脚踝骨折，送医，住院15天，限工3月！"/>
    <hyperlink ref="D69" r:id="rId_hyperlink_64" tooltip="两盐放料底部管道法兰因腐蚀严重漏液，造成地面轻微腐蚀，操作工及时清理未造成环境污染。"/>
    <hyperlink ref="D70" r:id="rId_hyperlink_65" tooltip="粗苯冷凝液罐爬梯护笼开焊，假如一名操作工上下爬梯时由于爬梯护笼开焊造成操作人员不慎坠落造成操作人员左脚脚腕扭伤，住院治疗三天，在家休息十天后正常上班"/>
    <hyperlink ref="D71" r:id="rId_hyperlink_66" tooltip="粗苯北门消防通道，被活动栏杆阻挡，发生紧急情况时，人员出入不方便，容易造成拌倒摔伤，休息半天后继续工作。"/>
    <hyperlink ref="D72" r:id="rId_hyperlink_67" tooltip="2号耦合器调节用手操器按钮长时间使用出现破损，操作时极易造成误操作，极易发生冒烟冒火，风机停机重大环保事故，影响正常生产。"/>
    <hyperlink ref="D73" r:id="rId_hyperlink_68" tooltip="西硫铵工段热水泵出口管道保温铝皮脱落如果在大风天气一名操作工在巡检时经过此处可能被掉落的铝皮轻微划伤手臂简单包扎后能正常工作"/>
    <hyperlink ref="D74" r:id="rId_hyperlink_69" tooltip="机侧摩电轨接头连接板松动引发打火，造成设备断电。"/>
    <hyperlink ref="D75" r:id="rId_hyperlink_70" tooltip="深度脱硫三号熔硫釜处保温铝皮破损，如果操作人员在此处操作熔硫釜时，操作人员不小心会被翘起的保温铝皮划伤手臂，一名操作人员轻微划伤手臂简单包扎后正常工作。"/>
    <hyperlink ref="D76" r:id="rId_hyperlink_71" tooltip="煤棚西排水沟水泥盖板碎裂 夜班人员巡检时 踩到碎裂盖板 踩进水沟里 右小腿骨折 送医治疗 住院一个月 在家休养90天"/>
    <hyperlink ref="D77" r:id="rId_hyperlink_72" tooltip="东一给料机刮皮磨损严重 操作工清理卫生时 工具被搅入 扭伤胳膊  在家休息15天"/>
    <hyperlink ref="D78" r:id="rId_hyperlink_73" tooltip="溶液缓冲罐东侧空气管道腐蚀严重破裂，操作工巡检时及时发现通知维修处理，未造成设备的进一步损坏，环境污染"/>
    <hyperlink ref="D79" r:id="rId_hyperlink_74" tooltip="输煤操作工下天车时不慎摔倒，由于拦杆断裂，导致操作工坠落约六米高地面，造成左腿小腿粉碎性骨折，右小臂骨折，多处软组织损伤。"/>
    <hyperlink ref="D80" r:id="rId_hyperlink_75" tooltip="巡检人员巡检时，被破损盖板绊倒"/>
    <hyperlink ref="D81" r:id="rId_hyperlink_76" tooltip="氧化剂加药管道活节漏液，支架腐蚀断裂，如一人经过此处被断裂支架砸到安全帽上并蹭伤手臂，损工半天。"/>
    <hyperlink ref="D82" r:id="rId_hyperlink_77" tooltip="1号站生化好氧池观察口无防护网，一名操作人员在观察池内液位时，由于注意力不集中，不慎跌入好氧池内，导致溺水身亡。"/>
    <hyperlink ref="D83" r:id="rId_hyperlink_78" tooltip="维修工在维修盐酸管道时，为佩戴防护面罩，造成面部被盐酸轻微灼伤，面部红肿，损工三天，"/>
    <hyperlink ref="D84" r:id="rId_hyperlink_79" tooltip="东焦场南门封闭口下部挡板缺损，若1名人员自此穿行，前倾冲出时被正在通行车辆碰撞至肩膀"/>
    <hyperlink ref="D85" r:id="rId_hyperlink_80" tooltip="焦一机头改向滚筒破损导致划伤皮带，皮带断裂"/>
    <hyperlink ref="D86" r:id="rId_hyperlink_81" tooltip="盖板破损钢筋暴露，操作工巡检时被暴露钢筋绊倒划伤，腿部轻微流血，简单包扎处理，不影响工作。"/>
    <hyperlink ref="D87" r:id="rId_hyperlink_82" tooltip="巡检人员巡检时踩翻盖板，扭伤脚踝"/>
    <hyperlink ref="D88" r:id="rId_hyperlink_83" tooltip="操作工在日常巡检过程中，因地面存有积水在操作爬爬梯时脚步打滑导致滑倒，造成脚部崴伤，送往医院救治。"/>
    <hyperlink ref="D89" r:id="rId_hyperlink_84" tooltip="西侧水沟盖板腐蚀严重，一职工路经此处不慎踩空，右脚跌入沟内，造成脚面皮肤划伤，送医后，敷药抱扎，回家休养两天后复工"/>
    <hyperlink ref="D90" r:id="rId_hyperlink_85" tooltip="煤场北侧水沟盖板损坏，有一员工巡检时经过，不慎掉入。造成左腿受伤，送医院检查确珍为左小腿皮肤受伤，缝合五针住院治疗两天后回家休养五天复工。"/>
    <hyperlink ref="D91" r:id="rId_hyperlink_86" tooltip="钢钎未定置存放，一职工途经时，钢钎滑倒砸伤右脚脚部，送医后确诊为拇指骨折，住院治疗15天，休息90天，损工105天。"/>
    <hyperlink ref="D92" r:id="rId_hyperlink_87" tooltip="初冷器二层平台电线杂乱，一操作人员在夜晚冲洗初冷器时，因视线不好不慎被电线绊倒，手腕撞到护栏，造成手腕脱臼，去医院治疗后回家休养一周。"/>
    <hyperlink ref="D93" r:id="rId_hyperlink_88" tooltip="国贸建材煤气外供阀门阀体破裂出现裂痕，可能造成一名操作工单独开关阀门时因用力过猛阀门破裂，大量煤气泄漏无法控制，导致该操作工因吸入大量煤气当场中毒"/>
    <hyperlink ref="D94" r:id="rId_hyperlink_89" tooltip="汽轮机底层二号减温减压西侧电缆盖板损坏，有一名操作工巡检时，不慎掉入。造成右腿受伤出血，送医院缝合十针在医院治疗三天后出院。"/>
    <hyperlink ref="D95" r:id="rId_hyperlink_90" tooltip="焦渣掺配处一转动齿轮未安装防护罩，操作人员正常操作中不慎挤伤手臂，送医治疗。"/>
    <hyperlink ref="D96" r:id="rId_hyperlink_91" tooltip="一名操作工正在操作平台工作被仪表盘顶部电缆盖板砸伤，致使头部破裂流血，去医院治疗，需在家休息一周"/>
    <hyperlink ref="D97" r:id="rId_hyperlink_92" tooltip="粗苯再生器一层平台处悬挂一根铁管，巡检人员经常经过，夜间视线不清，假如安全帽未佩戴规范，可能造成人员被钢筋划伤面部。"/>
    <hyperlink ref="D98" r:id="rId_hyperlink_93" tooltip="硫酸贮槽处爬梯腐蚀严重，若一名操作工在巡检中，安全意识不强。踩到爬梯腐蚀严重部位实然断裂造成脚部轻度扭伤。休养二天。"/>
    <hyperlink ref="D99" r:id="rId_hyperlink_94" tooltip="汽轮机减温减压电动阀丝杠备帽脱落电动阀无法调节造成锅炉减负荷"/>
    <hyperlink ref="D100" r:id="rId_hyperlink_95" tooltip="2#再生塔回液管漏，由于脱硫液长期腐蚀，造成管道渗漏，如果长时间未发现，会脱硫液大面积喷出，造成重大环保事故。"/>
    <hyperlink ref="D101" r:id="rId_hyperlink_96" tooltip="炉门修理架顶南侧护栏确实，若1名职工侧身巡查时，不慎卡塞进炉门架空间内，造成胸部磕碰铁件"/>
    <hyperlink ref="D102" r:id="rId_hyperlink_97" tooltip="西硫铵四楼结晶槽回流管冲洗管有漏点，假如操作人员在三楼出料时，母液滴入眼睛里，造成眼球腐伤，在家修养三天恢复，造成一人损工事故。"/>
    <hyperlink ref="D103" r:id="rId_hyperlink_98" tooltip="1#轴流风扇平台有一支架用的三角铁脱落，假如一名操作工巡检时，不慎被绊倒，两胳膊多处擦伤，到医务室简单处理，没有影响工作。无误工。"/>
    <hyperlink ref="D104" r:id="rId_hyperlink_99" tooltip="脱硫南下水道盖板损坏严重，一操作工夜间巡检作业时未发现盖板损坏可能造成腿部绊倒擦伤，送医护室简单包扎不影响工作。"/>
    <hyperlink ref="D105" r:id="rId_hyperlink_100" tooltip="北脱硫氨气下液管管道法兰因腐蚀严重漏液，造成地面污染，操作工及时修复清理未造成环保事故。"/>
    <hyperlink ref="D106" r:id="rId_hyperlink_101" tooltip="煤场焦查掺配处，有钢筋翘起，煤场工作人员在工作时，被翘起的钢筋拌倒，导致左膝盖擦伤，送医务室包扎，在家休息三天！"/>
    <hyperlink ref="D107" r:id="rId_hyperlink_102" tooltip="南风机1#初冷器中段蒸汽阀门平台处有一块废弃铁皮，假设一名操作工在中夜班冲洗1#初冷器开中段蒸汽阀门时，被平台上铁皮绊倒磕伤膝盖，去医务室简单包扎后恢复工作。"/>
    <hyperlink ref="D108" r:id="rId_hyperlink_103" tooltip="汽轮机房地沟盖板缺失松动，操作工巡检经过时腿脚滑落至地沟内，导致腿部划伤,送医治疗。"/>
    <hyperlink ref="D109" r:id="rId_hyperlink_104" tooltip="北班长室东侧管架，管道保温铝皮脱落，如果在大风天气一名操作工在巡检时经过此处可能被掉落的铝皮轻微划伤手臂，简单包扎后能正常工作"/>
    <hyperlink ref="D110" r:id="rId_hyperlink_105" tooltip="煤气外供站去往溪水建材的煤气压力表短节焊口腐蚀断裂泄漏煤气，如果一名操作工到此处巡检时有可能会造成煤气中毒"/>
    <hyperlink ref="D111" r:id="rId_hyperlink_106" tooltip="老凉水架顶部电缆桥架盖板松动，如果一名操作工在大风天气巡检时经过此处，有可能会被掉落的盖板砸伤肩部"/>
    <hyperlink ref="D112" r:id="rId_hyperlink_107" tooltip="污水车在卸车时未放泊车木，导致溜车操作人员在对接管道时并压伤脚面。"/>
    <hyperlink ref="D113" r:id="rId_hyperlink_108" tooltip="操作工注意力不集中不慎从破碎观察孔掉出驾驶室造成摔伤。"/>
    <hyperlink ref="D114" r:id="rId_hyperlink_109" tooltip="电捕焦油器上部一根吹扫进电捕焦油器煤气管线的蒸汽胶皮管及固定胶皮管的铁管未及时撤走，如果一名巡检人员在巡检经过时，铁管坠落砸中巡检人员右肩部，造成一人右肩部轻微擦伤，送医务室简单处理后正常工作。"/>
    <hyperlink ref="D115" r:id="rId_hyperlink_110" tooltip="干熄炉二层平台铁板开焊，巡检人员路过不慎被绊倒，擦伤右手手掌，送医治疗损工半天"/>
    <hyperlink ref="D116" r:id="rId_hyperlink_111" tooltip="除盐水站二楼加药间加碱泵未固定，一员工巡检至加药间调节碱泵上量时，碱泵倾斜，员工被溅出的碱灼伤手部，立即用大量清水冲洗，皮肤发红无损工"/>
    <hyperlink ref="D117" r:id="rId_hyperlink_112" tooltip="北脱硫泵房北侧高处电缆桥架上遗留一根铁管，如果一名操作工在大风天气中巡检时，被大风吹落的铁管砸中左肩膀送往医院经诊断左肩膀骨裂住院治疗7天在家休养1个月。"/>
    <hyperlink ref="D118" r:id="rId_hyperlink_113" tooltip="空压站东管道保温铝皮破损，如果有人从下面经过，有可能铝皮突然坠落会造成人员脸部轻微擦伤，去医务室简单包扎后复工。"/>
    <hyperlink ref="D119" r:id="rId_hyperlink_114" tooltip="老超滤设备东南侧地沟石板盖板断裂，巡检人员巡检时右脚掉入地沟内，右小腿擦伤"/>
    <hyperlink ref="D120" r:id="rId_hyperlink_115" tooltip="南风机初冷器东北角高处电缆桥架上有一块废弃线路板，如果一名操作人员在大风天气中巡检时，废弃线路板被大风吹落划伤右手部，经包扎后不影响工作。"/>
    <hyperlink ref="D121" r:id="rId_hyperlink_116" tooltip="煤六后尾彩钢架顶部彩钢瓦铁皮脱落，行人行至煤六时铁皮被风吹落划伤行人脖颈，送医院包扎在家休息七天！"/>
    <hyperlink ref="D122" r:id="rId_hyperlink_117" tooltip="煤棚西北角水沟篦子破损，夜间煤场人员在巡检时不慎踩在破损的篦子处，导致左小腿划伤，送医务室包扎，在家休息三天！"/>
    <hyperlink ref="D123" r:id="rId_hyperlink_118" tooltip="干熄焦5#减温减压三层平台东侧墙体有1米见方洞口无有效护栏，岗位人员夜间巡检时不慎踩空，从7米高洞口处坠落至外部地面，头部着地摔伤昏迷"/>
    <hyperlink ref="D124" r:id="rId_hyperlink_119" tooltip="溶液缓冲泵新按装进液管线未加支撑，如果管线堵塞需要疏通，一名维修工在进行拆卸时可能被掉落的管道砸伤脚部，造成脚部骨折，送医院治疗一个月，回家休养两个月后复工"/>
    <hyperlink ref="D125" r:id="rId_hyperlink_120" tooltip="煤八后尾破碎机下料筒振动电机电源线未套管 线皮磨损漏电 操作工清理卫生时不慎触电摔倒 扭伤脚踝  休息一会不影响工作"/>
    <hyperlink ref="D126" r:id="rId_hyperlink_121" tooltip="煤五斜桥一照明灯损坏  操作工巡检上下楼梯 不慎摔倒右前臂骨折 送医治疗 住院一个月 在家休养91天"/>
    <hyperlink ref="D127" r:id="rId_hyperlink_122" tooltip="西硫铵三楼热水分离器无包装，缺失安全警示牌。假如在日常操作中一名操作工在工作时碰到了热水分离上人问，右手被烫伤，紧急用凉水冲洗后送医院治疗，在家修养七天后正常上班。"/>
    <hyperlink ref="D128" r:id="rId_hyperlink_123" tooltip="西四电缆线未按套管线头外漏，岗位操作工在工作时，左手不慎碰到外漏线头，导致左手电伤在家休息三天！"/>
    <hyperlink ref="D129" r:id="rId_hyperlink_124" tooltip="24日晚付晓寺在巡检到冷凝液低位槽西南侧时发现低位槽照明线路穿线管有烟雾冒出，观察穿线管破损处电线有打火现象，于是立即切断电源，并通知电工进行处理。电工检查处理完毕后送电恢复正常"/>
    <hyperlink ref="D130" r:id="rId_hyperlink_125" tooltip="一名操作工在主副塔疏通管道作业时，不慎从六米平台坠落受伤。"/>
    <hyperlink ref="D131" r:id="rId_hyperlink_126" tooltip="一名风机操作工在巡检过程中发现风机房内东北角支撑柱上方有旧复合板悬挂，一旦有人经过，旧复合板掉落，造成操作工右臂砸伤，住院治疗5天，出院后返工，损工5天。"/>
    <hyperlink ref="D132" r:id="rId_hyperlink_127" tooltip="初冷器东南角框架上维修人员拆卸的铝皮未及时复原（清理），如果一名操作工在清理草坪时，铝皮被大风吹落砸中操作工的后背，造成后背轻微擦伤，不影响工作，正常上班"/>
    <hyperlink ref="D133" r:id="rId_hyperlink_128" tooltip="西硫铵硫酸低位槽装卸车接地线因长年使用被腐蚀断裂。如果在无人监护的情况下，司机私自卸硫酸并且未按规定使用接地线，在卸车过程中可能会引发静电着火，操作工巡检时发现并及时制止才避免了一场安全事故的发生。"/>
    <hyperlink ref="D134" r:id="rId_hyperlink_129" tooltip="车间宣传栏玻璃破裂未及时更换，职工在擦拭宣传栏时不慎将手划伤，送医务室包扎，在家休息三天！"/>
    <hyperlink ref="D135" r:id="rId_hyperlink_130" tooltip="2号初冷器出口管与初冷器本体连接处有20公分焊口开裂 初冷器属于负压设备 长时间吸入空气影响含氧超标 影响电捕使用 有爆炸的危险！"/>
    <hyperlink ref="D136" r:id="rId_hyperlink_131" tooltip="4#减温减压电动调节阀阀门压盖漏汽，巡检人员巡检至此时被突然漏出的高温高压蒸汽烫伤右侧手臂，送医院救治。"/>
    <hyperlink ref="D137" r:id="rId_hyperlink_132" tooltip="给水泵处漏气，如果一维修工在维修流量计会造成右手臂烫伤，在家休养3天，损工三天"/>
    <hyperlink ref="D138" r:id="rId_hyperlink_133" tooltip="一操作工从挡风墙下经过，被挡风墙网片损坏部分脱落砸伤右臂，送医确诊为右小臂骨折，住院15天，在家休养2个月后复工。"/>
    <hyperlink ref="D139" r:id="rId_hyperlink_134" tooltip="汽轮机七米至楼顶减温减压爬梯无防滑条，一员工在巡检完下爬梯时，不慎脚底打滑  从五米高处摔落至下方平台，送医救治。"/>
    <hyperlink ref="D140" r:id="rId_hyperlink_135" tooltip="粗苯终冷器下液管保温铝皮破损，如果一名操作工在巡检时从下面经过，铝皮掉落砸中操作工的后背，造成后背轻微擦伤，到医务室处理后，正常上班。"/>
    <hyperlink ref="D141" r:id="rId_hyperlink_136" tooltip="煤场人员在指挥生产作业时，被地面翘起的钢筋绊倒，双手扑地，手掌擦伤。"/>
    <hyperlink ref="D142" r:id="rId_hyperlink_137" tooltip="如果一名操作工，在冲洗初冷器时，上下楼梯被人孔盖伴倒，造成右腿皮肤划伤，去医务室治疗后，正常上班"/>
    <hyperlink ref="D143" r:id="rId_hyperlink_138" tooltip="操作室配点盘附近地板砖破裂，地板砖下是电缆通道，地板砖下有大量电缆电线，操作工在路过时不慎踩到破裂地板砖，掉入电缆通道"/>
    <hyperlink ref="D144" r:id="rId_hyperlink_139" tooltip="一操作工巡检，二层玻璃破裂掉碎玻璃扎到脖子上，造成大面积出血，送医院就治"/>
    <hyperlink ref="D145" r:id="rId_hyperlink_140" tooltip="脱硫液换热器倒淋阀开焊漏蒸汽，夜间巡检工开阀门时，蒸汽喷到右手臂，造成轻微烫伤，损工三天，"/>
    <hyperlink ref="D146" r:id="rId_hyperlink_141" tooltip="脱硫液换热器倒淋阀开焊口开焊漏蒸汽，夜间巡检工开阀门时蒸汽喷到右手臂，造成轻微烫伤，损工三天。"/>
    <hyperlink ref="D147" r:id="rId_hyperlink_142" tooltip="一名操作工在攀爬初冷器东侧爬梯时，因爬梯无护笼致使该操作工坠落到地面，导致右小腿骨折，送医救治，治疗三个月后恢复出院，损工三个月。"/>
    <hyperlink ref="D148" r:id="rId_hyperlink_143" tooltip="洗苯塔液位计保温铝皮破损，如果操作工在巡检时路过，铝皮掉落砸中操作工颈部，造成颈部轻微擦伤，医务室简单治疗，正常上班。"/>
    <hyperlink ref="D149" r:id="rId_hyperlink_144" tooltip="化产车间粗苯一名巡检工在终冷塔下面巡检时，二层平台螺栓未清理，如果平台螺栓掉落，砸到巡检工身上，造成巡检工肩部受伤，经送医诊断，肩部轻微伤。"/>
    <hyperlink ref="D150" r:id="rId_hyperlink_145" tooltip="一名操作工用蒸汽吹扫风机下液管时，阀门垫子破损，喷出蒸汽，操作工手臂被轻微烫伤，及时用清水冲洗，返回工作岗位，无损工。"/>
    <hyperlink ref="D151" r:id="rId_hyperlink_146" tooltip="北脱硫浮油器爬梯开焊，一名操作工巡检浮油器时。安全意识不强，下爬梯时踩到开焊部位，滑倒落地，立即就医"/>
    <hyperlink ref="D152" r:id="rId_hyperlink_147" tooltip="一小井盖板遮盖不严，一旦巡检人员经过时，一只脚踩蹭，导致小腿部被铁板划伤，经医院处理包扎后，在家休养7天后康复，造成一人损工事故。"/>
    <hyperlink ref="D153" r:id="rId_hyperlink_148" tooltip="2#站中间水池盖板腐蚀严重，如果一名操作人员在巡检过程中不慎踩到，造成右小腿多处轻度划伤，送医处理后在家休息三天。"/>
    <hyperlink ref="D154" r:id="rId_hyperlink_149" tooltip="南脱硫二楼压滤机房西侧有一斜放的铁板。操作工在清理地面卫生时，有可能触碰到铁板使铁板滑倒碰伤人员脚部，造成右脚划伤，"/>
    <hyperlink ref="D155" r:id="rId_hyperlink_150" tooltip="南风机1#初冷器二层平台北侧去洗涤塔爬梯无警示牌，爬梯高1.5米，如果一名操作人员在爬该爬梯时风险辩识不到位从爬梯掉落，造成一人右脚腕轻度扭伤，经简单处理后不影响正常工作。"/>
    <hyperlink ref="D156" r:id="rId_hyperlink_151" tooltip="一名员工进入户外平台时，因安全门未关闭，不慎滑入下方爬梯，完成身体多处软组织受伤，在家休养三天后复工。"/>
    <hyperlink ref="D157" r:id="rId_hyperlink_152" tooltip="值班室西侧水沟破损，一职工经过时不慎踏入水沟，腿部受伤，造成腿部骨折，住院治疗一个月，在家休养2个月，误工90天"/>
    <hyperlink ref="D158" r:id="rId_hyperlink_153" tooltip="干熄焦主控室内，地面砖翘起，一名员工从此处走，被绊倒，从地面起来后回到岗位继续工作，未造成人员伤害。"/>
    <hyperlink ref="D159" r:id="rId_hyperlink_154" tooltip="东四二中号配料称配料铁磨损过大，职工在操作过程中不慎挤伤手部，去医务室检查后手部皮肉受伤，经包扎后休息三天。"/>
    <hyperlink ref="D160" r:id="rId_hyperlink_155" tooltip="制氮机消音过滤器在制氮机组的长期震动下，一消音过滤器振落下来，打到正在巡检的操作工，造成腿部轻微碰伤，休息片刻后继续工作。"/>
    <hyperlink ref="D161" r:id="rId_hyperlink_156" tooltip="东三卸料车行走电机开焊，人员操作时电机掉落砸伤脚面，住院治疗脚面骨折需住院一个月，在家修养两个月，"/>
    <hyperlink ref="D162" r:id="rId_hyperlink_157" tooltip="降尘泵护罩底部护栏开焊斜出，操作人员经过时绊倒，造成膝盖擦伤。"/>
    <hyperlink ref="D163" r:id="rId_hyperlink_158" tooltip="液氨罐出口阀门填料漏，如果一名职工巡检到此处，造成呼吸道灼伤，经洗消后，立即复工。"/>
    <hyperlink ref="D164" r:id="rId_hyperlink_159" tooltip="煤八后尾振动电机电源线未在套管内，振动摩擦绝缘层磨破，操作人员清擦机架时，误触电源线触电击倒，送医院治疗一个月，在家修养一个月。"/>
    <hyperlink ref="D165" r:id="rId_hyperlink_160" tooltip="环境除尘4#卸灰电机叶轮无防护罩，操作工在给4#灰仓卸灰，走到电机处观看是否下灰，叶轮松动脱落飞起划伤人员脸部，需要住院治疗半个月，造成损工事故。"/>
    <hyperlink ref="D166" r:id="rId_hyperlink_161" tooltip="深度脱硫拉货车辆司机安全帽带子未系，假如在装货过程中物料撒落，由于人员安全帽绳没有悬挂，造成安全帽脱落砸伤头部，送医院治疗七天，在家休息五天后正常上班。"/>
    <hyperlink ref="D167" r:id="rId_hyperlink_162" tooltip="脱硫泡沫板顶部盖板遮盖不严,一旦巡检人员经过时,一只脚踩蹭被铁板划伤腿部,经医院包扎,在家休养7天后康复,造成一人损工事故"/>
    <hyperlink ref="D168" r:id="rId_hyperlink_163" tooltip="一楼加药间地面水泥盖板破损，还有铁质盖板，两种盖板高低不平，一员工巡检至此时一脚踏空，摔倒，送医确诊胳膊骨裂，误工3天。"/>
    <hyperlink ref="D169" r:id="rId_hyperlink_164" tooltip="东一地沟1#给料机电机护罩缺失，运行中操作人员清理卫生，右手被转动的叶轮割伤腕骨扭伤，送医院治疗一个月，在家修养2个月。"/>
    <hyperlink ref="D170" r:id="rId_hyperlink_165" tooltip="撕裂的挡风网片斜倚在西二外部爬梯上，操作人员在通过时被网片绊倒割伤面部，清洗包扎后继续工作。"/>
    <hyperlink ref="D171" r:id="rId_hyperlink_166" tooltip="液氨罐出口阀门填料漏，如果一名职工巡检到此处，造成呼吸道灼伤，经洗消后，立即复工。"/>
    <hyperlink ref="D172" r:id="rId_hyperlink_167" tooltip="75t减温减压管线电动阀填料螺丝松动，如果一巡检工巡检到此处时，突然发生蒸汽泄露，可能导致左手臂烫伤，用清水冲洗后送往医院就医，在家修养3天，损工3天"/>
    <hyperlink ref="D173" r:id="rId_hyperlink_168" tooltip="南风机初冷器一层一盏照明灯罩破损，阴雨天气雨水一旦流进灯罩内，夜间开启电源，灯罩内的水与热灯泡交替造成灯泡爆炸停电，影响生产。"/>
    <hyperlink ref="D174" r:id="rId_hyperlink_169" tooltip="一名化学水操作工在巡检时不慎从爬梯上滑倒摔到地面，造成左手前臂骨折。住"/>
    <hyperlink ref="D175" r:id="rId_hyperlink_170" tooltip="1618破碎机房上方玻璃破裂，一人员经过时，玻璃掉落，不慎割伤胳膊，造成皮肉伤害，住院治疗后，在家休养7天"/>
    <hyperlink ref="D176" r:id="rId_hyperlink_171" tooltip="预冷塔水封爬梯，支撑腿残缺，假如一操作工，在夜间视线模糊的情况下，未发现爬梯的异常，爬到爬梯上关阀门，导致从爬梯上摔落。"/>
    <hyperlink ref="D177" r:id="rId_hyperlink_172" tooltip="深度处理工段DEC过滤罐上人孔处漏水，检修人员爬上脚手架查看漏点时没有系安全带，致使人员跌落造成脊椎骨断裂，损工一年。"/>
    <hyperlink ref="D178" r:id="rId_hyperlink_173" tooltip="1618破碎机平台护栏开焊 操作工清理卫生时 不慎掉落 右腿骨折 送医治疗 住院一个月 在家休养90天"/>
    <hyperlink ref="D179" r:id="rId_hyperlink_174" tooltip="西线挡风网松动掉落 有人员从此处经过 防风网掉落 砸到头上 送医治疗抢救无效死亡"/>
    <hyperlink ref="D180" r:id="rId_hyperlink_175" tooltip="4.3焦炉捣固塔西侧铁皮锈蚀坠落，一操作工巡检路过被砸中"/>
    <hyperlink ref="D181" r:id="rId_hyperlink_176" tooltip="热力东区污水地沟一块盖板老化，一操作工夜班巡检时，右脚踩在盖板上盖板断裂，造成右脚脱臼。"/>
    <hyperlink ref="D182" r:id="rId_hyperlink_177" tooltip="蒸汽吹扫胶管开裂，假如一名操作工在用蒸汽吹扫管道作业中，开蒸汽阀门过大，开裂的胶管断裂，阀门关闭不及时，胶管在蒸汽压力下漫天飞舞，造成该操作工脸部烫伤，去医院住院治疗七天，回家修养三天上班，损工十天。"/>
    <hyperlink ref="D183" r:id="rId_hyperlink_178" tooltip="值班室西侧201水池北侧水沟缺失一块盖板，夜间操作工在巡检时不慎掉入水沟导致双腿划伤送医务室包扎，在家休养七天！"/>
    <hyperlink ref="D184" r:id="rId_hyperlink_179" tooltip="巡检人员在巡查过程中因无警示牌造成巡查人员头部碰伤。"/>
    <hyperlink ref="D185" r:id="rId_hyperlink_180" tooltip="5.5米推焦车平台竖梯子，推焦车行走过程中梯子倾倒"/>
    <hyperlink ref="D186" r:id="rId_hyperlink_181" tooltip="煤八机头护栏拆除后未及时按装，正在巡查人员未发现地面障碍物(护栏)被拌倒造成右臂骨折，住院治疗1个月，在家休养2个月。"/>
    <hyperlink ref="D187" r:id="rId_hyperlink_182" tooltip="4楼取样管母液阀门有一砂眼往外渗液，因母液有腐蚀性如不及时处理，砂眼就会扩大，到时母液会大量溢出，造成环保事故。"/>
    <hyperlink ref="D188" r:id="rId_hyperlink_183" tooltip="3号站洗眼器上方一3米长桥架板被风吹起,挂在桥架上方摇摇欲坠,巡检人员察看洗眼器情况时，被坠落下来的桥架板击中胳膊，造成胳膊脱臼，经送医院恢复后在家休息两天康复。"/>
    <hyperlink ref="D189" r:id="rId_hyperlink_184" tooltip="三米高的皮带输送机滚筒支架断裂，仅有一点连接，大风天气，有一操作人员在下方经过时，滚筒被大风刮落，划伤操作人员脸部，回家休养一周"/>
    <hyperlink ref="D190" r:id="rId_hyperlink_185" tooltip="75T锅炉顶电动葫芦电源线损坏，维修人员在现场施工时，易发生触电事故，造成事故人员住院，住院5天，损工5天"/>
    <hyperlink ref="D191" r:id="rId_hyperlink_186" tooltip="化学水二楼南侧玻璃破损，一员工擦拭玻璃时，右手手掌不慎被破损的玻璃割伤，送往医院包扎，在家休息7天后恢复健康上班。"/>
    <hyperlink ref="D192" r:id="rId_hyperlink_187" tooltip="煤六机头电机护罩螺丝缺失，护罩磨损，人员擦拭电机时，被磨损的电机护罩擦伤手部，经送医务室简单包扎后，继续上班，造成损工三天。"/>
  </hyperlinks>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隐患动态跟踪表</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丁杰</dc:creator>
  <cp:lastModifiedBy>丁杰</cp:lastModifiedBy>
  <dcterms:created xsi:type="dcterms:W3CDTF">2020-04-11T15:38:04+08:00</dcterms:created>
  <dcterms:modified xsi:type="dcterms:W3CDTF">2020-04-11T15:38:04+08:00</dcterms:modified>
  <dc:title>潍坊振兴焦化有限公司隐患动态跟踪</dc:title>
  <dc:description>file generated using system</dc:description>
  <dc:subject>2020年3月报告</dc:subject>
  <cp:keywords>隐患排查</cp:keywords>
  <cp:category/>
</cp:coreProperties>
</file>