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隐患动态跟踪表" sheetId="1" r:id="rId4"/>
  </sheets>
  <definedNames/>
  <calcPr calcId="999999" calcMode="auto" calcCompleted="1" fullCalcOnLoad="0"/>
</workbook>
</file>

<file path=xl/sharedStrings.xml><?xml version="1.0" encoding="utf-8"?>
<sst xmlns="http://schemas.openxmlformats.org/spreadsheetml/2006/main" uniqueCount="1191">
  <si>
    <t>潍坊振兴焦化有限公司安全生产KPI指标报表（隐患动态跟踪表）</t>
  </si>
  <si>
    <t>2020年4月</t>
  </si>
  <si>
    <t>隐患基本信息</t>
  </si>
  <si>
    <t>隐患特征</t>
  </si>
  <si>
    <t>数据分析</t>
  </si>
  <si>
    <t>整改方向</t>
  </si>
  <si>
    <t>整改情况</t>
  </si>
  <si>
    <t>序号</t>
  </si>
  <si>
    <t>发现日期</t>
  </si>
  <si>
    <t>区域</t>
  </si>
  <si>
    <t>隐患描述</t>
  </si>
  <si>
    <t>潜在后果</t>
  </si>
  <si>
    <t>状态</t>
  </si>
  <si>
    <t>紧急程度</t>
  </si>
  <si>
    <t>来源</t>
  </si>
  <si>
    <t>隐患类型1</t>
  </si>
  <si>
    <t>隐患类型2</t>
  </si>
  <si>
    <t>隐患类型3</t>
  </si>
  <si>
    <t>隐患类型4</t>
  </si>
  <si>
    <t>发现单位</t>
  </si>
  <si>
    <t>发现人</t>
  </si>
  <si>
    <t>责任部门</t>
  </si>
  <si>
    <t>责任领导</t>
  </si>
  <si>
    <t>整改期限</t>
  </si>
  <si>
    <t>具体位置</t>
  </si>
  <si>
    <t>核查评语</t>
  </si>
  <si>
    <t>后果类别</t>
  </si>
  <si>
    <t>严重性</t>
  </si>
  <si>
    <t>可能性</t>
  </si>
  <si>
    <t>风险级别</t>
  </si>
  <si>
    <t>整改方向1</t>
  </si>
  <si>
    <t>整改方向2</t>
  </si>
  <si>
    <t>整改措施</t>
  </si>
  <si>
    <t>措施数</t>
  </si>
  <si>
    <t>完成数</t>
  </si>
  <si>
    <t>整改进度</t>
  </si>
  <si>
    <t>复查人员</t>
  </si>
  <si>
    <t>复查日期</t>
  </si>
  <si>
    <t>说明</t>
  </si>
  <si>
    <t>20-2-12</t>
  </si>
  <si>
    <t>风机初冷器</t>
  </si>
  <si>
    <t>人员伤害</t>
  </si>
  <si>
    <t>已整改</t>
  </si>
  <si>
    <t>一般</t>
  </si>
  <si>
    <t>隐患排查</t>
  </si>
  <si>
    <t>其他行为性危险和有害因素</t>
  </si>
  <si>
    <t>设备、设施、工具、附件缺陷</t>
  </si>
  <si>
    <t>室外作业场地环境不良</t>
  </si>
  <si>
    <t>其他管理因素缺陷</t>
  </si>
  <si>
    <t>化产车间</t>
  </si>
  <si>
    <t>于松江</t>
  </si>
  <si>
    <t>刘永鹏</t>
  </si>
  <si>
    <t>20-3-13</t>
  </si>
  <si>
    <t>初冷器二屋平台</t>
  </si>
  <si>
    <t>C2</t>
  </si>
  <si>
    <t>F2</t>
  </si>
  <si>
    <t>IV</t>
  </si>
  <si>
    <t>√ 设立警示牌</t>
  </si>
  <si>
    <t>100%</t>
  </si>
  <si>
    <t>20-4-18</t>
  </si>
  <si>
    <t>已经切割</t>
  </si>
  <si>
    <t>污水处理车间深度处理</t>
  </si>
  <si>
    <t>蹭伤手臂，损工半天</t>
  </si>
  <si>
    <t>污水处理车间</t>
  </si>
  <si>
    <t>闫庚全</t>
  </si>
  <si>
    <t>张林蕾</t>
  </si>
  <si>
    <t>20-4-14</t>
  </si>
  <si>
    <t>加药管道</t>
  </si>
  <si>
    <t>F1</t>
  </si>
  <si>
    <t>机械完整性</t>
  </si>
  <si>
    <t>√ 维修更换活接</t>
  </si>
  <si>
    <t>20-4-7</t>
  </si>
  <si>
    <t>20-3-15</t>
  </si>
  <si>
    <t>化产车间粗苯</t>
  </si>
  <si>
    <t>轻微划伤，包扎后继续上班</t>
  </si>
  <si>
    <t>辨识功能缺陷</t>
  </si>
  <si>
    <t>脚手架、阶梯或活动梯架缺陷</t>
  </si>
  <si>
    <t>王璇</t>
  </si>
  <si>
    <t>20-4-15</t>
  </si>
  <si>
    <t>再生器一层平台</t>
  </si>
  <si>
    <t>√ 清除钢筋铁管</t>
  </si>
  <si>
    <t>化产车间南脱硫</t>
  </si>
  <si>
    <t>脱硫液喷出，造成重大环保事故。</t>
  </si>
  <si>
    <t>李贞涛</t>
  </si>
  <si>
    <t>2#再生塔</t>
  </si>
  <si>
    <t>环境污染</t>
  </si>
  <si>
    <t>C1</t>
  </si>
  <si>
    <t>√ 降低也为进行检修，更换管线</t>
  </si>
  <si>
    <t>20-4-11</t>
  </si>
  <si>
    <t>化产车间北脱硫</t>
  </si>
  <si>
    <t>送医护室简单包扎不影响工作</t>
  </si>
  <si>
    <t>防护缺陷</t>
  </si>
  <si>
    <t>其他作业环境不良</t>
  </si>
  <si>
    <t>高德钦</t>
  </si>
  <si>
    <t>20-4-16</t>
  </si>
  <si>
    <t>北脱硫南下水道</t>
  </si>
  <si>
    <t>√ 对地沟破损的水泥盖板更换或者遮挡铁板</t>
  </si>
  <si>
    <t>20-3-16</t>
  </si>
  <si>
    <t>汽轮机</t>
  </si>
  <si>
    <t>腿部皮肉划伤，包扎处理，损工一天。</t>
  </si>
  <si>
    <t>建筑物和其他结构缺陷</t>
  </si>
  <si>
    <t>炼焦车间</t>
  </si>
  <si>
    <t>郭峰祥</t>
  </si>
  <si>
    <t>20-4-17</t>
  </si>
  <si>
    <t>汽机房零米</t>
  </si>
  <si>
    <t>确保操作现场良好，防止人员失足受伤</t>
  </si>
  <si>
    <t>F3</t>
  </si>
  <si>
    <t>III</t>
  </si>
  <si>
    <t>√ 尽快加装盖板，确保地沟处于盖板全覆盖状态，防止人员失足受伤</t>
  </si>
  <si>
    <t>地沟已加装盖板。</t>
  </si>
  <si>
    <t>北班长室东侧管架</t>
  </si>
  <si>
    <t>一名操作工轻微划伤手臂，简单包扎后正常工作</t>
  </si>
  <si>
    <t>胡福颖</t>
  </si>
  <si>
    <t>√ 清除框架铝皮</t>
  </si>
  <si>
    <t>20-3-17</t>
  </si>
  <si>
    <t>污水2#站</t>
  </si>
  <si>
    <t>压伤脚面休息2天</t>
  </si>
  <si>
    <t>行为性危险有害因素</t>
  </si>
  <si>
    <t>物理性危险和有害因素</t>
  </si>
  <si>
    <t>李强</t>
  </si>
  <si>
    <t>20-3-31</t>
  </si>
  <si>
    <t>2#站</t>
  </si>
  <si>
    <t>隐患很有现实教育意义</t>
  </si>
  <si>
    <t>√ 添加泊车木</t>
  </si>
  <si>
    <t>20-4-5</t>
  </si>
  <si>
    <t>立即整改</t>
  </si>
  <si>
    <t>20-3-18</t>
  </si>
  <si>
    <t>化学水超滤室</t>
  </si>
  <si>
    <t>一人擦伤右小腿，去医务室治疗。</t>
  </si>
  <si>
    <t>室内作业环境不良</t>
  </si>
  <si>
    <t>热力车间</t>
  </si>
  <si>
    <t>崔艳艳</t>
  </si>
  <si>
    <t>于连成</t>
  </si>
  <si>
    <t>20-4-19</t>
  </si>
  <si>
    <t>超滤设备南侧地沟</t>
  </si>
  <si>
    <t>C3</t>
  </si>
  <si>
    <t>√ 重新制作更换盖板
× 盖好，保持盖板齐全</t>
  </si>
  <si>
    <t>20-4-1</t>
  </si>
  <si>
    <t>地沟盖板断裂处制作铁制盖板覆盖。</t>
  </si>
  <si>
    <t>南风机岗位及配电室</t>
  </si>
  <si>
    <t>一人右手部划伤不影响工作</t>
  </si>
  <si>
    <t>党传清</t>
  </si>
  <si>
    <t>初冷器东北角</t>
  </si>
  <si>
    <t>√ 清除线路板</t>
  </si>
  <si>
    <t>20-4-12</t>
  </si>
  <si>
    <t>20-3-21</t>
  </si>
  <si>
    <t>南风机</t>
  </si>
  <si>
    <t>造成操作工右臂砸伤，住院治疗5天，出院后返工，损工5天。</t>
  </si>
  <si>
    <t>夏园园</t>
  </si>
  <si>
    <t>20-4-21</t>
  </si>
  <si>
    <t>风机房内支撑柱上方</t>
  </si>
  <si>
    <t>II</t>
  </si>
  <si>
    <t>√ 清除复合板</t>
  </si>
  <si>
    <t>20-4-3</t>
  </si>
  <si>
    <t>20-3-25</t>
  </si>
  <si>
    <t>热力车间25t锅炉</t>
  </si>
  <si>
    <t>造成右手臂烫伤，在家休养3天，损工3天</t>
  </si>
  <si>
    <t>关闭</t>
  </si>
  <si>
    <t>高温物质</t>
  </si>
  <si>
    <t>董爱梅</t>
  </si>
  <si>
    <t>给水泵处蒸汽管线</t>
  </si>
  <si>
    <t>账号输入错误，重新提报</t>
  </si>
  <si>
    <t>0%</t>
  </si>
  <si>
    <t>20-3-23</t>
  </si>
  <si>
    <t>造成操作工右脚脚踝扭伤，右小腿外侧划伤，住院治疗一周误工半月</t>
  </si>
  <si>
    <t>董丽霞</t>
  </si>
  <si>
    <t>热力西区操作室</t>
  </si>
  <si>
    <t>此项目需提报物资计划更换地板</t>
  </si>
  <si>
    <t>F4</t>
  </si>
  <si>
    <t>化水</t>
  </si>
  <si>
    <t>刘新才</t>
  </si>
  <si>
    <t>20-7-31</t>
  </si>
  <si>
    <t>化水二层</t>
  </si>
  <si>
    <t>√ 更换新玻璃
× 大风天气关好门窗</t>
  </si>
  <si>
    <t>拆除破碎玻璃更换新玻璃。</t>
  </si>
  <si>
    <t>南化产</t>
  </si>
  <si>
    <t>人员烫伤</t>
  </si>
  <si>
    <t>20-4-24</t>
  </si>
  <si>
    <t>鼓风机</t>
  </si>
  <si>
    <t>√ 更换阀门垫子</t>
  </si>
  <si>
    <t>送医院治疗15天，在家休养2元月。损工一人。</t>
  </si>
  <si>
    <t>刘明壮</t>
  </si>
  <si>
    <t>20-4-26</t>
  </si>
  <si>
    <t>浮油器爬梯</t>
  </si>
  <si>
    <t>√ 加固爬梯护栏</t>
  </si>
  <si>
    <t>电气运行区域</t>
  </si>
  <si>
    <t>停炉检修五天，造成经济损失140万元</t>
  </si>
  <si>
    <t>待整改</t>
  </si>
  <si>
    <t>其他物理性危险和有害因素</t>
  </si>
  <si>
    <t>刘彬</t>
  </si>
  <si>
    <t>孙连祥</t>
  </si>
  <si>
    <t>20-5-11</t>
  </si>
  <si>
    <t>空压机房</t>
  </si>
  <si>
    <t>保养不及时造成设备问题影响大局</t>
  </si>
  <si>
    <t>财产损失</t>
  </si>
  <si>
    <t>C4</t>
  </si>
  <si>
    <t>I</t>
  </si>
  <si>
    <t>标准、流程</t>
  </si>
  <si>
    <t>× 进行保养，确保设备油润滑正常，防止出现停机故障</t>
  </si>
  <si>
    <t>一人受伤损工7天</t>
  </si>
  <si>
    <t>付洪国</t>
  </si>
  <si>
    <t>脱硫泡沫板顶部</t>
  </si>
  <si>
    <t>√ 复位人孔盖，盖严</t>
  </si>
  <si>
    <t>除盐水站</t>
  </si>
  <si>
    <t>员工摔伤，胳膊骨裂，误工三天</t>
  </si>
  <si>
    <t>毕玉宁</t>
  </si>
  <si>
    <t>王安博</t>
  </si>
  <si>
    <t>20-4-29</t>
  </si>
  <si>
    <t>一楼加药间</t>
  </si>
  <si>
    <t>避免地面不平整性造成人员摔伤</t>
  </si>
  <si>
    <t>√ 铁篦子与水泥盖板之间焊加铁板，水泥盖板与篦子之间形成高度逐步变化的斜坡，防止伤人</t>
  </si>
  <si>
    <t>锅炉</t>
  </si>
  <si>
    <t>在家修养3天，损工3天</t>
  </si>
  <si>
    <t>郝德志</t>
  </si>
  <si>
    <t>20-5-1</t>
  </si>
  <si>
    <t>75t减温减压管线</t>
  </si>
  <si>
    <t>√ 紧固螺栓
√ 人员注意防烫伤防护</t>
  </si>
  <si>
    <t>减温阀丝杠备帽重新紧固。</t>
  </si>
  <si>
    <t>造成灯泡爆炸停电，影响生产。</t>
  </si>
  <si>
    <t>刘善华</t>
  </si>
  <si>
    <t>初冷器</t>
  </si>
  <si>
    <t>√ 更换照明设备</t>
  </si>
  <si>
    <t>住院治疗，损工2个月</t>
  </si>
  <si>
    <t>姜宁</t>
  </si>
  <si>
    <t>化学水水池</t>
  </si>
  <si>
    <t>自身原因造成，注意提升人员自身安全意识，下楼梯抓牢扶手，小心慢行。</t>
  </si>
  <si>
    <t>20-3-27</t>
  </si>
  <si>
    <t>污水处理预处理</t>
  </si>
  <si>
    <t>脚手架跌落致脊椎骨断裂</t>
  </si>
  <si>
    <t>张海娜</t>
  </si>
  <si>
    <t>20-4-6</t>
  </si>
  <si>
    <t>深度处理</t>
  </si>
  <si>
    <t>培训和表现</t>
  </si>
  <si>
    <t>√ 加强培训</t>
  </si>
  <si>
    <t>4.3焦炉捣固煤塔</t>
  </si>
  <si>
    <t>造成操作工面部肩部大面积创伤，住院治疗七天，损工15天</t>
  </si>
  <si>
    <t>刘连刚</t>
  </si>
  <si>
    <t>20-5-9</t>
  </si>
  <si>
    <t>注意到了高处坠物伤人的风险</t>
  </si>
  <si>
    <t>√ 请除高处易坠物品并保持</t>
  </si>
  <si>
    <t>20-4-20</t>
  </si>
  <si>
    <t>入院简易复位治疗，误工三天在家养护。</t>
  </si>
  <si>
    <t>刘敬涛</t>
  </si>
  <si>
    <t>热力东区</t>
  </si>
  <si>
    <t>√ 重新制作盖板
× 规范盖好盖板</t>
  </si>
  <si>
    <t>铺设地沟盖板。</t>
  </si>
  <si>
    <t>20-3-28</t>
  </si>
  <si>
    <t>头部碰伤误工三天。</t>
  </si>
  <si>
    <t>胡汉东</t>
  </si>
  <si>
    <t>75吨锅炉</t>
  </si>
  <si>
    <t>√ 悬挂“小心碰头”警示牌
× 人员安全帽等自身防护</t>
  </si>
  <si>
    <t>挂小心碰头警示牌。</t>
  </si>
  <si>
    <t>5.5米焦炉推焦车</t>
  </si>
  <si>
    <t>梯子倾倒砸中头部送医，经医院检查为中度脑震荡，损工7天</t>
  </si>
  <si>
    <t>紧急</t>
  </si>
  <si>
    <t>刘鑫</t>
  </si>
  <si>
    <t>20-5-14</t>
  </si>
  <si>
    <t>推焦车平台</t>
  </si>
  <si>
    <t>工艺安全信息</t>
  </si>
  <si>
    <t>√ 清理现场梯子
√ 加强巡检巡查</t>
  </si>
  <si>
    <t>20-5-6</t>
  </si>
  <si>
    <t>20-3-29</t>
  </si>
  <si>
    <t>皮带机岗位</t>
  </si>
  <si>
    <t>损工事件，误工3个月</t>
  </si>
  <si>
    <t>中等</t>
  </si>
  <si>
    <t>心理生理性危险有害因素</t>
  </si>
  <si>
    <t>备煤车间</t>
  </si>
  <si>
    <t>马丛芳</t>
  </si>
  <si>
    <t>刘冲</t>
  </si>
  <si>
    <t>20-4-4</t>
  </si>
  <si>
    <t>备煤</t>
  </si>
  <si>
    <t>机头护栏拆下后未及时清理或按回原处，人员经过发生绊倒摔伤安全事故</t>
  </si>
  <si>
    <t>√ 设备检修后及时清理现场
√ 将护栏按回原位置</t>
  </si>
  <si>
    <t>20-4-2</t>
  </si>
  <si>
    <t>煤八机头护栏及时安装到位，人员经过时防止发生摔倒等意外事故</t>
  </si>
  <si>
    <t>20-3-30</t>
  </si>
  <si>
    <t>一员工胳膊脱臼，损工2天</t>
  </si>
  <si>
    <t>运动物伤害</t>
  </si>
  <si>
    <t>安全环保处</t>
  </si>
  <si>
    <t>丁杰</t>
  </si>
  <si>
    <t>20-5-5</t>
  </si>
  <si>
    <t>3号站</t>
  </si>
  <si>
    <t>√ 恢复盖板</t>
  </si>
  <si>
    <t>人员电伤害，造成住院5天，损工5天</t>
  </si>
  <si>
    <t>电伤害</t>
  </si>
  <si>
    <t>建设项目“三同时”制度未落实</t>
  </si>
  <si>
    <t>李光进</t>
  </si>
  <si>
    <t>75T锅炉顶</t>
  </si>
  <si>
    <t>√ 更换完好的线缆
√ 注意做好接头防护</t>
  </si>
  <si>
    <t>电动葫芦电源线破皮裸露，易造成人员触电需更换新电源</t>
  </si>
  <si>
    <t>一员工手掌割伤，损工7天</t>
  </si>
  <si>
    <t>田震</t>
  </si>
  <si>
    <t>热力西区</t>
  </si>
  <si>
    <t>备煤煤线岗位及配电室</t>
  </si>
  <si>
    <t>人员手部受伤，造成损工三天</t>
  </si>
  <si>
    <t>赵红</t>
  </si>
  <si>
    <t>煤六机头</t>
  </si>
  <si>
    <t>煤六电机护罩螺丝缺失，电机轴磨损护罩破裂，人员擦拭护罩时划伤手部，造成人员伤害</t>
  </si>
  <si>
    <t>√ 电工将缺失的螺丝固定好
√ 人员擦拭电机时注意破损部位，防止划伤手部</t>
  </si>
  <si>
    <t>电机护罩螺丝电工安装好后，防止护罩松动磨损，人员擦拭注意安全</t>
  </si>
  <si>
    <t>备煤东线岗位及配电室</t>
  </si>
  <si>
    <t>小腿划伤</t>
  </si>
  <si>
    <t>高彦兵</t>
  </si>
  <si>
    <t>刘锡玉</t>
  </si>
  <si>
    <t>东三料仓</t>
  </si>
  <si>
    <t>√ 尽快将开裂部位焊接。</t>
  </si>
  <si>
    <t>35T锅炉房东侧</t>
  </si>
  <si>
    <t>住院治疗，损工一个月。</t>
  </si>
  <si>
    <t>田志友</t>
  </si>
  <si>
    <t>过分夸大了墙皮脱落后果</t>
  </si>
  <si>
    <t>住院治疗3天后康复，损工3天</t>
  </si>
  <si>
    <t>张建华</t>
  </si>
  <si>
    <t>20-5-2</t>
  </si>
  <si>
    <t>75t/h锅炉</t>
  </si>
  <si>
    <t>√ 电工做好电缆防护
√ 人员注意安全</t>
  </si>
  <si>
    <t>20-4-10</t>
  </si>
  <si>
    <t>冷灰机电缆破损，易造成人员触电事故，需抓紧对电缆进行防护</t>
  </si>
  <si>
    <t>卸料车钎子造成人员伤害，损工五天</t>
  </si>
  <si>
    <t>李刚</t>
  </si>
  <si>
    <t>西三</t>
  </si>
  <si>
    <t>人员用完工具后，随手放到卸料车上，人员经过时发生伤害事故</t>
  </si>
  <si>
    <t>√ 工具用完后，定置摆放
√ 人员操作巡检时注意周围环境，劳保防护要按标准佩戴</t>
  </si>
  <si>
    <t>卸料车用完工具后及时将工具定置摆放，防止人员经过时划伤</t>
  </si>
  <si>
    <t>造成一人死亡。</t>
  </si>
  <si>
    <t>刘建东</t>
  </si>
  <si>
    <t>西四岗位</t>
  </si>
  <si>
    <t>电源线头裸露，易出现电击伤或死亡事故，及时整改防止发生事故</t>
  </si>
  <si>
    <t>√ 电工将裸露的线头包扎好
√ 人员操作时，注意及时发现隐患，杜绝安全事故的发生</t>
  </si>
  <si>
    <t>电气开关线头裸露，及时包扎，防止人员触电事故的发生</t>
  </si>
  <si>
    <t>坠落，小腿骨折</t>
  </si>
  <si>
    <t>张迎华</t>
  </si>
  <si>
    <t>初冷器东侧</t>
  </si>
  <si>
    <t>√ 添加护笼</t>
  </si>
  <si>
    <t>20-5-28</t>
  </si>
  <si>
    <t>75t锅炉省煤器北侧</t>
  </si>
  <si>
    <t>一名操作工腿部骨折，损工三月</t>
  </si>
  <si>
    <t>外部检查</t>
  </si>
  <si>
    <t>李玉军</t>
  </si>
  <si>
    <t>省煤器北侧</t>
  </si>
  <si>
    <t>两米以上才需设置护笼</t>
  </si>
  <si>
    <t>造成右小腿骨折入院治疗7天在家休养30天共损工37天</t>
  </si>
  <si>
    <t>职业安全卫生投入不足</t>
  </si>
  <si>
    <t>刘家丰</t>
  </si>
  <si>
    <t>老化学水南侧</t>
  </si>
  <si>
    <t>水沟有地上挡墙，描述不准确</t>
  </si>
  <si>
    <t>热力车间硫铵工段</t>
  </si>
  <si>
    <t>头部受伤，住院治疗，损工二月。</t>
  </si>
  <si>
    <t>张传宝</t>
  </si>
  <si>
    <t>硫铵三楼</t>
  </si>
  <si>
    <t>√ 制作安装皮带护罩
× 注意经常检查</t>
  </si>
  <si>
    <t>按装离心机护罩。</t>
  </si>
  <si>
    <t>造成左小腿骨折入院治疗10天，在家休养30天，共损工40天</t>
  </si>
  <si>
    <t>张雨安</t>
  </si>
  <si>
    <t>20-5-18</t>
  </si>
  <si>
    <t>老系统超滤</t>
  </si>
  <si>
    <t>地沟盖板履盖。</t>
  </si>
  <si>
    <t>备煤西线岗位及配电室</t>
  </si>
  <si>
    <t>损工106天</t>
  </si>
  <si>
    <t>牟小花</t>
  </si>
  <si>
    <t>煤棚西侧档风墙</t>
  </si>
  <si>
    <t>√ 对房屋上方杂物进行检查和清除，避免靠近高层建筑下方行走，杜绝在高层建筑下方逗留，特别是在大风天气。</t>
  </si>
  <si>
    <t>手臂骨折，损工95天。</t>
  </si>
  <si>
    <t>杨小军</t>
  </si>
  <si>
    <t>1618破碎机除尘平</t>
  </si>
  <si>
    <t>√ 尽快对其固定。</t>
  </si>
  <si>
    <t>右手手腕骨折，住院15天，在家修养3个月，损工105天。</t>
  </si>
  <si>
    <t>李祥村</t>
  </si>
  <si>
    <t>1618破碎机</t>
  </si>
  <si>
    <t>人员用完行灯后，未及时将行灯线收回，人员经过发生绊倒摔伤事故。及时收回防止事故发生</t>
  </si>
  <si>
    <t>√ 教育人员用完工具后及时收回
√ 讲行灯线路盘好后放到指定位置</t>
  </si>
  <si>
    <t>使用完工具及附属设施时，及时整齐放回指定位置，防止人员出现伤害事故</t>
  </si>
  <si>
    <t>致鼻梁骨折，损工45天。</t>
  </si>
  <si>
    <t>职业安全卫生责任制未落实</t>
  </si>
  <si>
    <t>郭才喜</t>
  </si>
  <si>
    <t>破碎机平面</t>
  </si>
  <si>
    <t>√ 加强隐患排查，严格落实整改。</t>
  </si>
  <si>
    <t>一员工身亡。</t>
  </si>
  <si>
    <t>赵延朋</t>
  </si>
  <si>
    <t>西五岗位</t>
  </si>
  <si>
    <t>√ 严格落实安全规定，杜绝违章操作。</t>
  </si>
  <si>
    <t>一人右前臂骨折 损工122天</t>
  </si>
  <si>
    <t>郭焕雷</t>
  </si>
  <si>
    <t>张永生</t>
  </si>
  <si>
    <t>煤五</t>
  </si>
  <si>
    <t>√ 加强巡查</t>
  </si>
  <si>
    <t>一人脚踝扭伤 休息一会不影响工作</t>
  </si>
  <si>
    <t>西四</t>
  </si>
  <si>
    <t>√ 加强巡查
√ 尽快安装套管</t>
  </si>
  <si>
    <t>铁皮脱落砸伤巡检人员造成轻微挫伤</t>
  </si>
  <si>
    <t>李娟娟</t>
  </si>
  <si>
    <t>质量保证</t>
  </si>
  <si>
    <t>√ 维修保温层</t>
  </si>
  <si>
    <t>一名操作人员右小腿多处轻微划伤，损工3天。</t>
  </si>
  <si>
    <t>李明伟</t>
  </si>
  <si>
    <t>预处理</t>
  </si>
  <si>
    <t>√ 维修盖板</t>
  </si>
  <si>
    <t>1人左侧小腿胫骨骨折，住院治疗15天。</t>
  </si>
  <si>
    <t>王宁</t>
  </si>
  <si>
    <t>35t/h锅炉给水泵</t>
  </si>
  <si>
    <t>× 恢复盖板
× 盖好，保持盖板齐全</t>
  </si>
  <si>
    <t>地沟盖板缺失，更换新盖板。</t>
  </si>
  <si>
    <t>手臂骨折！损工105天</t>
  </si>
  <si>
    <t>张立德</t>
  </si>
  <si>
    <t>赵明</t>
  </si>
  <si>
    <t>西一</t>
  </si>
  <si>
    <t>√ 联系维修焊补加固</t>
  </si>
  <si>
    <t>左腿划伤，损工七天！</t>
  </si>
  <si>
    <t>煤棚西北角</t>
  </si>
  <si>
    <t>√ 组织人员重新更换盖板</t>
  </si>
  <si>
    <t>右手骨折，损工105天</t>
  </si>
  <si>
    <t>√ 联系维修重新更换</t>
  </si>
  <si>
    <t>5.5.炼焦车间</t>
  </si>
  <si>
    <t>在医院治疗一个月后回家休养5个月康复，损工6个月。</t>
  </si>
  <si>
    <t>姚兴军</t>
  </si>
  <si>
    <t>5.5米焦侧炉门架</t>
  </si>
  <si>
    <t>不可使用无防护措施的平台做为检修平台</t>
  </si>
  <si>
    <t>√ 对此处检修时利用拦焦车现有宽阔平台进行检修</t>
  </si>
  <si>
    <t>5.5米扒焦</t>
  </si>
  <si>
    <t>造成一人左腿皮肉划伤，小腿骨折，治疗、休养，共计损工4个月</t>
  </si>
  <si>
    <t>宋华秀</t>
  </si>
  <si>
    <t>20-5-10</t>
  </si>
  <si>
    <t>扒焦平台北端</t>
  </si>
  <si>
    <t>露天铁板易腐蚀，需防止强度降低</t>
  </si>
  <si>
    <t>√ 更换铁板，达到人员行走承重力，保持防护有效</t>
  </si>
  <si>
    <t>20-4-22</t>
  </si>
  <si>
    <t>5.5米焦炉</t>
  </si>
  <si>
    <t>造成一名员工左臂骨折，治疗、休养共计损工4个月。</t>
  </si>
  <si>
    <t>李爱华</t>
  </si>
  <si>
    <t>扒焦焦一带</t>
  </si>
  <si>
    <t>加强巡检，辊子破损及时更换</t>
  </si>
  <si>
    <t>√ 更换损坏的辊子，防止小问题引发大事故</t>
  </si>
  <si>
    <t>造成一人全身多处骨折，治疗、休养，共计损工6个月</t>
  </si>
  <si>
    <t>耿金鹏</t>
  </si>
  <si>
    <t>晾焦台操作小平台</t>
  </si>
  <si>
    <t>扒焦处水汽多，易腐蚀，需及时加固腐蚀处</t>
  </si>
  <si>
    <t>√ 护栏下部腐蚀处进行加固，确保护栏的防护有效性</t>
  </si>
  <si>
    <t>4.3米焦炉通廊</t>
  </si>
  <si>
    <t>人员伤害，损工十五天。</t>
  </si>
  <si>
    <t>董黎明</t>
  </si>
  <si>
    <t>于观彦</t>
  </si>
  <si>
    <t>煤仓</t>
  </si>
  <si>
    <t>高处易坠物需清除，防止掉落伤人</t>
  </si>
  <si>
    <t>× 请除高处易坠铝皮，防止掉落伤人</t>
  </si>
  <si>
    <t>20-5-19</t>
  </si>
  <si>
    <t>已由维修人员清除</t>
  </si>
  <si>
    <t>一人重伤</t>
  </si>
  <si>
    <t>秦国平</t>
  </si>
  <si>
    <t>5.5焦炉焦侧平台</t>
  </si>
  <si>
    <t>√ 焊接加固
√ 加强巡检</t>
  </si>
  <si>
    <t>造成人员死亡</t>
  </si>
  <si>
    <t>范树超</t>
  </si>
  <si>
    <t>熄焦泵房</t>
  </si>
  <si>
    <t>已重新提报，此项作废</t>
  </si>
  <si>
    <t>人员受伤 损工100天</t>
  </si>
  <si>
    <t>王海涛</t>
  </si>
  <si>
    <t>地下室南头</t>
  </si>
  <si>
    <t>及时修复开裂处，防止伤人</t>
  </si>
  <si>
    <t>× 及时修复开裂处，防止伤人</t>
  </si>
  <si>
    <t>5.5米焦炉拦焦</t>
  </si>
  <si>
    <t>一人死亡</t>
  </si>
  <si>
    <t>孙希昱</t>
  </si>
  <si>
    <t>拦焦除尘水槽南端</t>
  </si>
  <si>
    <t>清除高处易坠物，防掉落伤人</t>
  </si>
  <si>
    <t>√ 清除高处放置的架子易坠物，防掉落伤人</t>
  </si>
  <si>
    <t>已由操作工将架子清走</t>
  </si>
  <si>
    <t>20-4-8</t>
  </si>
  <si>
    <t>一人头部轻微伤害，精神受到惊吓，损工一天</t>
  </si>
  <si>
    <t>付晓寺</t>
  </si>
  <si>
    <t>20-5-8</t>
  </si>
  <si>
    <t>初冷器东框架</t>
  </si>
  <si>
    <t>√ 清除管架上部杂物</t>
  </si>
  <si>
    <t>下楼梯失足造成一人死亡</t>
  </si>
  <si>
    <t>监护失误</t>
  </si>
  <si>
    <t>付喜洋</t>
  </si>
  <si>
    <t>西五</t>
  </si>
  <si>
    <t>灯光昏暗，人员视线有限，下楼梯时易发生跌落事故</t>
  </si>
  <si>
    <t>√ 及时更换照明灯
√ 人员上下楼梯时，应双手扶住护栏把手，防止跌落</t>
  </si>
  <si>
    <t>更换照明灯，光线充足，人员上下爬梯时，手扶栏杆，防止失足跌落造成人身伤害事故</t>
  </si>
  <si>
    <t>硫铵</t>
  </si>
  <si>
    <t>蒸汽漏点泄漏蒸汽，造成操作工轻度烫伤。</t>
  </si>
  <si>
    <t>刘洪光</t>
  </si>
  <si>
    <t>西硫铵终冷塔</t>
  </si>
  <si>
    <t>√ 加固吹扫管或更换管线</t>
  </si>
  <si>
    <t>人员腿部骨折，损工75天。</t>
  </si>
  <si>
    <t>李晓楠</t>
  </si>
  <si>
    <t>值班室西侧污水泵处</t>
  </si>
  <si>
    <t>水沟铁盖板腐烂，易造成人员经过时伤害事故，及时更换防止事故发生</t>
  </si>
  <si>
    <t>√ 更换铁盖板
√ 加强人员安全观念，防止大意发生事故</t>
  </si>
  <si>
    <t>更换腐烂铁板，人员经过时加强安全观念，杜绝事故发生</t>
  </si>
  <si>
    <t>煤场</t>
  </si>
  <si>
    <t>人员手腕骨折，损工90天</t>
  </si>
  <si>
    <t>邢志鹏</t>
  </si>
  <si>
    <t>3#煤场</t>
  </si>
  <si>
    <t>煤厂料口钢筋外露，人员经过较频繁，发生事故几率大，及时整改</t>
  </si>
  <si>
    <t>√ 维修切除
√ 人员操作时注意脚下安全</t>
  </si>
  <si>
    <t>20-5-31</t>
  </si>
  <si>
    <t>两盐岗位</t>
  </si>
  <si>
    <t>碰伤、去医务室处理后继续工作无损工。</t>
  </si>
  <si>
    <t>李栋</t>
  </si>
  <si>
    <t>两盐室内</t>
  </si>
  <si>
    <t>√ 风扇电缆线沿地面铺及时拆除</t>
  </si>
  <si>
    <t>20-5-21</t>
  </si>
  <si>
    <t>肩部轻微伤，误工两天。</t>
  </si>
  <si>
    <t>高联名</t>
  </si>
  <si>
    <t>南风机初冷器平台</t>
  </si>
  <si>
    <t>√ 清理平台杂物</t>
  </si>
  <si>
    <t>造成一人多处骨折及外伤，就医治疗、休养，共计损工6个月。</t>
  </si>
  <si>
    <t>李艳秋</t>
  </si>
  <si>
    <t>扒焦小屋西侧</t>
  </si>
  <si>
    <t>护栏需保持完好，确保防护作用</t>
  </si>
  <si>
    <t>√ 加固护栏腐蚀处，防止人员受伤</t>
  </si>
  <si>
    <t>造成1人死亡</t>
  </si>
  <si>
    <t>高红升</t>
  </si>
  <si>
    <t>董永涛</t>
  </si>
  <si>
    <t>焦侧15号碳化室处</t>
  </si>
  <si>
    <t>× 调整炉门横栓
× 加强操作横栓到位管理</t>
  </si>
  <si>
    <t>脚踝部关节错位，送医院治疗复位，回家休养半个月后复工</t>
  </si>
  <si>
    <t>李振英</t>
  </si>
  <si>
    <t>33#水封</t>
  </si>
  <si>
    <t>√ 更换为移动式平台</t>
  </si>
  <si>
    <t>20-4-27</t>
  </si>
  <si>
    <t>手腕脱臼，损工两天</t>
  </si>
  <si>
    <t>胡红梅</t>
  </si>
  <si>
    <t>煤九岗位</t>
  </si>
  <si>
    <t>√ 工具使用完毕后，要按照工具定置存放规定进行存放。</t>
  </si>
  <si>
    <t>住院7天，在家修养一月，损工38天</t>
  </si>
  <si>
    <t>于健</t>
  </si>
  <si>
    <t>楼梯底</t>
  </si>
  <si>
    <t>图片与描述不符，进一步核实</t>
  </si>
  <si>
    <t>图片与描述不符，需进一步核实</t>
  </si>
  <si>
    <t>化产车间西硫铵</t>
  </si>
  <si>
    <t>手臂砸伤治疗五天，损工五天</t>
  </si>
  <si>
    <t>张传良</t>
  </si>
  <si>
    <t>西硫铵东管架</t>
  </si>
  <si>
    <t>√ 加固管道支架</t>
  </si>
  <si>
    <t>20-4-9</t>
  </si>
  <si>
    <t>拆除支架</t>
  </si>
  <si>
    <t>化产车间，粗苯岗位</t>
  </si>
  <si>
    <t>该操作工因缠绕挤伤手部轻伤休工一周</t>
  </si>
  <si>
    <t>任成华</t>
  </si>
  <si>
    <t>两盐冷凝罐</t>
  </si>
  <si>
    <t>√ 安装防护罩</t>
  </si>
  <si>
    <t>送到医院经抢救无效死亡</t>
  </si>
  <si>
    <t>溶液循环槽顶</t>
  </si>
  <si>
    <t>√ 加固平台护栏</t>
  </si>
  <si>
    <t>人员伤害，造成损工90天</t>
  </si>
  <si>
    <t>于海霞</t>
  </si>
  <si>
    <t>东一地沟</t>
  </si>
  <si>
    <t>篦子未覆盖到位，人员经过时，容易出现伤害事故，及时整改，防止发生伤害事故</t>
  </si>
  <si>
    <t>√ 将篦子覆盖到位
√ 人员经过时注意安全</t>
  </si>
  <si>
    <t>篦子及时覆盖到位，防止人员巡检时出现伤害事故</t>
  </si>
  <si>
    <t>造成腿部骨折，住院一月，在家休养两月，损工一人。</t>
  </si>
  <si>
    <t>溶液槽爬梯</t>
  </si>
  <si>
    <t>√ 规范悬挂警示牌</t>
  </si>
  <si>
    <t>铁皮高空坠落，导致操作人员面部轻微划伤</t>
  </si>
  <si>
    <t>粗苯计量槽</t>
  </si>
  <si>
    <t>√ 清除爬梯上部铝皮</t>
  </si>
  <si>
    <t>头部烧伤，损工30天。</t>
  </si>
  <si>
    <t>工具室</t>
  </si>
  <si>
    <t>√ 严格按照安全用电规定和消防管理规定进行整改，杜绝因违规用电造成隐患。</t>
  </si>
  <si>
    <t>√ 严格按照安全用电规定和消防管理规定进行整改，杜绝因违规用电造成安全隐患。</t>
  </si>
  <si>
    <t>右脚韧带扭伤，限工15天</t>
  </si>
  <si>
    <t>邢玉坤</t>
  </si>
  <si>
    <t>西饱和器</t>
  </si>
  <si>
    <t>√ 焊接加固爬梯踏板</t>
  </si>
  <si>
    <t>颈椎损伤，损工3天。</t>
  </si>
  <si>
    <t>标志缺陷</t>
  </si>
  <si>
    <t>张志军</t>
  </si>
  <si>
    <t>西五岗位后尾</t>
  </si>
  <si>
    <t>按照规定，有损工现象，严重性应是c3</t>
  </si>
  <si>
    <t>√ 应在低矮通道上方悬挂“小心碰头”警示牌。个人要做好安全辨识。</t>
  </si>
  <si>
    <t>铝皮掉落，员工面部划伤。</t>
  </si>
  <si>
    <t>张昆</t>
  </si>
  <si>
    <t>初冷器顶部</t>
  </si>
  <si>
    <t>√ 清除铝皮</t>
  </si>
  <si>
    <t>腿部骨折，损工3个月。</t>
  </si>
  <si>
    <t>刘少勇</t>
  </si>
  <si>
    <t>两盐西侧</t>
  </si>
  <si>
    <t>√ 更换盖板</t>
  </si>
  <si>
    <t>一人员死亡事故</t>
  </si>
  <si>
    <t>王琳</t>
  </si>
  <si>
    <t>操作平台上护栏开焊，人员操作时易出现跌落伤害事故</t>
  </si>
  <si>
    <t>√ 维修焊补护栏
√ 人员高处作业时，注意做好防护措施</t>
  </si>
  <si>
    <t>维修焊补护栏，人员登高作业时注意防护</t>
  </si>
  <si>
    <t>铝皮掉落，造成操作工面部划伤。</t>
  </si>
  <si>
    <t>王彩红</t>
  </si>
  <si>
    <t>操作室北上方管架</t>
  </si>
  <si>
    <t>√ 清理铝皮</t>
  </si>
  <si>
    <t>化产车间南循环水</t>
  </si>
  <si>
    <t>巡检时被绊倒，左胳膊擦伤</t>
  </si>
  <si>
    <t>刘永先</t>
  </si>
  <si>
    <t>20-5-12</t>
  </si>
  <si>
    <t>南凉水架</t>
  </si>
  <si>
    <t>× 加固盖板，紧固螺栓</t>
  </si>
  <si>
    <t>托辊脱落砸伤头部，休息两个小时继续上班</t>
  </si>
  <si>
    <t>刘建萍</t>
  </si>
  <si>
    <t>硫铵仓库北</t>
  </si>
  <si>
    <t>√ 更换掉落托辊</t>
  </si>
  <si>
    <t>护栏开焊，造成操作脚部扭伤，损工三天</t>
  </si>
  <si>
    <t>秦顺东</t>
  </si>
  <si>
    <t>脱硫塔</t>
  </si>
  <si>
    <t>√ 加固护栏</t>
  </si>
  <si>
    <t>下雨进水导致线路短路，设备损坏</t>
  </si>
  <si>
    <t>丛林</t>
  </si>
  <si>
    <t>脱硫泡沫槽</t>
  </si>
  <si>
    <t>√ 更换视窗</t>
  </si>
  <si>
    <t>化产车间，深度脫硫</t>
  </si>
  <si>
    <t>一人肩部轻微砸伤，损工五天</t>
  </si>
  <si>
    <t>付国永</t>
  </si>
  <si>
    <t>排硫磺现场</t>
  </si>
  <si>
    <t>提报人员账号错误</t>
  </si>
  <si>
    <t>南化产风机岗位</t>
  </si>
  <si>
    <t>左脸被划伤，损工两周</t>
  </si>
  <si>
    <t>赵延林</t>
  </si>
  <si>
    <t>风机房一楼</t>
  </si>
  <si>
    <t>√ 割除三角铁</t>
  </si>
  <si>
    <t>化产车间东冷凝</t>
  </si>
  <si>
    <t>手部被氨水灼伤，清水冲洗后复工</t>
  </si>
  <si>
    <t>高卫东</t>
  </si>
  <si>
    <t>澄清槽北侧框架上部</t>
  </si>
  <si>
    <t>√ 处理泄漏点</t>
  </si>
  <si>
    <t>北脱硫</t>
  </si>
  <si>
    <t>蒸汽管道腐蚀漏汽，操作工轻微烫伤</t>
  </si>
  <si>
    <t>√ 焊补护栏
√ 及时修复处理</t>
  </si>
  <si>
    <t>一人右前臂骨折 损工121天</t>
  </si>
  <si>
    <t>√ 加固焊补</t>
  </si>
  <si>
    <t>√ 抓紧修理焊补
√ 作业注意安全</t>
  </si>
  <si>
    <t>一人右手手背骨裂损工37天</t>
  </si>
  <si>
    <t>刘建平</t>
  </si>
  <si>
    <t>初冷器东部管架</t>
  </si>
  <si>
    <t>√ 清除卡扣</t>
  </si>
  <si>
    <t>风机中控室</t>
  </si>
  <si>
    <t>一操作工左脚骨裂，送医救治一周，损工三个月。</t>
  </si>
  <si>
    <t>北班长室南安全栏</t>
  </si>
  <si>
    <t>√ 清除电缆盖板</t>
  </si>
  <si>
    <t>脖颈割伤！损工37天</t>
  </si>
  <si>
    <t>20-5-13</t>
  </si>
  <si>
    <t>煤八</t>
  </si>
  <si>
    <t>√ 组织岗位操作工更换破损玻璃</t>
  </si>
  <si>
    <t>20-4-13</t>
  </si>
  <si>
    <t>鼻梁骨断裂，损工45天</t>
  </si>
  <si>
    <t>东一</t>
  </si>
  <si>
    <t>√ 联系维修更换偏心盘</t>
  </si>
  <si>
    <t>巡检时废弃铁管坠落造成一名操作人员头部砸伤</t>
  </si>
  <si>
    <t>夏海美</t>
  </si>
  <si>
    <t>北再生器</t>
  </si>
  <si>
    <t>√ 清除废管</t>
  </si>
  <si>
    <t>一名操作工轻微划伤手臂简单包扎后正常工作</t>
  </si>
  <si>
    <t>刘良永</t>
  </si>
  <si>
    <t>预热器平台</t>
  </si>
  <si>
    <t>一人右前臂骨折损工三个月</t>
  </si>
  <si>
    <t>王军</t>
  </si>
  <si>
    <t>南风机2#初冷器西侧</t>
  </si>
  <si>
    <t>√ 安全带 高挂低用，双钩挂牢固</t>
  </si>
  <si>
    <t>右腿胫骨骨折，住院治疗3周</t>
  </si>
  <si>
    <t>马芝平</t>
  </si>
  <si>
    <t>东区新分汽缸</t>
  </si>
  <si>
    <t>√ 规范佩戴安全带
√ 人员加强防范意识</t>
  </si>
  <si>
    <t>当场已整改</t>
  </si>
  <si>
    <t>泄露母液造成环境污染</t>
  </si>
  <si>
    <t>赵兴家</t>
  </si>
  <si>
    <t>20-5-15</t>
  </si>
  <si>
    <t>东小母液泵</t>
  </si>
  <si>
    <t>√ 更换法兰垫片</t>
  </si>
  <si>
    <t>3#站工段</t>
  </si>
  <si>
    <t>一名操作人员背部划伤，损工三天。</t>
  </si>
  <si>
    <t>路明</t>
  </si>
  <si>
    <t>废料库棚顶</t>
  </si>
  <si>
    <t>√ 维修废料库棚顶</t>
  </si>
  <si>
    <t>右臂擦伤损工五天</t>
  </si>
  <si>
    <t>杨光伟</t>
  </si>
  <si>
    <t>北脱硫操作室南墙管架</t>
  </si>
  <si>
    <t>√ 拆除废旧管线</t>
  </si>
  <si>
    <t>铁丝加固管道</t>
  </si>
  <si>
    <t>吊笼脱钩会造成吊笼倾斜或者直接坠落 造成人员伤亡或致残</t>
  </si>
  <si>
    <t>刘立聪</t>
  </si>
  <si>
    <t>20-5-20</t>
  </si>
  <si>
    <t>2号初冷器</t>
  </si>
  <si>
    <t>√ 停止作业，立即更换吊笼升降器吊钩锁舌</t>
  </si>
  <si>
    <t>高处坠落1人死亡</t>
  </si>
  <si>
    <t>硫铵四楼</t>
  </si>
  <si>
    <t>× 安装窗户，窗外加护栏</t>
  </si>
  <si>
    <t>人员被硫酸灼伤脸部跟手部治疗一月，损工一月</t>
  </si>
  <si>
    <t>硫酸储槽顶部</t>
  </si>
  <si>
    <t>√ 更换底部放空阀或处理漏点</t>
  </si>
  <si>
    <t>头部受伤，损工10天。</t>
  </si>
  <si>
    <t>车库</t>
  </si>
  <si>
    <t>√ 该门打开时要将其固定，人员离开前要其关闭。</t>
  </si>
  <si>
    <t>造成环保事故</t>
  </si>
  <si>
    <t>孙洪涛</t>
  </si>
  <si>
    <t>焦侧地面除尘</t>
  </si>
  <si>
    <t>√ 更换防爆板
√ 保持除尘吸力</t>
  </si>
  <si>
    <t>5.5米炉顶</t>
  </si>
  <si>
    <t>操作工入院治疗十五天，损工100天。</t>
  </si>
  <si>
    <t>陈德增</t>
  </si>
  <si>
    <t>炉顶北端台爬梯</t>
  </si>
  <si>
    <t>√ 焊接加固
√ 上下爬梯，抓牢扶手</t>
  </si>
  <si>
    <t>腿部骨折，损工105天。</t>
  </si>
  <si>
    <t>郝效蓉</t>
  </si>
  <si>
    <t>用完工具后，应放到指定位置，防止人员受到伤害</t>
  </si>
  <si>
    <t>√ 工具定置摆放
√ 人员批评教育，用完工具后，应放到指定位置</t>
  </si>
  <si>
    <t>工具用完后定置摆放，防止人员经过时发生绊倒摔伤事故</t>
  </si>
  <si>
    <t>5.5米焦炉机侧</t>
  </si>
  <si>
    <t>除尘管道</t>
  </si>
  <si>
    <t>√ 更换防爆板
√ 加强操作，保证吸力</t>
  </si>
  <si>
    <t>入医院治疗两个月，损工半年。</t>
  </si>
  <si>
    <t>刘清磊</t>
  </si>
  <si>
    <t>焦一皮带后尾</t>
  </si>
  <si>
    <t>√ 增设皮带护罩
√ 保持巡检、维保安全距离</t>
  </si>
  <si>
    <t>√ 焊补破损部位
√ 加强除尘设备操作</t>
  </si>
  <si>
    <t>彩钢包边脱落，划伤脖颈人员损工37天！</t>
  </si>
  <si>
    <t>20-5-17</t>
  </si>
  <si>
    <t>东七</t>
  </si>
  <si>
    <t>√ 组织人员清除悬挂包边</t>
  </si>
  <si>
    <t>腿部受伤，损工70天。</t>
  </si>
  <si>
    <t>东二通廊下方</t>
  </si>
  <si>
    <t>√ 移动脚手架搭建要平稳，相对较高时，上部应用绳索或连杆从不同方向加以辅助固定。</t>
  </si>
  <si>
    <t>下雨时进入雨水，烧毁电机一台，价值五千元</t>
  </si>
  <si>
    <t>于刚华</t>
  </si>
  <si>
    <t>20-5-16</t>
  </si>
  <si>
    <t>生化内回流泵</t>
  </si>
  <si>
    <t>情景描述是分清楚主因和次因，假定场景和实际发生的要分清楚。</t>
  </si>
  <si>
    <t>√ 将电机防雨罩恢复原来的有效位置</t>
  </si>
  <si>
    <t>深度处理中水回用项目</t>
  </si>
  <si>
    <t>加药泵膜片破损，造成经济损失500元。</t>
  </si>
  <si>
    <t>吴玉才</t>
  </si>
  <si>
    <t>中水项目加药间</t>
  </si>
  <si>
    <t>情景描述需要分清楚主因和次因，明确假定场景</t>
  </si>
  <si>
    <t>√ 更换压力表</t>
  </si>
  <si>
    <t>铝皮高空坠落，砸伤，右肩骨折，损工10天</t>
  </si>
  <si>
    <t>刘国强</t>
  </si>
  <si>
    <t>北班长室南侧框架</t>
  </si>
  <si>
    <t>√ 清除管架上部杂物，加固保温层</t>
  </si>
  <si>
    <t>焦油罐区</t>
  </si>
  <si>
    <t>爬梯无警示牌造成操作人员脚踝扭伤</t>
  </si>
  <si>
    <t>杨兰</t>
  </si>
  <si>
    <t>焦油发货室西侧</t>
  </si>
  <si>
    <t>√ 悬挂警示牌</t>
  </si>
  <si>
    <t>化产车间，北班长室</t>
  </si>
  <si>
    <t>颈部轻微擦伤，简单治疗、正常工作</t>
  </si>
  <si>
    <t>北班长室南侧管架</t>
  </si>
  <si>
    <t>√ 清除铝皮杂物</t>
  </si>
  <si>
    <t>化产车间MVR工段</t>
  </si>
  <si>
    <t>右胳膊局部软组织损伤，在家休养七天，损工7天。</t>
  </si>
  <si>
    <t>张建民</t>
  </si>
  <si>
    <t>MVR屋后管架处</t>
  </si>
  <si>
    <t>√ 加固线缆盖板</t>
  </si>
  <si>
    <t>砸中后背，送往医务室检查，诊断为轻微擦伤，消毒上药后复工。</t>
  </si>
  <si>
    <t>北脱硫南管架</t>
  </si>
  <si>
    <t>杨春鹏</t>
  </si>
  <si>
    <t>西二机头</t>
  </si>
  <si>
    <t>下水管松动，易掉落伤人，及时整改，防止发生事故</t>
  </si>
  <si>
    <t>√ 及时拆除松动水管
√ 报计划及时更换坏掉的部分</t>
  </si>
  <si>
    <t>高处落水管及时修复，防止掉落砸伤人员。</t>
  </si>
  <si>
    <t>一人触电死亡。</t>
  </si>
  <si>
    <t>王克明</t>
  </si>
  <si>
    <t>东五胶带机</t>
  </si>
  <si>
    <t>电缆线路破损，容易引起触电事故，及时包扎破损部分，防止人员接触破损部分</t>
  </si>
  <si>
    <t>√ 电工将破损位置包扎严实
√ 如有必要更换新的电缆</t>
  </si>
  <si>
    <t>电工包扎好电缆破损处，防止人员使用时发生触电事故</t>
  </si>
  <si>
    <t>备煤焦渣掺配系统</t>
  </si>
  <si>
    <t>焦渣掺配</t>
  </si>
  <si>
    <t>√ 加强防护</t>
  </si>
  <si>
    <t>一人右脚脚踝扭伤 休息一会不影响工作</t>
  </si>
  <si>
    <t>√ 加强巡查
√ 更换注意安全</t>
  </si>
  <si>
    <t>干熄焦区域</t>
  </si>
  <si>
    <t>手部中度烫伤，就医修养1个月</t>
  </si>
  <si>
    <t>张国行</t>
  </si>
  <si>
    <t>20-4-23</t>
  </si>
  <si>
    <t>环境除尘北管廊</t>
  </si>
  <si>
    <t>√ 恢复蒸汽阀门裸露处外保温
√ 外部再加护一层防水篷布防凝水浸渗</t>
  </si>
  <si>
    <t>入院治疗10天，在家休息20天，共损工30天。</t>
  </si>
  <si>
    <t>刘欢</t>
  </si>
  <si>
    <t>新化水盐酸罐处</t>
  </si>
  <si>
    <t>覆盖玻璃铺盖板。</t>
  </si>
  <si>
    <t>职工触电 脚部擦伤 无损工</t>
  </si>
  <si>
    <t>周建伟</t>
  </si>
  <si>
    <t>循环水</t>
  </si>
  <si>
    <t>√ 更换接线端子</t>
  </si>
  <si>
    <t>20-6-29</t>
  </si>
  <si>
    <t>气瓶歪倒可能会造成气瓶爆炸</t>
  </si>
  <si>
    <t>2号初冷器底部</t>
  </si>
  <si>
    <t>√ 防震圈必须在有效位置，添加防倾倒的支架或缆绳</t>
  </si>
  <si>
    <t>气瓶歪倒气瓶阀门损坏  造成可燃气体泄露有着火爆炸的可能</t>
  </si>
  <si>
    <t>√ 添加气瓶防护帽，固定好位置，防止倾倒</t>
  </si>
  <si>
    <t>脸部过敏，住院治疗3天。</t>
  </si>
  <si>
    <t>东二斜桥下方</t>
  </si>
  <si>
    <t>标题描述不确切。</t>
  </si>
  <si>
    <t>√ 在开启煤气水封阀门时，排放口对面严禁站人。</t>
  </si>
  <si>
    <t>脸部轻微烫伤，简单处理后正常上班</t>
  </si>
  <si>
    <t>刘洪芳</t>
  </si>
  <si>
    <t>20-5-22</t>
  </si>
  <si>
    <t>西硫铵二楼平台</t>
  </si>
  <si>
    <t>刘萌</t>
  </si>
  <si>
    <t>潘增辉</t>
  </si>
  <si>
    <t>循环风机</t>
  </si>
  <si>
    <t>巡查认真，安全意识强。</t>
  </si>
  <si>
    <t>× 联系电仪对接线部分增加护套管进行保护</t>
  </si>
  <si>
    <t>人员拌倒，损工105天</t>
  </si>
  <si>
    <t>20-6-7</t>
  </si>
  <si>
    <t>煤六</t>
  </si>
  <si>
    <t>√ 组织岗位人员进行整改</t>
  </si>
  <si>
    <t>20-5-7</t>
  </si>
  <si>
    <t>头部砸伤损工15天</t>
  </si>
  <si>
    <t>循环槽顶部</t>
  </si>
  <si>
    <t>√ 移走顶部废旧铁管</t>
  </si>
  <si>
    <t>头部砸伤</t>
  </si>
  <si>
    <t>张伟波</t>
  </si>
  <si>
    <t>√ 清除顶部槽钢</t>
  </si>
  <si>
    <t>电缆桥架盖板掉落，砸到操作人员，未受伤。</t>
  </si>
  <si>
    <t>逯洪帅</t>
  </si>
  <si>
    <t>液碱罐区</t>
  </si>
  <si>
    <t>已经有人提报了</t>
  </si>
  <si>
    <t>腕部皮肤轻微擦伤，不影响工作。</t>
  </si>
  <si>
    <t>生产管理处</t>
  </si>
  <si>
    <t>污泥棚</t>
  </si>
  <si>
    <t>√ 焊接合页</t>
  </si>
  <si>
    <t>面部轻微擦伤到医务室处理，正常工作。</t>
  </si>
  <si>
    <t>刘帅</t>
  </si>
  <si>
    <t>粗苯南管式炉</t>
  </si>
  <si>
    <t>重复提报</t>
  </si>
  <si>
    <t>√ 清除管架上部铝皮</t>
  </si>
  <si>
    <t>汽轮机系统</t>
  </si>
  <si>
    <t>一操作工被蒸汽烫伤左小腿，损工一个月。</t>
  </si>
  <si>
    <t>祝国杰</t>
  </si>
  <si>
    <t>主控楼楼顶</t>
  </si>
  <si>
    <t>管道中部支撑失效可能造成管道重力下垂受力破损，及时处理防止严重后果</t>
  </si>
  <si>
    <t>× 加固支撑，确保管道中部有效克服重力影响，避免管道高温时损坏伤人</t>
  </si>
  <si>
    <t>一人触电死亡</t>
  </si>
  <si>
    <t>事故分析</t>
  </si>
  <si>
    <t>刘丽丽</t>
  </si>
  <si>
    <t>汽轮机零米</t>
  </si>
  <si>
    <t>漏电触电事故是我们此类生产企业易发事故，注意到并及时整改隐患才能避免</t>
  </si>
  <si>
    <t>× 对电缆进行套管保护，防止绝缘破损漏电</t>
  </si>
  <si>
    <t>干熄焦</t>
  </si>
  <si>
    <t>董孝文</t>
  </si>
  <si>
    <t>5.5米提升井四层西</t>
  </si>
  <si>
    <t>安全意识较强巡检时能发现存在的安全隐患。</t>
  </si>
  <si>
    <t>× 联系维修立即焊接加固</t>
  </si>
  <si>
    <t>皮肤破损无损工</t>
  </si>
  <si>
    <t>钱江红</t>
  </si>
  <si>
    <t>浓水设备中间水池</t>
  </si>
  <si>
    <t>能发现小的隐患，及时整改防止出大问题</t>
  </si>
  <si>
    <t>× 将电缆做好防护后紧贴地面进行固定，防止巡检过程中绊倒</t>
  </si>
  <si>
    <t>汽轮机一楼</t>
  </si>
  <si>
    <t>住院治疗，损工两个月</t>
  </si>
  <si>
    <t>刘春峰</t>
  </si>
  <si>
    <t>20-4-25</t>
  </si>
  <si>
    <t>盖板因损坏拆拆除，现以更换新盖板。</t>
  </si>
  <si>
    <t>左小腿擦伤，损工3天。</t>
  </si>
  <si>
    <t>东四南门处爬梯</t>
  </si>
  <si>
    <t>出现损工，严重性起码是C3。</t>
  </si>
  <si>
    <t>√ 如果是照明设施坏了，应尽快维修；，如果是照明不足，应尽快加装。</t>
  </si>
  <si>
    <t>右腿小腿骨折，损工91天</t>
  </si>
  <si>
    <t>地下（含水下）作业环境不良</t>
  </si>
  <si>
    <t>丁曰海</t>
  </si>
  <si>
    <t>西一皮带机岗位</t>
  </si>
  <si>
    <t>√ 应尽快加装篦子。</t>
  </si>
  <si>
    <t>一人被安全带勒伤损工三天</t>
  </si>
  <si>
    <t>张晓雷</t>
  </si>
  <si>
    <t>√ 使用全身式安全带</t>
  </si>
  <si>
    <t>住院治疗1个月，损工一个月。</t>
  </si>
  <si>
    <t>张兴才</t>
  </si>
  <si>
    <t>锅炉除氧器</t>
  </si>
  <si>
    <t>√ 悬挂“上下爬梯注意安全”警示牌
√ 教育职工注意提高防范意识</t>
  </si>
  <si>
    <t>20-4-30</t>
  </si>
  <si>
    <t>换装警示牌</t>
  </si>
  <si>
    <t>人员后背被烫伤，损工两周。</t>
  </si>
  <si>
    <t>乔玉杰</t>
  </si>
  <si>
    <t>西硫铵二楼东侧南窗外</t>
  </si>
  <si>
    <t>√ 更换阀门</t>
  </si>
  <si>
    <t>20-6-6</t>
  </si>
  <si>
    <t>人员手臂刮伤，造成损工40天</t>
  </si>
  <si>
    <t>东五</t>
  </si>
  <si>
    <t>东五清扫器开焊，人员清理卫生时，造成刮伤，及时整改，防止人员伤害</t>
  </si>
  <si>
    <t>√ 人员清理时注意避开清扫器部位
√ 维修及时焊补开焊处</t>
  </si>
  <si>
    <t>维修焊补开焊处，防止清扫器下落出现伤害事故</t>
  </si>
  <si>
    <t>住院治疗损工两个月。</t>
  </si>
  <si>
    <t>毕玉鹏</t>
  </si>
  <si>
    <t>化学水水池南侧</t>
  </si>
  <si>
    <t>√ 重新制作盖板
√ 盖好，保持盖板齐全</t>
  </si>
  <si>
    <t>更换新地沟盖板。</t>
  </si>
  <si>
    <t>送医治疗，无损工</t>
  </si>
  <si>
    <t>张冬梅</t>
  </si>
  <si>
    <t>初冷器平台</t>
  </si>
  <si>
    <t>√ 理顺规整线路，或者撤离照明灯</t>
  </si>
  <si>
    <t>操作工右腿划伤，损工3天。</t>
  </si>
  <si>
    <t>孟凡鲁</t>
  </si>
  <si>
    <t>循环水凉水塔顶平台</t>
  </si>
  <si>
    <t>√ 安装照明灯</t>
  </si>
  <si>
    <t>20-6-13</t>
  </si>
  <si>
    <t>南脱硫</t>
  </si>
  <si>
    <t>颈部轻微烫伤，无防碍工作。</t>
  </si>
  <si>
    <t>李兴</t>
  </si>
  <si>
    <t>熔硫釜西侧</t>
  </si>
  <si>
    <t>√ 维修处理漏点或更换管线</t>
  </si>
  <si>
    <t>脱硫液溢出，造成重大环保事故。</t>
  </si>
  <si>
    <t>碱液槽东侧</t>
  </si>
  <si>
    <t>√ 更换阀门或焊接法兰漏点</t>
  </si>
  <si>
    <t>深度脱硫</t>
  </si>
  <si>
    <t>操作工右腿划伤损工2天</t>
  </si>
  <si>
    <t>刘永强</t>
  </si>
  <si>
    <t>深度脱硫打液泵</t>
  </si>
  <si>
    <t>√ 更换电机罩</t>
  </si>
  <si>
    <t>肩部轻微伤，损工5天。</t>
  </si>
  <si>
    <t>李金芳</t>
  </si>
  <si>
    <t>粗苯北泵房</t>
  </si>
  <si>
    <t>√ 清除铁管</t>
  </si>
  <si>
    <t>颈部轻微划伤，无损工</t>
  </si>
  <si>
    <t>吴轲</t>
  </si>
  <si>
    <t>√ 加固保温铝皮</t>
  </si>
  <si>
    <t>脚部损工五天</t>
  </si>
  <si>
    <t>煤十仓</t>
  </si>
  <si>
    <t>√ 严格按照工具存放规定将其放于‘工具存放处’。</t>
  </si>
  <si>
    <t>划伤腿部，损工5天。</t>
  </si>
  <si>
    <t>刘顺</t>
  </si>
  <si>
    <t>西煤场</t>
  </si>
  <si>
    <t>√ 尽快将裸露地面部分钢筋割除。</t>
  </si>
  <si>
    <t>手心轻微擦伤，膝盖淤青包扎后复工</t>
  </si>
  <si>
    <t>刘强</t>
  </si>
  <si>
    <t>√ 盖板复位，盖平正</t>
  </si>
  <si>
    <t>5.5米脱硫脱硝</t>
  </si>
  <si>
    <t>1人右肩部骨折，就医休养3个月</t>
  </si>
  <si>
    <t>在线监测房门口</t>
  </si>
  <si>
    <t>设备变更管理</t>
  </si>
  <si>
    <t>√ 用气割将地上残留的突出管件割除，取平整</t>
  </si>
  <si>
    <t>操作工腿部划伤，损工三天</t>
  </si>
  <si>
    <t>刘健</t>
  </si>
  <si>
    <t>出料泵</t>
  </si>
  <si>
    <t>√ 更换防护罩</t>
  </si>
  <si>
    <t>住院30天休息70天，损工100天。</t>
  </si>
  <si>
    <t>南脱硫南门地面</t>
  </si>
  <si>
    <t>√ 清除挡水堤或重新修复</t>
  </si>
  <si>
    <t>化产车间，综合供水</t>
  </si>
  <si>
    <t>一名电工左腿脚踝扭伤，损工7天</t>
  </si>
  <si>
    <t>卢建祥</t>
  </si>
  <si>
    <t>北化产综合供水配电室</t>
  </si>
  <si>
    <t>× 添加盖板</t>
  </si>
  <si>
    <t>一名操作工手臂骨折住院治疗3个月，损工90天</t>
  </si>
  <si>
    <t>刘桂亮</t>
  </si>
  <si>
    <t>√ 清扫踏板积水</t>
  </si>
  <si>
    <t>管道漏液溅到操作工手上灼伤皮肤，简单处理，继续上班</t>
  </si>
  <si>
    <t>刘云霞</t>
  </si>
  <si>
    <t>20-5-23</t>
  </si>
  <si>
    <t>2#换热器</t>
  </si>
  <si>
    <t>√ 维修处理泄漏点</t>
  </si>
  <si>
    <t>蒸汽阀体烫伤，送医救治，经医院诊断为浅二度烫伤，损工七天。</t>
  </si>
  <si>
    <t>戴晓宁</t>
  </si>
  <si>
    <t>张瑞海</t>
  </si>
  <si>
    <t>20-5-25</t>
  </si>
  <si>
    <t>五号减温减压</t>
  </si>
  <si>
    <t>保温措施既是工艺措施也是安全措施</t>
  </si>
  <si>
    <t>× 恢复保温，防止人员烫伤</t>
  </si>
  <si>
    <t>造成手臂受伤，局部肌肉红肿，简单处理后继续工作。</t>
  </si>
  <si>
    <t>孙绍华</t>
  </si>
  <si>
    <t>风机房西侧爬梯</t>
  </si>
  <si>
    <t>√ 悬挂“上下爬梯注意安全”警示牌</t>
  </si>
  <si>
    <t>尾椎骨骨裂，就医休养3个月，损工90天</t>
  </si>
  <si>
    <t>曹青</t>
  </si>
  <si>
    <t>孙文鹏</t>
  </si>
  <si>
    <t>在保证人员安全意识的情况下，不会发生严重后果</t>
  </si>
  <si>
    <t>× 加装警示牌，提高人员安全意识，通过过时手扶护栏防止摔伤</t>
  </si>
  <si>
    <t>脚踝扭伤，送医治疗，损工20天</t>
  </si>
  <si>
    <t>赵波</t>
  </si>
  <si>
    <t>干熄炉四层平台</t>
  </si>
  <si>
    <t>地面不平可能造成绊倒，及时恢复</t>
  </si>
  <si>
    <t>× 平台地面铁板翘起处焊接加固，防止人员绊倒</t>
  </si>
  <si>
    <t>一名操作工左脚脚踝砸伤伤口较深，送医院缝合治疗，损工半个月。</t>
  </si>
  <si>
    <t>张鹏</t>
  </si>
  <si>
    <t>两盐大屋北墙</t>
  </si>
  <si>
    <t>√ 加固变频器门</t>
  </si>
  <si>
    <t>肩部受伤，损工三天</t>
  </si>
  <si>
    <t>西煤场院墙</t>
  </si>
  <si>
    <t>√ 尽快将院墙上方杂物清除，并对其它部位进行全面排查。</t>
  </si>
  <si>
    <t>20-6-9</t>
  </si>
  <si>
    <t>五号减温减压东侧管道</t>
  </si>
  <si>
    <t>设计安装时就存在的缺陷，只考虑当时的安装不考虑以后的操作，应进行改造，方便日常操作</t>
  </si>
  <si>
    <t>× 加装平台，平台边加装1.2米高的防护护栏，方便人员安全操作</t>
  </si>
  <si>
    <t>操作工触电身亡。</t>
  </si>
  <si>
    <t>赵英</t>
  </si>
  <si>
    <t>中水回用</t>
  </si>
  <si>
    <t>√ 添加接地线</t>
  </si>
  <si>
    <t>一人头部受伤 损工两个月</t>
  </si>
  <si>
    <t>1618外墙</t>
  </si>
  <si>
    <t>√ 加强巡查
√ 维修注意安全</t>
  </si>
  <si>
    <t>污水处理三号站</t>
  </si>
  <si>
    <t>造成离心泵电机烧毁，财产损失2000元。</t>
  </si>
  <si>
    <t>滕秀河</t>
  </si>
  <si>
    <t>20-5-24</t>
  </si>
  <si>
    <t>污水三号站</t>
  </si>
  <si>
    <t>√ 重新固定开关</t>
  </si>
  <si>
    <t>西煤厂</t>
  </si>
  <si>
    <t>√ 尽快处理
√ 加强巡查</t>
  </si>
  <si>
    <t>右脚踝关节扭伤，损工10天。</t>
  </si>
  <si>
    <t>√ 电工更换照明灯泡
√ 人员在光线不清的情况下注意做好防护</t>
  </si>
  <si>
    <t>操作工触电身亡</t>
  </si>
  <si>
    <t>√ 电工将裸露的线头包扎好
√ 人员使用时注意用电安全</t>
  </si>
  <si>
    <t>电工包扎好线头裸露部分，防止出现触电事故</t>
  </si>
  <si>
    <t>手指受伤，损工7天。</t>
  </si>
  <si>
    <t>专项检查</t>
  </si>
  <si>
    <t>王勇</t>
  </si>
  <si>
    <t>√ 杜绝重叠作业</t>
  </si>
  <si>
    <t>20-4-28</t>
  </si>
  <si>
    <t>刘金科</t>
  </si>
  <si>
    <t>环境除尘</t>
  </si>
  <si>
    <t>高处坠落是易发事故，需重视</t>
  </si>
  <si>
    <t>× 加装护栏，防止人员高处坠落</t>
  </si>
  <si>
    <t>操作人员右脚踝脱臼，损工33天。</t>
  </si>
  <si>
    <t>吴长禄</t>
  </si>
  <si>
    <t>5#减温减压</t>
  </si>
  <si>
    <t>实际操作频次不同造成风险级别不同可以区别对待</t>
  </si>
  <si>
    <t>× 尽量减少跨越操作，加挂警示标志牌，提高人员安全操作意识</t>
  </si>
  <si>
    <t>分析室</t>
  </si>
  <si>
    <t>及时脱离触电，休息半天。</t>
  </si>
  <si>
    <t>化工厂</t>
  </si>
  <si>
    <t>合成分析</t>
  </si>
  <si>
    <t>学习培训作业，提交通道错误</t>
  </si>
  <si>
    <t>一名员工脑干损伤死亡事故</t>
  </si>
  <si>
    <t>郭文霞</t>
  </si>
  <si>
    <t>5号减温减压</t>
  </si>
  <si>
    <t>类此跨越作业较少，需加强警示提醒</t>
  </si>
  <si>
    <t>× 减少不必要的跨越操作，加装警示牌，提高作业人员安全意识，</t>
  </si>
  <si>
    <t>冷灰机电机报废，财产损友7千元。</t>
  </si>
  <si>
    <t>75T锅炉零米冷渣机</t>
  </si>
  <si>
    <t>√ 更换安全阀</t>
  </si>
  <si>
    <t>更换新安全阀。</t>
  </si>
  <si>
    <t>一名员工腰椎骨折，休养6个月的损工事故</t>
  </si>
  <si>
    <t>刘建明</t>
  </si>
  <si>
    <t>锅炉二层</t>
  </si>
  <si>
    <t>经对生产系统人员调查，此阀门几乎处于闲置不用状态，不必设置永久性操作平台</t>
  </si>
  <si>
    <t>人员脸部轻微伤</t>
  </si>
  <si>
    <t>√ 安排人员将破损包边拆除
√ 人员经过高层建筑时，注意上方掉落物</t>
  </si>
  <si>
    <t>将破损包边拆除，防止掉落伤人</t>
  </si>
  <si>
    <t>一名员右脚踝骨折修养4个月的损工事故</t>
  </si>
  <si>
    <t>干熄炉五层</t>
  </si>
  <si>
    <t>细节处体现安全意识，值得称赞</t>
  </si>
  <si>
    <t>× 固定干熄炉处盖板，减少缝隙，防止人员伤害</t>
  </si>
  <si>
    <t>一名操作工右脚脚踝扭伤，送医治疗，损工五天。</t>
  </si>
  <si>
    <t>超滤1号过滤器</t>
  </si>
  <si>
    <t>√ 制作按装盖板</t>
  </si>
  <si>
    <t>用铁板制作放空管盖板。</t>
  </si>
  <si>
    <t>休息一会，不影响工作。</t>
  </si>
  <si>
    <t>2＃站</t>
  </si>
  <si>
    <t>情景描述不完整，重新填写</t>
  </si>
  <si>
    <t>造成一人腿部划伤，在家修养三天。误工三天</t>
  </si>
  <si>
    <t>√ 维修将多余的部分割除
√ 人员经过时注意划伤</t>
  </si>
  <si>
    <t>维修将多余部分割除，防止伤人</t>
  </si>
  <si>
    <t>一操作工右侧锁骨骨折，损工105天。</t>
  </si>
  <si>
    <t>√ 工具放到指定位置
√ 教育职工工作完成后现场要清理干净</t>
  </si>
  <si>
    <t>操作工将工具放到指定位置，防止掉落伤人</t>
  </si>
  <si>
    <t>20-7-16</t>
  </si>
  <si>
    <t>√ 责令岗位人员工具使用后，放在指定位置摆放！</t>
  </si>
  <si>
    <t>20-6-18</t>
  </si>
  <si>
    <t>塌陷踩空，腿部肌肉挫伤，损工三天。</t>
  </si>
  <si>
    <t>付海德</t>
  </si>
  <si>
    <t>20-5-29</t>
  </si>
  <si>
    <t>西硫铵南地沟</t>
  </si>
  <si>
    <t>√ 更换加固盖板</t>
  </si>
  <si>
    <t>污水泄露腐蚀地面，经过三小时处理干净，未造成太大影响</t>
  </si>
  <si>
    <t>化学性危险和有害因素</t>
  </si>
  <si>
    <t>鹿敏敏</t>
  </si>
  <si>
    <t>情景描述中应该包括完整后果描述，不要分成两部分</t>
  </si>
  <si>
    <t>√ 维修更换管道</t>
  </si>
  <si>
    <t>20-6-25</t>
  </si>
  <si>
    <t>管道更换完成</t>
  </si>
  <si>
    <t>膝盖软组织挫伤</t>
  </si>
  <si>
    <t>张娜</t>
  </si>
  <si>
    <t>清水池</t>
  </si>
  <si>
    <t>情景描述不完整，无法体现隐患情况</t>
  </si>
  <si>
    <t>学习培训练习，提交位置错误</t>
  </si>
  <si>
    <t>巡检工手臂骨折，入院治疗损工2月</t>
  </si>
  <si>
    <t>田怀成</t>
  </si>
  <si>
    <t>起滤罐中间过道</t>
  </si>
  <si>
    <t>√ 清除角钢</t>
  </si>
  <si>
    <t>直立角钢割除。</t>
  </si>
  <si>
    <t>管道开焊漏油，造成环境污染。</t>
  </si>
  <si>
    <t>马卫东</t>
  </si>
  <si>
    <t>脱苯塔富油管道</t>
  </si>
  <si>
    <t>√ 加固管道支撑</t>
  </si>
  <si>
    <t>住院治疗一月，误工4个月</t>
  </si>
  <si>
    <t>化学水北区泵房</t>
  </si>
  <si>
    <t>工艺安全分析</t>
  </si>
  <si>
    <t>√ 制作盖板
√ 刷漆防腐</t>
  </si>
  <si>
    <t>水泥盖板覆盖。</t>
  </si>
  <si>
    <t>造成住院7天，损工15天</t>
  </si>
  <si>
    <t>干熄焦中控楼东侧管架</t>
  </si>
  <si>
    <t>能发现高处不易发现的隐患，虽然重量轻，但也会造成人员伤害</t>
  </si>
  <si>
    <t>人员腿部骨折，造成损工90天</t>
  </si>
  <si>
    <t>刘丽霞</t>
  </si>
  <si>
    <t>操作平台有铁丝，人员容易绊倒，出现人身伤害事故，及时整改，防止发生事故</t>
  </si>
  <si>
    <t>√ 安排人员将铁丝清理掉
√ 人员在操作平台作业时，注意做好安全措施</t>
  </si>
  <si>
    <t>及时拆除铁丝，防防止人员跌落</t>
  </si>
  <si>
    <t>5.5米推焦车</t>
  </si>
  <si>
    <t>送医抢救无效死亡</t>
  </si>
  <si>
    <t>20-5-30</t>
  </si>
  <si>
    <t>推焦车平台底部</t>
  </si>
  <si>
    <t>× 加强监护，人员禁止通行
× 设立警戒区，隔绝人员通行</t>
  </si>
  <si>
    <t>肩胛骨骨折，损工两个月</t>
  </si>
  <si>
    <t>电捕水封槽</t>
  </si>
  <si>
    <t>√ 加固支撑</t>
  </si>
  <si>
    <t>热力车间煤场</t>
  </si>
  <si>
    <t>造成人员伤寂</t>
  </si>
  <si>
    <t>指挥错误</t>
  </si>
  <si>
    <t>刘成林</t>
  </si>
  <si>
    <t>天车</t>
  </si>
  <si>
    <t>√ 挂警示牌</t>
  </si>
  <si>
    <t>挂警示牌</t>
  </si>
  <si>
    <t>5米5焦炉</t>
  </si>
  <si>
    <t>操作工多处骨折，损工三个月</t>
  </si>
  <si>
    <t>董建秋</t>
  </si>
  <si>
    <t>5米5焦炉北头爬梯</t>
  </si>
  <si>
    <t>√ 增设踢脚板
√ 上下爬梯，抓牢扶手</t>
  </si>
  <si>
    <t>拦焦滑轨</t>
  </si>
  <si>
    <t>停电维修2小时影响出焦6孔及其他连锁反应，造成重大经济损失</t>
  </si>
  <si>
    <t>操作错误</t>
  </si>
  <si>
    <t>常建磊</t>
  </si>
  <si>
    <t>5.5焦炉拦焦滑轨南</t>
  </si>
  <si>
    <t>× 加强滑轨清理
× 车辆行走注意检查</t>
  </si>
  <si>
    <t>掉落导致双手手臂骨折</t>
  </si>
  <si>
    <t>澄清池爬梯</t>
  </si>
  <si>
    <t>隐患情景描述不完整，后果描述不匹配</t>
  </si>
  <si>
    <t>住院诊治15天，在家休养20天，共损工35天。</t>
  </si>
  <si>
    <t>化学水北区加药间内</t>
  </si>
  <si>
    <t>√ 制作盖板
× 刷漆防腐</t>
  </si>
  <si>
    <t>履盖水泥盖板。</t>
  </si>
  <si>
    <t>现场抢救后送医抢救无效死亡</t>
  </si>
  <si>
    <t>姜永奎</t>
  </si>
  <si>
    <t>机侧道轨西</t>
  </si>
  <si>
    <t>√ 设备立即断电停运
√ 更换新的开关</t>
  </si>
  <si>
    <t>人员绊倒，致使左侧膝盖骨骨裂，误工97天</t>
  </si>
  <si>
    <t>钱俊涛</t>
  </si>
  <si>
    <t>干熄焦干熄炉二层</t>
  </si>
  <si>
    <t>保持通道地面平整，防止绊倒伤人</t>
  </si>
  <si>
    <t>× 开焊翘起铁板进行点焊固定，确保地面平整，防止人员绊倒受伤</t>
  </si>
  <si>
    <t>右腿膝盖软组织挫伤，无损工事故</t>
  </si>
  <si>
    <t>20-6-4</t>
  </si>
  <si>
    <t>√ 清理现场</t>
  </si>
  <si>
    <t>现场杂物清理干净</t>
  </si>
  <si>
    <t>1人左小臂骨折，就医休养4个月</t>
  </si>
  <si>
    <t>初冷器三层平台</t>
  </si>
  <si>
    <t>√ 清除横管</t>
  </si>
  <si>
    <t>化产车间深度脱硫</t>
  </si>
  <si>
    <t>造成右手中指骨折，送医院治疗三个月、在家休养二个月</t>
  </si>
  <si>
    <t>王海国</t>
  </si>
  <si>
    <t>20-6-1</t>
  </si>
  <si>
    <t>泡沫泵</t>
  </si>
  <si>
    <t>√ 更换电机防护罩</t>
  </si>
  <si>
    <t>蒸汽喷到右手腕上，治疗后不影响工作，无损工</t>
  </si>
  <si>
    <t>杨爱富</t>
  </si>
  <si>
    <t>2号电捕顶部</t>
  </si>
  <si>
    <t>√ 更换腐蚀的蒸汽盘管</t>
  </si>
  <si>
    <t>彩钢瓦划伤颈部，送医院室消毒包扎，休息2天后复工。</t>
  </si>
  <si>
    <t>20-6-5</t>
  </si>
  <si>
    <t>√ 清理彩钢瓦</t>
  </si>
  <si>
    <t>后背一地方红肿</t>
  </si>
  <si>
    <t>张广顺</t>
  </si>
  <si>
    <t>西硫铵4楼</t>
  </si>
  <si>
    <t>√ 拆除后，更换新窗框</t>
  </si>
  <si>
    <t>油窗液位过低造成气动阀损坏影响设备安全运行</t>
  </si>
  <si>
    <t>付艳</t>
  </si>
  <si>
    <t>20-6-12</t>
  </si>
  <si>
    <t>北区过滤器</t>
  </si>
  <si>
    <t>√ 根据要求添加润滑油
√ 加强设备日常维护保养</t>
  </si>
  <si>
    <t>所有汽动阀油杯检查加油。</t>
  </si>
  <si>
    <t>气柜</t>
  </si>
  <si>
    <t>一人炸伤，损工六个月</t>
  </si>
  <si>
    <t>王晶</t>
  </si>
  <si>
    <t>王中民</t>
  </si>
  <si>
    <t>五千方气柜</t>
  </si>
  <si>
    <t>√ 将老化部分去除</t>
  </si>
  <si>
    <t>已完成</t>
  </si>
  <si>
    <t>浓水处理装置</t>
  </si>
  <si>
    <t>一人损工事件</t>
  </si>
  <si>
    <t>王玉辉</t>
  </si>
  <si>
    <t>√ 添加防护半面罩</t>
  </si>
  <si>
    <t>深度处理东侧水池</t>
  </si>
  <si>
    <t>√ 按规定要求架设电缆线</t>
  </si>
  <si>
    <t>电缆线已经撤除</t>
  </si>
  <si>
    <t>掉落瓦片割伤一名巡检工的脖颈处，损工8天</t>
  </si>
  <si>
    <t>√ 更换新彩瓦
√ 原彩瓦检查固定</t>
  </si>
  <si>
    <t>更换新彩钢瓦并对其他彩瓦进行加圆</t>
  </si>
  <si>
    <t>35吨锅炉</t>
  </si>
  <si>
    <t>在巡查时不惧掉入造成摔伤及骨折筹历害</t>
  </si>
  <si>
    <t>一楼35吨</t>
  </si>
  <si>
    <t>√ 焊护栏
× 挂警示牌</t>
  </si>
  <si>
    <t>制作按装护栏。</t>
  </si>
  <si>
    <t>多处骨折，内脏多脏器损伤，失血过多经抢救无效死亡</t>
  </si>
  <si>
    <t>刘青松</t>
  </si>
  <si>
    <t>干熄焦2#提升机</t>
  </si>
  <si>
    <t>能及时潜在安全隐患！</t>
  </si>
  <si>
    <t>× 盖板及时归位！防止人员伤害！</t>
  </si>
</sst>
</file>

<file path=xl/styles.xml><?xml version="1.0" encoding="utf-8"?>
<styleSheet xmlns="http://schemas.openxmlformats.org/spreadsheetml/2006/main" xml:space="preserve">
  <numFmts count="0"/>
  <fonts count="6">
    <font>
      <b val="0"/>
      <i val="0"/>
      <strike val="0"/>
      <u val="none"/>
      <sz val="8"/>
      <color rgb="FF000000"/>
      <name val="Arial"/>
    </font>
    <font>
      <b val="1"/>
      <i val="0"/>
      <strike val="0"/>
      <u val="none"/>
      <sz val="16"/>
      <color rgb="FF000000"/>
      <name val="Arial"/>
    </font>
    <font>
      <b val="0"/>
      <i val="0"/>
      <strike val="0"/>
      <u val="none"/>
      <sz val="10"/>
      <color rgb="FF000000"/>
      <name val="Arial"/>
    </font>
    <font>
      <b val="0"/>
      <i val="0"/>
      <strike val="0"/>
      <u val="none"/>
      <sz val="8"/>
      <color rgb="000000"/>
      <name val="Arial"/>
    </font>
    <font>
      <b val="0"/>
      <i val="0"/>
      <strike val="0"/>
      <u val="none"/>
      <sz val="8"/>
      <color rgb="DC143C"/>
      <name val="Arial"/>
    </font>
    <font>
      <b val="0"/>
      <i val="0"/>
      <strike val="0"/>
      <u val="none"/>
      <sz val="8"/>
      <color rgb="0000CD"/>
      <name val="Arial"/>
    </font>
  </fonts>
  <fills count="9">
    <fill>
      <patternFill patternType="none"/>
    </fill>
    <fill>
      <patternFill patternType="gray125">
        <fgColor rgb="FFFFFFFF"/>
        <bgColor rgb="FF000000"/>
      </patternFill>
    </fill>
    <fill>
      <patternFill patternType="solid">
        <fgColor rgb="FFC6E0B4"/>
        <bgColor rgb="FF000000"/>
      </patternFill>
    </fill>
    <fill>
      <patternFill patternType="solid">
        <fgColor rgb="FFBDD7EE"/>
        <bgColor rgb="FF000000"/>
      </patternFill>
    </fill>
    <fill>
      <patternFill patternType="solid">
        <fgColor rgb="FFA0D565"/>
        <bgColor rgb="FF000000"/>
      </patternFill>
    </fill>
    <fill>
      <patternFill patternType="solid">
        <fgColor rgb="FFFFD85D"/>
        <bgColor rgb="FF000000"/>
      </patternFill>
    </fill>
    <fill>
      <patternFill patternType="solid">
        <fgColor rgb="FF90EE90"/>
        <bgColor rgb="FF000000"/>
      </patternFill>
    </fill>
    <fill>
      <patternFill patternType="solid">
        <fgColor rgb="FF3CB371"/>
        <bgColor rgb="FF000000"/>
      </patternFill>
    </fill>
    <fill>
      <patternFill patternType="solid">
        <fgColor rgb="FFF8F8F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26">
    <xf xfId="0" fontId="0" numFmtId="0" fillId="0" borderId="0" applyFont="0" applyNumberFormat="0" applyFill="0" applyBorder="0" applyAlignment="0">
      <alignment horizontal="general" vertical="top" textRotation="0" wrapText="true" shrinkToFit="false"/>
    </xf>
    <xf xfId="0" fontId="0" numFmtId="0" fillId="0" borderId="0" applyFont="0"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0" numFmtId="0" fillId="2" borderId="1" applyFont="0" applyNumberFormat="0" applyFill="1" applyBorder="1" applyAlignment="1">
      <alignment horizontal="center" vertical="top" textRotation="0" wrapText="true" shrinkToFit="false"/>
    </xf>
    <xf xfId="0" fontId="0" numFmtId="0" fillId="2" borderId="1" applyFont="0" applyNumberFormat="0" applyFill="1" applyBorder="1" applyAlignment="0">
      <alignment horizontal="general" vertical="top" textRotation="0" wrapText="true" shrinkToFit="false"/>
    </xf>
    <xf xfId="0" fontId="0" numFmtId="0" fillId="3" borderId="1" applyFont="0" applyNumberFormat="0" applyFill="1" applyBorder="1" applyAlignment="1">
      <alignment horizontal="center" vertical="top" textRotation="0" wrapText="true" shrinkToFit="false"/>
    </xf>
    <xf xfId="0" fontId="0" numFmtId="0" fillId="3" borderId="1" applyFont="0" applyNumberFormat="0" applyFill="1" applyBorder="1" applyAlignment="0">
      <alignment horizontal="general" vertical="top" textRotation="0" wrapText="true" shrinkToFit="false"/>
    </xf>
    <xf xfId="0" fontId="0" numFmtId="0" fillId="4" borderId="1" applyFont="0" applyNumberFormat="0" applyFill="1" applyBorder="1" applyAlignment="0">
      <alignment horizontal="general" vertical="top" textRotation="0" wrapText="true" shrinkToFit="false"/>
    </xf>
    <xf xfId="0" fontId="0" numFmtId="0" fillId="5" borderId="1" applyFont="0" applyNumberFormat="0" applyFill="1" applyBorder="1" applyAlignment="1">
      <alignment horizontal="center" vertical="top" textRotation="0" wrapText="true" shrinkToFit="false"/>
    </xf>
    <xf xfId="0" fontId="0" numFmtId="0" fillId="5" borderId="1" applyFont="0" applyNumberFormat="0" applyFill="1" applyBorder="1" applyAlignment="0">
      <alignment horizontal="general" vertical="top" textRotation="0" wrapText="true" shrinkToFit="false"/>
    </xf>
    <xf xfId="0" fontId="2" numFmtId="0" fillId="2" borderId="1" applyFont="1" applyNumberFormat="0" applyFill="1" applyBorder="1" applyAlignment="1">
      <alignment horizontal="center" vertical="top" textRotation="0" wrapText="true" shrinkToFit="false"/>
    </xf>
    <xf xfId="0" fontId="2" numFmtId="0" fillId="2" borderId="1" applyFont="1" applyNumberFormat="0" applyFill="1" applyBorder="1" applyAlignment="0">
      <alignment horizontal="general" vertical="top" textRotation="0" wrapText="true" shrinkToFit="false"/>
    </xf>
    <xf xfId="0" fontId="2" numFmtId="0" fillId="3" borderId="1" applyFont="1" applyNumberFormat="0" applyFill="1" applyBorder="1" applyAlignment="1">
      <alignment horizontal="center" vertical="top" textRotation="0" wrapText="true" shrinkToFit="false"/>
    </xf>
    <xf xfId="0" fontId="2" numFmtId="0" fillId="3" borderId="1" applyFont="1" applyNumberFormat="0" applyFill="1" applyBorder="1" applyAlignment="0">
      <alignment horizontal="general" vertical="top" textRotation="0" wrapText="true" shrinkToFit="false"/>
    </xf>
    <xf xfId="0" fontId="2" numFmtId="0" fillId="4" borderId="1" applyFont="1" applyNumberFormat="0" applyFill="1" applyBorder="1" applyAlignment="1">
      <alignment horizontal="center" vertical="top" textRotation="0" wrapText="true" shrinkToFit="false"/>
    </xf>
    <xf xfId="0" fontId="2" numFmtId="0" fillId="4" borderId="1" applyFont="1" applyNumberFormat="0" applyFill="1" applyBorder="1" applyAlignment="0">
      <alignment horizontal="general" vertical="top" textRotation="0" wrapText="true" shrinkToFit="false"/>
    </xf>
    <xf xfId="0" fontId="2" numFmtId="0" fillId="5" borderId="1" applyFont="1" applyNumberFormat="0" applyFill="1" applyBorder="1" applyAlignment="1">
      <alignment horizontal="center" vertical="top" textRotation="0" wrapText="true" shrinkToFit="false"/>
    </xf>
    <xf xfId="0" fontId="2" numFmtId="0" fillId="5" borderId="1" applyFont="1" applyNumberFormat="0" applyFill="1" applyBorder="1" applyAlignment="0">
      <alignment horizontal="general" vertical="top" textRotation="0" wrapText="true" shrinkToFit="false"/>
    </xf>
    <xf xfId="0" fontId="2" numFmtId="0" fillId="0" borderId="0" applyFont="1" applyNumberFormat="0" applyFill="0" applyBorder="0" applyAlignment="0">
      <alignment horizontal="general" vertical="top" textRotation="0" wrapText="true" shrinkToFit="false"/>
    </xf>
    <xf xfId="0" fontId="0" numFmtId="0" fillId="0" borderId="1" applyFont="0" applyNumberFormat="0" applyFill="0" applyBorder="1" applyAlignment="0">
      <alignment horizontal="general" vertical="top" textRotation="0" wrapText="true" shrinkToFit="false"/>
    </xf>
    <xf xfId="0" fontId="0" numFmtId="0" fillId="6" borderId="1" applyFont="0" applyNumberFormat="0" applyFill="1" applyBorder="1" applyAlignment="0">
      <alignment horizontal="general" vertical="top" textRotation="0" wrapText="true" shrinkToFit="false"/>
    </xf>
    <xf xfId="0" fontId="3" numFmtId="0" fillId="0" borderId="1" applyFont="1" applyNumberFormat="0" applyFill="0" applyBorder="1" applyAlignment="0">
      <alignment horizontal="general" vertical="top" textRotation="0" wrapText="true" shrinkToFit="false"/>
    </xf>
    <xf xfId="0" fontId="0" numFmtId="0" fillId="7" borderId="1" applyFont="0" applyNumberFormat="0" applyFill="1" applyBorder="1" applyAlignment="0">
      <alignment horizontal="general" vertical="top" textRotation="0" wrapText="true" shrinkToFit="false"/>
    </xf>
    <xf xfId="0" fontId="0" numFmtId="0" fillId="8" borderId="1" applyFont="0" applyNumberFormat="0" applyFill="1" applyBorder="1" applyAlignment="0">
      <alignment horizontal="general" vertical="top" textRotation="0" wrapText="true" shrinkToFit="false"/>
    </xf>
    <xf xfId="0" fontId="4" numFmtId="0" fillId="0" borderId="1" applyFont="1" applyNumberFormat="0" applyFill="0" applyBorder="1" applyAlignment="0">
      <alignment horizontal="general" vertical="top" textRotation="0" wrapText="true" shrinkToFit="false"/>
    </xf>
    <xf xfId="0" fontId="5" numFmtId="0" fillId="0" borderId="1" applyFont="1" applyNumberFormat="0" applyFill="0" applyBorder="1" applyAlignment="0">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henontech.com/fieldsafety/harzard/harzard_show.php?rid=2723&amp;url=harzardrecs.php" TargetMode="External"/><Relationship Id="rId_hyperlink_2" Type="http://schemas.openxmlformats.org/officeDocument/2006/relationships/hyperlink" Target="http://henontech.com/fieldsafety/harzard/harzard_show.php?rid=2833&amp;url=harzardrecs.php" TargetMode="External"/><Relationship Id="rId_hyperlink_3" Type="http://schemas.openxmlformats.org/officeDocument/2006/relationships/hyperlink" Target="http://henontech.com/fieldsafety/harzard/harzard_show.php?rid=2849&amp;url=harzardrecs.php" TargetMode="External"/><Relationship Id="rId_hyperlink_4" Type="http://schemas.openxmlformats.org/officeDocument/2006/relationships/hyperlink" Target="http://henontech.com/fieldsafety/harzard/harzard_show.php?rid=2852&amp;url=harzardrecs.php" TargetMode="External"/><Relationship Id="rId_hyperlink_5" Type="http://schemas.openxmlformats.org/officeDocument/2006/relationships/hyperlink" Target="http://henontech.com/fieldsafety/harzard/harzard_show.php?rid=2856&amp;url=harzardrecs.php" TargetMode="External"/><Relationship Id="rId_hyperlink_6" Type="http://schemas.openxmlformats.org/officeDocument/2006/relationships/hyperlink" Target="http://henontech.com/fieldsafety/harzard/harzard_show.php?rid=2860&amp;url=harzardrecs.php" TargetMode="External"/><Relationship Id="rId_hyperlink_7" Type="http://schemas.openxmlformats.org/officeDocument/2006/relationships/hyperlink" Target="http://henontech.com/fieldsafety/harzard/harzard_show.php?rid=2862&amp;url=harzardrecs.php" TargetMode="External"/><Relationship Id="rId_hyperlink_8" Type="http://schemas.openxmlformats.org/officeDocument/2006/relationships/hyperlink" Target="http://henontech.com/fieldsafety/harzard/harzard_show.php?rid=2865&amp;url=harzardrecs.php" TargetMode="External"/><Relationship Id="rId_hyperlink_9" Type="http://schemas.openxmlformats.org/officeDocument/2006/relationships/hyperlink" Target="http://henontech.com/fieldsafety/harzard/harzard_show.php?rid=2874&amp;url=harzardrecs.php" TargetMode="External"/><Relationship Id="rId_hyperlink_10" Type="http://schemas.openxmlformats.org/officeDocument/2006/relationships/hyperlink" Target="http://henontech.com/fieldsafety/harzard/harzard_show.php?rid=2875&amp;url=harzardrecs.php" TargetMode="External"/><Relationship Id="rId_hyperlink_11" Type="http://schemas.openxmlformats.org/officeDocument/2006/relationships/hyperlink" Target="http://henontech.com/fieldsafety/harzard/harzard_show.php?rid=2887&amp;url=harzardrecs.php" TargetMode="External"/><Relationship Id="rId_hyperlink_12" Type="http://schemas.openxmlformats.org/officeDocument/2006/relationships/hyperlink" Target="http://henontech.com/fieldsafety/harzard/harzard_show.php?rid=2893&amp;url=harzardrecs.php" TargetMode="External"/><Relationship Id="rId_hyperlink_13" Type="http://schemas.openxmlformats.org/officeDocument/2006/relationships/hyperlink" Target="http://henontech.com/fieldsafety/harzard/harzard_show.php?rid=2899&amp;url=harzardrecs.php" TargetMode="External"/><Relationship Id="rId_hyperlink_14" Type="http://schemas.openxmlformats.org/officeDocument/2006/relationships/hyperlink" Target="http://henontech.com/fieldsafety/harzard/harzard_show.php?rid=2900&amp;url=harzardrecs.php" TargetMode="External"/><Relationship Id="rId_hyperlink_15" Type="http://schemas.openxmlformats.org/officeDocument/2006/relationships/hyperlink" Target="http://henontech.com/fieldsafety/harzard/harzard_show.php?rid=2906&amp;url=harzardrecs.php" TargetMode="External"/><Relationship Id="rId_hyperlink_16" Type="http://schemas.openxmlformats.org/officeDocument/2006/relationships/hyperlink" Target="http://henontech.com/fieldsafety/harzard/harzard_show.php?rid=2907&amp;url=harzardrecs.php" TargetMode="External"/><Relationship Id="rId_hyperlink_17" Type="http://schemas.openxmlformats.org/officeDocument/2006/relationships/hyperlink" Target="http://henontech.com/fieldsafety/harzard/harzard_show.php?rid=2909&amp;url=harzardrecs.php" TargetMode="External"/><Relationship Id="rId_hyperlink_18" Type="http://schemas.openxmlformats.org/officeDocument/2006/relationships/hyperlink" Target="http://henontech.com/fieldsafety/harzard/harzard_show.php?rid=2926&amp;url=harzardrecs.php" TargetMode="External"/><Relationship Id="rId_hyperlink_19" Type="http://schemas.openxmlformats.org/officeDocument/2006/relationships/hyperlink" Target="http://henontech.com/fieldsafety/harzard/harzard_show.php?rid=2927&amp;url=harzardrecs.php" TargetMode="External"/><Relationship Id="rId_hyperlink_20" Type="http://schemas.openxmlformats.org/officeDocument/2006/relationships/hyperlink" Target="http://henontech.com/fieldsafety/harzard/harzard_show.php?rid=2931&amp;url=harzardrecs.php" TargetMode="External"/><Relationship Id="rId_hyperlink_21" Type="http://schemas.openxmlformats.org/officeDocument/2006/relationships/hyperlink" Target="http://henontech.com/fieldsafety/harzard/harzard_show.php?rid=2932&amp;url=harzardrecs.php" TargetMode="External"/><Relationship Id="rId_hyperlink_22" Type="http://schemas.openxmlformats.org/officeDocument/2006/relationships/hyperlink" Target="http://henontech.com/fieldsafety/harzard/harzard_show.php?rid=2933&amp;url=harzardrecs.php" TargetMode="External"/><Relationship Id="rId_hyperlink_23" Type="http://schemas.openxmlformats.org/officeDocument/2006/relationships/hyperlink" Target="http://henontech.com/fieldsafety/harzard/harzard_show.php?rid=2937&amp;url=harzardrecs.php" TargetMode="External"/><Relationship Id="rId_hyperlink_24" Type="http://schemas.openxmlformats.org/officeDocument/2006/relationships/hyperlink" Target="http://henontech.com/fieldsafety/harzard/harzard_show.php?rid=2940&amp;url=harzardrecs.php" TargetMode="External"/><Relationship Id="rId_hyperlink_25" Type="http://schemas.openxmlformats.org/officeDocument/2006/relationships/hyperlink" Target="http://henontech.com/fieldsafety/harzard/harzard_show.php?rid=2941&amp;url=harzardrecs.php" TargetMode="External"/><Relationship Id="rId_hyperlink_26" Type="http://schemas.openxmlformats.org/officeDocument/2006/relationships/hyperlink" Target="http://henontech.com/fieldsafety/harzard/harzard_show.php?rid=2947&amp;url=harzardrecs.php" TargetMode="External"/><Relationship Id="rId_hyperlink_27" Type="http://schemas.openxmlformats.org/officeDocument/2006/relationships/hyperlink" Target="http://henontech.com/fieldsafety/harzard/harzard_show.php?rid=2948&amp;url=harzardrecs.php" TargetMode="External"/><Relationship Id="rId_hyperlink_28" Type="http://schemas.openxmlformats.org/officeDocument/2006/relationships/hyperlink" Target="http://henontech.com/fieldsafety/harzard/harzard_show.php?rid=2949&amp;url=harzardrecs.php" TargetMode="External"/><Relationship Id="rId_hyperlink_29" Type="http://schemas.openxmlformats.org/officeDocument/2006/relationships/hyperlink" Target="http://henontech.com/fieldsafety/harzard/harzard_show.php?rid=2951&amp;url=harzardrecs.php" TargetMode="External"/><Relationship Id="rId_hyperlink_30" Type="http://schemas.openxmlformats.org/officeDocument/2006/relationships/hyperlink" Target="http://henontech.com/fieldsafety/harzard/harzard_show.php?rid=2953&amp;url=harzardrecs.php" TargetMode="External"/><Relationship Id="rId_hyperlink_31" Type="http://schemas.openxmlformats.org/officeDocument/2006/relationships/hyperlink" Target="http://henontech.com/fieldsafety/harzard/harzard_show.php?rid=2954&amp;url=harzardrecs.php" TargetMode="External"/><Relationship Id="rId_hyperlink_32" Type="http://schemas.openxmlformats.org/officeDocument/2006/relationships/hyperlink" Target="http://henontech.com/fieldsafety/harzard/harzard_show.php?rid=2956&amp;url=harzardrecs.php" TargetMode="External"/><Relationship Id="rId_hyperlink_33" Type="http://schemas.openxmlformats.org/officeDocument/2006/relationships/hyperlink" Target="http://henontech.com/fieldsafety/harzard/harzard_show.php?rid=2957&amp;url=harzardrecs.php" TargetMode="External"/><Relationship Id="rId_hyperlink_34" Type="http://schemas.openxmlformats.org/officeDocument/2006/relationships/hyperlink" Target="http://henontech.com/fieldsafety/harzard/harzard_show.php?rid=2958&amp;url=harzardrecs.php" TargetMode="External"/><Relationship Id="rId_hyperlink_35" Type="http://schemas.openxmlformats.org/officeDocument/2006/relationships/hyperlink" Target="http://henontech.com/fieldsafety/harzard/harzard_show.php?rid=2959&amp;url=harzardrecs.php" TargetMode="External"/><Relationship Id="rId_hyperlink_36" Type="http://schemas.openxmlformats.org/officeDocument/2006/relationships/hyperlink" Target="http://henontech.com/fieldsafety/harzard/harzard_show.php?rid=2960&amp;url=harzardrecs.php" TargetMode="External"/><Relationship Id="rId_hyperlink_37" Type="http://schemas.openxmlformats.org/officeDocument/2006/relationships/hyperlink" Target="http://henontech.com/fieldsafety/harzard/harzard_show.php?rid=2961&amp;url=harzardrecs.php" TargetMode="External"/><Relationship Id="rId_hyperlink_38" Type="http://schemas.openxmlformats.org/officeDocument/2006/relationships/hyperlink" Target="http://henontech.com/fieldsafety/harzard/harzard_show.php?rid=2962&amp;url=harzardrecs.php" TargetMode="External"/><Relationship Id="rId_hyperlink_39" Type="http://schemas.openxmlformats.org/officeDocument/2006/relationships/hyperlink" Target="http://henontech.com/fieldsafety/harzard/harzard_show.php?rid=2963&amp;url=harzardrecs.php" TargetMode="External"/><Relationship Id="rId_hyperlink_40" Type="http://schemas.openxmlformats.org/officeDocument/2006/relationships/hyperlink" Target="http://henontech.com/fieldsafety/harzard/harzard_show.php?rid=2964&amp;url=harzardrecs.php" TargetMode="External"/><Relationship Id="rId_hyperlink_41" Type="http://schemas.openxmlformats.org/officeDocument/2006/relationships/hyperlink" Target="http://henontech.com/fieldsafety/harzard/harzard_show.php?rid=2965&amp;url=harzardrecs.php" TargetMode="External"/><Relationship Id="rId_hyperlink_42" Type="http://schemas.openxmlformats.org/officeDocument/2006/relationships/hyperlink" Target="http://henontech.com/fieldsafety/harzard/harzard_show.php?rid=2966&amp;url=harzardrecs.php" TargetMode="External"/><Relationship Id="rId_hyperlink_43" Type="http://schemas.openxmlformats.org/officeDocument/2006/relationships/hyperlink" Target="http://henontech.com/fieldsafety/harzard/harzard_show.php?rid=2967&amp;url=harzardrecs.php" TargetMode="External"/><Relationship Id="rId_hyperlink_44" Type="http://schemas.openxmlformats.org/officeDocument/2006/relationships/hyperlink" Target="http://henontech.com/fieldsafety/harzard/harzard_show.php?rid=2968&amp;url=harzardrecs.php" TargetMode="External"/><Relationship Id="rId_hyperlink_45" Type="http://schemas.openxmlformats.org/officeDocument/2006/relationships/hyperlink" Target="http://henontech.com/fieldsafety/harzard/harzard_show.php?rid=2969&amp;url=harzardrecs.php" TargetMode="External"/><Relationship Id="rId_hyperlink_46" Type="http://schemas.openxmlformats.org/officeDocument/2006/relationships/hyperlink" Target="http://henontech.com/fieldsafety/harzard/harzard_show.php?rid=2970&amp;url=harzardrecs.php" TargetMode="External"/><Relationship Id="rId_hyperlink_47" Type="http://schemas.openxmlformats.org/officeDocument/2006/relationships/hyperlink" Target="http://henontech.com/fieldsafety/harzard/harzard_show.php?rid=2971&amp;url=harzardrecs.php" TargetMode="External"/><Relationship Id="rId_hyperlink_48" Type="http://schemas.openxmlformats.org/officeDocument/2006/relationships/hyperlink" Target="http://henontech.com/fieldsafety/harzard/harzard_show.php?rid=2972&amp;url=harzardrecs.php" TargetMode="External"/><Relationship Id="rId_hyperlink_49" Type="http://schemas.openxmlformats.org/officeDocument/2006/relationships/hyperlink" Target="http://henontech.com/fieldsafety/harzard/harzard_show.php?rid=2973&amp;url=harzardrecs.php" TargetMode="External"/><Relationship Id="rId_hyperlink_50" Type="http://schemas.openxmlformats.org/officeDocument/2006/relationships/hyperlink" Target="http://henontech.com/fieldsafety/harzard/harzard_show.php?rid=2974&amp;url=harzardrecs.php" TargetMode="External"/><Relationship Id="rId_hyperlink_51" Type="http://schemas.openxmlformats.org/officeDocument/2006/relationships/hyperlink" Target="http://henontech.com/fieldsafety/harzard/harzard_show.php?rid=2975&amp;url=harzardrecs.php" TargetMode="External"/><Relationship Id="rId_hyperlink_52" Type="http://schemas.openxmlformats.org/officeDocument/2006/relationships/hyperlink" Target="http://henontech.com/fieldsafety/harzard/harzard_show.php?rid=2976&amp;url=harzardrecs.php" TargetMode="External"/><Relationship Id="rId_hyperlink_53" Type="http://schemas.openxmlformats.org/officeDocument/2006/relationships/hyperlink" Target="http://henontech.com/fieldsafety/harzard/harzard_show.php?rid=2977&amp;url=harzardrecs.php" TargetMode="External"/><Relationship Id="rId_hyperlink_54" Type="http://schemas.openxmlformats.org/officeDocument/2006/relationships/hyperlink" Target="http://henontech.com/fieldsafety/harzard/harzard_show.php?rid=2978&amp;url=harzardrecs.php" TargetMode="External"/><Relationship Id="rId_hyperlink_55" Type="http://schemas.openxmlformats.org/officeDocument/2006/relationships/hyperlink" Target="http://henontech.com/fieldsafety/harzard/harzard_show.php?rid=2979&amp;url=harzardrecs.php" TargetMode="External"/><Relationship Id="rId_hyperlink_56" Type="http://schemas.openxmlformats.org/officeDocument/2006/relationships/hyperlink" Target="http://henontech.com/fieldsafety/harzard/harzard_show.php?rid=2980&amp;url=harzardrecs.php" TargetMode="External"/><Relationship Id="rId_hyperlink_57" Type="http://schemas.openxmlformats.org/officeDocument/2006/relationships/hyperlink" Target="http://henontech.com/fieldsafety/harzard/harzard_show.php?rid=2981&amp;url=harzardrecs.php" TargetMode="External"/><Relationship Id="rId_hyperlink_58" Type="http://schemas.openxmlformats.org/officeDocument/2006/relationships/hyperlink" Target="http://henontech.com/fieldsafety/harzard/harzard_show.php?rid=2982&amp;url=harzardrecs.php" TargetMode="External"/><Relationship Id="rId_hyperlink_59" Type="http://schemas.openxmlformats.org/officeDocument/2006/relationships/hyperlink" Target="http://henontech.com/fieldsafety/harzard/harzard_show.php?rid=2983&amp;url=harzardrecs.php" TargetMode="External"/><Relationship Id="rId_hyperlink_60" Type="http://schemas.openxmlformats.org/officeDocument/2006/relationships/hyperlink" Target="http://henontech.com/fieldsafety/harzard/harzard_show.php?rid=2984&amp;url=harzardrecs.php" TargetMode="External"/><Relationship Id="rId_hyperlink_61" Type="http://schemas.openxmlformats.org/officeDocument/2006/relationships/hyperlink" Target="http://henontech.com/fieldsafety/harzard/harzard_show.php?rid=2985&amp;url=harzardrecs.php" TargetMode="External"/><Relationship Id="rId_hyperlink_62" Type="http://schemas.openxmlformats.org/officeDocument/2006/relationships/hyperlink" Target="http://henontech.com/fieldsafety/harzard/harzard_show.php?rid=2986&amp;url=harzardrecs.php" TargetMode="External"/><Relationship Id="rId_hyperlink_63" Type="http://schemas.openxmlformats.org/officeDocument/2006/relationships/hyperlink" Target="http://henontech.com/fieldsafety/harzard/harzard_show.php?rid=2987&amp;url=harzardrecs.php" TargetMode="External"/><Relationship Id="rId_hyperlink_64" Type="http://schemas.openxmlformats.org/officeDocument/2006/relationships/hyperlink" Target="http://henontech.com/fieldsafety/harzard/harzard_show.php?rid=2988&amp;url=harzardrecs.php" TargetMode="External"/><Relationship Id="rId_hyperlink_65" Type="http://schemas.openxmlformats.org/officeDocument/2006/relationships/hyperlink" Target="http://henontech.com/fieldsafety/harzard/harzard_show.php?rid=2990&amp;url=harzardrecs.php" TargetMode="External"/><Relationship Id="rId_hyperlink_66" Type="http://schemas.openxmlformats.org/officeDocument/2006/relationships/hyperlink" Target="http://henontech.com/fieldsafety/harzard/harzard_show.php?rid=2991&amp;url=harzardrecs.php" TargetMode="External"/><Relationship Id="rId_hyperlink_67" Type="http://schemas.openxmlformats.org/officeDocument/2006/relationships/hyperlink" Target="http://henontech.com/fieldsafety/harzard/harzard_show.php?rid=2992&amp;url=harzardrecs.php" TargetMode="External"/><Relationship Id="rId_hyperlink_68" Type="http://schemas.openxmlformats.org/officeDocument/2006/relationships/hyperlink" Target="http://henontech.com/fieldsafety/harzard/harzard_show.php?rid=2993&amp;url=harzardrecs.php" TargetMode="External"/><Relationship Id="rId_hyperlink_69" Type="http://schemas.openxmlformats.org/officeDocument/2006/relationships/hyperlink" Target="http://henontech.com/fieldsafety/harzard/harzard_show.php?rid=2994&amp;url=harzardrecs.php" TargetMode="External"/><Relationship Id="rId_hyperlink_70" Type="http://schemas.openxmlformats.org/officeDocument/2006/relationships/hyperlink" Target="http://henontech.com/fieldsafety/harzard/harzard_show.php?rid=2995&amp;url=harzardrecs.php" TargetMode="External"/><Relationship Id="rId_hyperlink_71" Type="http://schemas.openxmlformats.org/officeDocument/2006/relationships/hyperlink" Target="http://henontech.com/fieldsafety/harzard/harzard_show.php?rid=2996&amp;url=harzardrecs.php" TargetMode="External"/><Relationship Id="rId_hyperlink_72" Type="http://schemas.openxmlformats.org/officeDocument/2006/relationships/hyperlink" Target="http://henontech.com/fieldsafety/harzard/harzard_show.php?rid=2997&amp;url=harzardrecs.php" TargetMode="External"/><Relationship Id="rId_hyperlink_73" Type="http://schemas.openxmlformats.org/officeDocument/2006/relationships/hyperlink" Target="http://henontech.com/fieldsafety/harzard/harzard_show.php?rid=2998&amp;url=harzardrecs.php" TargetMode="External"/><Relationship Id="rId_hyperlink_74" Type="http://schemas.openxmlformats.org/officeDocument/2006/relationships/hyperlink" Target="http://henontech.com/fieldsafety/harzard/harzard_show.php?rid=2999&amp;url=harzardrecs.php" TargetMode="External"/><Relationship Id="rId_hyperlink_75" Type="http://schemas.openxmlformats.org/officeDocument/2006/relationships/hyperlink" Target="http://henontech.com/fieldsafety/harzard/harzard_show.php?rid=3000&amp;url=harzardrecs.php" TargetMode="External"/><Relationship Id="rId_hyperlink_76" Type="http://schemas.openxmlformats.org/officeDocument/2006/relationships/hyperlink" Target="http://henontech.com/fieldsafety/harzard/harzard_show.php?rid=3001&amp;url=harzardrecs.php" TargetMode="External"/><Relationship Id="rId_hyperlink_77" Type="http://schemas.openxmlformats.org/officeDocument/2006/relationships/hyperlink" Target="http://henontech.com/fieldsafety/harzard/harzard_show.php?rid=3002&amp;url=harzardrecs.php" TargetMode="External"/><Relationship Id="rId_hyperlink_78" Type="http://schemas.openxmlformats.org/officeDocument/2006/relationships/hyperlink" Target="http://henontech.com/fieldsafety/harzard/harzard_show.php?rid=3003&amp;url=harzardrecs.php" TargetMode="External"/><Relationship Id="rId_hyperlink_79" Type="http://schemas.openxmlformats.org/officeDocument/2006/relationships/hyperlink" Target="http://henontech.com/fieldsafety/harzard/harzard_show.php?rid=3004&amp;url=harzardrecs.php" TargetMode="External"/><Relationship Id="rId_hyperlink_80" Type="http://schemas.openxmlformats.org/officeDocument/2006/relationships/hyperlink" Target="http://henontech.com/fieldsafety/harzard/harzard_show.php?rid=3005&amp;url=harzardrecs.php" TargetMode="External"/><Relationship Id="rId_hyperlink_81" Type="http://schemas.openxmlformats.org/officeDocument/2006/relationships/hyperlink" Target="http://henontech.com/fieldsafety/harzard/harzard_show.php?rid=3006&amp;url=harzardrecs.php" TargetMode="External"/><Relationship Id="rId_hyperlink_82" Type="http://schemas.openxmlformats.org/officeDocument/2006/relationships/hyperlink" Target="http://henontech.com/fieldsafety/harzard/harzard_show.php?rid=3007&amp;url=harzardrecs.php" TargetMode="External"/><Relationship Id="rId_hyperlink_83" Type="http://schemas.openxmlformats.org/officeDocument/2006/relationships/hyperlink" Target="http://henontech.com/fieldsafety/harzard/harzard_show.php?rid=3008&amp;url=harzardrecs.php" TargetMode="External"/><Relationship Id="rId_hyperlink_84" Type="http://schemas.openxmlformats.org/officeDocument/2006/relationships/hyperlink" Target="http://henontech.com/fieldsafety/harzard/harzard_show.php?rid=3009&amp;url=harzardrecs.php" TargetMode="External"/><Relationship Id="rId_hyperlink_85" Type="http://schemas.openxmlformats.org/officeDocument/2006/relationships/hyperlink" Target="http://henontech.com/fieldsafety/harzard/harzard_show.php?rid=3010&amp;url=harzardrecs.php" TargetMode="External"/><Relationship Id="rId_hyperlink_86" Type="http://schemas.openxmlformats.org/officeDocument/2006/relationships/hyperlink" Target="http://henontech.com/fieldsafety/harzard/harzard_show.php?rid=3011&amp;url=harzardrecs.php" TargetMode="External"/><Relationship Id="rId_hyperlink_87" Type="http://schemas.openxmlformats.org/officeDocument/2006/relationships/hyperlink" Target="http://henontech.com/fieldsafety/harzard/harzard_show.php?rid=3012&amp;url=harzardrecs.php" TargetMode="External"/><Relationship Id="rId_hyperlink_88" Type="http://schemas.openxmlformats.org/officeDocument/2006/relationships/hyperlink" Target="http://henontech.com/fieldsafety/harzard/harzard_show.php?rid=3013&amp;url=harzardrecs.php" TargetMode="External"/><Relationship Id="rId_hyperlink_89" Type="http://schemas.openxmlformats.org/officeDocument/2006/relationships/hyperlink" Target="http://henontech.com/fieldsafety/harzard/harzard_show.php?rid=3014&amp;url=harzardrecs.php" TargetMode="External"/><Relationship Id="rId_hyperlink_90" Type="http://schemas.openxmlformats.org/officeDocument/2006/relationships/hyperlink" Target="http://henontech.com/fieldsafety/harzard/harzard_show.php?rid=3015&amp;url=harzardrecs.php" TargetMode="External"/><Relationship Id="rId_hyperlink_91" Type="http://schemas.openxmlformats.org/officeDocument/2006/relationships/hyperlink" Target="http://henontech.com/fieldsafety/harzard/harzard_show.php?rid=3016&amp;url=harzardrecs.php" TargetMode="External"/><Relationship Id="rId_hyperlink_92" Type="http://schemas.openxmlformats.org/officeDocument/2006/relationships/hyperlink" Target="http://henontech.com/fieldsafety/harzard/harzard_show.php?rid=3017&amp;url=harzardrecs.php" TargetMode="External"/><Relationship Id="rId_hyperlink_93" Type="http://schemas.openxmlformats.org/officeDocument/2006/relationships/hyperlink" Target="http://henontech.com/fieldsafety/harzard/harzard_show.php?rid=3018&amp;url=harzardrecs.php" TargetMode="External"/><Relationship Id="rId_hyperlink_94" Type="http://schemas.openxmlformats.org/officeDocument/2006/relationships/hyperlink" Target="http://henontech.com/fieldsafety/harzard/harzard_show.php?rid=3019&amp;url=harzardrecs.php" TargetMode="External"/><Relationship Id="rId_hyperlink_95" Type="http://schemas.openxmlformats.org/officeDocument/2006/relationships/hyperlink" Target="http://henontech.com/fieldsafety/harzard/harzard_show.php?rid=3020&amp;url=harzardrecs.php" TargetMode="External"/><Relationship Id="rId_hyperlink_96" Type="http://schemas.openxmlformats.org/officeDocument/2006/relationships/hyperlink" Target="http://henontech.com/fieldsafety/harzard/harzard_show.php?rid=3021&amp;url=harzardrecs.php" TargetMode="External"/><Relationship Id="rId_hyperlink_97" Type="http://schemas.openxmlformats.org/officeDocument/2006/relationships/hyperlink" Target="http://henontech.com/fieldsafety/harzard/harzard_show.php?rid=3022&amp;url=harzardrecs.php" TargetMode="External"/><Relationship Id="rId_hyperlink_98" Type="http://schemas.openxmlformats.org/officeDocument/2006/relationships/hyperlink" Target="http://henontech.com/fieldsafety/harzard/harzard_show.php?rid=3023&amp;url=harzardrecs.php" TargetMode="External"/><Relationship Id="rId_hyperlink_99" Type="http://schemas.openxmlformats.org/officeDocument/2006/relationships/hyperlink" Target="http://henontech.com/fieldsafety/harzard/harzard_show.php?rid=3024&amp;url=harzardrecs.php" TargetMode="External"/><Relationship Id="rId_hyperlink_100" Type="http://schemas.openxmlformats.org/officeDocument/2006/relationships/hyperlink" Target="http://henontech.com/fieldsafety/harzard/harzard_show.php?rid=3025&amp;url=harzardrecs.php" TargetMode="External"/><Relationship Id="rId_hyperlink_101" Type="http://schemas.openxmlformats.org/officeDocument/2006/relationships/hyperlink" Target="http://henontech.com/fieldsafety/harzard/harzard_show.php?rid=3026&amp;url=harzardrecs.php" TargetMode="External"/><Relationship Id="rId_hyperlink_102" Type="http://schemas.openxmlformats.org/officeDocument/2006/relationships/hyperlink" Target="http://henontech.com/fieldsafety/harzard/harzard_show.php?rid=3027&amp;url=harzardrecs.php" TargetMode="External"/><Relationship Id="rId_hyperlink_103" Type="http://schemas.openxmlformats.org/officeDocument/2006/relationships/hyperlink" Target="http://henontech.com/fieldsafety/harzard/harzard_show.php?rid=3028&amp;url=harzardrecs.php" TargetMode="External"/><Relationship Id="rId_hyperlink_104" Type="http://schemas.openxmlformats.org/officeDocument/2006/relationships/hyperlink" Target="http://henontech.com/fieldsafety/harzard/harzard_show.php?rid=3029&amp;url=harzardrecs.php" TargetMode="External"/><Relationship Id="rId_hyperlink_105" Type="http://schemas.openxmlformats.org/officeDocument/2006/relationships/hyperlink" Target="http://henontech.com/fieldsafety/harzard/harzard_show.php?rid=3030&amp;url=harzardrecs.php" TargetMode="External"/><Relationship Id="rId_hyperlink_106" Type="http://schemas.openxmlformats.org/officeDocument/2006/relationships/hyperlink" Target="http://henontech.com/fieldsafety/harzard/harzard_show.php?rid=3031&amp;url=harzardrecs.php" TargetMode="External"/><Relationship Id="rId_hyperlink_107" Type="http://schemas.openxmlformats.org/officeDocument/2006/relationships/hyperlink" Target="http://henontech.com/fieldsafety/harzard/harzard_show.php?rid=3032&amp;url=harzardrecs.php" TargetMode="External"/><Relationship Id="rId_hyperlink_108" Type="http://schemas.openxmlformats.org/officeDocument/2006/relationships/hyperlink" Target="http://henontech.com/fieldsafety/harzard/harzard_show.php?rid=3033&amp;url=harzardrecs.php" TargetMode="External"/><Relationship Id="rId_hyperlink_109" Type="http://schemas.openxmlformats.org/officeDocument/2006/relationships/hyperlink" Target="http://henontech.com/fieldsafety/harzard/harzard_show.php?rid=3034&amp;url=harzardrecs.php" TargetMode="External"/><Relationship Id="rId_hyperlink_110" Type="http://schemas.openxmlformats.org/officeDocument/2006/relationships/hyperlink" Target="http://henontech.com/fieldsafety/harzard/harzard_show.php?rid=3035&amp;url=harzardrecs.php" TargetMode="External"/><Relationship Id="rId_hyperlink_111" Type="http://schemas.openxmlformats.org/officeDocument/2006/relationships/hyperlink" Target="http://henontech.com/fieldsafety/harzard/harzard_show.php?rid=3036&amp;url=harzardrecs.php" TargetMode="External"/><Relationship Id="rId_hyperlink_112" Type="http://schemas.openxmlformats.org/officeDocument/2006/relationships/hyperlink" Target="http://henontech.com/fieldsafety/harzard/harzard_show.php?rid=3037&amp;url=harzardrecs.php" TargetMode="External"/><Relationship Id="rId_hyperlink_113" Type="http://schemas.openxmlformats.org/officeDocument/2006/relationships/hyperlink" Target="http://henontech.com/fieldsafety/harzard/harzard_show.php?rid=3038&amp;url=harzardrecs.php" TargetMode="External"/><Relationship Id="rId_hyperlink_114" Type="http://schemas.openxmlformats.org/officeDocument/2006/relationships/hyperlink" Target="http://henontech.com/fieldsafety/harzard/harzard_show.php?rid=3039&amp;url=harzardrecs.php" TargetMode="External"/><Relationship Id="rId_hyperlink_115" Type="http://schemas.openxmlformats.org/officeDocument/2006/relationships/hyperlink" Target="http://henontech.com/fieldsafety/harzard/harzard_show.php?rid=3040&amp;url=harzardrecs.php" TargetMode="External"/><Relationship Id="rId_hyperlink_116" Type="http://schemas.openxmlformats.org/officeDocument/2006/relationships/hyperlink" Target="http://henontech.com/fieldsafety/harzard/harzard_show.php?rid=3041&amp;url=harzardrecs.php" TargetMode="External"/><Relationship Id="rId_hyperlink_117" Type="http://schemas.openxmlformats.org/officeDocument/2006/relationships/hyperlink" Target="http://henontech.com/fieldsafety/harzard/harzard_show.php?rid=3042&amp;url=harzardrecs.php" TargetMode="External"/><Relationship Id="rId_hyperlink_118" Type="http://schemas.openxmlformats.org/officeDocument/2006/relationships/hyperlink" Target="http://henontech.com/fieldsafety/harzard/harzard_show.php?rid=3043&amp;url=harzardrecs.php" TargetMode="External"/><Relationship Id="rId_hyperlink_119" Type="http://schemas.openxmlformats.org/officeDocument/2006/relationships/hyperlink" Target="http://henontech.com/fieldsafety/harzard/harzard_show.php?rid=3044&amp;url=harzardrecs.php" TargetMode="External"/><Relationship Id="rId_hyperlink_120" Type="http://schemas.openxmlformats.org/officeDocument/2006/relationships/hyperlink" Target="http://henontech.com/fieldsafety/harzard/harzard_show.php?rid=3045&amp;url=harzardrecs.php" TargetMode="External"/><Relationship Id="rId_hyperlink_121" Type="http://schemas.openxmlformats.org/officeDocument/2006/relationships/hyperlink" Target="http://henontech.com/fieldsafety/harzard/harzard_show.php?rid=3046&amp;url=harzardrecs.php" TargetMode="External"/><Relationship Id="rId_hyperlink_122" Type="http://schemas.openxmlformats.org/officeDocument/2006/relationships/hyperlink" Target="http://henontech.com/fieldsafety/harzard/harzard_show.php?rid=3047&amp;url=harzardrecs.php" TargetMode="External"/><Relationship Id="rId_hyperlink_123" Type="http://schemas.openxmlformats.org/officeDocument/2006/relationships/hyperlink" Target="http://henontech.com/fieldsafety/harzard/harzard_show.php?rid=3048&amp;url=harzardrecs.php" TargetMode="External"/><Relationship Id="rId_hyperlink_124" Type="http://schemas.openxmlformats.org/officeDocument/2006/relationships/hyperlink" Target="http://henontech.com/fieldsafety/harzard/harzard_show.php?rid=3049&amp;url=harzardrecs.php" TargetMode="External"/><Relationship Id="rId_hyperlink_125" Type="http://schemas.openxmlformats.org/officeDocument/2006/relationships/hyperlink" Target="http://henontech.com/fieldsafety/harzard/harzard_show.php?rid=3050&amp;url=harzardrecs.php" TargetMode="External"/><Relationship Id="rId_hyperlink_126" Type="http://schemas.openxmlformats.org/officeDocument/2006/relationships/hyperlink" Target="http://henontech.com/fieldsafety/harzard/harzard_show.php?rid=3051&amp;url=harzardrecs.php" TargetMode="External"/><Relationship Id="rId_hyperlink_127" Type="http://schemas.openxmlformats.org/officeDocument/2006/relationships/hyperlink" Target="http://henontech.com/fieldsafety/harzard/harzard_show.php?rid=3052&amp;url=harzardrecs.php" TargetMode="External"/><Relationship Id="rId_hyperlink_128" Type="http://schemas.openxmlformats.org/officeDocument/2006/relationships/hyperlink" Target="http://henontech.com/fieldsafety/harzard/harzard_show.php?rid=3053&amp;url=harzardrecs.php" TargetMode="External"/><Relationship Id="rId_hyperlink_129" Type="http://schemas.openxmlformats.org/officeDocument/2006/relationships/hyperlink" Target="http://henontech.com/fieldsafety/harzard/harzard_show.php?rid=3054&amp;url=harzardrecs.php" TargetMode="External"/><Relationship Id="rId_hyperlink_130" Type="http://schemas.openxmlformats.org/officeDocument/2006/relationships/hyperlink" Target="http://henontech.com/fieldsafety/harzard/harzard_show.php?rid=3055&amp;url=harzardrecs.php" TargetMode="External"/><Relationship Id="rId_hyperlink_131" Type="http://schemas.openxmlformats.org/officeDocument/2006/relationships/hyperlink" Target="http://henontech.com/fieldsafety/harzard/harzard_show.php?rid=3056&amp;url=harzardrecs.php" TargetMode="External"/><Relationship Id="rId_hyperlink_132" Type="http://schemas.openxmlformats.org/officeDocument/2006/relationships/hyperlink" Target="http://henontech.com/fieldsafety/harzard/harzard_show.php?rid=3058&amp;url=harzardrecs.php" TargetMode="External"/><Relationship Id="rId_hyperlink_133" Type="http://schemas.openxmlformats.org/officeDocument/2006/relationships/hyperlink" Target="http://henontech.com/fieldsafety/harzard/harzard_show.php?rid=3059&amp;url=harzardrecs.php" TargetMode="External"/><Relationship Id="rId_hyperlink_134" Type="http://schemas.openxmlformats.org/officeDocument/2006/relationships/hyperlink" Target="http://henontech.com/fieldsafety/harzard/harzard_show.php?rid=3060&amp;url=harzardrecs.php" TargetMode="External"/><Relationship Id="rId_hyperlink_135" Type="http://schemas.openxmlformats.org/officeDocument/2006/relationships/hyperlink" Target="http://henontech.com/fieldsafety/harzard/harzard_show.php?rid=3061&amp;url=harzardrecs.php" TargetMode="External"/><Relationship Id="rId_hyperlink_136" Type="http://schemas.openxmlformats.org/officeDocument/2006/relationships/hyperlink" Target="http://henontech.com/fieldsafety/harzard/harzard_show.php?rid=3062&amp;url=harzardrecs.php" TargetMode="External"/><Relationship Id="rId_hyperlink_137" Type="http://schemas.openxmlformats.org/officeDocument/2006/relationships/hyperlink" Target="http://henontech.com/fieldsafety/harzard/harzard_show.php?rid=3063&amp;url=harzardrecs.php" TargetMode="External"/><Relationship Id="rId_hyperlink_138" Type="http://schemas.openxmlformats.org/officeDocument/2006/relationships/hyperlink" Target="http://henontech.com/fieldsafety/harzard/harzard_show.php?rid=3065&amp;url=harzardrecs.php" TargetMode="External"/><Relationship Id="rId_hyperlink_139" Type="http://schemas.openxmlformats.org/officeDocument/2006/relationships/hyperlink" Target="http://henontech.com/fieldsafety/harzard/harzard_show.php?rid=3066&amp;url=harzardrecs.php" TargetMode="External"/><Relationship Id="rId_hyperlink_140" Type="http://schemas.openxmlformats.org/officeDocument/2006/relationships/hyperlink" Target="http://henontech.com/fieldsafety/harzard/harzard_show.php?rid=3067&amp;url=harzardrecs.php" TargetMode="External"/><Relationship Id="rId_hyperlink_141" Type="http://schemas.openxmlformats.org/officeDocument/2006/relationships/hyperlink" Target="http://henontech.com/fieldsafety/harzard/harzard_show.php?rid=3068&amp;url=harzardrecs.php" TargetMode="External"/><Relationship Id="rId_hyperlink_142" Type="http://schemas.openxmlformats.org/officeDocument/2006/relationships/hyperlink" Target="http://henontech.com/fieldsafety/harzard/harzard_show.php?rid=3069&amp;url=harzardrecs.php" TargetMode="External"/><Relationship Id="rId_hyperlink_143" Type="http://schemas.openxmlformats.org/officeDocument/2006/relationships/hyperlink" Target="http://henontech.com/fieldsafety/harzard/harzard_show.php?rid=3070&amp;url=harzardrecs.php" TargetMode="External"/><Relationship Id="rId_hyperlink_144" Type="http://schemas.openxmlformats.org/officeDocument/2006/relationships/hyperlink" Target="http://henontech.com/fieldsafety/harzard/harzard_show.php?rid=3072&amp;url=harzardrecs.php" TargetMode="External"/><Relationship Id="rId_hyperlink_145" Type="http://schemas.openxmlformats.org/officeDocument/2006/relationships/hyperlink" Target="http://henontech.com/fieldsafety/harzard/harzard_show.php?rid=3073&amp;url=harzardrecs.php" TargetMode="External"/><Relationship Id="rId_hyperlink_146" Type="http://schemas.openxmlformats.org/officeDocument/2006/relationships/hyperlink" Target="http://henontech.com/fieldsafety/harzard/harzard_show.php?rid=3074&amp;url=harzardrecs.php" TargetMode="External"/><Relationship Id="rId_hyperlink_147" Type="http://schemas.openxmlformats.org/officeDocument/2006/relationships/hyperlink" Target="http://henontech.com/fieldsafety/harzard/harzard_show.php?rid=3075&amp;url=harzardrecs.php" TargetMode="External"/><Relationship Id="rId_hyperlink_148" Type="http://schemas.openxmlformats.org/officeDocument/2006/relationships/hyperlink" Target="http://henontech.com/fieldsafety/harzard/harzard_show.php?rid=3076&amp;url=harzardrecs.php" TargetMode="External"/><Relationship Id="rId_hyperlink_149" Type="http://schemas.openxmlformats.org/officeDocument/2006/relationships/hyperlink" Target="http://henontech.com/fieldsafety/harzard/harzard_show.php?rid=3077&amp;url=harzardrecs.php" TargetMode="External"/><Relationship Id="rId_hyperlink_150" Type="http://schemas.openxmlformats.org/officeDocument/2006/relationships/hyperlink" Target="http://henontech.com/fieldsafety/harzard/harzard_show.php?rid=3078&amp;url=harzardrecs.php" TargetMode="External"/><Relationship Id="rId_hyperlink_151" Type="http://schemas.openxmlformats.org/officeDocument/2006/relationships/hyperlink" Target="http://henontech.com/fieldsafety/harzard/harzard_show.php?rid=3079&amp;url=harzardrecs.php" TargetMode="External"/><Relationship Id="rId_hyperlink_152" Type="http://schemas.openxmlformats.org/officeDocument/2006/relationships/hyperlink" Target="http://henontech.com/fieldsafety/harzard/harzard_show.php?rid=3080&amp;url=harzardrecs.php" TargetMode="External"/><Relationship Id="rId_hyperlink_153" Type="http://schemas.openxmlformats.org/officeDocument/2006/relationships/hyperlink" Target="http://henontech.com/fieldsafety/harzard/harzard_show.php?rid=3082&amp;url=harzardrecs.php" TargetMode="External"/><Relationship Id="rId_hyperlink_154" Type="http://schemas.openxmlformats.org/officeDocument/2006/relationships/hyperlink" Target="http://henontech.com/fieldsafety/harzard/harzard_show.php?rid=3083&amp;url=harzardrecs.php" TargetMode="External"/><Relationship Id="rId_hyperlink_155" Type="http://schemas.openxmlformats.org/officeDocument/2006/relationships/hyperlink" Target="http://henontech.com/fieldsafety/harzard/harzard_show.php?rid=3084&amp;url=harzardrecs.php" TargetMode="External"/><Relationship Id="rId_hyperlink_156" Type="http://schemas.openxmlformats.org/officeDocument/2006/relationships/hyperlink" Target="http://henontech.com/fieldsafety/harzard/harzard_show.php?rid=3085&amp;url=harzardrecs.php" TargetMode="External"/><Relationship Id="rId_hyperlink_157" Type="http://schemas.openxmlformats.org/officeDocument/2006/relationships/hyperlink" Target="http://henontech.com/fieldsafety/harzard/harzard_show.php?rid=3087&amp;url=harzardrecs.php" TargetMode="External"/><Relationship Id="rId_hyperlink_158" Type="http://schemas.openxmlformats.org/officeDocument/2006/relationships/hyperlink" Target="http://henontech.com/fieldsafety/harzard/harzard_show.php?rid=3088&amp;url=harzardrecs.php" TargetMode="External"/><Relationship Id="rId_hyperlink_159" Type="http://schemas.openxmlformats.org/officeDocument/2006/relationships/hyperlink" Target="http://henontech.com/fieldsafety/harzard/harzard_show.php?rid=3092&amp;url=harzardrecs.php" TargetMode="External"/><Relationship Id="rId_hyperlink_160" Type="http://schemas.openxmlformats.org/officeDocument/2006/relationships/hyperlink" Target="http://henontech.com/fieldsafety/harzard/harzard_show.php?rid=3093&amp;url=harzardrecs.php" TargetMode="External"/><Relationship Id="rId_hyperlink_161" Type="http://schemas.openxmlformats.org/officeDocument/2006/relationships/hyperlink" Target="http://henontech.com/fieldsafety/harzard/harzard_show.php?rid=3094&amp;url=harzardrecs.php" TargetMode="External"/><Relationship Id="rId_hyperlink_162" Type="http://schemas.openxmlformats.org/officeDocument/2006/relationships/hyperlink" Target="http://henontech.com/fieldsafety/harzard/harzard_show.php?rid=3095&amp;url=harzardrecs.php" TargetMode="External"/><Relationship Id="rId_hyperlink_163" Type="http://schemas.openxmlformats.org/officeDocument/2006/relationships/hyperlink" Target="http://henontech.com/fieldsafety/harzard/harzard_show.php?rid=3096&amp;url=harzardrecs.php" TargetMode="External"/><Relationship Id="rId_hyperlink_164" Type="http://schemas.openxmlformats.org/officeDocument/2006/relationships/hyperlink" Target="http://henontech.com/fieldsafety/harzard/harzard_show.php?rid=3097&amp;url=harzardrecs.php" TargetMode="External"/><Relationship Id="rId_hyperlink_165" Type="http://schemas.openxmlformats.org/officeDocument/2006/relationships/hyperlink" Target="http://henontech.com/fieldsafety/harzard/harzard_show.php?rid=3099&amp;url=harzardrecs.php" TargetMode="External"/><Relationship Id="rId_hyperlink_166" Type="http://schemas.openxmlformats.org/officeDocument/2006/relationships/hyperlink" Target="http://henontech.com/fieldsafety/harzard/harzard_show.php?rid=3100&amp;url=harzardrecs.php" TargetMode="External"/><Relationship Id="rId_hyperlink_167" Type="http://schemas.openxmlformats.org/officeDocument/2006/relationships/hyperlink" Target="http://henontech.com/fieldsafety/harzard/harzard_show.php?rid=3101&amp;url=harzardrecs.php" TargetMode="External"/><Relationship Id="rId_hyperlink_168" Type="http://schemas.openxmlformats.org/officeDocument/2006/relationships/hyperlink" Target="http://henontech.com/fieldsafety/harzard/harzard_show.php?rid=3102&amp;url=harzardrecs.php" TargetMode="External"/><Relationship Id="rId_hyperlink_169" Type="http://schemas.openxmlformats.org/officeDocument/2006/relationships/hyperlink" Target="http://henontech.com/fieldsafety/harzard/harzard_show.php?rid=3103&amp;url=harzardrecs.php" TargetMode="External"/><Relationship Id="rId_hyperlink_170" Type="http://schemas.openxmlformats.org/officeDocument/2006/relationships/hyperlink" Target="http://henontech.com/fieldsafety/harzard/harzard_show.php?rid=3104&amp;url=harzardrecs.php" TargetMode="External"/><Relationship Id="rId_hyperlink_171" Type="http://schemas.openxmlformats.org/officeDocument/2006/relationships/hyperlink" Target="http://henontech.com/fieldsafety/harzard/harzard_show.php?rid=3105&amp;url=harzardrecs.php" TargetMode="External"/><Relationship Id="rId_hyperlink_172" Type="http://schemas.openxmlformats.org/officeDocument/2006/relationships/hyperlink" Target="http://henontech.com/fieldsafety/harzard/harzard_show.php?rid=3106&amp;url=harzardrecs.php" TargetMode="External"/><Relationship Id="rId_hyperlink_173" Type="http://schemas.openxmlformats.org/officeDocument/2006/relationships/hyperlink" Target="http://henontech.com/fieldsafety/harzard/harzard_show.php?rid=3107&amp;url=harzardrecs.php" TargetMode="External"/><Relationship Id="rId_hyperlink_174" Type="http://schemas.openxmlformats.org/officeDocument/2006/relationships/hyperlink" Target="http://henontech.com/fieldsafety/harzard/harzard_show.php?rid=3108&amp;url=harzardrecs.php" TargetMode="External"/><Relationship Id="rId_hyperlink_175" Type="http://schemas.openxmlformats.org/officeDocument/2006/relationships/hyperlink" Target="http://henontech.com/fieldsafety/harzard/harzard_show.php?rid=3109&amp;url=harzardrecs.php" TargetMode="External"/><Relationship Id="rId_hyperlink_176" Type="http://schemas.openxmlformats.org/officeDocument/2006/relationships/hyperlink" Target="http://henontech.com/fieldsafety/harzard/harzard_show.php?rid=3110&amp;url=harzardrecs.php" TargetMode="External"/><Relationship Id="rId_hyperlink_177" Type="http://schemas.openxmlformats.org/officeDocument/2006/relationships/hyperlink" Target="http://henontech.com/fieldsafety/harzard/harzard_show.php?rid=3111&amp;url=harzardrecs.php" TargetMode="External"/><Relationship Id="rId_hyperlink_178" Type="http://schemas.openxmlformats.org/officeDocument/2006/relationships/hyperlink" Target="http://henontech.com/fieldsafety/harzard/harzard_show.php?rid=3112&amp;url=harzardrecs.php" TargetMode="External"/><Relationship Id="rId_hyperlink_179" Type="http://schemas.openxmlformats.org/officeDocument/2006/relationships/hyperlink" Target="http://henontech.com/fieldsafety/harzard/harzard_show.php?rid=3113&amp;url=harzardrecs.php" TargetMode="External"/><Relationship Id="rId_hyperlink_180" Type="http://schemas.openxmlformats.org/officeDocument/2006/relationships/hyperlink" Target="http://henontech.com/fieldsafety/harzard/harzard_show.php?rid=3115&amp;url=harzardrecs.php" TargetMode="External"/><Relationship Id="rId_hyperlink_181" Type="http://schemas.openxmlformats.org/officeDocument/2006/relationships/hyperlink" Target="http://henontech.com/fieldsafety/harzard/harzard_show.php?rid=3116&amp;url=harzardrecs.php" TargetMode="External"/><Relationship Id="rId_hyperlink_182" Type="http://schemas.openxmlformats.org/officeDocument/2006/relationships/hyperlink" Target="http://henontech.com/fieldsafety/harzard/harzard_show.php?rid=3117&amp;url=harzardrecs.php" TargetMode="External"/><Relationship Id="rId_hyperlink_183" Type="http://schemas.openxmlformats.org/officeDocument/2006/relationships/hyperlink" Target="http://henontech.com/fieldsafety/harzard/harzard_show.php?rid=3118&amp;url=harzardrecs.php" TargetMode="External"/><Relationship Id="rId_hyperlink_184" Type="http://schemas.openxmlformats.org/officeDocument/2006/relationships/hyperlink" Target="http://henontech.com/fieldsafety/harzard/harzard_show.php?rid=3119&amp;url=harzardrecs.php" TargetMode="External"/><Relationship Id="rId_hyperlink_185" Type="http://schemas.openxmlformats.org/officeDocument/2006/relationships/hyperlink" Target="http://henontech.com/fieldsafety/harzard/harzard_show.php?rid=3120&amp;url=harzardrecs.php" TargetMode="External"/><Relationship Id="rId_hyperlink_186" Type="http://schemas.openxmlformats.org/officeDocument/2006/relationships/hyperlink" Target="http://henontech.com/fieldsafety/harzard/harzard_show.php?rid=3121&amp;url=harzardrecs.php" TargetMode="External"/><Relationship Id="rId_hyperlink_187" Type="http://schemas.openxmlformats.org/officeDocument/2006/relationships/hyperlink" Target="http://henontech.com/fieldsafety/harzard/harzard_show.php?rid=3122&amp;url=harzardrecs.php" TargetMode="External"/><Relationship Id="rId_hyperlink_188" Type="http://schemas.openxmlformats.org/officeDocument/2006/relationships/hyperlink" Target="http://henontech.com/fieldsafety/harzard/harzard_show.php?rid=3124&amp;url=harzardrecs.php" TargetMode="External"/><Relationship Id="rId_hyperlink_189" Type="http://schemas.openxmlformats.org/officeDocument/2006/relationships/hyperlink" Target="http://henontech.com/fieldsafety/harzard/harzard_show.php?rid=3125&amp;url=harzardrecs.php" TargetMode="External"/><Relationship Id="rId_hyperlink_190" Type="http://schemas.openxmlformats.org/officeDocument/2006/relationships/hyperlink" Target="http://henontech.com/fieldsafety/harzard/harzard_show.php?rid=3126&amp;url=harzardrecs.php" TargetMode="External"/><Relationship Id="rId_hyperlink_191" Type="http://schemas.openxmlformats.org/officeDocument/2006/relationships/hyperlink" Target="http://henontech.com/fieldsafety/harzard/harzard_show.php?rid=3127&amp;url=harzardrecs.php" TargetMode="External"/><Relationship Id="rId_hyperlink_192" Type="http://schemas.openxmlformats.org/officeDocument/2006/relationships/hyperlink" Target="http://henontech.com/fieldsafety/harzard/harzard_show.php?rid=3128&amp;url=harzardrecs.php" TargetMode="External"/><Relationship Id="rId_hyperlink_193" Type="http://schemas.openxmlformats.org/officeDocument/2006/relationships/hyperlink" Target="http://henontech.com/fieldsafety/harzard/harzard_show.php?rid=3129&amp;url=harzardrecs.php" TargetMode="External"/><Relationship Id="rId_hyperlink_194" Type="http://schemas.openxmlformats.org/officeDocument/2006/relationships/hyperlink" Target="http://henontech.com/fieldsafety/harzard/harzard_show.php?rid=3130&amp;url=harzardrecs.php" TargetMode="External"/><Relationship Id="rId_hyperlink_195" Type="http://schemas.openxmlformats.org/officeDocument/2006/relationships/hyperlink" Target="http://henontech.com/fieldsafety/harzard/harzard_show.php?rid=3131&amp;url=harzardrecs.php" TargetMode="External"/><Relationship Id="rId_hyperlink_196" Type="http://schemas.openxmlformats.org/officeDocument/2006/relationships/hyperlink" Target="http://henontech.com/fieldsafety/harzard/harzard_show.php?rid=3132&amp;url=harzardrecs.php" TargetMode="External"/><Relationship Id="rId_hyperlink_197" Type="http://schemas.openxmlformats.org/officeDocument/2006/relationships/hyperlink" Target="http://henontech.com/fieldsafety/harzard/harzard_show.php?rid=3133&amp;url=harzardrecs.php" TargetMode="External"/><Relationship Id="rId_hyperlink_198" Type="http://schemas.openxmlformats.org/officeDocument/2006/relationships/hyperlink" Target="http://henontech.com/fieldsafety/harzard/harzard_show.php?rid=3134&amp;url=harzardrecs.php" TargetMode="External"/><Relationship Id="rId_hyperlink_199" Type="http://schemas.openxmlformats.org/officeDocument/2006/relationships/hyperlink" Target="http://henontech.com/fieldsafety/harzard/harzard_show.php?rid=3135&amp;url=harzardrecs.php" TargetMode="External"/><Relationship Id="rId_hyperlink_200" Type="http://schemas.openxmlformats.org/officeDocument/2006/relationships/hyperlink" Target="http://henontech.com/fieldsafety/harzard/harzard_show.php?rid=3136&amp;url=harzardrecs.php" TargetMode="External"/><Relationship Id="rId_hyperlink_201" Type="http://schemas.openxmlformats.org/officeDocument/2006/relationships/hyperlink" Target="http://henontech.com/fieldsafety/harzard/harzard_show.php?rid=3137&amp;url=harzardrecs.php" TargetMode="External"/><Relationship Id="rId_hyperlink_202" Type="http://schemas.openxmlformats.org/officeDocument/2006/relationships/hyperlink" Target="http://henontech.com/fieldsafety/harzard/harzard_show.php?rid=3138&amp;url=harzardrecs.php" TargetMode="External"/><Relationship Id="rId_hyperlink_203" Type="http://schemas.openxmlformats.org/officeDocument/2006/relationships/hyperlink" Target="http://henontech.com/fieldsafety/harzard/harzard_show.php?rid=3139&amp;url=harzardrecs.php" TargetMode="External"/><Relationship Id="rId_hyperlink_204" Type="http://schemas.openxmlformats.org/officeDocument/2006/relationships/hyperlink" Target="http://henontech.com/fieldsafety/harzard/harzard_show.php?rid=3140&amp;url=harzardrecs.php" TargetMode="External"/><Relationship Id="rId_hyperlink_205" Type="http://schemas.openxmlformats.org/officeDocument/2006/relationships/hyperlink" Target="http://henontech.com/fieldsafety/harzard/harzard_show.php?rid=3141&amp;url=harzardrecs.php" TargetMode="External"/><Relationship Id="rId_hyperlink_206" Type="http://schemas.openxmlformats.org/officeDocument/2006/relationships/hyperlink" Target="http://henontech.com/fieldsafety/harzard/harzard_show.php?rid=3142&amp;url=harzardrecs.php" TargetMode="External"/><Relationship Id="rId_hyperlink_207" Type="http://schemas.openxmlformats.org/officeDocument/2006/relationships/hyperlink" Target="http://henontech.com/fieldsafety/harzard/harzard_show.php?rid=3143&amp;url=harzardrecs.php" TargetMode="External"/><Relationship Id="rId_hyperlink_208" Type="http://schemas.openxmlformats.org/officeDocument/2006/relationships/hyperlink" Target="http://henontech.com/fieldsafety/harzard/harzard_show.php?rid=3145&amp;url=harzardrecs.php" TargetMode="External"/><Relationship Id="rId_hyperlink_209" Type="http://schemas.openxmlformats.org/officeDocument/2006/relationships/hyperlink" Target="http://henontech.com/fieldsafety/harzard/harzard_show.php?rid=3146&amp;url=harzardrecs.php" TargetMode="External"/><Relationship Id="rId_hyperlink_210" Type="http://schemas.openxmlformats.org/officeDocument/2006/relationships/hyperlink" Target="http://henontech.com/fieldsafety/harzard/harzard_show.php?rid=3147&amp;url=harzardrecs.php" TargetMode="External"/><Relationship Id="rId_hyperlink_211" Type="http://schemas.openxmlformats.org/officeDocument/2006/relationships/hyperlink" Target="http://henontech.com/fieldsafety/harzard/harzard_show.php?rid=3148&amp;url=harzardrecs.php" TargetMode="External"/><Relationship Id="rId_hyperlink_212" Type="http://schemas.openxmlformats.org/officeDocument/2006/relationships/hyperlink" Target="http://henontech.com/fieldsafety/harzard/harzard_show.php?rid=3149&amp;url=harzardrecs.php" TargetMode="External"/><Relationship Id="rId_hyperlink_213" Type="http://schemas.openxmlformats.org/officeDocument/2006/relationships/hyperlink" Target="http://henontech.com/fieldsafety/harzard/harzard_show.php?rid=3151&amp;url=harzardrecs.php" TargetMode="External"/><Relationship Id="rId_hyperlink_214" Type="http://schemas.openxmlformats.org/officeDocument/2006/relationships/hyperlink" Target="http://henontech.com/fieldsafety/harzard/harzard_show.php?rid=3152&amp;url=harzardrecs.php" TargetMode="External"/><Relationship Id="rId_hyperlink_215" Type="http://schemas.openxmlformats.org/officeDocument/2006/relationships/hyperlink" Target="http://henontech.com/fieldsafety/harzard/harzard_show.php?rid=3154&amp;url=harzardrecs.php" TargetMode="External"/><Relationship Id="rId_hyperlink_216" Type="http://schemas.openxmlformats.org/officeDocument/2006/relationships/hyperlink" Target="http://henontech.com/fieldsafety/harzard/harzard_show.php?rid=3155&amp;url=harzardrecs.php" TargetMode="External"/><Relationship Id="rId_hyperlink_217" Type="http://schemas.openxmlformats.org/officeDocument/2006/relationships/hyperlink" Target="http://henontech.com/fieldsafety/harzard/harzard_show.php?rid=3156&amp;url=harzardrecs.php" TargetMode="External"/><Relationship Id="rId_hyperlink_218" Type="http://schemas.openxmlformats.org/officeDocument/2006/relationships/hyperlink" Target="http://henontech.com/fieldsafety/harzard/harzard_show.php?rid=3157&amp;url=harzardrecs.php" TargetMode="External"/><Relationship Id="rId_hyperlink_219" Type="http://schemas.openxmlformats.org/officeDocument/2006/relationships/hyperlink" Target="http://henontech.com/fieldsafety/harzard/harzard_show.php?rid=3158&amp;url=harzardrecs.php" TargetMode="External"/><Relationship Id="rId_hyperlink_220" Type="http://schemas.openxmlformats.org/officeDocument/2006/relationships/hyperlink" Target="http://henontech.com/fieldsafety/harzard/harzard_show.php?rid=3159&amp;url=harzardrecs.php" TargetMode="External"/><Relationship Id="rId_hyperlink_221" Type="http://schemas.openxmlformats.org/officeDocument/2006/relationships/hyperlink" Target="http://henontech.com/fieldsafety/harzard/harzard_show.php?rid=3161&amp;url=harzardrecs.php" TargetMode="External"/><Relationship Id="rId_hyperlink_222" Type="http://schemas.openxmlformats.org/officeDocument/2006/relationships/hyperlink" Target="http://henontech.com/fieldsafety/harzard/harzard_show.php?rid=3163&amp;url=harzardrecs.php" TargetMode="External"/><Relationship Id="rId_hyperlink_223" Type="http://schemas.openxmlformats.org/officeDocument/2006/relationships/hyperlink" Target="http://henontech.com/fieldsafety/harzard/harzard_show.php?rid=3164&amp;url=harzardrecs.php" TargetMode="External"/><Relationship Id="rId_hyperlink_224" Type="http://schemas.openxmlformats.org/officeDocument/2006/relationships/hyperlink" Target="http://henontech.com/fieldsafety/harzard/harzard_show.php?rid=3166&amp;url=harzardrecs.php" TargetMode="External"/><Relationship Id="rId_hyperlink_225" Type="http://schemas.openxmlformats.org/officeDocument/2006/relationships/hyperlink" Target="http://henontech.com/fieldsafety/harzard/harzard_show.php?rid=3167&amp;url=harzardrecs.php" TargetMode="External"/><Relationship Id="rId_hyperlink_226" Type="http://schemas.openxmlformats.org/officeDocument/2006/relationships/hyperlink" Target="http://henontech.com/fieldsafety/harzard/harzard_show.php?rid=3170&amp;url=harzardrecs.php" TargetMode="External"/><Relationship Id="rId_hyperlink_227" Type="http://schemas.openxmlformats.org/officeDocument/2006/relationships/hyperlink" Target="http://henontech.com/fieldsafety/harzard/harzard_show.php?rid=3175&amp;url=harzardrecs.php" TargetMode="External"/><Relationship Id="rId_hyperlink_228" Type="http://schemas.openxmlformats.org/officeDocument/2006/relationships/hyperlink" Target="http://henontech.com/fieldsafety/harzard/harzard_show.php?rid=3178&amp;url=harzardrecs.php" TargetMode="External"/><Relationship Id="rId_hyperlink_229" Type="http://schemas.openxmlformats.org/officeDocument/2006/relationships/hyperlink" Target="http://henontech.com/fieldsafety/harzard/harzard_show.php?rid=3179&amp;url=harzardrecs.php" TargetMode="External"/><Relationship Id="rId_hyperlink_230" Type="http://schemas.openxmlformats.org/officeDocument/2006/relationships/hyperlink" Target="http://henontech.com/fieldsafety/harzard/harzard_show.php?rid=3180&amp;url=harzardrecs.php" TargetMode="External"/><Relationship Id="rId_hyperlink_231" Type="http://schemas.openxmlformats.org/officeDocument/2006/relationships/hyperlink" Target="http://henontech.com/fieldsafety/harzard/harzard_show.php?rid=3181&amp;url=harzardrecs.php" TargetMode="External"/><Relationship Id="rId_hyperlink_232" Type="http://schemas.openxmlformats.org/officeDocument/2006/relationships/hyperlink" Target="http://henontech.com/fieldsafety/harzard/harzard_show.php?rid=3186&amp;url=harzardrecs.php" TargetMode="External"/><Relationship Id="rId_hyperlink_233" Type="http://schemas.openxmlformats.org/officeDocument/2006/relationships/hyperlink" Target="http://henontech.com/fieldsafety/harzard/harzard_show.php?rid=3187&amp;url=harzardrecs.php" TargetMode="External"/><Relationship Id="rId_hyperlink_234" Type="http://schemas.openxmlformats.org/officeDocument/2006/relationships/hyperlink" Target="http://henontech.com/fieldsafety/harzard/harzard_show.php?rid=3188&amp;url=harzardrecs.php" TargetMode="External"/><Relationship Id="rId_hyperlink_235" Type="http://schemas.openxmlformats.org/officeDocument/2006/relationships/hyperlink" Target="http://henontech.com/fieldsafety/harzard/harzard_show.php?rid=3189&amp;url=harzardrecs.php" TargetMode="External"/><Relationship Id="rId_hyperlink_236" Type="http://schemas.openxmlformats.org/officeDocument/2006/relationships/hyperlink" Target="http://henontech.com/fieldsafety/harzard/harzard_show.php?rid=3190&amp;url=harzardrecs.php" TargetMode="External"/><Relationship Id="rId_hyperlink_237" Type="http://schemas.openxmlformats.org/officeDocument/2006/relationships/hyperlink" Target="http://henontech.com/fieldsafety/harzard/harzard_show.php?rid=3191&amp;url=harzardrecs.php"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242"/>
  <sheetViews>
    <sheetView tabSelected="1" workbookViewId="0" showGridLines="true" showRowColHeaders="1">
      <pane xSplit="4" ySplit="5" topLeftCell="E6" activePane="bottomRight" state="frozen"/>
      <selection pane="topRight"/>
      <selection pane="bottomLeft"/>
      <selection pane="bottomRight" activeCell="E6" sqref="E6"/>
    </sheetView>
  </sheetViews>
  <sheetFormatPr defaultRowHeight="14.4" outlineLevelRow="0" outlineLevelCol="0"/>
  <cols>
    <col min="1" max="1" width="5" customWidth="true" style="0"/>
    <col min="2" max="2" width="9" customWidth="true" style="0"/>
    <col min="4" max="4" width="65" customWidth="true" style="0"/>
    <col min="5" max="5" width="36" customWidth="true" style="0"/>
    <col min="6" max="6" width="9" customWidth="true" style="0"/>
    <col min="9" max="9" width="12" customWidth="true" style="0"/>
    <col min="10" max="10" width="12" customWidth="true" style="0"/>
    <col min="11" max="11" width="12" customWidth="true" style="0"/>
    <col min="12" max="12" width="12" customWidth="true" style="0"/>
    <col min="13" max="13" width="13" customWidth="true" style="0"/>
    <col min="15" max="15" width="13" customWidth="true" style="0"/>
    <col min="18" max="18" width="18" customWidth="true" style="0"/>
    <col min="19" max="19" width="30" customWidth="true" style="0"/>
    <col min="24" max="24" width="16" customWidth="true" style="0"/>
    <col min="25" max="25" width="16" customWidth="true" style="0"/>
    <col min="26" max="26" width="65" customWidth="true" style="0"/>
    <col min="32" max="32" width="50" customWidth="true" style="0"/>
  </cols>
  <sheetData>
    <row r="1" spans="1:34" customHeight="1" ht="30">
      <c r="E1" s="2" t="s">
        <v>0</v>
      </c>
      <c r="F1" s="2"/>
      <c r="G1" s="2"/>
      <c r="H1" s="2"/>
      <c r="I1" s="2"/>
      <c r="J1" s="2"/>
      <c r="K1" s="2"/>
      <c r="L1" s="2"/>
      <c r="M1" s="2"/>
    </row>
    <row r="2" spans="1:34">
      <c r="E2" s="1" t="s">
        <v>1</v>
      </c>
      <c r="F2" s="1"/>
      <c r="G2" s="1"/>
      <c r="H2" s="1"/>
      <c r="I2" s="1"/>
      <c r="J2" s="1"/>
      <c r="K2" s="1"/>
      <c r="L2" s="1"/>
      <c r="M2" s="1"/>
    </row>
    <row r="3" spans="1:34">
      <c r="E3"/>
    </row>
    <row r="4" spans="1:34">
      <c r="A4" s="10" t="s">
        <v>2</v>
      </c>
      <c r="B4" s="11"/>
      <c r="C4" s="11"/>
      <c r="D4" s="11"/>
      <c r="E4" s="11"/>
      <c r="F4" s="11"/>
      <c r="G4" s="12" t="s">
        <v>3</v>
      </c>
      <c r="H4" s="13"/>
      <c r="I4" s="13"/>
      <c r="J4" s="13"/>
      <c r="K4" s="13"/>
      <c r="L4" s="13"/>
      <c r="M4" s="13"/>
      <c r="N4" s="13"/>
      <c r="O4" s="13"/>
      <c r="P4" s="13"/>
      <c r="Q4" s="13"/>
      <c r="R4" s="13"/>
      <c r="S4" s="13"/>
      <c r="T4" s="10" t="s">
        <v>4</v>
      </c>
      <c r="U4" s="11"/>
      <c r="V4" s="11"/>
      <c r="W4" s="11"/>
      <c r="X4" s="14" t="s">
        <v>5</v>
      </c>
      <c r="Y4" s="15"/>
      <c r="Z4" s="16" t="s">
        <v>6</v>
      </c>
      <c r="AA4" s="17"/>
      <c r="AB4" s="17"/>
      <c r="AC4" s="17"/>
      <c r="AD4" s="17"/>
      <c r="AE4" s="17"/>
      <c r="AF4" s="17"/>
      <c r="AG4" s="18"/>
      <c r="AH4" s="18"/>
    </row>
    <row r="5" spans="1:34">
      <c r="A5" s="4" t="s">
        <v>7</v>
      </c>
      <c r="B5" s="4" t="s">
        <v>8</v>
      </c>
      <c r="C5" s="4" t="s">
        <v>9</v>
      </c>
      <c r="D5" s="3" t="s">
        <v>10</v>
      </c>
      <c r="E5" s="3" t="s">
        <v>11</v>
      </c>
      <c r="F5" s="4" t="s">
        <v>12</v>
      </c>
      <c r="G5" s="6" t="s">
        <v>13</v>
      </c>
      <c r="H5" s="6" t="s">
        <v>14</v>
      </c>
      <c r="I5" s="6" t="s">
        <v>15</v>
      </c>
      <c r="J5" s="6" t="s">
        <v>16</v>
      </c>
      <c r="K5" s="6" t="s">
        <v>17</v>
      </c>
      <c r="L5" s="6" t="s">
        <v>18</v>
      </c>
      <c r="M5" s="6" t="s">
        <v>19</v>
      </c>
      <c r="N5" s="6" t="s">
        <v>20</v>
      </c>
      <c r="O5" s="6" t="s">
        <v>21</v>
      </c>
      <c r="P5" s="6" t="s">
        <v>22</v>
      </c>
      <c r="Q5" s="6" t="s">
        <v>23</v>
      </c>
      <c r="R5" s="5" t="s">
        <v>24</v>
      </c>
      <c r="S5" s="5" t="s">
        <v>25</v>
      </c>
      <c r="T5" s="4" t="s">
        <v>26</v>
      </c>
      <c r="U5" s="4" t="s">
        <v>27</v>
      </c>
      <c r="V5" s="4" t="s">
        <v>28</v>
      </c>
      <c r="W5" s="4" t="s">
        <v>29</v>
      </c>
      <c r="X5" s="7" t="s">
        <v>30</v>
      </c>
      <c r="Y5" s="7" t="s">
        <v>31</v>
      </c>
      <c r="Z5" s="8" t="s">
        <v>32</v>
      </c>
      <c r="AA5" s="9" t="s">
        <v>33</v>
      </c>
      <c r="AB5" s="9" t="s">
        <v>34</v>
      </c>
      <c r="AC5" s="9" t="s">
        <v>35</v>
      </c>
      <c r="AD5" s="9" t="s">
        <v>36</v>
      </c>
      <c r="AE5" s="9" t="s">
        <v>37</v>
      </c>
      <c r="AF5" s="8" t="s">
        <v>38</v>
      </c>
    </row>
    <row r="6" spans="1:34">
      <c r="A6" s="19">
        <v>1</v>
      </c>
      <c r="B6" s="19" t="s">
        <v>39</v>
      </c>
      <c r="C6" s="19" t="s">
        <v>40</v>
      </c>
      <c r="D6" s="19" t="str">
        <f>HYPERLINK("http://henontech.com/fieldsafety/harzard/harzard_show.php?rid=2723&amp;url=harzardrecs.php","一名职工在冲洗初冷器上下爬梯时被管线上的角铁轻微划伤腰部，去医疗室简单处理后返回岗位继续上班班")</f>
        <v>一名职工在冲洗初冷器上下爬梯时被管线上的角铁轻微划伤腰部，去医疗室简单处理后返回岗位继续上班班</v>
      </c>
      <c r="E6" s="19" t="s">
        <v>41</v>
      </c>
      <c r="F6" s="20" t="s">
        <v>42</v>
      </c>
      <c r="G6" s="21" t="s">
        <v>43</v>
      </c>
      <c r="H6" s="19" t="s">
        <v>44</v>
      </c>
      <c r="I6" s="19" t="s">
        <v>45</v>
      </c>
      <c r="J6" s="19" t="s">
        <v>46</v>
      </c>
      <c r="K6" s="19" t="s">
        <v>47</v>
      </c>
      <c r="L6" s="19" t="s">
        <v>48</v>
      </c>
      <c r="M6" s="19" t="s">
        <v>49</v>
      </c>
      <c r="N6" s="19" t="s">
        <v>50</v>
      </c>
      <c r="O6" s="19" t="s">
        <v>49</v>
      </c>
      <c r="P6" s="19" t="s">
        <v>51</v>
      </c>
      <c r="Q6" s="19" t="s">
        <v>52</v>
      </c>
      <c r="R6" s="19" t="s">
        <v>53</v>
      </c>
      <c r="S6" s="19"/>
      <c r="T6" s="19" t="s">
        <v>41</v>
      </c>
      <c r="U6" s="19" t="s">
        <v>54</v>
      </c>
      <c r="V6" s="19" t="s">
        <v>55</v>
      </c>
      <c r="W6" s="19" t="s">
        <v>56</v>
      </c>
      <c r="X6" s="19"/>
      <c r="Y6" s="19"/>
      <c r="Z6" s="19" t="s">
        <v>57</v>
      </c>
      <c r="AA6" s="19">
        <v>1</v>
      </c>
      <c r="AB6" s="19">
        <v>1</v>
      </c>
      <c r="AC6" s="19" t="s">
        <v>58</v>
      </c>
      <c r="AD6" s="19" t="s">
        <v>51</v>
      </c>
      <c r="AE6" s="19" t="s">
        <v>59</v>
      </c>
      <c r="AF6" s="19" t="s">
        <v>60</v>
      </c>
    </row>
    <row r="7" spans="1:34">
      <c r="A7" s="19">
        <v>2</v>
      </c>
      <c r="B7" s="19" t="s">
        <v>52</v>
      </c>
      <c r="C7" s="19" t="s">
        <v>61</v>
      </c>
      <c r="D7" s="19" t="str">
        <f>HYPERLINK("http://henontech.com/fieldsafety/harzard/harzard_show.php?rid=2833&amp;url=harzardrecs.php","氧化剂加药管道活节漏液，支架腐蚀断裂，如一人经过此处被断裂支架砸到安全帽上并蹭伤手臂，损工半天。")</f>
        <v>氧化剂加药管道活节漏液，支架腐蚀断裂，如一人经过此处被断裂支架砸到安全帽上并蹭伤手臂，损工半天。</v>
      </c>
      <c r="E7" s="19" t="s">
        <v>62</v>
      </c>
      <c r="F7" s="20" t="s">
        <v>42</v>
      </c>
      <c r="G7" s="21" t="s">
        <v>43</v>
      </c>
      <c r="H7" s="19" t="s">
        <v>44</v>
      </c>
      <c r="I7" s="19"/>
      <c r="J7" s="19" t="s">
        <v>46</v>
      </c>
      <c r="K7" s="19"/>
      <c r="L7" s="19"/>
      <c r="M7" s="19" t="s">
        <v>63</v>
      </c>
      <c r="N7" s="19" t="s">
        <v>64</v>
      </c>
      <c r="O7" s="19" t="s">
        <v>63</v>
      </c>
      <c r="P7" s="19" t="s">
        <v>65</v>
      </c>
      <c r="Q7" s="19" t="s">
        <v>66</v>
      </c>
      <c r="R7" s="19" t="s">
        <v>67</v>
      </c>
      <c r="S7" s="19"/>
      <c r="T7" s="19" t="s">
        <v>41</v>
      </c>
      <c r="U7" s="19" t="s">
        <v>54</v>
      </c>
      <c r="V7" s="19" t="s">
        <v>68</v>
      </c>
      <c r="W7" s="19" t="s">
        <v>56</v>
      </c>
      <c r="X7" s="19" t="s">
        <v>69</v>
      </c>
      <c r="Y7" s="19" t="s">
        <v>69</v>
      </c>
      <c r="Z7" s="19" t="s">
        <v>70</v>
      </c>
      <c r="AA7" s="19">
        <v>1</v>
      </c>
      <c r="AB7" s="19">
        <v>1</v>
      </c>
      <c r="AC7" s="19" t="s">
        <v>58</v>
      </c>
      <c r="AD7" s="19" t="s">
        <v>65</v>
      </c>
      <c r="AE7" s="19" t="s">
        <v>71</v>
      </c>
      <c r="AF7" s="19"/>
    </row>
    <row r="8" spans="1:34">
      <c r="A8" s="19">
        <v>3</v>
      </c>
      <c r="B8" s="19" t="s">
        <v>72</v>
      </c>
      <c r="C8" s="19" t="s">
        <v>73</v>
      </c>
      <c r="D8" s="19" t="str">
        <f>HYPERLINK("http://henontech.com/fieldsafety/harzard/harzard_show.php?rid=2849&amp;url=harzardrecs.php","粗苯再生器一层平台处悬挂一根铁管，巡检人员经常经过，夜间视线不清，假如安全帽未佩戴规范，可能造成人员被钢筋划伤面部。")</f>
        <v>粗苯再生器一层平台处悬挂一根铁管，巡检人员经常经过，夜间视线不清，假如安全帽未佩戴规范，可能造成人员被钢筋划伤面部。</v>
      </c>
      <c r="E8" s="19" t="s">
        <v>74</v>
      </c>
      <c r="F8" s="20" t="s">
        <v>42</v>
      </c>
      <c r="G8" s="21" t="s">
        <v>43</v>
      </c>
      <c r="H8" s="19" t="s">
        <v>44</v>
      </c>
      <c r="I8" s="19" t="s">
        <v>75</v>
      </c>
      <c r="J8" s="19" t="s">
        <v>46</v>
      </c>
      <c r="K8" s="19" t="s">
        <v>76</v>
      </c>
      <c r="L8" s="19"/>
      <c r="M8" s="19" t="s">
        <v>49</v>
      </c>
      <c r="N8" s="19" t="s">
        <v>77</v>
      </c>
      <c r="O8" s="19" t="s">
        <v>49</v>
      </c>
      <c r="P8" s="19" t="s">
        <v>51</v>
      </c>
      <c r="Q8" s="19" t="s">
        <v>78</v>
      </c>
      <c r="R8" s="19" t="s">
        <v>79</v>
      </c>
      <c r="S8" s="19"/>
      <c r="T8" s="19" t="s">
        <v>41</v>
      </c>
      <c r="U8" s="19" t="s">
        <v>54</v>
      </c>
      <c r="V8" s="19" t="s">
        <v>55</v>
      </c>
      <c r="W8" s="19" t="s">
        <v>56</v>
      </c>
      <c r="X8" s="19"/>
      <c r="Y8" s="19"/>
      <c r="Z8" s="19" t="s">
        <v>80</v>
      </c>
      <c r="AA8" s="19">
        <v>1</v>
      </c>
      <c r="AB8" s="19">
        <v>1</v>
      </c>
      <c r="AC8" s="19" t="s">
        <v>58</v>
      </c>
      <c r="AD8" s="19" t="s">
        <v>51</v>
      </c>
      <c r="AE8" s="19" t="s">
        <v>59</v>
      </c>
      <c r="AF8" s="19"/>
    </row>
    <row r="9" spans="1:34">
      <c r="A9" s="19">
        <v>4</v>
      </c>
      <c r="B9" s="19" t="s">
        <v>72</v>
      </c>
      <c r="C9" s="19" t="s">
        <v>81</v>
      </c>
      <c r="D9" s="19" t="str">
        <f>HYPERLINK("http://henontech.com/fieldsafety/harzard/harzard_show.php?rid=2852&amp;url=harzardrecs.php","2#再生塔回液管漏，由于脱硫液长期腐蚀，造成管道渗漏，如果长时间未发现，会脱硫液大面积喷出，造成重大环保事故。")</f>
        <v>2#再生塔回液管漏，由于脱硫液长期腐蚀，造成管道渗漏，如果长时间未发现，会脱硫液大面积喷出，造成重大环保事故。</v>
      </c>
      <c r="E9" s="19" t="s">
        <v>82</v>
      </c>
      <c r="F9" s="20" t="s">
        <v>42</v>
      </c>
      <c r="G9" s="21" t="s">
        <v>43</v>
      </c>
      <c r="H9" s="19" t="s">
        <v>44</v>
      </c>
      <c r="I9" s="19" t="s">
        <v>75</v>
      </c>
      <c r="J9" s="19" t="s">
        <v>46</v>
      </c>
      <c r="K9" s="19" t="s">
        <v>47</v>
      </c>
      <c r="L9" s="19" t="s">
        <v>48</v>
      </c>
      <c r="M9" s="19" t="s">
        <v>49</v>
      </c>
      <c r="N9" s="19" t="s">
        <v>83</v>
      </c>
      <c r="O9" s="19" t="s">
        <v>49</v>
      </c>
      <c r="P9" s="19" t="s">
        <v>51</v>
      </c>
      <c r="Q9" s="19" t="s">
        <v>78</v>
      </c>
      <c r="R9" s="19" t="s">
        <v>84</v>
      </c>
      <c r="S9" s="19"/>
      <c r="T9" s="19" t="s">
        <v>85</v>
      </c>
      <c r="U9" s="19" t="s">
        <v>86</v>
      </c>
      <c r="V9" s="19" t="s">
        <v>55</v>
      </c>
      <c r="W9" s="19" t="s">
        <v>56</v>
      </c>
      <c r="X9" s="19"/>
      <c r="Y9" s="19"/>
      <c r="Z9" s="19" t="s">
        <v>87</v>
      </c>
      <c r="AA9" s="19">
        <v>1</v>
      </c>
      <c r="AB9" s="19">
        <v>1</v>
      </c>
      <c r="AC9" s="19" t="s">
        <v>58</v>
      </c>
      <c r="AD9" s="19" t="s">
        <v>51</v>
      </c>
      <c r="AE9" s="19" t="s">
        <v>88</v>
      </c>
      <c r="AF9" s="19"/>
    </row>
    <row r="10" spans="1:34">
      <c r="A10" s="19">
        <v>5</v>
      </c>
      <c r="B10" s="19" t="s">
        <v>72</v>
      </c>
      <c r="C10" s="19" t="s">
        <v>89</v>
      </c>
      <c r="D10" s="19" t="str">
        <f>HYPERLINK("http://henontech.com/fieldsafety/harzard/harzard_show.php?rid=2856&amp;url=harzardrecs.php","脱硫南下水道盖板损坏严重，一操作工夜间巡检作业时未发现盖板损坏可能造成腿部绊倒擦伤，送医护室简单包扎不影响工作。")</f>
        <v>脱硫南下水道盖板损坏严重，一操作工夜间巡检作业时未发现盖板损坏可能造成腿部绊倒擦伤，送医护室简单包扎不影响工作。</v>
      </c>
      <c r="E10" s="19" t="s">
        <v>90</v>
      </c>
      <c r="F10" s="20" t="s">
        <v>42</v>
      </c>
      <c r="G10" s="21" t="s">
        <v>43</v>
      </c>
      <c r="H10" s="19" t="s">
        <v>44</v>
      </c>
      <c r="I10" s="19" t="s">
        <v>45</v>
      </c>
      <c r="J10" s="19" t="s">
        <v>91</v>
      </c>
      <c r="K10" s="19" t="s">
        <v>92</v>
      </c>
      <c r="L10" s="19" t="s">
        <v>48</v>
      </c>
      <c r="M10" s="19" t="s">
        <v>49</v>
      </c>
      <c r="N10" s="19" t="s">
        <v>93</v>
      </c>
      <c r="O10" s="19" t="s">
        <v>49</v>
      </c>
      <c r="P10" s="19" t="s">
        <v>51</v>
      </c>
      <c r="Q10" s="19" t="s">
        <v>94</v>
      </c>
      <c r="R10" s="19" t="s">
        <v>95</v>
      </c>
      <c r="S10" s="19"/>
      <c r="T10" s="19" t="s">
        <v>41</v>
      </c>
      <c r="U10" s="19" t="s">
        <v>54</v>
      </c>
      <c r="V10" s="19" t="s">
        <v>55</v>
      </c>
      <c r="W10" s="19" t="s">
        <v>56</v>
      </c>
      <c r="X10" s="19"/>
      <c r="Y10" s="19"/>
      <c r="Z10" s="19" t="s">
        <v>96</v>
      </c>
      <c r="AA10" s="19">
        <v>1</v>
      </c>
      <c r="AB10" s="19">
        <v>1</v>
      </c>
      <c r="AC10" s="19" t="s">
        <v>58</v>
      </c>
      <c r="AD10" s="19" t="s">
        <v>51</v>
      </c>
      <c r="AE10" s="19" t="s">
        <v>59</v>
      </c>
      <c r="AF10" s="19"/>
    </row>
    <row r="11" spans="1:34">
      <c r="A11" s="19">
        <v>6</v>
      </c>
      <c r="B11" s="19" t="s">
        <v>97</v>
      </c>
      <c r="C11" s="19" t="s">
        <v>98</v>
      </c>
      <c r="D11" s="19" t="str">
        <f>HYPERLINK("http://henontech.com/fieldsafety/harzard/harzard_show.php?rid=2860&amp;url=harzardrecs.php","汽轮机房地沟盖板缺失松动，操作工巡检经过时腿脚滑落至地沟内，导致腿部划伤,送医治疗。")</f>
        <v>汽轮机房地沟盖板缺失松动，操作工巡检经过时腿脚滑落至地沟内，导致腿部划伤,送医治疗。</v>
      </c>
      <c r="E11" s="19" t="s">
        <v>99</v>
      </c>
      <c r="F11" s="20" t="s">
        <v>42</v>
      </c>
      <c r="G11" s="21" t="s">
        <v>43</v>
      </c>
      <c r="H11" s="19" t="s">
        <v>44</v>
      </c>
      <c r="I11" s="19" t="s">
        <v>45</v>
      </c>
      <c r="J11" s="19" t="s">
        <v>46</v>
      </c>
      <c r="K11" s="19" t="s">
        <v>100</v>
      </c>
      <c r="L11" s="19" t="s">
        <v>48</v>
      </c>
      <c r="M11" s="19" t="s">
        <v>101</v>
      </c>
      <c r="N11" s="19" t="s">
        <v>102</v>
      </c>
      <c r="O11" s="19" t="s">
        <v>101</v>
      </c>
      <c r="P11" s="19" t="s">
        <v>102</v>
      </c>
      <c r="Q11" s="19" t="s">
        <v>103</v>
      </c>
      <c r="R11" s="19" t="s">
        <v>104</v>
      </c>
      <c r="S11" s="19" t="s">
        <v>105</v>
      </c>
      <c r="T11" s="19" t="s">
        <v>41</v>
      </c>
      <c r="U11" s="19" t="s">
        <v>54</v>
      </c>
      <c r="V11" s="19" t="s">
        <v>106</v>
      </c>
      <c r="W11" s="19" t="s">
        <v>107</v>
      </c>
      <c r="X11" s="19" t="s">
        <v>69</v>
      </c>
      <c r="Y11" s="19" t="s">
        <v>69</v>
      </c>
      <c r="Z11" s="19" t="s">
        <v>108</v>
      </c>
      <c r="AA11" s="19">
        <v>1</v>
      </c>
      <c r="AB11" s="19">
        <v>1</v>
      </c>
      <c r="AC11" s="19" t="s">
        <v>58</v>
      </c>
      <c r="AD11" s="19" t="s">
        <v>102</v>
      </c>
      <c r="AE11" s="19" t="s">
        <v>78</v>
      </c>
      <c r="AF11" s="19" t="s">
        <v>109</v>
      </c>
    </row>
    <row r="12" spans="1:34">
      <c r="A12" s="19">
        <v>7</v>
      </c>
      <c r="B12" s="19" t="s">
        <v>97</v>
      </c>
      <c r="C12" s="19" t="s">
        <v>110</v>
      </c>
      <c r="D12" s="19" t="str">
        <f>HYPERLINK("http://henontech.com/fieldsafety/harzard/harzard_show.php?rid=2862&amp;url=harzardrecs.php","北班长室东侧管架，管道保温铝皮脱落，如果在大风天气一名操作工在巡检时经过此处可能被掉落的铝皮轻微划伤手臂，简单包扎后能正常工作")</f>
        <v>北班长室东侧管架，管道保温铝皮脱落，如果在大风天气一名操作工在巡检时经过此处可能被掉落的铝皮轻微划伤手臂，简单包扎后能正常工作</v>
      </c>
      <c r="E12" s="19" t="s">
        <v>111</v>
      </c>
      <c r="F12" s="20" t="s">
        <v>42</v>
      </c>
      <c r="G12" s="21" t="s">
        <v>43</v>
      </c>
      <c r="H12" s="19" t="s">
        <v>44</v>
      </c>
      <c r="I12" s="19" t="s">
        <v>75</v>
      </c>
      <c r="J12" s="19" t="s">
        <v>46</v>
      </c>
      <c r="K12" s="19" t="s">
        <v>47</v>
      </c>
      <c r="L12" s="19"/>
      <c r="M12" s="19" t="s">
        <v>49</v>
      </c>
      <c r="N12" s="19" t="s">
        <v>112</v>
      </c>
      <c r="O12" s="19" t="s">
        <v>49</v>
      </c>
      <c r="P12" s="19" t="s">
        <v>51</v>
      </c>
      <c r="Q12" s="19" t="s">
        <v>103</v>
      </c>
      <c r="R12" s="19" t="s">
        <v>110</v>
      </c>
      <c r="S12" s="19"/>
      <c r="T12" s="19" t="s">
        <v>41</v>
      </c>
      <c r="U12" s="19" t="s">
        <v>54</v>
      </c>
      <c r="V12" s="19" t="s">
        <v>55</v>
      </c>
      <c r="W12" s="19" t="s">
        <v>56</v>
      </c>
      <c r="X12" s="19"/>
      <c r="Y12" s="19"/>
      <c r="Z12" s="19" t="s">
        <v>113</v>
      </c>
      <c r="AA12" s="19">
        <v>1</v>
      </c>
      <c r="AB12" s="19">
        <v>1</v>
      </c>
      <c r="AC12" s="19" t="s">
        <v>58</v>
      </c>
      <c r="AD12" s="19" t="s">
        <v>51</v>
      </c>
      <c r="AE12" s="19" t="s">
        <v>59</v>
      </c>
      <c r="AF12" s="19"/>
    </row>
    <row r="13" spans="1:34">
      <c r="A13" s="19">
        <v>8</v>
      </c>
      <c r="B13" s="19" t="s">
        <v>114</v>
      </c>
      <c r="C13" s="19" t="s">
        <v>115</v>
      </c>
      <c r="D13" s="19" t="str">
        <f>HYPERLINK("http://henontech.com/fieldsafety/harzard/harzard_show.php?rid=2865&amp;url=harzardrecs.php","污水车在卸车时未放泊车木，导致溜车操作人员在对接管道时并压伤脚面。")</f>
        <v>污水车在卸车时未放泊车木，导致溜车操作人员在对接管道时并压伤脚面。</v>
      </c>
      <c r="E13" s="19" t="s">
        <v>116</v>
      </c>
      <c r="F13" s="20" t="s">
        <v>42</v>
      </c>
      <c r="G13" s="21" t="s">
        <v>43</v>
      </c>
      <c r="H13" s="19" t="s">
        <v>44</v>
      </c>
      <c r="I13" s="19" t="s">
        <v>117</v>
      </c>
      <c r="J13" s="19" t="s">
        <v>118</v>
      </c>
      <c r="K13" s="19"/>
      <c r="L13" s="19" t="s">
        <v>48</v>
      </c>
      <c r="M13" s="19" t="s">
        <v>63</v>
      </c>
      <c r="N13" s="19" t="s">
        <v>119</v>
      </c>
      <c r="O13" s="19" t="s">
        <v>63</v>
      </c>
      <c r="P13" s="19" t="s">
        <v>65</v>
      </c>
      <c r="Q13" s="19" t="s">
        <v>120</v>
      </c>
      <c r="R13" s="19" t="s">
        <v>121</v>
      </c>
      <c r="S13" s="19" t="s">
        <v>122</v>
      </c>
      <c r="T13" s="19" t="s">
        <v>41</v>
      </c>
      <c r="U13" s="19" t="s">
        <v>54</v>
      </c>
      <c r="V13" s="19" t="s">
        <v>55</v>
      </c>
      <c r="W13" s="19" t="s">
        <v>56</v>
      </c>
      <c r="X13" s="19" t="s">
        <v>69</v>
      </c>
      <c r="Y13" s="19" t="s">
        <v>69</v>
      </c>
      <c r="Z13" s="19" t="s">
        <v>123</v>
      </c>
      <c r="AA13" s="19">
        <v>1</v>
      </c>
      <c r="AB13" s="19">
        <v>1</v>
      </c>
      <c r="AC13" s="19" t="s">
        <v>58</v>
      </c>
      <c r="AD13" s="19" t="s">
        <v>65</v>
      </c>
      <c r="AE13" s="19" t="s">
        <v>124</v>
      </c>
      <c r="AF13" s="19" t="s">
        <v>125</v>
      </c>
    </row>
    <row r="14" spans="1:34" customHeight="1" ht="42">
      <c r="A14" s="19">
        <v>9</v>
      </c>
      <c r="B14" s="19" t="s">
        <v>126</v>
      </c>
      <c r="C14" s="19" t="s">
        <v>127</v>
      </c>
      <c r="D14" s="19" t="str">
        <f>HYPERLINK("http://henontech.com/fieldsafety/harzard/harzard_show.php?rid=2874&amp;url=harzardrecs.php","老超滤设备东南侧地沟石板盖板断裂，巡检人员巡检时右脚掉入地沟内，右小腿擦伤")</f>
        <v>老超滤设备东南侧地沟石板盖板断裂，巡检人员巡检时右脚掉入地沟内，右小腿擦伤</v>
      </c>
      <c r="E14" s="19" t="s">
        <v>128</v>
      </c>
      <c r="F14" s="20" t="s">
        <v>42</v>
      </c>
      <c r="G14" s="21" t="s">
        <v>43</v>
      </c>
      <c r="H14" s="19" t="s">
        <v>44</v>
      </c>
      <c r="I14" s="19" t="s">
        <v>75</v>
      </c>
      <c r="J14" s="19" t="s">
        <v>91</v>
      </c>
      <c r="K14" s="19" t="s">
        <v>129</v>
      </c>
      <c r="L14" s="19"/>
      <c r="M14" s="19" t="s">
        <v>130</v>
      </c>
      <c r="N14" s="19" t="s">
        <v>131</v>
      </c>
      <c r="O14" s="19" t="s">
        <v>130</v>
      </c>
      <c r="P14" s="19" t="s">
        <v>132</v>
      </c>
      <c r="Q14" s="19" t="s">
        <v>133</v>
      </c>
      <c r="R14" s="19" t="s">
        <v>134</v>
      </c>
      <c r="S14" s="19"/>
      <c r="T14" s="19" t="s">
        <v>41</v>
      </c>
      <c r="U14" s="19" t="s">
        <v>135</v>
      </c>
      <c r="V14" s="19" t="s">
        <v>55</v>
      </c>
      <c r="W14" s="19" t="s">
        <v>107</v>
      </c>
      <c r="X14" s="19" t="s">
        <v>69</v>
      </c>
      <c r="Y14" s="19"/>
      <c r="Z14" s="19" t="s">
        <v>136</v>
      </c>
      <c r="AA14" s="19">
        <v>2</v>
      </c>
      <c r="AB14" s="19">
        <v>1</v>
      </c>
      <c r="AC14" s="19" t="s">
        <v>58</v>
      </c>
      <c r="AD14" s="19" t="s">
        <v>132</v>
      </c>
      <c r="AE14" s="19" t="s">
        <v>137</v>
      </c>
      <c r="AF14" s="19" t="s">
        <v>138</v>
      </c>
    </row>
    <row r="15" spans="1:34">
      <c r="A15" s="19">
        <v>10</v>
      </c>
      <c r="B15" s="19" t="s">
        <v>126</v>
      </c>
      <c r="C15" s="19" t="s">
        <v>139</v>
      </c>
      <c r="D15" s="19" t="str">
        <f>HYPERLINK("http://henontech.com/fieldsafety/harzard/harzard_show.php?rid=2875&amp;url=harzardrecs.php","南风机初冷器东北角高处电缆桥架上有一块废弃线路板，如果一名操作人员在大风天气中巡检时，废弃线路板被大风吹落划伤右手部，经包扎后不影响工作。")</f>
        <v>南风机初冷器东北角高处电缆桥架上有一块废弃线路板，如果一名操作人员在大风天气中巡检时，废弃线路板被大风吹落划伤右手部，经包扎后不影响工作。</v>
      </c>
      <c r="E15" s="19" t="s">
        <v>140</v>
      </c>
      <c r="F15" s="20" t="s">
        <v>42</v>
      </c>
      <c r="G15" s="21" t="s">
        <v>43</v>
      </c>
      <c r="H15" s="19" t="s">
        <v>44</v>
      </c>
      <c r="I15" s="19" t="s">
        <v>45</v>
      </c>
      <c r="J15" s="19" t="s">
        <v>46</v>
      </c>
      <c r="K15" s="19" t="s">
        <v>47</v>
      </c>
      <c r="L15" s="19" t="s">
        <v>48</v>
      </c>
      <c r="M15" s="19" t="s">
        <v>49</v>
      </c>
      <c r="N15" s="19" t="s">
        <v>141</v>
      </c>
      <c r="O15" s="19" t="s">
        <v>49</v>
      </c>
      <c r="P15" s="19" t="s">
        <v>51</v>
      </c>
      <c r="Q15" s="19" t="s">
        <v>133</v>
      </c>
      <c r="R15" s="19" t="s">
        <v>142</v>
      </c>
      <c r="S15" s="19"/>
      <c r="T15" s="19" t="s">
        <v>41</v>
      </c>
      <c r="U15" s="19" t="s">
        <v>54</v>
      </c>
      <c r="V15" s="19" t="s">
        <v>106</v>
      </c>
      <c r="W15" s="19" t="s">
        <v>107</v>
      </c>
      <c r="X15" s="19"/>
      <c r="Y15" s="19"/>
      <c r="Z15" s="19" t="s">
        <v>143</v>
      </c>
      <c r="AA15" s="19">
        <v>1</v>
      </c>
      <c r="AB15" s="19">
        <v>1</v>
      </c>
      <c r="AC15" s="19" t="s">
        <v>58</v>
      </c>
      <c r="AD15" s="19" t="s">
        <v>51</v>
      </c>
      <c r="AE15" s="19" t="s">
        <v>144</v>
      </c>
      <c r="AF15" s="19"/>
    </row>
    <row r="16" spans="1:34">
      <c r="A16" s="19">
        <v>11</v>
      </c>
      <c r="B16" s="19" t="s">
        <v>145</v>
      </c>
      <c r="C16" s="19" t="s">
        <v>146</v>
      </c>
      <c r="D16" s="19" t="str">
        <f>HYPERLINK("http://henontech.com/fieldsafety/harzard/harzard_show.php?rid=2887&amp;url=harzardrecs.php","一名风机操作工在巡检过程中发现风机房内东北角支撑柱上方有旧复合板悬挂，一旦有人经过，旧复合板掉落，造成操作工右臂砸伤，住院治疗5天，出院后返工，损工5天。")</f>
        <v>一名风机操作工在巡检过程中发现风机房内东北角支撑柱上方有旧复合板悬挂，一旦有人经过，旧复合板掉落，造成操作工右臂砸伤，住院治疗5天，出院后返工，损工5天。</v>
      </c>
      <c r="E16" s="19" t="s">
        <v>147</v>
      </c>
      <c r="F16" s="20" t="s">
        <v>42</v>
      </c>
      <c r="G16" s="21" t="s">
        <v>43</v>
      </c>
      <c r="H16" s="19" t="s">
        <v>44</v>
      </c>
      <c r="I16" s="19" t="s">
        <v>75</v>
      </c>
      <c r="J16" s="19" t="s">
        <v>46</v>
      </c>
      <c r="K16" s="19" t="s">
        <v>129</v>
      </c>
      <c r="L16" s="19" t="s">
        <v>48</v>
      </c>
      <c r="M16" s="19" t="s">
        <v>49</v>
      </c>
      <c r="N16" s="19" t="s">
        <v>148</v>
      </c>
      <c r="O16" s="19" t="s">
        <v>49</v>
      </c>
      <c r="P16" s="19" t="s">
        <v>51</v>
      </c>
      <c r="Q16" s="19" t="s">
        <v>149</v>
      </c>
      <c r="R16" s="19" t="s">
        <v>150</v>
      </c>
      <c r="S16" s="19"/>
      <c r="T16" s="19" t="s">
        <v>41</v>
      </c>
      <c r="U16" s="19" t="s">
        <v>135</v>
      </c>
      <c r="V16" s="19" t="s">
        <v>106</v>
      </c>
      <c r="W16" s="19" t="s">
        <v>151</v>
      </c>
      <c r="X16" s="19"/>
      <c r="Y16" s="19"/>
      <c r="Z16" s="19" t="s">
        <v>152</v>
      </c>
      <c r="AA16" s="19">
        <v>1</v>
      </c>
      <c r="AB16" s="19">
        <v>1</v>
      </c>
      <c r="AC16" s="19" t="s">
        <v>58</v>
      </c>
      <c r="AD16" s="19" t="s">
        <v>51</v>
      </c>
      <c r="AE16" s="19" t="s">
        <v>153</v>
      </c>
      <c r="AF16" s="19"/>
    </row>
    <row r="17" spans="1:34">
      <c r="A17" s="19">
        <v>12</v>
      </c>
      <c r="B17" s="19" t="s">
        <v>154</v>
      </c>
      <c r="C17" s="19" t="s">
        <v>155</v>
      </c>
      <c r="D17" s="19" t="str">
        <f>HYPERLINK("http://henontech.com/fieldsafety/harzard/harzard_show.php?rid=2893&amp;url=harzardrecs.php","给水泵处漏气，如果一维修工在维修流量计会造成右手臂烫伤，在家休养3天，损工三天")</f>
        <v>给水泵处漏气，如果一维修工在维修流量计会造成右手臂烫伤，在家休养3天，损工三天</v>
      </c>
      <c r="E17" s="19" t="s">
        <v>156</v>
      </c>
      <c r="F17" s="22" t="s">
        <v>157</v>
      </c>
      <c r="G17" s="21" t="s">
        <v>43</v>
      </c>
      <c r="H17" s="19" t="s">
        <v>44</v>
      </c>
      <c r="I17" s="19" t="s">
        <v>117</v>
      </c>
      <c r="J17" s="19" t="s">
        <v>158</v>
      </c>
      <c r="K17" s="19" t="s">
        <v>47</v>
      </c>
      <c r="L17" s="19" t="s">
        <v>48</v>
      </c>
      <c r="M17" s="19" t="s">
        <v>130</v>
      </c>
      <c r="N17" s="19" t="s">
        <v>159</v>
      </c>
      <c r="O17" s="19"/>
      <c r="P17" s="19"/>
      <c r="Q17" s="19"/>
      <c r="R17" s="19" t="s">
        <v>160</v>
      </c>
      <c r="S17" s="19" t="s">
        <v>161</v>
      </c>
      <c r="T17" s="19" t="s">
        <v>41</v>
      </c>
      <c r="U17" s="19" t="s">
        <v>135</v>
      </c>
      <c r="V17" s="19" t="s">
        <v>55</v>
      </c>
      <c r="W17" s="19" t="s">
        <v>107</v>
      </c>
      <c r="X17" s="19"/>
      <c r="Y17" s="19"/>
      <c r="Z17" s="19"/>
      <c r="AA17" s="19">
        <v>0</v>
      </c>
      <c r="AB17" s="19"/>
      <c r="AC17" s="19" t="s">
        <v>162</v>
      </c>
      <c r="AD17" s="19"/>
      <c r="AE17" s="19"/>
      <c r="AF17" s="19"/>
    </row>
    <row r="18" spans="1:34">
      <c r="A18" s="19">
        <v>13</v>
      </c>
      <c r="B18" s="19" t="s">
        <v>163</v>
      </c>
      <c r="C18" s="19" t="s">
        <v>155</v>
      </c>
      <c r="D18" s="19" t="str">
        <f>HYPERLINK("http://henontech.com/fieldsafety/harzard/harzard_show.php?rid=2899&amp;url=harzardrecs.php","操作室配点盘附近地板砖破裂，地板砖下是电缆通道，地板砖下有大量电缆电线，操作工在路过时不慎踩到破裂地板砖，掉入电缆通道")</f>
        <v>操作室配点盘附近地板砖破裂，地板砖下是电缆通道，地板砖下有大量电缆电线，操作工在路过时不慎踩到破裂地板砖，掉入电缆通道</v>
      </c>
      <c r="E18" s="19" t="s">
        <v>164</v>
      </c>
      <c r="F18" s="22" t="s">
        <v>157</v>
      </c>
      <c r="G18" s="21" t="s">
        <v>43</v>
      </c>
      <c r="H18" s="19" t="s">
        <v>44</v>
      </c>
      <c r="I18" s="19" t="s">
        <v>117</v>
      </c>
      <c r="J18" s="19" t="s">
        <v>46</v>
      </c>
      <c r="K18" s="19"/>
      <c r="L18" s="19"/>
      <c r="M18" s="19" t="s">
        <v>130</v>
      </c>
      <c r="N18" s="19" t="s">
        <v>165</v>
      </c>
      <c r="O18" s="19"/>
      <c r="P18" s="19"/>
      <c r="Q18" s="19"/>
      <c r="R18" s="19" t="s">
        <v>166</v>
      </c>
      <c r="S18" s="19" t="s">
        <v>167</v>
      </c>
      <c r="T18" s="19" t="s">
        <v>41</v>
      </c>
      <c r="U18" s="19" t="s">
        <v>54</v>
      </c>
      <c r="V18" s="19" t="s">
        <v>168</v>
      </c>
      <c r="W18" s="19" t="s">
        <v>151</v>
      </c>
      <c r="X18" s="19"/>
      <c r="Y18" s="19"/>
      <c r="Z18" s="19"/>
      <c r="AA18" s="19">
        <v>0</v>
      </c>
      <c r="AB18" s="19"/>
      <c r="AC18" s="19" t="s">
        <v>162</v>
      </c>
      <c r="AD18" s="19"/>
      <c r="AE18" s="19"/>
      <c r="AF18" s="19"/>
    </row>
    <row r="19" spans="1:34" customHeight="1" ht="42">
      <c r="A19" s="19">
        <v>14</v>
      </c>
      <c r="B19" s="19" t="s">
        <v>163</v>
      </c>
      <c r="C19" s="19" t="s">
        <v>169</v>
      </c>
      <c r="D19" s="19" t="str">
        <f>HYPERLINK("http://henontech.com/fieldsafety/harzard/harzard_show.php?rid=2900&amp;url=harzardrecs.php","一操作工巡检，二层玻璃破裂掉碎玻璃扎到脖子上，造成大面积出血，送医院就治")</f>
        <v>一操作工巡检，二层玻璃破裂掉碎玻璃扎到脖子上，造成大面积出血，送医院就治</v>
      </c>
      <c r="E19" s="19" t="s">
        <v>41</v>
      </c>
      <c r="F19" s="20" t="s">
        <v>42</v>
      </c>
      <c r="G19" s="21" t="s">
        <v>43</v>
      </c>
      <c r="H19" s="19" t="s">
        <v>44</v>
      </c>
      <c r="I19" s="19"/>
      <c r="J19" s="19" t="s">
        <v>118</v>
      </c>
      <c r="K19" s="19"/>
      <c r="L19" s="19"/>
      <c r="M19" s="19" t="s">
        <v>130</v>
      </c>
      <c r="N19" s="19" t="s">
        <v>170</v>
      </c>
      <c r="O19" s="19" t="s">
        <v>130</v>
      </c>
      <c r="P19" s="19" t="s">
        <v>132</v>
      </c>
      <c r="Q19" s="19" t="s">
        <v>171</v>
      </c>
      <c r="R19" s="19" t="s">
        <v>172</v>
      </c>
      <c r="S19" s="19"/>
      <c r="T19" s="19" t="s">
        <v>41</v>
      </c>
      <c r="U19" s="19" t="s">
        <v>54</v>
      </c>
      <c r="V19" s="19" t="s">
        <v>55</v>
      </c>
      <c r="W19" s="19" t="s">
        <v>56</v>
      </c>
      <c r="X19" s="19" t="s">
        <v>69</v>
      </c>
      <c r="Y19" s="19"/>
      <c r="Z19" s="19" t="s">
        <v>173</v>
      </c>
      <c r="AA19" s="19">
        <v>2</v>
      </c>
      <c r="AB19" s="19">
        <v>1</v>
      </c>
      <c r="AC19" s="19" t="s">
        <v>58</v>
      </c>
      <c r="AD19" s="19" t="s">
        <v>132</v>
      </c>
      <c r="AE19" s="19" t="s">
        <v>137</v>
      </c>
      <c r="AF19" s="19" t="s">
        <v>174</v>
      </c>
    </row>
    <row r="20" spans="1:34">
      <c r="A20" s="19">
        <v>15</v>
      </c>
      <c r="B20" s="19" t="s">
        <v>163</v>
      </c>
      <c r="C20" s="19" t="s">
        <v>175</v>
      </c>
      <c r="D20" s="19" t="str">
        <f>HYPERLINK("http://henontech.com/fieldsafety/harzard/harzard_show.php?rid=2906&amp;url=harzardrecs.php","一名操作工用蒸汽吹扫风机下液管时，阀门垫子破损，喷出蒸汽，操作工手臂被轻微烫伤，及时用清水冲洗，返回工作岗位，无损工。")</f>
        <v>一名操作工用蒸汽吹扫风机下液管时，阀门垫子破损，喷出蒸汽，操作工手臂被轻微烫伤，及时用清水冲洗，返回工作岗位，无损工。</v>
      </c>
      <c r="E20" s="19" t="s">
        <v>176</v>
      </c>
      <c r="F20" s="20" t="s">
        <v>42</v>
      </c>
      <c r="G20" s="21" t="s">
        <v>43</v>
      </c>
      <c r="H20" s="19" t="s">
        <v>44</v>
      </c>
      <c r="I20" s="19" t="s">
        <v>45</v>
      </c>
      <c r="J20" s="19" t="s">
        <v>46</v>
      </c>
      <c r="K20" s="19" t="s">
        <v>92</v>
      </c>
      <c r="L20" s="19"/>
      <c r="M20" s="19" t="s">
        <v>49</v>
      </c>
      <c r="N20" s="19" t="s">
        <v>50</v>
      </c>
      <c r="O20" s="19" t="s">
        <v>49</v>
      </c>
      <c r="P20" s="19" t="s">
        <v>51</v>
      </c>
      <c r="Q20" s="19" t="s">
        <v>177</v>
      </c>
      <c r="R20" s="19" t="s">
        <v>178</v>
      </c>
      <c r="S20" s="19"/>
      <c r="T20" s="19" t="s">
        <v>41</v>
      </c>
      <c r="U20" s="19" t="s">
        <v>54</v>
      </c>
      <c r="V20" s="19" t="s">
        <v>106</v>
      </c>
      <c r="W20" s="19" t="s">
        <v>107</v>
      </c>
      <c r="X20" s="19"/>
      <c r="Y20" s="19"/>
      <c r="Z20" s="19" t="s">
        <v>179</v>
      </c>
      <c r="AA20" s="19">
        <v>1</v>
      </c>
      <c r="AB20" s="19">
        <v>1</v>
      </c>
      <c r="AC20" s="19" t="s">
        <v>58</v>
      </c>
      <c r="AD20" s="19" t="s">
        <v>51</v>
      </c>
      <c r="AE20" s="19" t="s">
        <v>153</v>
      </c>
      <c r="AF20" s="19"/>
    </row>
    <row r="21" spans="1:34">
      <c r="A21" s="19">
        <v>16</v>
      </c>
      <c r="B21" s="19" t="s">
        <v>154</v>
      </c>
      <c r="C21" s="19" t="s">
        <v>89</v>
      </c>
      <c r="D21" s="19" t="str">
        <f>HYPERLINK("http://henontech.com/fieldsafety/harzard/harzard_show.php?rid=2907&amp;url=harzardrecs.php","北脱硫浮油器爬梯开焊，一名操作工巡检浮油器时。安全意识不强，下爬梯时踩到开焊部位，滑倒落地，立即就医")</f>
        <v>北脱硫浮油器爬梯开焊，一名操作工巡检浮油器时。安全意识不强，下爬梯时踩到开焊部位，滑倒落地，立即就医</v>
      </c>
      <c r="E21" s="19" t="s">
        <v>180</v>
      </c>
      <c r="F21" s="20" t="s">
        <v>42</v>
      </c>
      <c r="G21" s="21" t="s">
        <v>43</v>
      </c>
      <c r="H21" s="19" t="s">
        <v>44</v>
      </c>
      <c r="I21" s="19" t="s">
        <v>75</v>
      </c>
      <c r="J21" s="19" t="s">
        <v>46</v>
      </c>
      <c r="K21" s="19" t="s">
        <v>47</v>
      </c>
      <c r="L21" s="19"/>
      <c r="M21" s="19" t="s">
        <v>49</v>
      </c>
      <c r="N21" s="19" t="s">
        <v>181</v>
      </c>
      <c r="O21" s="19" t="s">
        <v>49</v>
      </c>
      <c r="P21" s="19" t="s">
        <v>51</v>
      </c>
      <c r="Q21" s="19" t="s">
        <v>182</v>
      </c>
      <c r="R21" s="19" t="s">
        <v>183</v>
      </c>
      <c r="S21" s="19"/>
      <c r="T21" s="19" t="s">
        <v>41</v>
      </c>
      <c r="U21" s="19" t="s">
        <v>135</v>
      </c>
      <c r="V21" s="19" t="s">
        <v>55</v>
      </c>
      <c r="W21" s="19" t="s">
        <v>107</v>
      </c>
      <c r="X21" s="19"/>
      <c r="Y21" s="19"/>
      <c r="Z21" s="19" t="s">
        <v>184</v>
      </c>
      <c r="AA21" s="19">
        <v>1</v>
      </c>
      <c r="AB21" s="19">
        <v>1</v>
      </c>
      <c r="AC21" s="19" t="s">
        <v>58</v>
      </c>
      <c r="AD21" s="19" t="s">
        <v>51</v>
      </c>
      <c r="AE21" s="19" t="s">
        <v>88</v>
      </c>
      <c r="AF21" s="19"/>
    </row>
    <row r="22" spans="1:34">
      <c r="A22" s="19">
        <v>17</v>
      </c>
      <c r="B22" s="19" t="s">
        <v>88</v>
      </c>
      <c r="C22" s="19" t="s">
        <v>185</v>
      </c>
      <c r="D22" s="19" t="str">
        <f>HYPERLINK("http://henontech.com/fieldsafety/harzard/harzard_show.php?rid=2909&amp;url=harzardrecs.php","东侧空压机油滤器超时保养未及时修复报警停机，且西侧备用空压机故障无法开启，造成干熄焦系统仪表风压力低于0.4Mpa使气动阀无法远程控制，停炉检修五天，造成经济损失140万元。")</f>
        <v>东侧空压机油滤器超时保养未及时修复报警停机，且西侧备用空压机故障无法开启，造成干熄焦系统仪表风压力低于0.4Mpa使气动阀无法远程控制，停炉检修五天，造成经济损失140万元。</v>
      </c>
      <c r="E22" s="19" t="s">
        <v>186</v>
      </c>
      <c r="F22" s="23" t="s">
        <v>187</v>
      </c>
      <c r="G22" s="21" t="s">
        <v>43</v>
      </c>
      <c r="H22" s="19" t="s">
        <v>44</v>
      </c>
      <c r="I22" s="19" t="s">
        <v>45</v>
      </c>
      <c r="J22" s="19" t="s">
        <v>188</v>
      </c>
      <c r="K22" s="19" t="s">
        <v>92</v>
      </c>
      <c r="L22" s="19" t="s">
        <v>48</v>
      </c>
      <c r="M22" s="19" t="s">
        <v>101</v>
      </c>
      <c r="N22" s="19" t="s">
        <v>189</v>
      </c>
      <c r="O22" s="19" t="s">
        <v>101</v>
      </c>
      <c r="P22" s="19" t="s">
        <v>190</v>
      </c>
      <c r="Q22" s="19" t="s">
        <v>191</v>
      </c>
      <c r="R22" s="19" t="s">
        <v>192</v>
      </c>
      <c r="S22" s="19" t="s">
        <v>193</v>
      </c>
      <c r="T22" s="19" t="s">
        <v>194</v>
      </c>
      <c r="U22" s="19" t="s">
        <v>195</v>
      </c>
      <c r="V22" s="19" t="s">
        <v>168</v>
      </c>
      <c r="W22" s="19" t="s">
        <v>196</v>
      </c>
      <c r="X22" s="19" t="s">
        <v>197</v>
      </c>
      <c r="Y22" s="19"/>
      <c r="Z22" s="19" t="s">
        <v>198</v>
      </c>
      <c r="AA22" s="19">
        <v>1</v>
      </c>
      <c r="AB22" s="19"/>
      <c r="AC22" s="19" t="s">
        <v>162</v>
      </c>
      <c r="AD22" s="19"/>
      <c r="AE22" s="19"/>
      <c r="AF22" s="19"/>
    </row>
    <row r="23" spans="1:34">
      <c r="A23" s="19">
        <v>18</v>
      </c>
      <c r="B23" s="19" t="s">
        <v>154</v>
      </c>
      <c r="C23" s="19" t="s">
        <v>81</v>
      </c>
      <c r="D23" s="19" t="str">
        <f>HYPERLINK("http://henontech.com/fieldsafety/harzard/harzard_show.php?rid=2926&amp;url=harzardrecs.php","脱硫泡沫板顶部盖板遮盖不严,一旦巡检人员经过时,一只脚踩蹭被铁板划伤腿部,经医院包扎,在家休养7天后康复,造成一人损工事故")</f>
        <v>脱硫泡沫板顶部盖板遮盖不严,一旦巡检人员经过时,一只脚踩蹭被铁板划伤腿部,经医院包扎,在家休养7天后康复,造成一人损工事故</v>
      </c>
      <c r="E23" s="19" t="s">
        <v>199</v>
      </c>
      <c r="F23" s="20" t="s">
        <v>42</v>
      </c>
      <c r="G23" s="21" t="s">
        <v>43</v>
      </c>
      <c r="H23" s="19" t="s">
        <v>44</v>
      </c>
      <c r="I23" s="19"/>
      <c r="J23" s="19" t="s">
        <v>91</v>
      </c>
      <c r="K23" s="19"/>
      <c r="L23" s="19"/>
      <c r="M23" s="19" t="s">
        <v>49</v>
      </c>
      <c r="N23" s="19" t="s">
        <v>200</v>
      </c>
      <c r="O23" s="19" t="s">
        <v>49</v>
      </c>
      <c r="P23" s="19" t="s">
        <v>51</v>
      </c>
      <c r="Q23" s="19" t="s">
        <v>182</v>
      </c>
      <c r="R23" s="19" t="s">
        <v>201</v>
      </c>
      <c r="S23" s="19"/>
      <c r="T23" s="19" t="s">
        <v>41</v>
      </c>
      <c r="U23" s="19" t="s">
        <v>135</v>
      </c>
      <c r="V23" s="19" t="s">
        <v>55</v>
      </c>
      <c r="W23" s="19" t="s">
        <v>107</v>
      </c>
      <c r="X23" s="19"/>
      <c r="Y23" s="19"/>
      <c r="Z23" s="19" t="s">
        <v>202</v>
      </c>
      <c r="AA23" s="19">
        <v>1</v>
      </c>
      <c r="AB23" s="19">
        <v>1</v>
      </c>
      <c r="AC23" s="19" t="s">
        <v>58</v>
      </c>
      <c r="AD23" s="19" t="s">
        <v>51</v>
      </c>
      <c r="AE23" s="19" t="s">
        <v>88</v>
      </c>
      <c r="AF23" s="19"/>
    </row>
    <row r="24" spans="1:34">
      <c r="A24" s="19">
        <v>19</v>
      </c>
      <c r="B24" s="19" t="s">
        <v>154</v>
      </c>
      <c r="C24" s="19" t="s">
        <v>203</v>
      </c>
      <c r="D24" s="19" t="str">
        <f>HYPERLINK("http://henontech.com/fieldsafety/harzard/harzard_show.php?rid=2927&amp;url=harzardrecs.php","一楼加药间地面水泥盖板破损，还有铁质盖板，两种盖板高低不平，一员工巡检至此时一脚踏空，摔倒，送医确诊胳膊骨裂，误工3天。")</f>
        <v>一楼加药间地面水泥盖板破损，还有铁质盖板，两种盖板高低不平，一员工巡检至此时一脚踏空，摔倒，送医确诊胳膊骨裂，误工3天。</v>
      </c>
      <c r="E24" s="19" t="s">
        <v>204</v>
      </c>
      <c r="F24" s="20" t="s">
        <v>42</v>
      </c>
      <c r="G24" s="21" t="s">
        <v>43</v>
      </c>
      <c r="H24" s="19" t="s">
        <v>44</v>
      </c>
      <c r="I24" s="19" t="s">
        <v>75</v>
      </c>
      <c r="J24" s="19" t="s">
        <v>91</v>
      </c>
      <c r="K24" s="19" t="s">
        <v>129</v>
      </c>
      <c r="L24" s="19"/>
      <c r="M24" s="19" t="s">
        <v>101</v>
      </c>
      <c r="N24" s="19" t="s">
        <v>205</v>
      </c>
      <c r="O24" s="19" t="s">
        <v>101</v>
      </c>
      <c r="P24" s="19" t="s">
        <v>206</v>
      </c>
      <c r="Q24" s="19" t="s">
        <v>207</v>
      </c>
      <c r="R24" s="19" t="s">
        <v>208</v>
      </c>
      <c r="S24" s="19" t="s">
        <v>209</v>
      </c>
      <c r="T24" s="19" t="s">
        <v>41</v>
      </c>
      <c r="U24" s="19" t="s">
        <v>54</v>
      </c>
      <c r="V24" s="19" t="s">
        <v>55</v>
      </c>
      <c r="W24" s="19" t="s">
        <v>56</v>
      </c>
      <c r="X24" s="19" t="s">
        <v>69</v>
      </c>
      <c r="Y24" s="19"/>
      <c r="Z24" s="19" t="s">
        <v>210</v>
      </c>
      <c r="AA24" s="19">
        <v>1</v>
      </c>
      <c r="AB24" s="19">
        <v>1</v>
      </c>
      <c r="AC24" s="19" t="s">
        <v>58</v>
      </c>
      <c r="AD24" s="19" t="s">
        <v>206</v>
      </c>
      <c r="AE24" s="19" t="s">
        <v>59</v>
      </c>
      <c r="AF24" s="19"/>
    </row>
    <row r="25" spans="1:34" customHeight="1" ht="42">
      <c r="A25" s="19">
        <v>20</v>
      </c>
      <c r="B25" s="19" t="s">
        <v>154</v>
      </c>
      <c r="C25" s="19" t="s">
        <v>211</v>
      </c>
      <c r="D25" s="19" t="str">
        <f>HYPERLINK("http://henontech.com/fieldsafety/harzard/harzard_show.php?rid=2931&amp;url=harzardrecs.php","75t减温减压管线电动阀填料螺丝松动，如果一巡检工巡检到此处时，突然发生蒸汽泄露，可能导致左手臂烫伤，用清水冲洗后送往医院就医，在家修养3天，损工3天")</f>
        <v>75t减温减压管线电动阀填料螺丝松动，如果一巡检工巡检到此处时，突然发生蒸汽泄露，可能导致左手臂烫伤，用清水冲洗后送往医院就医，在家修养3天，损工3天</v>
      </c>
      <c r="E25" s="19" t="s">
        <v>212</v>
      </c>
      <c r="F25" s="20" t="s">
        <v>42</v>
      </c>
      <c r="G25" s="21" t="s">
        <v>43</v>
      </c>
      <c r="H25" s="19" t="s">
        <v>44</v>
      </c>
      <c r="I25" s="19" t="s">
        <v>117</v>
      </c>
      <c r="J25" s="19" t="s">
        <v>158</v>
      </c>
      <c r="K25" s="19" t="s">
        <v>129</v>
      </c>
      <c r="L25" s="19" t="s">
        <v>48</v>
      </c>
      <c r="M25" s="19" t="s">
        <v>130</v>
      </c>
      <c r="N25" s="19" t="s">
        <v>213</v>
      </c>
      <c r="O25" s="19" t="s">
        <v>130</v>
      </c>
      <c r="P25" s="19" t="s">
        <v>132</v>
      </c>
      <c r="Q25" s="19" t="s">
        <v>214</v>
      </c>
      <c r="R25" s="19" t="s">
        <v>215</v>
      </c>
      <c r="S25" s="19"/>
      <c r="T25" s="19" t="s">
        <v>41</v>
      </c>
      <c r="U25" s="19" t="s">
        <v>135</v>
      </c>
      <c r="V25" s="19" t="s">
        <v>55</v>
      </c>
      <c r="W25" s="19" t="s">
        <v>107</v>
      </c>
      <c r="X25" s="19" t="s">
        <v>69</v>
      </c>
      <c r="Y25" s="19"/>
      <c r="Z25" s="19" t="s">
        <v>216</v>
      </c>
      <c r="AA25" s="19">
        <v>2</v>
      </c>
      <c r="AB25" s="19">
        <v>2</v>
      </c>
      <c r="AC25" s="19" t="s">
        <v>58</v>
      </c>
      <c r="AD25" s="19" t="s">
        <v>132</v>
      </c>
      <c r="AE25" s="19" t="s">
        <v>137</v>
      </c>
      <c r="AF25" s="19" t="s">
        <v>217</v>
      </c>
    </row>
    <row r="26" spans="1:34">
      <c r="A26" s="19">
        <v>21</v>
      </c>
      <c r="B26" s="19" t="s">
        <v>154</v>
      </c>
      <c r="C26" s="19" t="s">
        <v>175</v>
      </c>
      <c r="D26" s="19" t="str">
        <f>HYPERLINK("http://henontech.com/fieldsafety/harzard/harzard_show.php?rid=2932&amp;url=harzardrecs.php","南风机初冷器一层一盏照明灯罩破损，阴雨天气雨水一旦流进灯罩内，夜间开启电源，灯罩内的水与热灯泡交替造成灯泡爆炸停电，影响生产。")</f>
        <v>南风机初冷器一层一盏照明灯罩破损，阴雨天气雨水一旦流进灯罩内，夜间开启电源，灯罩内的水与热灯泡交替造成灯泡爆炸停电，影响生产。</v>
      </c>
      <c r="E26" s="19" t="s">
        <v>218</v>
      </c>
      <c r="F26" s="20" t="s">
        <v>42</v>
      </c>
      <c r="G26" s="21" t="s">
        <v>43</v>
      </c>
      <c r="H26" s="19" t="s">
        <v>44</v>
      </c>
      <c r="I26" s="19" t="s">
        <v>45</v>
      </c>
      <c r="J26" s="19" t="s">
        <v>46</v>
      </c>
      <c r="K26" s="19" t="s">
        <v>47</v>
      </c>
      <c r="L26" s="19" t="s">
        <v>48</v>
      </c>
      <c r="M26" s="19" t="s">
        <v>49</v>
      </c>
      <c r="N26" s="19" t="s">
        <v>219</v>
      </c>
      <c r="O26" s="19" t="s">
        <v>49</v>
      </c>
      <c r="P26" s="19" t="s">
        <v>51</v>
      </c>
      <c r="Q26" s="19" t="s">
        <v>182</v>
      </c>
      <c r="R26" s="19" t="s">
        <v>220</v>
      </c>
      <c r="S26" s="19"/>
      <c r="T26" s="19" t="s">
        <v>194</v>
      </c>
      <c r="U26" s="19" t="s">
        <v>86</v>
      </c>
      <c r="V26" s="19" t="s">
        <v>68</v>
      </c>
      <c r="W26" s="19" t="s">
        <v>56</v>
      </c>
      <c r="X26" s="19"/>
      <c r="Y26" s="19"/>
      <c r="Z26" s="19" t="s">
        <v>221</v>
      </c>
      <c r="AA26" s="19">
        <v>1</v>
      </c>
      <c r="AB26" s="19">
        <v>1</v>
      </c>
      <c r="AC26" s="19" t="s">
        <v>58</v>
      </c>
      <c r="AD26" s="19" t="s">
        <v>51</v>
      </c>
      <c r="AE26" s="19" t="s">
        <v>71</v>
      </c>
      <c r="AF26" s="19"/>
    </row>
    <row r="27" spans="1:34">
      <c r="A27" s="19">
        <v>22</v>
      </c>
      <c r="B27" s="19" t="s">
        <v>154</v>
      </c>
      <c r="C27" s="19" t="s">
        <v>169</v>
      </c>
      <c r="D27" s="19" t="str">
        <f>HYPERLINK("http://henontech.com/fieldsafety/harzard/harzard_show.php?rid=2933&amp;url=harzardrecs.php","一名化学水操作工在巡检时不慎从爬梯上滑倒摔到地面，造成左手前臂骨折。住")</f>
        <v>一名化学水操作工在巡检时不慎从爬梯上滑倒摔到地面，造成左手前臂骨折。住</v>
      </c>
      <c r="E27" s="19" t="s">
        <v>222</v>
      </c>
      <c r="F27" s="22" t="s">
        <v>157</v>
      </c>
      <c r="G27" s="21" t="s">
        <v>43</v>
      </c>
      <c r="H27" s="19" t="s">
        <v>44</v>
      </c>
      <c r="I27" s="19" t="s">
        <v>117</v>
      </c>
      <c r="J27" s="19" t="s">
        <v>46</v>
      </c>
      <c r="K27" s="19"/>
      <c r="L27" s="19"/>
      <c r="M27" s="19" t="s">
        <v>130</v>
      </c>
      <c r="N27" s="19" t="s">
        <v>223</v>
      </c>
      <c r="O27" s="19"/>
      <c r="P27" s="19"/>
      <c r="Q27" s="19"/>
      <c r="R27" s="19" t="s">
        <v>224</v>
      </c>
      <c r="S27" s="19" t="s">
        <v>225</v>
      </c>
      <c r="T27" s="19" t="s">
        <v>41</v>
      </c>
      <c r="U27" s="19" t="s">
        <v>135</v>
      </c>
      <c r="V27" s="19" t="s">
        <v>106</v>
      </c>
      <c r="W27" s="19" t="s">
        <v>151</v>
      </c>
      <c r="X27" s="19"/>
      <c r="Y27" s="19"/>
      <c r="Z27" s="19"/>
      <c r="AA27" s="19">
        <v>0</v>
      </c>
      <c r="AB27" s="19"/>
      <c r="AC27" s="19" t="s">
        <v>162</v>
      </c>
      <c r="AD27" s="19"/>
      <c r="AE27" s="19"/>
      <c r="AF27" s="19"/>
    </row>
    <row r="28" spans="1:34">
      <c r="A28" s="19">
        <v>23</v>
      </c>
      <c r="B28" s="19" t="s">
        <v>226</v>
      </c>
      <c r="C28" s="19" t="s">
        <v>227</v>
      </c>
      <c r="D28" s="19" t="str">
        <f>HYPERLINK("http://henontech.com/fieldsafety/harzard/harzard_show.php?rid=2937&amp;url=harzardrecs.php","深度处理工段DEC过滤罐上人孔处漏水，检修人员爬上脚手架查看漏点时没有系安全带，致使人员跌落造成脊椎骨断裂，损工一年。")</f>
        <v>深度处理工段DEC过滤罐上人孔处漏水，检修人员爬上脚手架查看漏点时没有系安全带，致使人员跌落造成脊椎骨断裂，损工一年。</v>
      </c>
      <c r="E28" s="19" t="s">
        <v>228</v>
      </c>
      <c r="F28" s="20" t="s">
        <v>42</v>
      </c>
      <c r="G28" s="21" t="s">
        <v>43</v>
      </c>
      <c r="H28" s="19" t="s">
        <v>44</v>
      </c>
      <c r="I28" s="19" t="s">
        <v>75</v>
      </c>
      <c r="J28" s="19" t="s">
        <v>46</v>
      </c>
      <c r="K28" s="19"/>
      <c r="L28" s="19"/>
      <c r="M28" s="19" t="s">
        <v>63</v>
      </c>
      <c r="N28" s="19" t="s">
        <v>229</v>
      </c>
      <c r="O28" s="19" t="s">
        <v>63</v>
      </c>
      <c r="P28" s="19" t="s">
        <v>65</v>
      </c>
      <c r="Q28" s="19" t="s">
        <v>230</v>
      </c>
      <c r="R28" s="19" t="s">
        <v>231</v>
      </c>
      <c r="S28" s="19"/>
      <c r="T28" s="19" t="s">
        <v>41</v>
      </c>
      <c r="U28" s="19" t="s">
        <v>135</v>
      </c>
      <c r="V28" s="19" t="s">
        <v>106</v>
      </c>
      <c r="W28" s="19" t="s">
        <v>151</v>
      </c>
      <c r="X28" s="19" t="s">
        <v>232</v>
      </c>
      <c r="Y28" s="19" t="s">
        <v>232</v>
      </c>
      <c r="Z28" s="19" t="s">
        <v>233</v>
      </c>
      <c r="AA28" s="19">
        <v>1</v>
      </c>
      <c r="AB28" s="19">
        <v>1</v>
      </c>
      <c r="AC28" s="19" t="s">
        <v>58</v>
      </c>
      <c r="AD28" s="19" t="s">
        <v>65</v>
      </c>
      <c r="AE28" s="19" t="s">
        <v>71</v>
      </c>
      <c r="AF28" s="19"/>
    </row>
    <row r="29" spans="1:34">
      <c r="A29" s="19">
        <v>24</v>
      </c>
      <c r="B29" s="19" t="s">
        <v>226</v>
      </c>
      <c r="C29" s="19" t="s">
        <v>234</v>
      </c>
      <c r="D29" s="19" t="str">
        <f>HYPERLINK("http://henontech.com/fieldsafety/harzard/harzard_show.php?rid=2940&amp;url=harzardrecs.php","4.3焦炉捣固塔西侧铁皮锈蚀坠落，一操作工巡检路过被砸中")</f>
        <v>4.3焦炉捣固塔西侧铁皮锈蚀坠落，一操作工巡检路过被砸中</v>
      </c>
      <c r="E29" s="19" t="s">
        <v>235</v>
      </c>
      <c r="F29" s="20" t="s">
        <v>42</v>
      </c>
      <c r="G29" s="21" t="s">
        <v>43</v>
      </c>
      <c r="H29" s="19" t="s">
        <v>44</v>
      </c>
      <c r="I29" s="19" t="s">
        <v>75</v>
      </c>
      <c r="J29" s="19" t="s">
        <v>46</v>
      </c>
      <c r="K29" s="19" t="s">
        <v>92</v>
      </c>
      <c r="L29" s="19" t="s">
        <v>48</v>
      </c>
      <c r="M29" s="19" t="s">
        <v>101</v>
      </c>
      <c r="N29" s="19" t="s">
        <v>236</v>
      </c>
      <c r="O29" s="19" t="s">
        <v>101</v>
      </c>
      <c r="P29" s="19" t="s">
        <v>206</v>
      </c>
      <c r="Q29" s="19" t="s">
        <v>237</v>
      </c>
      <c r="R29" s="19" t="s">
        <v>234</v>
      </c>
      <c r="S29" s="19" t="s">
        <v>238</v>
      </c>
      <c r="T29" s="19" t="s">
        <v>41</v>
      </c>
      <c r="U29" s="19" t="s">
        <v>135</v>
      </c>
      <c r="V29" s="19" t="s">
        <v>55</v>
      </c>
      <c r="W29" s="19" t="s">
        <v>107</v>
      </c>
      <c r="X29" s="19" t="s">
        <v>69</v>
      </c>
      <c r="Y29" s="19"/>
      <c r="Z29" s="19" t="s">
        <v>239</v>
      </c>
      <c r="AA29" s="19">
        <v>1</v>
      </c>
      <c r="AB29" s="19">
        <v>1</v>
      </c>
      <c r="AC29" s="19" t="s">
        <v>58</v>
      </c>
      <c r="AD29" s="19" t="s">
        <v>206</v>
      </c>
      <c r="AE29" s="19" t="s">
        <v>240</v>
      </c>
      <c r="AF29" s="19"/>
    </row>
    <row r="30" spans="1:34" customHeight="1" ht="42">
      <c r="A30" s="19">
        <v>25</v>
      </c>
      <c r="B30" s="19" t="s">
        <v>226</v>
      </c>
      <c r="C30" s="19" t="s">
        <v>211</v>
      </c>
      <c r="D30" s="19" t="str">
        <f>HYPERLINK("http://henontech.com/fieldsafety/harzard/harzard_show.php?rid=2941&amp;url=harzardrecs.php","热力东区污水地沟一块盖板老化，一操作工夜班巡检时，右脚踩在盖板上盖板断裂，造成右脚脱臼。")</f>
        <v>热力东区污水地沟一块盖板老化，一操作工夜班巡检时，右脚踩在盖板上盖板断裂，造成右脚脱臼。</v>
      </c>
      <c r="E30" s="19" t="s">
        <v>241</v>
      </c>
      <c r="F30" s="20" t="s">
        <v>42</v>
      </c>
      <c r="G30" s="21" t="s">
        <v>43</v>
      </c>
      <c r="H30" s="19" t="s">
        <v>44</v>
      </c>
      <c r="I30" s="19" t="s">
        <v>117</v>
      </c>
      <c r="J30" s="19" t="s">
        <v>46</v>
      </c>
      <c r="K30" s="19"/>
      <c r="L30" s="19"/>
      <c r="M30" s="19" t="s">
        <v>130</v>
      </c>
      <c r="N30" s="19" t="s">
        <v>242</v>
      </c>
      <c r="O30" s="19" t="s">
        <v>130</v>
      </c>
      <c r="P30" s="19" t="s">
        <v>132</v>
      </c>
      <c r="Q30" s="19" t="s">
        <v>214</v>
      </c>
      <c r="R30" s="19" t="s">
        <v>243</v>
      </c>
      <c r="S30" s="19"/>
      <c r="T30" s="19" t="s">
        <v>41</v>
      </c>
      <c r="U30" s="19" t="s">
        <v>54</v>
      </c>
      <c r="V30" s="19" t="s">
        <v>106</v>
      </c>
      <c r="W30" s="19" t="s">
        <v>107</v>
      </c>
      <c r="X30" s="19" t="s">
        <v>69</v>
      </c>
      <c r="Y30" s="19"/>
      <c r="Z30" s="19" t="s">
        <v>244</v>
      </c>
      <c r="AA30" s="19">
        <v>2</v>
      </c>
      <c r="AB30" s="19">
        <v>1</v>
      </c>
      <c r="AC30" s="19" t="s">
        <v>58</v>
      </c>
      <c r="AD30" s="19" t="s">
        <v>132</v>
      </c>
      <c r="AE30" s="19" t="s">
        <v>177</v>
      </c>
      <c r="AF30" s="19" t="s">
        <v>245</v>
      </c>
    </row>
    <row r="31" spans="1:34" customHeight="1" ht="42">
      <c r="A31" s="19">
        <v>26</v>
      </c>
      <c r="B31" s="19" t="s">
        <v>246</v>
      </c>
      <c r="C31" s="19" t="s">
        <v>211</v>
      </c>
      <c r="D31" s="19" t="str">
        <f>HYPERLINK("http://henontech.com/fieldsafety/harzard/harzard_show.php?rid=2947&amp;url=harzardrecs.php","巡检人员在巡查过程中因无警示牌造成巡查人员头部碰伤。")</f>
        <v>巡检人员在巡查过程中因无警示牌造成巡查人员头部碰伤。</v>
      </c>
      <c r="E31" s="19" t="s">
        <v>247</v>
      </c>
      <c r="F31" s="20" t="s">
        <v>42</v>
      </c>
      <c r="G31" s="21" t="s">
        <v>43</v>
      </c>
      <c r="H31" s="19" t="s">
        <v>44</v>
      </c>
      <c r="I31" s="19" t="s">
        <v>117</v>
      </c>
      <c r="J31" s="19" t="s">
        <v>91</v>
      </c>
      <c r="K31" s="19" t="s">
        <v>76</v>
      </c>
      <c r="L31" s="19" t="s">
        <v>48</v>
      </c>
      <c r="M31" s="19" t="s">
        <v>130</v>
      </c>
      <c r="N31" s="19" t="s">
        <v>248</v>
      </c>
      <c r="O31" s="19" t="s">
        <v>130</v>
      </c>
      <c r="P31" s="19" t="s">
        <v>132</v>
      </c>
      <c r="Q31" s="19" t="s">
        <v>214</v>
      </c>
      <c r="R31" s="19" t="s">
        <v>249</v>
      </c>
      <c r="S31" s="19"/>
      <c r="T31" s="19" t="s">
        <v>41</v>
      </c>
      <c r="U31" s="19" t="s">
        <v>54</v>
      </c>
      <c r="V31" s="19" t="s">
        <v>168</v>
      </c>
      <c r="W31" s="19" t="s">
        <v>151</v>
      </c>
      <c r="X31" s="19" t="s">
        <v>197</v>
      </c>
      <c r="Y31" s="19"/>
      <c r="Z31" s="19" t="s">
        <v>250</v>
      </c>
      <c r="AA31" s="19">
        <v>2</v>
      </c>
      <c r="AB31" s="19">
        <v>1</v>
      </c>
      <c r="AC31" s="19" t="s">
        <v>58</v>
      </c>
      <c r="AD31" s="19" t="s">
        <v>132</v>
      </c>
      <c r="AE31" s="19" t="s">
        <v>124</v>
      </c>
      <c r="AF31" s="19" t="s">
        <v>251</v>
      </c>
    </row>
    <row r="32" spans="1:34" customHeight="1" ht="42">
      <c r="A32" s="19">
        <v>27</v>
      </c>
      <c r="B32" s="19" t="s">
        <v>66</v>
      </c>
      <c r="C32" s="19" t="s">
        <v>252</v>
      </c>
      <c r="D32" s="19" t="str">
        <f>HYPERLINK("http://henontech.com/fieldsafety/harzard/harzard_show.php?rid=2948&amp;url=harzardrecs.php","5.5米推焦车平台竖梯子，推焦车行走过程中梯子倾倒")</f>
        <v>5.5米推焦车平台竖梯子，推焦车行走过程中梯子倾倒</v>
      </c>
      <c r="E32" s="19" t="s">
        <v>253</v>
      </c>
      <c r="F32" s="20" t="s">
        <v>42</v>
      </c>
      <c r="G32" s="24" t="s">
        <v>254</v>
      </c>
      <c r="H32" s="19" t="s">
        <v>44</v>
      </c>
      <c r="I32" s="19" t="s">
        <v>45</v>
      </c>
      <c r="J32" s="19" t="s">
        <v>46</v>
      </c>
      <c r="K32" s="19" t="s">
        <v>47</v>
      </c>
      <c r="L32" s="19" t="s">
        <v>48</v>
      </c>
      <c r="M32" s="19" t="s">
        <v>101</v>
      </c>
      <c r="N32" s="19" t="s">
        <v>255</v>
      </c>
      <c r="O32" s="19" t="s">
        <v>101</v>
      </c>
      <c r="P32" s="19" t="s">
        <v>206</v>
      </c>
      <c r="Q32" s="19" t="s">
        <v>256</v>
      </c>
      <c r="R32" s="19" t="s">
        <v>257</v>
      </c>
      <c r="S32" s="19"/>
      <c r="T32" s="19" t="s">
        <v>41</v>
      </c>
      <c r="U32" s="19" t="s">
        <v>135</v>
      </c>
      <c r="V32" s="19" t="s">
        <v>168</v>
      </c>
      <c r="W32" s="19" t="s">
        <v>196</v>
      </c>
      <c r="X32" s="19" t="s">
        <v>258</v>
      </c>
      <c r="Y32" s="19"/>
      <c r="Z32" s="19" t="s">
        <v>259</v>
      </c>
      <c r="AA32" s="19">
        <v>2</v>
      </c>
      <c r="AB32" s="19">
        <v>2</v>
      </c>
      <c r="AC32" s="19" t="s">
        <v>58</v>
      </c>
      <c r="AD32" s="19" t="s">
        <v>206</v>
      </c>
      <c r="AE32" s="19" t="s">
        <v>260</v>
      </c>
      <c r="AF32" s="19"/>
    </row>
    <row r="33" spans="1:34" customHeight="1" ht="42">
      <c r="A33" s="19">
        <v>28</v>
      </c>
      <c r="B33" s="19" t="s">
        <v>261</v>
      </c>
      <c r="C33" s="19" t="s">
        <v>262</v>
      </c>
      <c r="D33" s="19" t="str">
        <f>HYPERLINK("http://henontech.com/fieldsafety/harzard/harzard_show.php?rid=2949&amp;url=harzardrecs.php","煤八机头护栏拆除后未及时按装，正在巡查人员未发现地面障碍物(护栏)被拌倒造成右臂骨折，住院治疗1个月，在家休养2个月。")</f>
        <v>煤八机头护栏拆除后未及时按装，正在巡查人员未发现地面障碍物(护栏)被拌倒造成右臂骨折，住院治疗1个月，在家休养2个月。</v>
      </c>
      <c r="E33" s="19" t="s">
        <v>263</v>
      </c>
      <c r="F33" s="20" t="s">
        <v>42</v>
      </c>
      <c r="G33" s="25" t="s">
        <v>264</v>
      </c>
      <c r="H33" s="19" t="s">
        <v>44</v>
      </c>
      <c r="I33" s="19" t="s">
        <v>265</v>
      </c>
      <c r="J33" s="19" t="s">
        <v>46</v>
      </c>
      <c r="K33" s="19" t="s">
        <v>129</v>
      </c>
      <c r="L33" s="19"/>
      <c r="M33" s="19" t="s">
        <v>266</v>
      </c>
      <c r="N33" s="19" t="s">
        <v>267</v>
      </c>
      <c r="O33" s="19" t="s">
        <v>266</v>
      </c>
      <c r="P33" s="19" t="s">
        <v>268</v>
      </c>
      <c r="Q33" s="19" t="s">
        <v>269</v>
      </c>
      <c r="R33" s="19" t="s">
        <v>270</v>
      </c>
      <c r="S33" s="19" t="s">
        <v>271</v>
      </c>
      <c r="T33" s="19" t="s">
        <v>41</v>
      </c>
      <c r="U33" s="19" t="s">
        <v>135</v>
      </c>
      <c r="V33" s="19" t="s">
        <v>168</v>
      </c>
      <c r="W33" s="19" t="s">
        <v>196</v>
      </c>
      <c r="X33" s="19" t="s">
        <v>197</v>
      </c>
      <c r="Y33" s="19" t="s">
        <v>197</v>
      </c>
      <c r="Z33" s="19" t="s">
        <v>272</v>
      </c>
      <c r="AA33" s="19">
        <v>2</v>
      </c>
      <c r="AB33" s="19">
        <v>2</v>
      </c>
      <c r="AC33" s="19" t="s">
        <v>58</v>
      </c>
      <c r="AD33" s="19" t="s">
        <v>268</v>
      </c>
      <c r="AE33" s="19" t="s">
        <v>273</v>
      </c>
      <c r="AF33" s="19" t="s">
        <v>274</v>
      </c>
    </row>
    <row r="34" spans="1:34">
      <c r="A34" s="19">
        <v>29</v>
      </c>
      <c r="B34" s="19" t="s">
        <v>275</v>
      </c>
      <c r="C34" s="19" t="s">
        <v>227</v>
      </c>
      <c r="D34" s="19" t="str">
        <f>HYPERLINK("http://henontech.com/fieldsafety/harzard/harzard_show.php?rid=2951&amp;url=harzardrecs.php","3号站洗眼器上方一3米长桥架板被风吹起,挂在桥架上方摇摇欲坠,巡检人员察看洗眼器情况时，被坠落下来的桥架板击中胳膊，造成胳膊脱臼，经送医院恢复后在家休息两天康复。")</f>
        <v>3号站洗眼器上方一3米长桥架板被风吹起,挂在桥架上方摇摇欲坠,巡检人员察看洗眼器情况时，被坠落下来的桥架板击中胳膊，造成胳膊脱臼，经送医院恢复后在家休息两天康复。</v>
      </c>
      <c r="E34" s="19" t="s">
        <v>276</v>
      </c>
      <c r="F34" s="20" t="s">
        <v>42</v>
      </c>
      <c r="G34" s="21" t="s">
        <v>43</v>
      </c>
      <c r="H34" s="19" t="s">
        <v>44</v>
      </c>
      <c r="I34" s="19"/>
      <c r="J34" s="19" t="s">
        <v>277</v>
      </c>
      <c r="K34" s="19"/>
      <c r="L34" s="19"/>
      <c r="M34" s="19" t="s">
        <v>278</v>
      </c>
      <c r="N34" s="19" t="s">
        <v>279</v>
      </c>
      <c r="O34" s="19" t="s">
        <v>63</v>
      </c>
      <c r="P34" s="19" t="s">
        <v>65</v>
      </c>
      <c r="Q34" s="19" t="s">
        <v>280</v>
      </c>
      <c r="R34" s="19" t="s">
        <v>281</v>
      </c>
      <c r="S34" s="19"/>
      <c r="T34" s="19" t="s">
        <v>41</v>
      </c>
      <c r="U34" s="19" t="s">
        <v>135</v>
      </c>
      <c r="V34" s="19" t="s">
        <v>55</v>
      </c>
      <c r="W34" s="19" t="s">
        <v>107</v>
      </c>
      <c r="X34" s="19" t="s">
        <v>69</v>
      </c>
      <c r="Y34" s="19" t="s">
        <v>69</v>
      </c>
      <c r="Z34" s="19" t="s">
        <v>282</v>
      </c>
      <c r="AA34" s="19">
        <v>1</v>
      </c>
      <c r="AB34" s="19">
        <v>1</v>
      </c>
      <c r="AC34" s="19" t="s">
        <v>58</v>
      </c>
      <c r="AD34" s="19" t="s">
        <v>65</v>
      </c>
      <c r="AE34" s="19" t="s">
        <v>59</v>
      </c>
      <c r="AF34" s="19"/>
    </row>
    <row r="35" spans="1:34" customHeight="1" ht="42">
      <c r="A35" s="19">
        <v>30</v>
      </c>
      <c r="B35" s="19" t="s">
        <v>120</v>
      </c>
      <c r="C35" s="19" t="s">
        <v>211</v>
      </c>
      <c r="D35" s="19" t="str">
        <f>HYPERLINK("http://henontech.com/fieldsafety/harzard/harzard_show.php?rid=2953&amp;url=harzardrecs.php","75T锅炉顶电动葫芦电源线损坏，维修人员在现场施工时，易发生触电事故，造成事故人员住院，住院5天，损工5天")</f>
        <v>75T锅炉顶电动葫芦电源线损坏，维修人员在现场施工时，易发生触电事故，造成事故人员住院，住院5天，损工5天</v>
      </c>
      <c r="E35" s="19" t="s">
        <v>283</v>
      </c>
      <c r="F35" s="20" t="s">
        <v>42</v>
      </c>
      <c r="G35" s="21" t="s">
        <v>43</v>
      </c>
      <c r="H35" s="19" t="s">
        <v>44</v>
      </c>
      <c r="I35" s="19" t="s">
        <v>117</v>
      </c>
      <c r="J35" s="19" t="s">
        <v>284</v>
      </c>
      <c r="K35" s="19" t="s">
        <v>47</v>
      </c>
      <c r="L35" s="19" t="s">
        <v>285</v>
      </c>
      <c r="M35" s="19" t="s">
        <v>130</v>
      </c>
      <c r="N35" s="19" t="s">
        <v>286</v>
      </c>
      <c r="O35" s="19" t="s">
        <v>130</v>
      </c>
      <c r="P35" s="19" t="s">
        <v>170</v>
      </c>
      <c r="Q35" s="19" t="s">
        <v>214</v>
      </c>
      <c r="R35" s="19" t="s">
        <v>287</v>
      </c>
      <c r="S35" s="19"/>
      <c r="T35" s="19" t="s">
        <v>41</v>
      </c>
      <c r="U35" s="19" t="s">
        <v>54</v>
      </c>
      <c r="V35" s="19" t="s">
        <v>55</v>
      </c>
      <c r="W35" s="19" t="s">
        <v>56</v>
      </c>
      <c r="X35" s="19" t="s">
        <v>69</v>
      </c>
      <c r="Y35" s="19"/>
      <c r="Z35" s="19" t="s">
        <v>288</v>
      </c>
      <c r="AA35" s="19">
        <v>2</v>
      </c>
      <c r="AB35" s="19">
        <v>2</v>
      </c>
      <c r="AC35" s="19" t="s">
        <v>58</v>
      </c>
      <c r="AD35" s="19" t="s">
        <v>170</v>
      </c>
      <c r="AE35" s="19" t="s">
        <v>124</v>
      </c>
      <c r="AF35" s="19" t="s">
        <v>289</v>
      </c>
    </row>
    <row r="36" spans="1:34" customHeight="1" ht="42">
      <c r="A36" s="19">
        <v>31</v>
      </c>
      <c r="B36" s="19" t="s">
        <v>120</v>
      </c>
      <c r="C36" s="19" t="s">
        <v>169</v>
      </c>
      <c r="D36" s="19" t="str">
        <f>HYPERLINK("http://henontech.com/fieldsafety/harzard/harzard_show.php?rid=2954&amp;url=harzardrecs.php","化学水二楼南侧玻璃破损，一员工擦拭玻璃时，右手手掌不慎被破损的玻璃割伤，送往医院包扎，在家休息7天后恢复健康上班。")</f>
        <v>化学水二楼南侧玻璃破损，一员工擦拭玻璃时，右手手掌不慎被破损的玻璃割伤，送往医院包扎，在家休息7天后恢复健康上班。</v>
      </c>
      <c r="E36" s="19" t="s">
        <v>290</v>
      </c>
      <c r="F36" s="20" t="s">
        <v>42</v>
      </c>
      <c r="G36" s="21" t="s">
        <v>43</v>
      </c>
      <c r="H36" s="19" t="s">
        <v>44</v>
      </c>
      <c r="I36" s="19" t="s">
        <v>75</v>
      </c>
      <c r="J36" s="19" t="s">
        <v>46</v>
      </c>
      <c r="K36" s="19"/>
      <c r="L36" s="19"/>
      <c r="M36" s="19" t="s">
        <v>278</v>
      </c>
      <c r="N36" s="19" t="s">
        <v>291</v>
      </c>
      <c r="O36" s="19" t="s">
        <v>130</v>
      </c>
      <c r="P36" s="19" t="s">
        <v>132</v>
      </c>
      <c r="Q36" s="19" t="s">
        <v>171</v>
      </c>
      <c r="R36" s="19" t="s">
        <v>292</v>
      </c>
      <c r="S36" s="19"/>
      <c r="T36" s="19" t="s">
        <v>41</v>
      </c>
      <c r="U36" s="19" t="s">
        <v>135</v>
      </c>
      <c r="V36" s="19" t="s">
        <v>106</v>
      </c>
      <c r="W36" s="19" t="s">
        <v>151</v>
      </c>
      <c r="X36" s="19" t="s">
        <v>69</v>
      </c>
      <c r="Y36" s="19"/>
      <c r="Z36" s="19" t="s">
        <v>173</v>
      </c>
      <c r="AA36" s="19">
        <v>2</v>
      </c>
      <c r="AB36" s="19">
        <v>1</v>
      </c>
      <c r="AC36" s="19" t="s">
        <v>58</v>
      </c>
      <c r="AD36" s="19" t="s">
        <v>132</v>
      </c>
      <c r="AE36" s="19" t="s">
        <v>137</v>
      </c>
      <c r="AF36" s="19" t="s">
        <v>174</v>
      </c>
    </row>
    <row r="37" spans="1:34" customHeight="1" ht="42">
      <c r="A37" s="19">
        <v>32</v>
      </c>
      <c r="B37" s="19" t="s">
        <v>120</v>
      </c>
      <c r="C37" s="19" t="s">
        <v>293</v>
      </c>
      <c r="D37" s="19" t="str">
        <f>HYPERLINK("http://henontech.com/fieldsafety/harzard/harzard_show.php?rid=2956&amp;url=harzardrecs.php","煤六机头电机护罩螺丝缺失，护罩磨损，人员擦拭电机时，被磨损的电机护罩擦伤手部，经送医务室简单包扎后，继续上班，造成损工三天。")</f>
        <v>煤六机头电机护罩螺丝缺失，护罩磨损，人员擦拭电机时，被磨损的电机护罩擦伤手部，经送医务室简单包扎后，继续上班，造成损工三天。</v>
      </c>
      <c r="E37" s="19" t="s">
        <v>294</v>
      </c>
      <c r="F37" s="20" t="s">
        <v>42</v>
      </c>
      <c r="G37" s="25" t="s">
        <v>264</v>
      </c>
      <c r="H37" s="19" t="s">
        <v>44</v>
      </c>
      <c r="I37" s="19" t="s">
        <v>45</v>
      </c>
      <c r="J37" s="19" t="s">
        <v>46</v>
      </c>
      <c r="K37" s="19" t="s">
        <v>92</v>
      </c>
      <c r="L37" s="19" t="s">
        <v>48</v>
      </c>
      <c r="M37" s="19" t="s">
        <v>266</v>
      </c>
      <c r="N37" s="19" t="s">
        <v>295</v>
      </c>
      <c r="O37" s="19" t="s">
        <v>266</v>
      </c>
      <c r="P37" s="19" t="s">
        <v>268</v>
      </c>
      <c r="Q37" s="19" t="s">
        <v>269</v>
      </c>
      <c r="R37" s="19" t="s">
        <v>296</v>
      </c>
      <c r="S37" s="19" t="s">
        <v>297</v>
      </c>
      <c r="T37" s="19" t="s">
        <v>41</v>
      </c>
      <c r="U37" s="19" t="s">
        <v>54</v>
      </c>
      <c r="V37" s="19" t="s">
        <v>106</v>
      </c>
      <c r="W37" s="19" t="s">
        <v>107</v>
      </c>
      <c r="X37" s="19" t="s">
        <v>69</v>
      </c>
      <c r="Y37" s="19" t="s">
        <v>69</v>
      </c>
      <c r="Z37" s="19" t="s">
        <v>298</v>
      </c>
      <c r="AA37" s="19">
        <v>2</v>
      </c>
      <c r="AB37" s="19">
        <v>2</v>
      </c>
      <c r="AC37" s="19" t="s">
        <v>58</v>
      </c>
      <c r="AD37" s="19" t="s">
        <v>268</v>
      </c>
      <c r="AE37" s="19" t="s">
        <v>273</v>
      </c>
      <c r="AF37" s="19" t="s">
        <v>299</v>
      </c>
    </row>
    <row r="38" spans="1:34">
      <c r="A38" s="19">
        <v>33</v>
      </c>
      <c r="B38" s="19" t="s">
        <v>137</v>
      </c>
      <c r="C38" s="19" t="s">
        <v>300</v>
      </c>
      <c r="D38" s="19" t="str">
        <f>HYPERLINK("http://henontech.com/fieldsafety/harzard/harzard_show.php?rid=2957&amp;url=harzardrecs.php","料仓篦子开焊，一员工右脚不慎滑入，造成小腿划伤，送医确诊为轻度皮外伤，敷药包扎后，回岗位继续工作。")</f>
        <v>料仓篦子开焊，一员工右脚不慎滑入，造成小腿划伤，送医确诊为轻度皮外伤，敷药包扎后，回岗位继续工作。</v>
      </c>
      <c r="E38" s="19" t="s">
        <v>301</v>
      </c>
      <c r="F38" s="20" t="s">
        <v>42</v>
      </c>
      <c r="G38" s="25" t="s">
        <v>264</v>
      </c>
      <c r="H38" s="19" t="s">
        <v>44</v>
      </c>
      <c r="I38" s="19" t="s">
        <v>75</v>
      </c>
      <c r="J38" s="19" t="s">
        <v>91</v>
      </c>
      <c r="K38" s="19" t="s">
        <v>129</v>
      </c>
      <c r="L38" s="19" t="s">
        <v>48</v>
      </c>
      <c r="M38" s="19" t="s">
        <v>266</v>
      </c>
      <c r="N38" s="19" t="s">
        <v>302</v>
      </c>
      <c r="O38" s="19" t="s">
        <v>266</v>
      </c>
      <c r="P38" s="19" t="s">
        <v>303</v>
      </c>
      <c r="Q38" s="19" t="s">
        <v>153</v>
      </c>
      <c r="R38" s="19" t="s">
        <v>304</v>
      </c>
      <c r="S38" s="19"/>
      <c r="T38" s="19" t="s">
        <v>41</v>
      </c>
      <c r="U38" s="19" t="s">
        <v>54</v>
      </c>
      <c r="V38" s="19" t="s">
        <v>168</v>
      </c>
      <c r="W38" s="19" t="s">
        <v>151</v>
      </c>
      <c r="X38" s="19"/>
      <c r="Y38" s="19"/>
      <c r="Z38" s="19" t="s">
        <v>305</v>
      </c>
      <c r="AA38" s="19">
        <v>1</v>
      </c>
      <c r="AB38" s="19">
        <v>1</v>
      </c>
      <c r="AC38" s="19" t="s">
        <v>58</v>
      </c>
      <c r="AD38" s="19" t="s">
        <v>303</v>
      </c>
      <c r="AE38" s="19" t="s">
        <v>153</v>
      </c>
      <c r="AF38" s="19"/>
    </row>
    <row r="39" spans="1:34">
      <c r="A39" s="19">
        <v>34</v>
      </c>
      <c r="B39" s="19" t="s">
        <v>137</v>
      </c>
      <c r="C39" s="19" t="s">
        <v>306</v>
      </c>
      <c r="D39" s="19" t="str">
        <f>HYPERLINK("http://henontech.com/fieldsafety/harzard/harzard_show.php?rid=2958&amp;url=harzardrecs.php","一名锅炉操作工在巡检到35T锅炉东侧时不幸被二层掉落的墙皮砸伤，造成在手前小臂骨折。")</f>
        <v>一名锅炉操作工在巡检到35T锅炉东侧时不幸被二层掉落的墙皮砸伤，造成在手前小臂骨折。</v>
      </c>
      <c r="E39" s="19" t="s">
        <v>307</v>
      </c>
      <c r="F39" s="22" t="s">
        <v>157</v>
      </c>
      <c r="G39" s="21" t="s">
        <v>43</v>
      </c>
      <c r="H39" s="19" t="s">
        <v>44</v>
      </c>
      <c r="I39" s="19" t="s">
        <v>75</v>
      </c>
      <c r="J39" s="19" t="s">
        <v>46</v>
      </c>
      <c r="K39" s="19"/>
      <c r="L39" s="19"/>
      <c r="M39" s="19" t="s">
        <v>130</v>
      </c>
      <c r="N39" s="19" t="s">
        <v>308</v>
      </c>
      <c r="O39" s="19"/>
      <c r="P39" s="19"/>
      <c r="Q39" s="19"/>
      <c r="R39" s="19" t="s">
        <v>306</v>
      </c>
      <c r="S39" s="19" t="s">
        <v>309</v>
      </c>
      <c r="T39" s="19" t="s">
        <v>41</v>
      </c>
      <c r="U39" s="19" t="s">
        <v>135</v>
      </c>
      <c r="V39" s="19" t="s">
        <v>106</v>
      </c>
      <c r="W39" s="19" t="s">
        <v>151</v>
      </c>
      <c r="X39" s="19"/>
      <c r="Y39" s="19"/>
      <c r="Z39" s="19"/>
      <c r="AA39" s="19">
        <v>0</v>
      </c>
      <c r="AB39" s="19"/>
      <c r="AC39" s="19" t="s">
        <v>162</v>
      </c>
      <c r="AD39" s="19"/>
      <c r="AE39" s="19"/>
      <c r="AF39" s="19"/>
    </row>
    <row r="40" spans="1:34" customHeight="1" ht="42">
      <c r="A40" s="19">
        <v>35</v>
      </c>
      <c r="B40" s="19" t="s">
        <v>137</v>
      </c>
      <c r="C40" s="19" t="s">
        <v>211</v>
      </c>
      <c r="D40" s="19" t="str">
        <f>HYPERLINK("http://henontech.com/fieldsafety/harzard/harzard_show.php?rid=2959&amp;url=harzardrecs.php","锅炉操作人员在放灰时电缆突然漏电造成一名操作工右手臂电击灼伤，活动受限。")</f>
        <v>锅炉操作人员在放灰时电缆突然漏电造成一名操作工右手臂电击灼伤，活动受限。</v>
      </c>
      <c r="E40" s="19" t="s">
        <v>310</v>
      </c>
      <c r="F40" s="20" t="s">
        <v>42</v>
      </c>
      <c r="G40" s="21" t="s">
        <v>43</v>
      </c>
      <c r="H40" s="19" t="s">
        <v>44</v>
      </c>
      <c r="I40" s="19" t="s">
        <v>117</v>
      </c>
      <c r="J40" s="19" t="s">
        <v>46</v>
      </c>
      <c r="K40" s="19" t="s">
        <v>129</v>
      </c>
      <c r="L40" s="19"/>
      <c r="M40" s="19" t="s">
        <v>130</v>
      </c>
      <c r="N40" s="19" t="s">
        <v>311</v>
      </c>
      <c r="O40" s="19" t="s">
        <v>130</v>
      </c>
      <c r="P40" s="19" t="s">
        <v>170</v>
      </c>
      <c r="Q40" s="19" t="s">
        <v>312</v>
      </c>
      <c r="R40" s="19" t="s">
        <v>313</v>
      </c>
      <c r="S40" s="19"/>
      <c r="T40" s="19" t="s">
        <v>41</v>
      </c>
      <c r="U40" s="19" t="s">
        <v>54</v>
      </c>
      <c r="V40" s="19" t="s">
        <v>168</v>
      </c>
      <c r="W40" s="19" t="s">
        <v>151</v>
      </c>
      <c r="X40" s="19" t="s">
        <v>69</v>
      </c>
      <c r="Y40" s="19"/>
      <c r="Z40" s="19" t="s">
        <v>314</v>
      </c>
      <c r="AA40" s="19">
        <v>2</v>
      </c>
      <c r="AB40" s="19">
        <v>2</v>
      </c>
      <c r="AC40" s="19" t="s">
        <v>58</v>
      </c>
      <c r="AD40" s="19" t="s">
        <v>170</v>
      </c>
      <c r="AE40" s="19" t="s">
        <v>315</v>
      </c>
      <c r="AF40" s="19" t="s">
        <v>316</v>
      </c>
    </row>
    <row r="41" spans="1:34" customHeight="1" ht="42">
      <c r="A41" s="19">
        <v>36</v>
      </c>
      <c r="B41" s="19" t="s">
        <v>137</v>
      </c>
      <c r="C41" s="19" t="s">
        <v>293</v>
      </c>
      <c r="D41" s="19" t="str">
        <f>HYPERLINK("http://henontech.com/fieldsafety/harzard/harzard_show.php?rid=2960&amp;url=harzardrecs.php","一员工在巡检时，不慎脸撞在卸料车的钎子上，及时送医诊断，轻度划伤，在家休养五天康复")</f>
        <v>一员工在巡检时，不慎脸撞在卸料车的钎子上，及时送医诊断，轻度划伤，在家休养五天康复</v>
      </c>
      <c r="E41" s="19" t="s">
        <v>317</v>
      </c>
      <c r="F41" s="20" t="s">
        <v>42</v>
      </c>
      <c r="G41" s="25" t="s">
        <v>264</v>
      </c>
      <c r="H41" s="19" t="s">
        <v>44</v>
      </c>
      <c r="I41" s="19" t="s">
        <v>45</v>
      </c>
      <c r="J41" s="19" t="s">
        <v>188</v>
      </c>
      <c r="K41" s="19" t="s">
        <v>92</v>
      </c>
      <c r="L41" s="19"/>
      <c r="M41" s="19" t="s">
        <v>266</v>
      </c>
      <c r="N41" s="19" t="s">
        <v>318</v>
      </c>
      <c r="O41" s="19" t="s">
        <v>266</v>
      </c>
      <c r="P41" s="19" t="s">
        <v>268</v>
      </c>
      <c r="Q41" s="19" t="s">
        <v>269</v>
      </c>
      <c r="R41" s="19" t="s">
        <v>319</v>
      </c>
      <c r="S41" s="19" t="s">
        <v>320</v>
      </c>
      <c r="T41" s="19" t="s">
        <v>41</v>
      </c>
      <c r="U41" s="19" t="s">
        <v>54</v>
      </c>
      <c r="V41" s="19" t="s">
        <v>106</v>
      </c>
      <c r="W41" s="19" t="s">
        <v>107</v>
      </c>
      <c r="X41" s="19" t="s">
        <v>197</v>
      </c>
      <c r="Y41" s="19" t="s">
        <v>197</v>
      </c>
      <c r="Z41" s="19" t="s">
        <v>321</v>
      </c>
      <c r="AA41" s="19">
        <v>2</v>
      </c>
      <c r="AB41" s="19">
        <v>2</v>
      </c>
      <c r="AC41" s="19" t="s">
        <v>58</v>
      </c>
      <c r="AD41" s="19" t="s">
        <v>268</v>
      </c>
      <c r="AE41" s="19" t="s">
        <v>273</v>
      </c>
      <c r="AF41" s="19" t="s">
        <v>322</v>
      </c>
    </row>
    <row r="42" spans="1:34" customHeight="1" ht="42">
      <c r="A42" s="19">
        <v>37</v>
      </c>
      <c r="B42" s="19" t="s">
        <v>137</v>
      </c>
      <c r="C42" s="19" t="s">
        <v>293</v>
      </c>
      <c r="D42" s="19" t="str">
        <f>HYPERLINK("http://henontech.com/fieldsafety/harzard/harzard_show.php?rid=2961&amp;url=harzardrecs.php","巡检人员在检查设备时不慎触摸到裸露的电线，造成触电，送医救治后抢救无效死亡。")</f>
        <v>巡检人员在检查设备时不慎触摸到裸露的电线，造成触电，送医救治后抢救无效死亡。</v>
      </c>
      <c r="E42" s="19" t="s">
        <v>323</v>
      </c>
      <c r="F42" s="20" t="s">
        <v>42</v>
      </c>
      <c r="G42" s="25" t="s">
        <v>264</v>
      </c>
      <c r="H42" s="19" t="s">
        <v>44</v>
      </c>
      <c r="I42" s="19" t="s">
        <v>117</v>
      </c>
      <c r="J42" s="19" t="s">
        <v>91</v>
      </c>
      <c r="K42" s="19" t="s">
        <v>92</v>
      </c>
      <c r="L42" s="19" t="s">
        <v>48</v>
      </c>
      <c r="M42" s="19" t="s">
        <v>266</v>
      </c>
      <c r="N42" s="19" t="s">
        <v>324</v>
      </c>
      <c r="O42" s="19" t="s">
        <v>266</v>
      </c>
      <c r="P42" s="19" t="s">
        <v>268</v>
      </c>
      <c r="Q42" s="19" t="s">
        <v>315</v>
      </c>
      <c r="R42" s="19" t="s">
        <v>325</v>
      </c>
      <c r="S42" s="19" t="s">
        <v>326</v>
      </c>
      <c r="T42" s="19" t="s">
        <v>41</v>
      </c>
      <c r="U42" s="19" t="s">
        <v>195</v>
      </c>
      <c r="V42" s="19" t="s">
        <v>106</v>
      </c>
      <c r="W42" s="19" t="s">
        <v>196</v>
      </c>
      <c r="X42" s="19" t="s">
        <v>197</v>
      </c>
      <c r="Y42" s="19" t="s">
        <v>197</v>
      </c>
      <c r="Z42" s="19" t="s">
        <v>327</v>
      </c>
      <c r="AA42" s="19">
        <v>2</v>
      </c>
      <c r="AB42" s="19">
        <v>2</v>
      </c>
      <c r="AC42" s="19" t="s">
        <v>58</v>
      </c>
      <c r="AD42" s="19" t="s">
        <v>268</v>
      </c>
      <c r="AE42" s="19" t="s">
        <v>273</v>
      </c>
      <c r="AF42" s="19" t="s">
        <v>328</v>
      </c>
    </row>
    <row r="43" spans="1:34">
      <c r="A43" s="19">
        <v>38</v>
      </c>
      <c r="B43" s="19" t="s">
        <v>137</v>
      </c>
      <c r="C43" s="19" t="s">
        <v>175</v>
      </c>
      <c r="D43" s="19" t="str">
        <f>HYPERLINK("http://henontech.com/fieldsafety/harzard/harzard_show.php?rid=2962&amp;url=harzardrecs.php","一名操作工在攀爬初冷器东侧爬梯时，因爬梯无护笼及抓扶不牢致使该操作工坠落到地面，导致右小腿骨折，送医救治后出院回家修养三个月，损工三个月。")</f>
        <v>一名操作工在攀爬初冷器东侧爬梯时，因爬梯无护笼及抓扶不牢致使该操作工坠落到地面，导致右小腿骨折，送医救治后出院回家修养三个月，损工三个月。</v>
      </c>
      <c r="E43" s="19" t="s">
        <v>329</v>
      </c>
      <c r="F43" s="20" t="s">
        <v>42</v>
      </c>
      <c r="G43" s="21" t="s">
        <v>43</v>
      </c>
      <c r="H43" s="19" t="s">
        <v>44</v>
      </c>
      <c r="I43" s="19" t="s">
        <v>117</v>
      </c>
      <c r="J43" s="19" t="s">
        <v>46</v>
      </c>
      <c r="K43" s="19" t="s">
        <v>76</v>
      </c>
      <c r="L43" s="19" t="s">
        <v>48</v>
      </c>
      <c r="M43" s="19" t="s">
        <v>49</v>
      </c>
      <c r="N43" s="19" t="s">
        <v>330</v>
      </c>
      <c r="O43" s="19" t="s">
        <v>49</v>
      </c>
      <c r="P43" s="19" t="s">
        <v>51</v>
      </c>
      <c r="Q43" s="19" t="s">
        <v>312</v>
      </c>
      <c r="R43" s="19" t="s">
        <v>331</v>
      </c>
      <c r="S43" s="19"/>
      <c r="T43" s="19" t="s">
        <v>41</v>
      </c>
      <c r="U43" s="19" t="s">
        <v>135</v>
      </c>
      <c r="V43" s="19" t="s">
        <v>168</v>
      </c>
      <c r="W43" s="19" t="s">
        <v>196</v>
      </c>
      <c r="X43" s="19"/>
      <c r="Y43" s="19"/>
      <c r="Z43" s="19" t="s">
        <v>332</v>
      </c>
      <c r="AA43" s="19">
        <v>1</v>
      </c>
      <c r="AB43" s="19">
        <v>1</v>
      </c>
      <c r="AC43" s="19" t="s">
        <v>58</v>
      </c>
      <c r="AD43" s="19" t="s">
        <v>51</v>
      </c>
      <c r="AE43" s="19" t="s">
        <v>333</v>
      </c>
      <c r="AF43" s="19"/>
    </row>
    <row r="44" spans="1:34">
      <c r="A44" s="19">
        <v>39</v>
      </c>
      <c r="B44" s="19" t="s">
        <v>273</v>
      </c>
      <c r="C44" s="19" t="s">
        <v>334</v>
      </c>
      <c r="D44" s="19" t="str">
        <f>HYPERLINK("http://henontech.com/fieldsafety/harzard/harzard_show.php?rid=2963&amp;url=harzardrecs.php","一操作工上爬梯检查因未安装护笼，导致从爬梯掉落")</f>
        <v>一操作工上爬梯检查因未安装护笼，导致从爬梯掉落</v>
      </c>
      <c r="E44" s="19" t="s">
        <v>335</v>
      </c>
      <c r="F44" s="22" t="s">
        <v>157</v>
      </c>
      <c r="G44" s="21" t="s">
        <v>43</v>
      </c>
      <c r="H44" s="19" t="s">
        <v>336</v>
      </c>
      <c r="I44" s="19" t="s">
        <v>45</v>
      </c>
      <c r="J44" s="19" t="s">
        <v>91</v>
      </c>
      <c r="K44" s="19" t="s">
        <v>76</v>
      </c>
      <c r="L44" s="19" t="s">
        <v>48</v>
      </c>
      <c r="M44" s="19" t="s">
        <v>130</v>
      </c>
      <c r="N44" s="19" t="s">
        <v>337</v>
      </c>
      <c r="O44" s="19"/>
      <c r="P44" s="19"/>
      <c r="Q44" s="19"/>
      <c r="R44" s="19" t="s">
        <v>338</v>
      </c>
      <c r="S44" s="19" t="s">
        <v>339</v>
      </c>
      <c r="T44" s="19" t="s">
        <v>41</v>
      </c>
      <c r="U44" s="19" t="s">
        <v>135</v>
      </c>
      <c r="V44" s="19" t="s">
        <v>106</v>
      </c>
      <c r="W44" s="19" t="s">
        <v>151</v>
      </c>
      <c r="X44" s="19"/>
      <c r="Y44" s="19"/>
      <c r="Z44" s="19"/>
      <c r="AA44" s="19">
        <v>0</v>
      </c>
      <c r="AB44" s="19"/>
      <c r="AC44" s="19" t="s">
        <v>162</v>
      </c>
      <c r="AD44" s="19"/>
      <c r="AE44" s="19"/>
      <c r="AF44" s="19"/>
    </row>
    <row r="45" spans="1:34">
      <c r="A45" s="19">
        <v>40</v>
      </c>
      <c r="B45" s="19" t="s">
        <v>273</v>
      </c>
      <c r="C45" s="19" t="s">
        <v>169</v>
      </c>
      <c r="D45" s="19" t="str">
        <f>HYPERLINK("http://henontech.com/fieldsafety/harzard/harzard_show.php?rid=2964&amp;url=harzardrecs.php","化学水一名职工在开停冷却水泵过程中右腿掉入水沟内")</f>
        <v>化学水一名职工在开停冷却水泵过程中右腿掉入水沟内</v>
      </c>
      <c r="E45" s="19" t="s">
        <v>340</v>
      </c>
      <c r="F45" s="22" t="s">
        <v>157</v>
      </c>
      <c r="G45" s="21" t="s">
        <v>43</v>
      </c>
      <c r="H45" s="19" t="s">
        <v>44</v>
      </c>
      <c r="I45" s="19" t="s">
        <v>117</v>
      </c>
      <c r="J45" s="19" t="s">
        <v>46</v>
      </c>
      <c r="K45" s="19" t="s">
        <v>47</v>
      </c>
      <c r="L45" s="19" t="s">
        <v>341</v>
      </c>
      <c r="M45" s="19" t="s">
        <v>130</v>
      </c>
      <c r="N45" s="19" t="s">
        <v>342</v>
      </c>
      <c r="O45" s="19"/>
      <c r="P45" s="19"/>
      <c r="Q45" s="19"/>
      <c r="R45" s="19" t="s">
        <v>343</v>
      </c>
      <c r="S45" s="19" t="s">
        <v>344</v>
      </c>
      <c r="T45" s="19" t="s">
        <v>41</v>
      </c>
      <c r="U45" s="19" t="s">
        <v>54</v>
      </c>
      <c r="V45" s="19" t="s">
        <v>168</v>
      </c>
      <c r="W45" s="19" t="s">
        <v>151</v>
      </c>
      <c r="X45" s="19"/>
      <c r="Y45" s="19"/>
      <c r="Z45" s="19"/>
      <c r="AA45" s="19">
        <v>0</v>
      </c>
      <c r="AB45" s="19"/>
      <c r="AC45" s="19" t="s">
        <v>162</v>
      </c>
      <c r="AD45" s="19"/>
      <c r="AE45" s="19"/>
      <c r="AF45" s="19"/>
    </row>
    <row r="46" spans="1:34" customHeight="1" ht="42">
      <c r="A46" s="19">
        <v>41</v>
      </c>
      <c r="B46" s="19" t="s">
        <v>273</v>
      </c>
      <c r="C46" s="19" t="s">
        <v>345</v>
      </c>
      <c r="D46" s="19" t="str">
        <f>HYPERLINK("http://henontech.com/fieldsafety/harzard/harzard_show.php?rid=2965&amp;url=harzardrecs.php","硫铵离心机电机皮带无防护罩，电机运转时，皮带突然断裂，造成一操作工头部受伤，住院治疗，损工二月。造成人身伤害。")</f>
        <v>硫铵离心机电机皮带无防护罩，电机运转时，皮带突然断裂，造成一操作工头部受伤，住院治疗，损工二月。造成人身伤害。</v>
      </c>
      <c r="E46" s="19" t="s">
        <v>346</v>
      </c>
      <c r="F46" s="20" t="s">
        <v>42</v>
      </c>
      <c r="G46" s="21" t="s">
        <v>43</v>
      </c>
      <c r="H46" s="19" t="s">
        <v>44</v>
      </c>
      <c r="I46" s="19" t="s">
        <v>45</v>
      </c>
      <c r="J46" s="19" t="s">
        <v>91</v>
      </c>
      <c r="K46" s="19"/>
      <c r="L46" s="19"/>
      <c r="M46" s="19" t="s">
        <v>130</v>
      </c>
      <c r="N46" s="19" t="s">
        <v>347</v>
      </c>
      <c r="O46" s="19" t="s">
        <v>130</v>
      </c>
      <c r="P46" s="19" t="s">
        <v>132</v>
      </c>
      <c r="Q46" s="19" t="s">
        <v>312</v>
      </c>
      <c r="R46" s="19" t="s">
        <v>348</v>
      </c>
      <c r="S46" s="19"/>
      <c r="T46" s="19" t="s">
        <v>41</v>
      </c>
      <c r="U46" s="19" t="s">
        <v>135</v>
      </c>
      <c r="V46" s="19" t="s">
        <v>106</v>
      </c>
      <c r="W46" s="19" t="s">
        <v>151</v>
      </c>
      <c r="X46" s="19" t="s">
        <v>69</v>
      </c>
      <c r="Y46" s="19"/>
      <c r="Z46" s="19" t="s">
        <v>349</v>
      </c>
      <c r="AA46" s="19">
        <v>2</v>
      </c>
      <c r="AB46" s="19">
        <v>1</v>
      </c>
      <c r="AC46" s="19" t="s">
        <v>58</v>
      </c>
      <c r="AD46" s="19" t="s">
        <v>132</v>
      </c>
      <c r="AE46" s="19" t="s">
        <v>78</v>
      </c>
      <c r="AF46" s="19" t="s">
        <v>350</v>
      </c>
    </row>
    <row r="47" spans="1:34" customHeight="1" ht="42">
      <c r="A47" s="19">
        <v>42</v>
      </c>
      <c r="B47" s="19" t="s">
        <v>273</v>
      </c>
      <c r="C47" s="19" t="s">
        <v>169</v>
      </c>
      <c r="D47" s="19" t="str">
        <f>HYPERLINK("http://henontech.com/fieldsafety/harzard/harzard_show.php?rid=2966&amp;url=harzardrecs.php","化水一名职工在开阀门时左腿掉入水沟")</f>
        <v>化水一名职工在开阀门时左腿掉入水沟</v>
      </c>
      <c r="E47" s="19" t="s">
        <v>351</v>
      </c>
      <c r="F47" s="20" t="s">
        <v>42</v>
      </c>
      <c r="G47" s="21" t="s">
        <v>43</v>
      </c>
      <c r="H47" s="19" t="s">
        <v>44</v>
      </c>
      <c r="I47" s="19" t="s">
        <v>117</v>
      </c>
      <c r="J47" s="19" t="s">
        <v>46</v>
      </c>
      <c r="K47" s="19" t="s">
        <v>47</v>
      </c>
      <c r="L47" s="19"/>
      <c r="M47" s="19" t="s">
        <v>130</v>
      </c>
      <c r="N47" s="19" t="s">
        <v>352</v>
      </c>
      <c r="O47" s="19" t="s">
        <v>130</v>
      </c>
      <c r="P47" s="19" t="s">
        <v>132</v>
      </c>
      <c r="Q47" s="19" t="s">
        <v>353</v>
      </c>
      <c r="R47" s="19" t="s">
        <v>354</v>
      </c>
      <c r="S47" s="19"/>
      <c r="T47" s="19" t="s">
        <v>41</v>
      </c>
      <c r="U47" s="19" t="s">
        <v>54</v>
      </c>
      <c r="V47" s="19" t="s">
        <v>168</v>
      </c>
      <c r="W47" s="19" t="s">
        <v>151</v>
      </c>
      <c r="X47" s="19" t="s">
        <v>69</v>
      </c>
      <c r="Y47" s="19"/>
      <c r="Z47" s="19" t="s">
        <v>244</v>
      </c>
      <c r="AA47" s="19">
        <v>2</v>
      </c>
      <c r="AB47" s="19">
        <v>1</v>
      </c>
      <c r="AC47" s="19" t="s">
        <v>58</v>
      </c>
      <c r="AD47" s="19" t="s">
        <v>132</v>
      </c>
      <c r="AE47" s="19" t="s">
        <v>177</v>
      </c>
      <c r="AF47" s="19" t="s">
        <v>355</v>
      </c>
    </row>
    <row r="48" spans="1:34">
      <c r="A48" s="19">
        <v>43</v>
      </c>
      <c r="B48" s="19" t="s">
        <v>153</v>
      </c>
      <c r="C48" s="19" t="s">
        <v>356</v>
      </c>
      <c r="D48" s="19" t="str">
        <f>HYPERLINK("http://henontech.com/fieldsafety/harzard/harzard_show.php?rid=2967&amp;url=harzardrecs.php","一员工经过煤棚西侧小屋时，被屋顶掉落的砖块砸伤右肩，送医确珍为右索骨骨折，住院治疗十五天，回家休养三个月后复工。")</f>
        <v>一员工经过煤棚西侧小屋时，被屋顶掉落的砖块砸伤右肩，送医确珍为右索骨骨折，住院治疗十五天，回家休养三个月后复工。</v>
      </c>
      <c r="E48" s="19" t="s">
        <v>357</v>
      </c>
      <c r="F48" s="20" t="s">
        <v>42</v>
      </c>
      <c r="G48" s="25" t="s">
        <v>264</v>
      </c>
      <c r="H48" s="19" t="s">
        <v>44</v>
      </c>
      <c r="I48" s="19" t="s">
        <v>75</v>
      </c>
      <c r="J48" s="19" t="s">
        <v>188</v>
      </c>
      <c r="K48" s="19" t="s">
        <v>47</v>
      </c>
      <c r="L48" s="19" t="s">
        <v>48</v>
      </c>
      <c r="M48" s="19" t="s">
        <v>266</v>
      </c>
      <c r="N48" s="19" t="s">
        <v>358</v>
      </c>
      <c r="O48" s="19" t="s">
        <v>266</v>
      </c>
      <c r="P48" s="19" t="s">
        <v>303</v>
      </c>
      <c r="Q48" s="19" t="s">
        <v>230</v>
      </c>
      <c r="R48" s="19" t="s">
        <v>359</v>
      </c>
      <c r="S48" s="19"/>
      <c r="T48" s="19" t="s">
        <v>41</v>
      </c>
      <c r="U48" s="19" t="s">
        <v>135</v>
      </c>
      <c r="V48" s="19" t="s">
        <v>55</v>
      </c>
      <c r="W48" s="19" t="s">
        <v>107</v>
      </c>
      <c r="X48" s="19"/>
      <c r="Y48" s="19"/>
      <c r="Z48" s="19" t="s">
        <v>360</v>
      </c>
      <c r="AA48" s="19">
        <v>1</v>
      </c>
      <c r="AB48" s="19">
        <v>1</v>
      </c>
      <c r="AC48" s="19" t="s">
        <v>58</v>
      </c>
      <c r="AD48" s="19" t="s">
        <v>303</v>
      </c>
      <c r="AE48" s="19" t="s">
        <v>230</v>
      </c>
      <c r="AF48" s="19"/>
    </row>
    <row r="49" spans="1:34">
      <c r="A49" s="19">
        <v>44</v>
      </c>
      <c r="B49" s="19" t="s">
        <v>153</v>
      </c>
      <c r="C49" s="19" t="s">
        <v>293</v>
      </c>
      <c r="D49" s="19" t="str">
        <f>HYPERLINK("http://henontech.com/fieldsafety/harzard/harzard_show.php?rid=2968&amp;url=harzardrecs.php","操作工站在辊筒上关闭吊装门时，因辊筒未固定向一侧滚动，操作工反应不及从辊筒上坠落，导致左手臂骨折，送医救治，住院5天，在家休养90天后复工。")</f>
        <v>操作工站在辊筒上关闭吊装门时，因辊筒未固定向一侧滚动，操作工反应不及从辊筒上坠落，导致左手臂骨折，送医救治，住院5天，在家休养90天后复工。</v>
      </c>
      <c r="E49" s="19" t="s">
        <v>361</v>
      </c>
      <c r="F49" s="20" t="s">
        <v>42</v>
      </c>
      <c r="G49" s="25" t="s">
        <v>264</v>
      </c>
      <c r="H49" s="19" t="s">
        <v>44</v>
      </c>
      <c r="I49" s="19" t="s">
        <v>75</v>
      </c>
      <c r="J49" s="19" t="s">
        <v>91</v>
      </c>
      <c r="K49" s="19" t="s">
        <v>129</v>
      </c>
      <c r="L49" s="19" t="s">
        <v>48</v>
      </c>
      <c r="M49" s="19" t="s">
        <v>266</v>
      </c>
      <c r="N49" s="19" t="s">
        <v>362</v>
      </c>
      <c r="O49" s="19" t="s">
        <v>266</v>
      </c>
      <c r="P49" s="19" t="s">
        <v>303</v>
      </c>
      <c r="Q49" s="19" t="s">
        <v>269</v>
      </c>
      <c r="R49" s="19" t="s">
        <v>363</v>
      </c>
      <c r="S49" s="19"/>
      <c r="T49" s="19" t="s">
        <v>41</v>
      </c>
      <c r="U49" s="19" t="s">
        <v>135</v>
      </c>
      <c r="V49" s="19" t="s">
        <v>55</v>
      </c>
      <c r="W49" s="19" t="s">
        <v>107</v>
      </c>
      <c r="X49" s="19"/>
      <c r="Y49" s="19"/>
      <c r="Z49" s="19" t="s">
        <v>364</v>
      </c>
      <c r="AA49" s="19">
        <v>1</v>
      </c>
      <c r="AB49" s="19">
        <v>1</v>
      </c>
      <c r="AC49" s="19" t="s">
        <v>58</v>
      </c>
      <c r="AD49" s="19" t="s">
        <v>303</v>
      </c>
      <c r="AE49" s="19" t="s">
        <v>269</v>
      </c>
      <c r="AF49" s="19"/>
    </row>
    <row r="50" spans="1:34" customHeight="1" ht="42">
      <c r="A50" s="19">
        <v>45</v>
      </c>
      <c r="B50" s="19" t="s">
        <v>153</v>
      </c>
      <c r="C50" s="19" t="s">
        <v>293</v>
      </c>
      <c r="D50" s="19" t="str">
        <f>HYPERLINK("http://henontech.com/fieldsafety/harzard/harzard_show.php?rid=2969&amp;url=harzardrecs.php","1618破碎机行灯线使用完后，未按使用规定用完后及时复位，人员在巡检时被灯线拌倒，致使右手手腕骨折，住院治疗15天，在家修养3个月。")</f>
        <v>1618破碎机行灯线使用完后，未按使用规定用完后及时复位，人员在巡检时被灯线拌倒，致使右手手腕骨折，住院治疗15天，在家修养3个月。</v>
      </c>
      <c r="E50" s="19" t="s">
        <v>365</v>
      </c>
      <c r="F50" s="20" t="s">
        <v>42</v>
      </c>
      <c r="G50" s="25" t="s">
        <v>264</v>
      </c>
      <c r="H50" s="19" t="s">
        <v>44</v>
      </c>
      <c r="I50" s="19"/>
      <c r="J50" s="19"/>
      <c r="K50" s="19"/>
      <c r="L50" s="19" t="s">
        <v>48</v>
      </c>
      <c r="M50" s="19" t="s">
        <v>266</v>
      </c>
      <c r="N50" s="19" t="s">
        <v>366</v>
      </c>
      <c r="O50" s="19" t="s">
        <v>266</v>
      </c>
      <c r="P50" s="19" t="s">
        <v>268</v>
      </c>
      <c r="Q50" s="19" t="s">
        <v>269</v>
      </c>
      <c r="R50" s="19" t="s">
        <v>367</v>
      </c>
      <c r="S50" s="19" t="s">
        <v>368</v>
      </c>
      <c r="T50" s="19" t="s">
        <v>41</v>
      </c>
      <c r="U50" s="19" t="s">
        <v>135</v>
      </c>
      <c r="V50" s="19" t="s">
        <v>106</v>
      </c>
      <c r="W50" s="19" t="s">
        <v>151</v>
      </c>
      <c r="X50" s="19" t="s">
        <v>197</v>
      </c>
      <c r="Y50" s="19" t="s">
        <v>197</v>
      </c>
      <c r="Z50" s="19" t="s">
        <v>369</v>
      </c>
      <c r="AA50" s="19">
        <v>2</v>
      </c>
      <c r="AB50" s="19">
        <v>2</v>
      </c>
      <c r="AC50" s="19" t="s">
        <v>58</v>
      </c>
      <c r="AD50" s="19" t="s">
        <v>268</v>
      </c>
      <c r="AE50" s="19" t="s">
        <v>269</v>
      </c>
      <c r="AF50" s="19" t="s">
        <v>370</v>
      </c>
    </row>
    <row r="51" spans="1:34">
      <c r="A51" s="19">
        <v>46</v>
      </c>
      <c r="B51" s="19" t="s">
        <v>269</v>
      </c>
      <c r="C51" s="19" t="s">
        <v>293</v>
      </c>
      <c r="D51" s="19" t="str">
        <f>HYPERLINK("http://henontech.com/fieldsafety/harzard/harzard_show.php?rid=2970&amp;url=harzardrecs.php","固定铁链的铁丝腐蚀严重，一职工途经时铁丝突然断裂，铁链瞬间散落，职工躲闪不及，铁链击中面部受伤，送医院检查为鼻梁骨折，住院治疗15天，在家休养30天后复工。")</f>
        <v>固定铁链的铁丝腐蚀严重，一职工途经时铁丝突然断裂，铁链瞬间散落，职工躲闪不及，铁链击中面部受伤，送医院检查为鼻梁骨折，住院治疗15天，在家休养30天后复工。</v>
      </c>
      <c r="E51" s="19" t="s">
        <v>371</v>
      </c>
      <c r="F51" s="20" t="s">
        <v>42</v>
      </c>
      <c r="G51" s="25" t="s">
        <v>264</v>
      </c>
      <c r="H51" s="19" t="s">
        <v>44</v>
      </c>
      <c r="I51" s="19" t="s">
        <v>75</v>
      </c>
      <c r="J51" s="19" t="s">
        <v>91</v>
      </c>
      <c r="K51" s="19" t="s">
        <v>129</v>
      </c>
      <c r="L51" s="19" t="s">
        <v>372</v>
      </c>
      <c r="M51" s="19" t="s">
        <v>266</v>
      </c>
      <c r="N51" s="19" t="s">
        <v>373</v>
      </c>
      <c r="O51" s="19" t="s">
        <v>266</v>
      </c>
      <c r="P51" s="19" t="s">
        <v>303</v>
      </c>
      <c r="Q51" s="19" t="s">
        <v>230</v>
      </c>
      <c r="R51" s="19" t="s">
        <v>374</v>
      </c>
      <c r="S51" s="19"/>
      <c r="T51" s="19" t="s">
        <v>41</v>
      </c>
      <c r="U51" s="19" t="s">
        <v>135</v>
      </c>
      <c r="V51" s="19" t="s">
        <v>106</v>
      </c>
      <c r="W51" s="19" t="s">
        <v>151</v>
      </c>
      <c r="X51" s="19"/>
      <c r="Y51" s="19"/>
      <c r="Z51" s="19" t="s">
        <v>375</v>
      </c>
      <c r="AA51" s="19">
        <v>1</v>
      </c>
      <c r="AB51" s="19">
        <v>1</v>
      </c>
      <c r="AC51" s="19" t="s">
        <v>58</v>
      </c>
      <c r="AD51" s="19" t="s">
        <v>303</v>
      </c>
      <c r="AE51" s="19" t="s">
        <v>230</v>
      </c>
      <c r="AF51" s="19"/>
    </row>
    <row r="52" spans="1:34">
      <c r="A52" s="19">
        <v>47</v>
      </c>
      <c r="B52" s="19" t="s">
        <v>269</v>
      </c>
      <c r="C52" s="19" t="s">
        <v>356</v>
      </c>
      <c r="D52" s="19" t="str">
        <f>HYPERLINK("http://henontech.com/fieldsafety/harzard/harzard_show.php?rid=2971&amp;url=harzardrecs.php","一职工在用钎子清理下料筒时，因未使用防护栏，导致人员不慎掉入筒子内，送医不治身亡。")</f>
        <v>一职工在用钎子清理下料筒时，因未使用防护栏，导致人员不慎掉入筒子内，送医不治身亡。</v>
      </c>
      <c r="E52" s="19" t="s">
        <v>376</v>
      </c>
      <c r="F52" s="20" t="s">
        <v>42</v>
      </c>
      <c r="G52" s="24" t="s">
        <v>254</v>
      </c>
      <c r="H52" s="19" t="s">
        <v>44</v>
      </c>
      <c r="I52" s="19"/>
      <c r="J52" s="19" t="s">
        <v>91</v>
      </c>
      <c r="K52" s="19" t="s">
        <v>92</v>
      </c>
      <c r="L52" s="19" t="s">
        <v>48</v>
      </c>
      <c r="M52" s="19" t="s">
        <v>266</v>
      </c>
      <c r="N52" s="19" t="s">
        <v>377</v>
      </c>
      <c r="O52" s="19" t="s">
        <v>266</v>
      </c>
      <c r="P52" s="19" t="s">
        <v>303</v>
      </c>
      <c r="Q52" s="19" t="s">
        <v>230</v>
      </c>
      <c r="R52" s="19" t="s">
        <v>378</v>
      </c>
      <c r="S52" s="19"/>
      <c r="T52" s="19" t="s">
        <v>41</v>
      </c>
      <c r="U52" s="19" t="s">
        <v>195</v>
      </c>
      <c r="V52" s="19" t="s">
        <v>106</v>
      </c>
      <c r="W52" s="19" t="s">
        <v>196</v>
      </c>
      <c r="X52" s="19"/>
      <c r="Y52" s="19"/>
      <c r="Z52" s="19" t="s">
        <v>379</v>
      </c>
      <c r="AA52" s="19">
        <v>1</v>
      </c>
      <c r="AB52" s="19">
        <v>1</v>
      </c>
      <c r="AC52" s="19" t="s">
        <v>58</v>
      </c>
      <c r="AD52" s="19" t="s">
        <v>303</v>
      </c>
      <c r="AE52" s="19" t="s">
        <v>230</v>
      </c>
      <c r="AF52" s="19"/>
    </row>
    <row r="53" spans="1:34">
      <c r="A53" s="19">
        <v>48</v>
      </c>
      <c r="B53" s="19" t="s">
        <v>269</v>
      </c>
      <c r="C53" s="19" t="s">
        <v>293</v>
      </c>
      <c r="D53" s="19" t="str">
        <f>HYPERLINK("http://henontech.com/fieldsafety/harzard/harzard_show.php?rid=2972&amp;url=harzardrecs.php","煤五电机接地线脱落  操作工清理卫生时 不慎触电摔倒 右前臂骨折 送医治疗 住院一个月 在家休养91天")</f>
        <v>煤五电机接地线脱落  操作工清理卫生时 不慎触电摔倒 右前臂骨折 送医治疗 住院一个月 在家休养91天</v>
      </c>
      <c r="E53" s="19" t="s">
        <v>380</v>
      </c>
      <c r="F53" s="20" t="s">
        <v>42</v>
      </c>
      <c r="G53" s="21" t="s">
        <v>43</v>
      </c>
      <c r="H53" s="19" t="s">
        <v>44</v>
      </c>
      <c r="I53" s="19" t="s">
        <v>45</v>
      </c>
      <c r="J53" s="19" t="s">
        <v>46</v>
      </c>
      <c r="K53" s="19" t="s">
        <v>92</v>
      </c>
      <c r="L53" s="19" t="s">
        <v>48</v>
      </c>
      <c r="M53" s="19" t="s">
        <v>266</v>
      </c>
      <c r="N53" s="19" t="s">
        <v>381</v>
      </c>
      <c r="O53" s="19" t="s">
        <v>266</v>
      </c>
      <c r="P53" s="19" t="s">
        <v>382</v>
      </c>
      <c r="Q53" s="19" t="s">
        <v>280</v>
      </c>
      <c r="R53" s="19" t="s">
        <v>383</v>
      </c>
      <c r="S53" s="19"/>
      <c r="T53" s="19" t="s">
        <v>41</v>
      </c>
      <c r="U53" s="19" t="s">
        <v>135</v>
      </c>
      <c r="V53" s="19" t="s">
        <v>106</v>
      </c>
      <c r="W53" s="19" t="s">
        <v>151</v>
      </c>
      <c r="X53" s="19"/>
      <c r="Y53" s="19"/>
      <c r="Z53" s="19" t="s">
        <v>384</v>
      </c>
      <c r="AA53" s="19">
        <v>1</v>
      </c>
      <c r="AB53" s="19">
        <v>1</v>
      </c>
      <c r="AC53" s="19" t="s">
        <v>58</v>
      </c>
      <c r="AD53" s="19" t="s">
        <v>382</v>
      </c>
      <c r="AE53" s="19" t="s">
        <v>124</v>
      </c>
      <c r="AF53" s="19"/>
    </row>
    <row r="54" spans="1:34" customHeight="1" ht="42">
      <c r="A54" s="19">
        <v>49</v>
      </c>
      <c r="B54" s="19" t="s">
        <v>269</v>
      </c>
      <c r="C54" s="19" t="s">
        <v>356</v>
      </c>
      <c r="D54" s="19" t="str">
        <f>HYPERLINK("http://henontech.com/fieldsafety/harzard/harzard_show.php?rid=2973&amp;url=harzardrecs.php","西四水泵电源线套管脱落  被门挤压线皮破损 操作工清理卫生时 不慎右脚触电摔倒 右脚脚踝扭伤 休息一会不影响工作")</f>
        <v>西四水泵电源线套管脱落  被门挤压线皮破损 操作工清理卫生时 不慎右脚触电摔倒 右脚脚踝扭伤 休息一会不影响工作</v>
      </c>
      <c r="E54" s="19" t="s">
        <v>385</v>
      </c>
      <c r="F54" s="20" t="s">
        <v>42</v>
      </c>
      <c r="G54" s="21" t="s">
        <v>43</v>
      </c>
      <c r="H54" s="19" t="s">
        <v>44</v>
      </c>
      <c r="I54" s="19" t="s">
        <v>75</v>
      </c>
      <c r="J54" s="19" t="s">
        <v>46</v>
      </c>
      <c r="K54" s="19" t="s">
        <v>92</v>
      </c>
      <c r="L54" s="19" t="s">
        <v>48</v>
      </c>
      <c r="M54" s="19" t="s">
        <v>266</v>
      </c>
      <c r="N54" s="19" t="s">
        <v>381</v>
      </c>
      <c r="O54" s="19" t="s">
        <v>266</v>
      </c>
      <c r="P54" s="19" t="s">
        <v>382</v>
      </c>
      <c r="Q54" s="19" t="s">
        <v>280</v>
      </c>
      <c r="R54" s="19" t="s">
        <v>386</v>
      </c>
      <c r="S54" s="19"/>
      <c r="T54" s="19" t="s">
        <v>41</v>
      </c>
      <c r="U54" s="19" t="s">
        <v>54</v>
      </c>
      <c r="V54" s="19" t="s">
        <v>55</v>
      </c>
      <c r="W54" s="19" t="s">
        <v>56</v>
      </c>
      <c r="X54" s="19"/>
      <c r="Y54" s="19"/>
      <c r="Z54" s="19" t="s">
        <v>387</v>
      </c>
      <c r="AA54" s="19">
        <v>2</v>
      </c>
      <c r="AB54" s="19">
        <v>2</v>
      </c>
      <c r="AC54" s="19" t="s">
        <v>58</v>
      </c>
      <c r="AD54" s="19" t="s">
        <v>382</v>
      </c>
      <c r="AE54" s="19" t="s">
        <v>124</v>
      </c>
      <c r="AF54" s="19"/>
    </row>
    <row r="55" spans="1:34">
      <c r="A55" s="19">
        <v>50</v>
      </c>
      <c r="B55" s="19" t="s">
        <v>124</v>
      </c>
      <c r="C55" s="19" t="s">
        <v>61</v>
      </c>
      <c r="D55" s="19" t="str">
        <f>HYPERLINK("http://henontech.com/fieldsafety/harzard/harzard_show.php?rid=2974&amp;url=harzardrecs.php","深度处理南侧外墙保温铁皮，因长期腐蚀风化，铁皮脱落。将正在巡查的操作人员砸伤，送医经诊断左前臂皮肤挫伤。在家休养两日复工。")</f>
        <v>深度处理南侧外墙保温铁皮，因长期腐蚀风化，铁皮脱落。将正在巡查的操作人员砸伤，送医经诊断左前臂皮肤挫伤。在家休养两日复工。</v>
      </c>
      <c r="E55" s="19" t="s">
        <v>388</v>
      </c>
      <c r="F55" s="20" t="s">
        <v>42</v>
      </c>
      <c r="G55" s="21" t="s">
        <v>43</v>
      </c>
      <c r="H55" s="19" t="s">
        <v>44</v>
      </c>
      <c r="I55" s="19" t="s">
        <v>75</v>
      </c>
      <c r="J55" s="19" t="s">
        <v>46</v>
      </c>
      <c r="K55" s="19" t="s">
        <v>47</v>
      </c>
      <c r="L55" s="19"/>
      <c r="M55" s="19" t="s">
        <v>63</v>
      </c>
      <c r="N55" s="19" t="s">
        <v>389</v>
      </c>
      <c r="O55" s="19" t="s">
        <v>63</v>
      </c>
      <c r="P55" s="19" t="s">
        <v>65</v>
      </c>
      <c r="Q55" s="19" t="s">
        <v>280</v>
      </c>
      <c r="R55" s="19" t="s">
        <v>231</v>
      </c>
      <c r="S55" s="19"/>
      <c r="T55" s="19" t="s">
        <v>41</v>
      </c>
      <c r="U55" s="19" t="s">
        <v>54</v>
      </c>
      <c r="V55" s="19" t="s">
        <v>168</v>
      </c>
      <c r="W55" s="19" t="s">
        <v>151</v>
      </c>
      <c r="X55" s="19" t="s">
        <v>390</v>
      </c>
      <c r="Y55" s="19" t="s">
        <v>390</v>
      </c>
      <c r="Z55" s="19" t="s">
        <v>391</v>
      </c>
      <c r="AA55" s="19">
        <v>1</v>
      </c>
      <c r="AB55" s="19">
        <v>1</v>
      </c>
      <c r="AC55" s="19" t="s">
        <v>58</v>
      </c>
      <c r="AD55" s="19" t="s">
        <v>65</v>
      </c>
      <c r="AE55" s="19" t="s">
        <v>71</v>
      </c>
      <c r="AF55" s="19"/>
    </row>
    <row r="56" spans="1:34">
      <c r="A56" s="19">
        <v>51</v>
      </c>
      <c r="B56" s="19" t="s">
        <v>124</v>
      </c>
      <c r="C56" s="19" t="s">
        <v>227</v>
      </c>
      <c r="D56" s="19" t="str">
        <f>HYPERLINK("http://henontech.com/fieldsafety/harzard/harzard_show.php?rid=2975&amp;url=harzardrecs.php","预处理水解池池面盖板腐蚀严重，如果一名操作人员在巡检过程中经过此处，不慎踩到腐蚀严重的铁板上致使右小腿陷落，造成右小腿多处轻微划伤，送医处理后在家休息3天后复工。")</f>
        <v>预处理水解池池面盖板腐蚀严重，如果一名操作人员在巡检过程中经过此处，不慎踩到腐蚀严重的铁板上致使右小腿陷落，造成右小腿多处轻微划伤，送医处理后在家休息3天后复工。</v>
      </c>
      <c r="E56" s="19" t="s">
        <v>392</v>
      </c>
      <c r="F56" s="20" t="s">
        <v>42</v>
      </c>
      <c r="G56" s="21" t="s">
        <v>43</v>
      </c>
      <c r="H56" s="19" t="s">
        <v>44</v>
      </c>
      <c r="I56" s="19" t="s">
        <v>45</v>
      </c>
      <c r="J56" s="19" t="s">
        <v>91</v>
      </c>
      <c r="K56" s="19" t="s">
        <v>47</v>
      </c>
      <c r="L56" s="19" t="s">
        <v>48</v>
      </c>
      <c r="M56" s="19" t="s">
        <v>63</v>
      </c>
      <c r="N56" s="19" t="s">
        <v>393</v>
      </c>
      <c r="O56" s="19" t="s">
        <v>63</v>
      </c>
      <c r="P56" s="19" t="s">
        <v>65</v>
      </c>
      <c r="Q56" s="19" t="s">
        <v>280</v>
      </c>
      <c r="R56" s="19" t="s">
        <v>394</v>
      </c>
      <c r="S56" s="19"/>
      <c r="T56" s="19" t="s">
        <v>41</v>
      </c>
      <c r="U56" s="19" t="s">
        <v>135</v>
      </c>
      <c r="V56" s="19" t="s">
        <v>106</v>
      </c>
      <c r="W56" s="19" t="s">
        <v>151</v>
      </c>
      <c r="X56" s="19" t="s">
        <v>69</v>
      </c>
      <c r="Y56" s="19" t="s">
        <v>69</v>
      </c>
      <c r="Z56" s="19" t="s">
        <v>395</v>
      </c>
      <c r="AA56" s="19">
        <v>1</v>
      </c>
      <c r="AB56" s="19">
        <v>1</v>
      </c>
      <c r="AC56" s="19" t="s">
        <v>58</v>
      </c>
      <c r="AD56" s="19" t="s">
        <v>65</v>
      </c>
      <c r="AE56" s="19" t="s">
        <v>124</v>
      </c>
      <c r="AF56" s="19"/>
    </row>
    <row r="57" spans="1:34" customHeight="1" ht="42">
      <c r="A57" s="19">
        <v>52</v>
      </c>
      <c r="B57" s="19" t="s">
        <v>124</v>
      </c>
      <c r="C57" s="19" t="s">
        <v>211</v>
      </c>
      <c r="D57" s="19" t="str">
        <f>HYPERLINK("http://henontech.com/fieldsafety/harzard/harzard_show.php?rid=2976&amp;url=harzardrecs.php","35t/h锅炉给水泵房南侧地沟盖板缺失，1人巡检至此，不慎跌落，造成左侧小腿胫骨骨折，送医就治。")</f>
        <v>35t/h锅炉给水泵房南侧地沟盖板缺失，1人巡检至此，不慎跌落，造成左侧小腿胫骨骨折，送医就治。</v>
      </c>
      <c r="E57" s="19" t="s">
        <v>396</v>
      </c>
      <c r="F57" s="20" t="s">
        <v>42</v>
      </c>
      <c r="G57" s="21" t="s">
        <v>43</v>
      </c>
      <c r="H57" s="19" t="s">
        <v>44</v>
      </c>
      <c r="I57" s="19" t="s">
        <v>75</v>
      </c>
      <c r="J57" s="19" t="s">
        <v>46</v>
      </c>
      <c r="K57" s="19"/>
      <c r="L57" s="19"/>
      <c r="M57" s="19" t="s">
        <v>130</v>
      </c>
      <c r="N57" s="19" t="s">
        <v>397</v>
      </c>
      <c r="O57" s="19" t="s">
        <v>130</v>
      </c>
      <c r="P57" s="19" t="s">
        <v>132</v>
      </c>
      <c r="Q57" s="19" t="s">
        <v>353</v>
      </c>
      <c r="R57" s="19" t="s">
        <v>398</v>
      </c>
      <c r="S57" s="19"/>
      <c r="T57" s="19" t="s">
        <v>41</v>
      </c>
      <c r="U57" s="19" t="s">
        <v>135</v>
      </c>
      <c r="V57" s="19" t="s">
        <v>106</v>
      </c>
      <c r="W57" s="19" t="s">
        <v>151</v>
      </c>
      <c r="X57" s="19" t="s">
        <v>69</v>
      </c>
      <c r="Y57" s="19"/>
      <c r="Z57" s="19" t="s">
        <v>399</v>
      </c>
      <c r="AA57" s="19">
        <v>2</v>
      </c>
      <c r="AB57" s="19">
        <v>0</v>
      </c>
      <c r="AC57" s="19" t="s">
        <v>58</v>
      </c>
      <c r="AD57" s="19" t="s">
        <v>132</v>
      </c>
      <c r="AE57" s="19" t="s">
        <v>177</v>
      </c>
      <c r="AF57" s="19" t="s">
        <v>400</v>
      </c>
    </row>
    <row r="58" spans="1:34">
      <c r="A58" s="19">
        <v>53</v>
      </c>
      <c r="B58" s="19" t="s">
        <v>124</v>
      </c>
      <c r="C58" s="19" t="s">
        <v>356</v>
      </c>
      <c r="D58" s="19" t="str">
        <f>HYPERLINK("http://henontech.com/fieldsafety/harzard/harzard_show.php?rid=2977&amp;url=harzardrecs.php","西一后尾通道爬梯腐蚀损坏，未及时更换，操作工在上爬梯时腐蚀的爬梯承受不了工人的重力，导致操作工身体后倾跌倒造成左手臂骨折！送医院包扎固定！住院15天回家休养三个月！")</f>
        <v>西一后尾通道爬梯腐蚀损坏，未及时更换，操作工在上爬梯时腐蚀的爬梯承受不了工人的重力，导致操作工身体后倾跌倒造成左手臂骨折！送医院包扎固定！住院15天回家休养三个月！</v>
      </c>
      <c r="E58" s="19" t="s">
        <v>401</v>
      </c>
      <c r="F58" s="20" t="s">
        <v>42</v>
      </c>
      <c r="G58" s="21" t="s">
        <v>43</v>
      </c>
      <c r="H58" s="19" t="s">
        <v>44</v>
      </c>
      <c r="I58" s="19" t="s">
        <v>45</v>
      </c>
      <c r="J58" s="19" t="s">
        <v>46</v>
      </c>
      <c r="K58" s="19" t="s">
        <v>92</v>
      </c>
      <c r="L58" s="19" t="s">
        <v>48</v>
      </c>
      <c r="M58" s="19" t="s">
        <v>266</v>
      </c>
      <c r="N58" s="19" t="s">
        <v>402</v>
      </c>
      <c r="O58" s="19" t="s">
        <v>266</v>
      </c>
      <c r="P58" s="19" t="s">
        <v>403</v>
      </c>
      <c r="Q58" s="19" t="s">
        <v>260</v>
      </c>
      <c r="R58" s="19" t="s">
        <v>404</v>
      </c>
      <c r="S58" s="19"/>
      <c r="T58" s="19" t="s">
        <v>41</v>
      </c>
      <c r="U58" s="19" t="s">
        <v>54</v>
      </c>
      <c r="V58" s="19" t="s">
        <v>106</v>
      </c>
      <c r="W58" s="19" t="s">
        <v>107</v>
      </c>
      <c r="X58" s="19"/>
      <c r="Y58" s="19"/>
      <c r="Z58" s="19" t="s">
        <v>405</v>
      </c>
      <c r="AA58" s="19">
        <v>1</v>
      </c>
      <c r="AB58" s="19">
        <v>1</v>
      </c>
      <c r="AC58" s="19" t="s">
        <v>58</v>
      </c>
      <c r="AD58" s="19" t="s">
        <v>403</v>
      </c>
      <c r="AE58" s="19" t="s">
        <v>230</v>
      </c>
      <c r="AF58" s="19"/>
    </row>
    <row r="59" spans="1:34">
      <c r="A59" s="19">
        <v>54</v>
      </c>
      <c r="B59" s="19" t="s">
        <v>124</v>
      </c>
      <c r="C59" s="19" t="s">
        <v>356</v>
      </c>
      <c r="D59" s="19" t="str">
        <f>HYPERLINK("http://henontech.com/fieldsafety/harzard/harzard_show.php?rid=2978&amp;url=harzardrecs.php","煤棚西北角水沟盖板破损，未及时更换，夜间操作工在巡检时时不慎踩在破损的盖板上导致左腿划伤，送医务室包扎，在家休养七天！")</f>
        <v>煤棚西北角水沟盖板破损，未及时更换，夜间操作工在巡检时时不慎踩在破损的盖板上导致左腿划伤，送医务室包扎，在家休养七天！</v>
      </c>
      <c r="E59" s="19" t="s">
        <v>406</v>
      </c>
      <c r="F59" s="20" t="s">
        <v>42</v>
      </c>
      <c r="G59" s="21" t="s">
        <v>43</v>
      </c>
      <c r="H59" s="19" t="s">
        <v>44</v>
      </c>
      <c r="I59" s="19" t="s">
        <v>45</v>
      </c>
      <c r="J59" s="19" t="s">
        <v>91</v>
      </c>
      <c r="K59" s="19" t="s">
        <v>92</v>
      </c>
      <c r="L59" s="19" t="s">
        <v>48</v>
      </c>
      <c r="M59" s="19" t="s">
        <v>266</v>
      </c>
      <c r="N59" s="19" t="s">
        <v>402</v>
      </c>
      <c r="O59" s="19" t="s">
        <v>266</v>
      </c>
      <c r="P59" s="19" t="s">
        <v>403</v>
      </c>
      <c r="Q59" s="19" t="s">
        <v>260</v>
      </c>
      <c r="R59" s="19" t="s">
        <v>407</v>
      </c>
      <c r="S59" s="19"/>
      <c r="T59" s="19" t="s">
        <v>41</v>
      </c>
      <c r="U59" s="19" t="s">
        <v>54</v>
      </c>
      <c r="V59" s="19" t="s">
        <v>106</v>
      </c>
      <c r="W59" s="19" t="s">
        <v>107</v>
      </c>
      <c r="X59" s="19"/>
      <c r="Y59" s="19"/>
      <c r="Z59" s="19" t="s">
        <v>408</v>
      </c>
      <c r="AA59" s="19">
        <v>1</v>
      </c>
      <c r="AB59" s="19">
        <v>1</v>
      </c>
      <c r="AC59" s="19" t="s">
        <v>58</v>
      </c>
      <c r="AD59" s="19" t="s">
        <v>403</v>
      </c>
      <c r="AE59" s="19" t="s">
        <v>230</v>
      </c>
      <c r="AF59" s="19"/>
    </row>
    <row r="60" spans="1:34">
      <c r="A60" s="19">
        <v>55</v>
      </c>
      <c r="B60" s="19" t="s">
        <v>124</v>
      </c>
      <c r="C60" s="19" t="s">
        <v>356</v>
      </c>
      <c r="D60" s="19" t="str">
        <f>HYPERLINK("http://henontech.com/fieldsafety/harzard/harzard_show.php?rid=2979&amp;url=harzardrecs.php","西一滚筒手动刮煤板损坏缺失，未及时更换，由于滚筒积煤过多操作工用工具清理滚筒积煤时皮带机将工具及操作工右手带入皮带机挤伤，送医院检查右手骨折，在医院治疗15天，回家休养三个月！")</f>
        <v>西一滚筒手动刮煤板损坏缺失，未及时更换，由于滚筒积煤过多操作工用工具清理滚筒积煤时皮带机将工具及操作工右手带入皮带机挤伤，送医院检查右手骨折，在医院治疗15天，回家休养三个月！</v>
      </c>
      <c r="E60" s="19" t="s">
        <v>409</v>
      </c>
      <c r="F60" s="20" t="s">
        <v>42</v>
      </c>
      <c r="G60" s="21" t="s">
        <v>43</v>
      </c>
      <c r="H60" s="19" t="s">
        <v>44</v>
      </c>
      <c r="I60" s="19" t="s">
        <v>117</v>
      </c>
      <c r="J60" s="19" t="s">
        <v>46</v>
      </c>
      <c r="K60" s="19" t="s">
        <v>92</v>
      </c>
      <c r="L60" s="19" t="s">
        <v>48</v>
      </c>
      <c r="M60" s="19" t="s">
        <v>266</v>
      </c>
      <c r="N60" s="19" t="s">
        <v>402</v>
      </c>
      <c r="O60" s="19" t="s">
        <v>266</v>
      </c>
      <c r="P60" s="19" t="s">
        <v>403</v>
      </c>
      <c r="Q60" s="19" t="s">
        <v>260</v>
      </c>
      <c r="R60" s="19" t="s">
        <v>404</v>
      </c>
      <c r="S60" s="19"/>
      <c r="T60" s="19" t="s">
        <v>41</v>
      </c>
      <c r="U60" s="19" t="s">
        <v>54</v>
      </c>
      <c r="V60" s="19" t="s">
        <v>106</v>
      </c>
      <c r="W60" s="19" t="s">
        <v>107</v>
      </c>
      <c r="X60" s="19"/>
      <c r="Y60" s="19"/>
      <c r="Z60" s="19" t="s">
        <v>410</v>
      </c>
      <c r="AA60" s="19">
        <v>1</v>
      </c>
      <c r="AB60" s="19">
        <v>1</v>
      </c>
      <c r="AC60" s="19" t="s">
        <v>58</v>
      </c>
      <c r="AD60" s="19" t="s">
        <v>403</v>
      </c>
      <c r="AE60" s="19" t="s">
        <v>230</v>
      </c>
      <c r="AF60" s="19"/>
    </row>
    <row r="61" spans="1:34">
      <c r="A61" s="19">
        <v>56</v>
      </c>
      <c r="B61" s="19" t="s">
        <v>230</v>
      </c>
      <c r="C61" s="19" t="s">
        <v>411</v>
      </c>
      <c r="D61" s="19" t="str">
        <f>HYPERLINK("http://henontech.com/fieldsafety/harzard/harzard_show.php?rid=2980&amp;url=harzardrecs.php","维修工在检修拦焦导焦栓时，由于检修平台未加护栏，维修工不惧一脚踩空将安全戴挣断导致人员掉落在3米高的平台摔伤，及时送医治疗，诊断为腰部三节肋骨骨折。")</f>
        <v>维修工在检修拦焦导焦栓时，由于检修平台未加护栏，维修工不惧一脚踩空将安全戴挣断导致人员掉落在3米高的平台摔伤，及时送医治疗，诊断为腰部三节肋骨骨折。</v>
      </c>
      <c r="E61" s="19" t="s">
        <v>412</v>
      </c>
      <c r="F61" s="20" t="s">
        <v>42</v>
      </c>
      <c r="G61" s="21" t="s">
        <v>43</v>
      </c>
      <c r="H61" s="19" t="s">
        <v>44</v>
      </c>
      <c r="I61" s="19" t="s">
        <v>45</v>
      </c>
      <c r="J61" s="19" t="s">
        <v>46</v>
      </c>
      <c r="K61" s="19" t="s">
        <v>76</v>
      </c>
      <c r="L61" s="19" t="s">
        <v>48</v>
      </c>
      <c r="M61" s="19" t="s">
        <v>101</v>
      </c>
      <c r="N61" s="19" t="s">
        <v>413</v>
      </c>
      <c r="O61" s="19" t="s">
        <v>101</v>
      </c>
      <c r="P61" s="19" t="s">
        <v>206</v>
      </c>
      <c r="Q61" s="19" t="s">
        <v>237</v>
      </c>
      <c r="R61" s="19" t="s">
        <v>414</v>
      </c>
      <c r="S61" s="19" t="s">
        <v>415</v>
      </c>
      <c r="T61" s="19" t="s">
        <v>41</v>
      </c>
      <c r="U61" s="19" t="s">
        <v>135</v>
      </c>
      <c r="V61" s="19" t="s">
        <v>168</v>
      </c>
      <c r="W61" s="19" t="s">
        <v>196</v>
      </c>
      <c r="X61" s="19" t="s">
        <v>69</v>
      </c>
      <c r="Y61" s="19"/>
      <c r="Z61" s="19" t="s">
        <v>416</v>
      </c>
      <c r="AA61" s="19">
        <v>1</v>
      </c>
      <c r="AB61" s="19">
        <v>1</v>
      </c>
      <c r="AC61" s="19" t="s">
        <v>58</v>
      </c>
      <c r="AD61" s="19" t="s">
        <v>206</v>
      </c>
      <c r="AE61" s="19" t="s">
        <v>237</v>
      </c>
      <c r="AF61" s="19"/>
    </row>
    <row r="62" spans="1:34">
      <c r="A62" s="19">
        <v>57</v>
      </c>
      <c r="B62" s="19" t="s">
        <v>230</v>
      </c>
      <c r="C62" s="19" t="s">
        <v>417</v>
      </c>
      <c r="D62" s="19" t="str">
        <f>HYPERLINK("http://henontech.com/fieldsafety/harzard/harzard_show.php?rid=2981&amp;url=harzardrecs.php","5.5米焦炉扒焦平台铁板锈蚀严重，一操作工工作时不慎跌落左腿、摔倒")</f>
        <v>5.5米焦炉扒焦平台铁板锈蚀严重，一操作工工作时不慎跌落左腿、摔倒</v>
      </c>
      <c r="E62" s="19" t="s">
        <v>418</v>
      </c>
      <c r="F62" s="20" t="s">
        <v>42</v>
      </c>
      <c r="G62" s="21" t="s">
        <v>43</v>
      </c>
      <c r="H62" s="19" t="s">
        <v>44</v>
      </c>
      <c r="I62" s="19" t="s">
        <v>45</v>
      </c>
      <c r="J62" s="19" t="s">
        <v>46</v>
      </c>
      <c r="K62" s="19" t="s">
        <v>47</v>
      </c>
      <c r="L62" s="19" t="s">
        <v>48</v>
      </c>
      <c r="M62" s="19" t="s">
        <v>101</v>
      </c>
      <c r="N62" s="19" t="s">
        <v>419</v>
      </c>
      <c r="O62" s="19" t="s">
        <v>101</v>
      </c>
      <c r="P62" s="19" t="s">
        <v>206</v>
      </c>
      <c r="Q62" s="19" t="s">
        <v>420</v>
      </c>
      <c r="R62" s="19" t="s">
        <v>421</v>
      </c>
      <c r="S62" s="19" t="s">
        <v>422</v>
      </c>
      <c r="T62" s="19" t="s">
        <v>41</v>
      </c>
      <c r="U62" s="19" t="s">
        <v>135</v>
      </c>
      <c r="V62" s="19" t="s">
        <v>106</v>
      </c>
      <c r="W62" s="19" t="s">
        <v>151</v>
      </c>
      <c r="X62" s="19" t="s">
        <v>69</v>
      </c>
      <c r="Y62" s="19"/>
      <c r="Z62" s="19" t="s">
        <v>423</v>
      </c>
      <c r="AA62" s="19">
        <v>1</v>
      </c>
      <c r="AB62" s="19">
        <v>1</v>
      </c>
      <c r="AC62" s="19" t="s">
        <v>58</v>
      </c>
      <c r="AD62" s="19" t="s">
        <v>206</v>
      </c>
      <c r="AE62" s="19" t="s">
        <v>424</v>
      </c>
      <c r="AF62" s="19"/>
    </row>
    <row r="63" spans="1:34">
      <c r="A63" s="19">
        <v>58</v>
      </c>
      <c r="B63" s="19" t="s">
        <v>315</v>
      </c>
      <c r="C63" s="19" t="s">
        <v>425</v>
      </c>
      <c r="D63" s="19" t="str">
        <f>HYPERLINK("http://henontech.com/fieldsafety/harzard/harzard_show.php?rid=2982&amp;url=harzardrecs.php","皮带托辊断裂掉落，皮带下陷，焦炭侧溢，伤到在此清理卫生的一操作工，致使操作工左臂骨折")</f>
        <v>皮带托辊断裂掉落，皮带下陷，焦炭侧溢，伤到在此清理卫生的一操作工，致使操作工左臂骨折</v>
      </c>
      <c r="E63" s="19" t="s">
        <v>426</v>
      </c>
      <c r="F63" s="20" t="s">
        <v>42</v>
      </c>
      <c r="G63" s="21" t="s">
        <v>43</v>
      </c>
      <c r="H63" s="19" t="s">
        <v>44</v>
      </c>
      <c r="I63" s="19" t="s">
        <v>45</v>
      </c>
      <c r="J63" s="19" t="s">
        <v>46</v>
      </c>
      <c r="K63" s="19" t="s">
        <v>47</v>
      </c>
      <c r="L63" s="19" t="s">
        <v>48</v>
      </c>
      <c r="M63" s="19" t="s">
        <v>101</v>
      </c>
      <c r="N63" s="19" t="s">
        <v>427</v>
      </c>
      <c r="O63" s="19" t="s">
        <v>101</v>
      </c>
      <c r="P63" s="19" t="s">
        <v>206</v>
      </c>
      <c r="Q63" s="19" t="s">
        <v>420</v>
      </c>
      <c r="R63" s="19" t="s">
        <v>428</v>
      </c>
      <c r="S63" s="19" t="s">
        <v>429</v>
      </c>
      <c r="T63" s="19" t="s">
        <v>41</v>
      </c>
      <c r="U63" s="19" t="s">
        <v>135</v>
      </c>
      <c r="V63" s="19" t="s">
        <v>106</v>
      </c>
      <c r="W63" s="19" t="s">
        <v>151</v>
      </c>
      <c r="X63" s="19" t="s">
        <v>69</v>
      </c>
      <c r="Y63" s="19"/>
      <c r="Z63" s="19" t="s">
        <v>430</v>
      </c>
      <c r="AA63" s="19">
        <v>1</v>
      </c>
      <c r="AB63" s="19">
        <v>1</v>
      </c>
      <c r="AC63" s="19" t="s">
        <v>58</v>
      </c>
      <c r="AD63" s="19" t="s">
        <v>206</v>
      </c>
      <c r="AE63" s="19" t="s">
        <v>424</v>
      </c>
      <c r="AF63" s="19"/>
    </row>
    <row r="64" spans="1:34">
      <c r="A64" s="19">
        <v>59</v>
      </c>
      <c r="B64" s="19" t="s">
        <v>315</v>
      </c>
      <c r="C64" s="19" t="s">
        <v>425</v>
      </c>
      <c r="D64" s="19" t="str">
        <f>HYPERLINK("http://henontech.com/fieldsafety/harzard/harzard_show.php?rid=2983&amp;url=harzardrecs.php","小平台护栏立柱，下端腐烂断，一操作工在往下扒焦炭时，不慎跌落摔伤，致使一人全身多处骨折")</f>
        <v>小平台护栏立柱，下端腐烂断，一操作工在往下扒焦炭时，不慎跌落摔伤，致使一人全身多处骨折</v>
      </c>
      <c r="E64" s="19" t="s">
        <v>431</v>
      </c>
      <c r="F64" s="20" t="s">
        <v>42</v>
      </c>
      <c r="G64" s="21" t="s">
        <v>43</v>
      </c>
      <c r="H64" s="19" t="s">
        <v>44</v>
      </c>
      <c r="I64" s="19" t="s">
        <v>45</v>
      </c>
      <c r="J64" s="19" t="s">
        <v>46</v>
      </c>
      <c r="K64" s="19" t="s">
        <v>47</v>
      </c>
      <c r="L64" s="19" t="s">
        <v>48</v>
      </c>
      <c r="M64" s="19" t="s">
        <v>101</v>
      </c>
      <c r="N64" s="19" t="s">
        <v>432</v>
      </c>
      <c r="O64" s="19" t="s">
        <v>101</v>
      </c>
      <c r="P64" s="19" t="s">
        <v>206</v>
      </c>
      <c r="Q64" s="19" t="s">
        <v>420</v>
      </c>
      <c r="R64" s="19" t="s">
        <v>433</v>
      </c>
      <c r="S64" s="19" t="s">
        <v>434</v>
      </c>
      <c r="T64" s="19" t="s">
        <v>41</v>
      </c>
      <c r="U64" s="19" t="s">
        <v>135</v>
      </c>
      <c r="V64" s="19" t="s">
        <v>106</v>
      </c>
      <c r="W64" s="19" t="s">
        <v>151</v>
      </c>
      <c r="X64" s="19" t="s">
        <v>69</v>
      </c>
      <c r="Y64" s="19"/>
      <c r="Z64" s="19" t="s">
        <v>435</v>
      </c>
      <c r="AA64" s="19">
        <v>1</v>
      </c>
      <c r="AB64" s="19">
        <v>1</v>
      </c>
      <c r="AC64" s="19" t="s">
        <v>58</v>
      </c>
      <c r="AD64" s="19" t="s">
        <v>206</v>
      </c>
      <c r="AE64" s="19" t="s">
        <v>260</v>
      </c>
      <c r="AF64" s="19"/>
    </row>
    <row r="65" spans="1:34">
      <c r="A65" s="19">
        <v>60</v>
      </c>
      <c r="B65" s="19" t="s">
        <v>315</v>
      </c>
      <c r="C65" s="19" t="s">
        <v>436</v>
      </c>
      <c r="D65" s="19" t="str">
        <f>HYPERLINK("http://henontech.com/fieldsafety/harzard/harzard_show.php?rid=2984&amp;url=harzardrecs.php","4.3米焦炉煤仓外部，彩钢瓦有两块固定不牢，假如遇大风有一名职工路过时，彩钢瓦坠落砍到手臂划伤，到医院进行缝合，在家休养十五天的损工事件。")</f>
        <v>4.3米焦炉煤仓外部，彩钢瓦有两块固定不牢，假如遇大风有一名职工路过时，彩钢瓦坠落砍到手臂划伤，到医院进行缝合，在家休养十五天的损工事件。</v>
      </c>
      <c r="E65" s="19" t="s">
        <v>437</v>
      </c>
      <c r="F65" s="20" t="s">
        <v>42</v>
      </c>
      <c r="G65" s="21" t="s">
        <v>43</v>
      </c>
      <c r="H65" s="19" t="s">
        <v>44</v>
      </c>
      <c r="I65" s="19" t="s">
        <v>45</v>
      </c>
      <c r="J65" s="19"/>
      <c r="K65" s="19" t="s">
        <v>100</v>
      </c>
      <c r="L65" s="19" t="s">
        <v>48</v>
      </c>
      <c r="M65" s="19" t="s">
        <v>101</v>
      </c>
      <c r="N65" s="19" t="s">
        <v>438</v>
      </c>
      <c r="O65" s="19" t="s">
        <v>101</v>
      </c>
      <c r="P65" s="19" t="s">
        <v>439</v>
      </c>
      <c r="Q65" s="19" t="s">
        <v>420</v>
      </c>
      <c r="R65" s="19" t="s">
        <v>440</v>
      </c>
      <c r="S65" s="19" t="s">
        <v>441</v>
      </c>
      <c r="T65" s="19" t="s">
        <v>41</v>
      </c>
      <c r="U65" s="19" t="s">
        <v>135</v>
      </c>
      <c r="V65" s="19" t="s">
        <v>106</v>
      </c>
      <c r="W65" s="19" t="s">
        <v>151</v>
      </c>
      <c r="X65" s="19" t="s">
        <v>69</v>
      </c>
      <c r="Y65" s="19"/>
      <c r="Z65" s="19" t="s">
        <v>442</v>
      </c>
      <c r="AA65" s="19">
        <v>1</v>
      </c>
      <c r="AB65" s="19">
        <v>0</v>
      </c>
      <c r="AC65" s="19" t="s">
        <v>58</v>
      </c>
      <c r="AD65" s="19" t="s">
        <v>439</v>
      </c>
      <c r="AE65" s="19" t="s">
        <v>443</v>
      </c>
      <c r="AF65" s="19" t="s">
        <v>444</v>
      </c>
    </row>
    <row r="66" spans="1:34" customHeight="1" ht="42">
      <c r="A66" s="19">
        <v>61</v>
      </c>
      <c r="B66" s="19" t="s">
        <v>66</v>
      </c>
      <c r="C66" s="19" t="s">
        <v>101</v>
      </c>
      <c r="D66" s="19" t="str">
        <f>HYPERLINK("http://henontech.com/fieldsafety/harzard/harzard_show.php?rid=2985&amp;url=harzardrecs.php","5.5焦炉焦侧平台底部一处承重铁板腐蚀开裂，对上部工作平台失去承重作用，因工作人员无法观察到下面，一人在此处工作时平台坍塌人员坠落，送医检查全身多处骨折。")</f>
        <v>5.5焦炉焦侧平台底部一处承重铁板腐蚀开裂，对上部工作平台失去承重作用，因工作人员无法观察到下面，一人在此处工作时平台坍塌人员坠落，送医检查全身多处骨折。</v>
      </c>
      <c r="E66" s="19" t="s">
        <v>445</v>
      </c>
      <c r="F66" s="20" t="s">
        <v>42</v>
      </c>
      <c r="G66" s="21" t="s">
        <v>43</v>
      </c>
      <c r="H66" s="19" t="s">
        <v>44</v>
      </c>
      <c r="I66" s="19" t="s">
        <v>45</v>
      </c>
      <c r="J66" s="19" t="s">
        <v>46</v>
      </c>
      <c r="K66" s="19" t="s">
        <v>100</v>
      </c>
      <c r="L66" s="19" t="s">
        <v>48</v>
      </c>
      <c r="M66" s="19" t="s">
        <v>101</v>
      </c>
      <c r="N66" s="19" t="s">
        <v>446</v>
      </c>
      <c r="O66" s="19" t="s">
        <v>101</v>
      </c>
      <c r="P66" s="19" t="s">
        <v>206</v>
      </c>
      <c r="Q66" s="19" t="s">
        <v>256</v>
      </c>
      <c r="R66" s="19" t="s">
        <v>447</v>
      </c>
      <c r="S66" s="19"/>
      <c r="T66" s="19" t="s">
        <v>41</v>
      </c>
      <c r="U66" s="19" t="s">
        <v>135</v>
      </c>
      <c r="V66" s="19" t="s">
        <v>106</v>
      </c>
      <c r="W66" s="19" t="s">
        <v>151</v>
      </c>
      <c r="X66" s="19" t="s">
        <v>258</v>
      </c>
      <c r="Y66" s="19"/>
      <c r="Z66" s="19" t="s">
        <v>448</v>
      </c>
      <c r="AA66" s="19">
        <v>2</v>
      </c>
      <c r="AB66" s="19">
        <v>2</v>
      </c>
      <c r="AC66" s="19" t="s">
        <v>58</v>
      </c>
      <c r="AD66" s="19" t="s">
        <v>206</v>
      </c>
      <c r="AE66" s="19" t="s">
        <v>260</v>
      </c>
      <c r="AF66" s="19"/>
    </row>
    <row r="67" spans="1:34">
      <c r="A67" s="19">
        <v>62</v>
      </c>
      <c r="B67" s="19" t="s">
        <v>230</v>
      </c>
      <c r="C67" s="19" t="s">
        <v>425</v>
      </c>
      <c r="D67" s="19" t="str">
        <f>HYPERLINK("http://henontech.com/fieldsafety/harzard/harzard_show.php?rid=2986&amp;url=harzardrecs.php","二层平台护拦中间开焊，一操作工在搬运物品时上下楼梯，不慎跌落头部着地，送医院抢救无效死亡。")</f>
        <v>二层平台护拦中间开焊，一操作工在搬运物品时上下楼梯，不慎跌落头部着地，送医院抢救无效死亡。</v>
      </c>
      <c r="E67" s="19" t="s">
        <v>449</v>
      </c>
      <c r="F67" s="22" t="s">
        <v>157</v>
      </c>
      <c r="G67" s="21" t="s">
        <v>43</v>
      </c>
      <c r="H67" s="19" t="s">
        <v>44</v>
      </c>
      <c r="I67" s="19" t="s">
        <v>45</v>
      </c>
      <c r="J67" s="19" t="s">
        <v>91</v>
      </c>
      <c r="K67" s="19" t="s">
        <v>92</v>
      </c>
      <c r="L67" s="19" t="s">
        <v>48</v>
      </c>
      <c r="M67" s="19" t="s">
        <v>101</v>
      </c>
      <c r="N67" s="19" t="s">
        <v>450</v>
      </c>
      <c r="O67" s="19"/>
      <c r="P67" s="19"/>
      <c r="Q67" s="19"/>
      <c r="R67" s="19" t="s">
        <v>451</v>
      </c>
      <c r="S67" s="19" t="s">
        <v>452</v>
      </c>
      <c r="T67" s="19" t="s">
        <v>41</v>
      </c>
      <c r="U67" s="19" t="s">
        <v>195</v>
      </c>
      <c r="V67" s="19" t="s">
        <v>106</v>
      </c>
      <c r="W67" s="19" t="s">
        <v>196</v>
      </c>
      <c r="X67" s="19"/>
      <c r="Y67" s="19"/>
      <c r="Z67" s="19"/>
      <c r="AA67" s="19">
        <v>0</v>
      </c>
      <c r="AB67" s="19"/>
      <c r="AC67" s="19" t="s">
        <v>162</v>
      </c>
      <c r="AD67" s="19"/>
      <c r="AE67" s="19"/>
      <c r="AF67" s="19"/>
    </row>
    <row r="68" spans="1:34">
      <c r="A68" s="19">
        <v>63</v>
      </c>
      <c r="B68" s="19" t="s">
        <v>315</v>
      </c>
      <c r="C68" s="19" t="s">
        <v>425</v>
      </c>
      <c r="D68" s="19" t="str">
        <f>HYPERLINK("http://henontech.com/fieldsafety/harzard/harzard_show.php?rid=2987&amp;url=harzardrecs.php","通风管道开裂，一职工在通风管道下方打扫卫生时，被掉落的通风道砸伤，送医检查后肩胛骨骨折，住院10天，在家休养3个月。")</f>
        <v>通风管道开裂，一职工在通风管道下方打扫卫生时，被掉落的通风道砸伤，送医检查后肩胛骨骨折，住院10天，在家休养3个月。</v>
      </c>
      <c r="E68" s="19" t="s">
        <v>453</v>
      </c>
      <c r="F68" s="23" t="s">
        <v>187</v>
      </c>
      <c r="G68" s="21" t="s">
        <v>43</v>
      </c>
      <c r="H68" s="19" t="s">
        <v>44</v>
      </c>
      <c r="I68" s="19" t="s">
        <v>45</v>
      </c>
      <c r="J68" s="19" t="s">
        <v>46</v>
      </c>
      <c r="K68" s="19" t="s">
        <v>100</v>
      </c>
      <c r="L68" s="19" t="s">
        <v>48</v>
      </c>
      <c r="M68" s="19" t="s">
        <v>101</v>
      </c>
      <c r="N68" s="19" t="s">
        <v>454</v>
      </c>
      <c r="O68" s="19" t="s">
        <v>101</v>
      </c>
      <c r="P68" s="19" t="s">
        <v>439</v>
      </c>
      <c r="Q68" s="19" t="s">
        <v>420</v>
      </c>
      <c r="R68" s="19" t="s">
        <v>455</v>
      </c>
      <c r="S68" s="19" t="s">
        <v>456</v>
      </c>
      <c r="T68" s="19" t="s">
        <v>41</v>
      </c>
      <c r="U68" s="19" t="s">
        <v>135</v>
      </c>
      <c r="V68" s="19" t="s">
        <v>55</v>
      </c>
      <c r="W68" s="19" t="s">
        <v>107</v>
      </c>
      <c r="X68" s="19" t="s">
        <v>69</v>
      </c>
      <c r="Y68" s="19"/>
      <c r="Z68" s="19" t="s">
        <v>457</v>
      </c>
      <c r="AA68" s="19">
        <v>1</v>
      </c>
      <c r="AB68" s="19"/>
      <c r="AC68" s="19" t="s">
        <v>162</v>
      </c>
      <c r="AD68" s="19"/>
      <c r="AE68" s="19"/>
      <c r="AF68" s="19"/>
    </row>
    <row r="69" spans="1:34">
      <c r="A69" s="19">
        <v>64</v>
      </c>
      <c r="B69" s="19" t="s">
        <v>230</v>
      </c>
      <c r="C69" s="19" t="s">
        <v>458</v>
      </c>
      <c r="D69" s="19" t="str">
        <f>HYPERLINK("http://henontech.com/fieldsafety/harzard/harzard_show.php?rid=2988&amp;url=harzardrecs.php","一人在拦焦除尘水槽底部清理卫生时，被掉落的脚手架砸到头部，经送医抢救无效死亡")</f>
        <v>一人在拦焦除尘水槽底部清理卫生时，被掉落的脚手架砸到头部，经送医抢救无效死亡</v>
      </c>
      <c r="E69" s="19" t="s">
        <v>459</v>
      </c>
      <c r="F69" s="20" t="s">
        <v>42</v>
      </c>
      <c r="G69" s="21" t="s">
        <v>43</v>
      </c>
      <c r="H69" s="19" t="s">
        <v>44</v>
      </c>
      <c r="I69" s="19" t="s">
        <v>45</v>
      </c>
      <c r="J69" s="19" t="s">
        <v>188</v>
      </c>
      <c r="K69" s="19" t="s">
        <v>92</v>
      </c>
      <c r="L69" s="19" t="s">
        <v>48</v>
      </c>
      <c r="M69" s="19" t="s">
        <v>101</v>
      </c>
      <c r="N69" s="19" t="s">
        <v>460</v>
      </c>
      <c r="O69" s="19" t="s">
        <v>101</v>
      </c>
      <c r="P69" s="19" t="s">
        <v>439</v>
      </c>
      <c r="Q69" s="19" t="s">
        <v>420</v>
      </c>
      <c r="R69" s="19" t="s">
        <v>461</v>
      </c>
      <c r="S69" s="19" t="s">
        <v>462</v>
      </c>
      <c r="T69" s="19" t="s">
        <v>41</v>
      </c>
      <c r="U69" s="19" t="s">
        <v>195</v>
      </c>
      <c r="V69" s="19" t="s">
        <v>106</v>
      </c>
      <c r="W69" s="19" t="s">
        <v>196</v>
      </c>
      <c r="X69" s="19" t="s">
        <v>197</v>
      </c>
      <c r="Y69" s="19"/>
      <c r="Z69" s="19" t="s">
        <v>463</v>
      </c>
      <c r="AA69" s="19">
        <v>1</v>
      </c>
      <c r="AB69" s="19">
        <v>1</v>
      </c>
      <c r="AC69" s="19" t="s">
        <v>58</v>
      </c>
      <c r="AD69" s="19" t="s">
        <v>439</v>
      </c>
      <c r="AE69" s="19" t="s">
        <v>260</v>
      </c>
      <c r="AF69" s="19" t="s">
        <v>464</v>
      </c>
    </row>
    <row r="70" spans="1:34">
      <c r="A70" s="19">
        <v>65</v>
      </c>
      <c r="B70" s="19" t="s">
        <v>465</v>
      </c>
      <c r="C70" s="19" t="s">
        <v>175</v>
      </c>
      <c r="D70" s="19" t="str">
        <f>HYPERLINK("http://henontech.com/fieldsafety/harzard/harzard_show.php?rid=2990&amp;url=harzardrecs.php","初冷器东煤气管道框架上有施工遗留的塑料桶盖，在大风天气极易被风吹落，吹落的桶盖正好砸在路上行人的头上，送医务室简单治疗，休息一天")</f>
        <v>初冷器东煤气管道框架上有施工遗留的塑料桶盖，在大风天气极易被风吹落，吹落的桶盖正好砸在路上行人的头上，送医务室简单治疗，休息一天</v>
      </c>
      <c r="E70" s="19" t="s">
        <v>466</v>
      </c>
      <c r="F70" s="20" t="s">
        <v>42</v>
      </c>
      <c r="G70" s="21" t="s">
        <v>43</v>
      </c>
      <c r="H70" s="19" t="s">
        <v>44</v>
      </c>
      <c r="I70" s="19"/>
      <c r="J70" s="19" t="s">
        <v>118</v>
      </c>
      <c r="K70" s="19"/>
      <c r="L70" s="19"/>
      <c r="M70" s="19" t="s">
        <v>49</v>
      </c>
      <c r="N70" s="19" t="s">
        <v>467</v>
      </c>
      <c r="O70" s="19" t="s">
        <v>49</v>
      </c>
      <c r="P70" s="19" t="s">
        <v>51</v>
      </c>
      <c r="Q70" s="19" t="s">
        <v>468</v>
      </c>
      <c r="R70" s="19" t="s">
        <v>469</v>
      </c>
      <c r="S70" s="19"/>
      <c r="T70" s="19" t="s">
        <v>41</v>
      </c>
      <c r="U70" s="19" t="s">
        <v>135</v>
      </c>
      <c r="V70" s="19" t="s">
        <v>106</v>
      </c>
      <c r="W70" s="19" t="s">
        <v>151</v>
      </c>
      <c r="X70" s="19"/>
      <c r="Y70" s="19"/>
      <c r="Z70" s="19" t="s">
        <v>470</v>
      </c>
      <c r="AA70" s="19">
        <v>1</v>
      </c>
      <c r="AB70" s="19">
        <v>1</v>
      </c>
      <c r="AC70" s="19" t="s">
        <v>58</v>
      </c>
      <c r="AD70" s="19" t="s">
        <v>51</v>
      </c>
      <c r="AE70" s="19" t="s">
        <v>88</v>
      </c>
      <c r="AF70" s="19"/>
    </row>
    <row r="71" spans="1:34" customHeight="1" ht="42">
      <c r="A71" s="19">
        <v>66</v>
      </c>
      <c r="B71" s="19" t="s">
        <v>71</v>
      </c>
      <c r="C71" s="19" t="s">
        <v>356</v>
      </c>
      <c r="D71" s="19" t="str">
        <f>HYPERLINK("http://henontech.com/fieldsafety/harzard/harzard_show.php?rid=2991&amp;url=harzardrecs.php","一人员在光线较暗不良在下楼过程中脚底踩蹭失足，从高5米的楼梯滚下，头部着地送往医院抢救无效死亡")</f>
        <v>一人员在光线较暗不良在下楼过程中脚底踩蹭失足，从高5米的楼梯滚下，头部着地送往医院抢救无效死亡</v>
      </c>
      <c r="E71" s="19" t="s">
        <v>471</v>
      </c>
      <c r="F71" s="20" t="s">
        <v>42</v>
      </c>
      <c r="G71" s="25" t="s">
        <v>264</v>
      </c>
      <c r="H71" s="19" t="s">
        <v>44</v>
      </c>
      <c r="I71" s="19" t="s">
        <v>472</v>
      </c>
      <c r="J71" s="19" t="s">
        <v>188</v>
      </c>
      <c r="K71" s="19" t="s">
        <v>47</v>
      </c>
      <c r="L71" s="19" t="s">
        <v>48</v>
      </c>
      <c r="M71" s="19" t="s">
        <v>266</v>
      </c>
      <c r="N71" s="19" t="s">
        <v>473</v>
      </c>
      <c r="O71" s="19" t="s">
        <v>266</v>
      </c>
      <c r="P71" s="19" t="s">
        <v>268</v>
      </c>
      <c r="Q71" s="19" t="s">
        <v>240</v>
      </c>
      <c r="R71" s="19" t="s">
        <v>474</v>
      </c>
      <c r="S71" s="19" t="s">
        <v>475</v>
      </c>
      <c r="T71" s="19" t="s">
        <v>41</v>
      </c>
      <c r="U71" s="19" t="s">
        <v>195</v>
      </c>
      <c r="V71" s="19" t="s">
        <v>106</v>
      </c>
      <c r="W71" s="19" t="s">
        <v>196</v>
      </c>
      <c r="X71" s="19" t="s">
        <v>197</v>
      </c>
      <c r="Y71" s="19" t="s">
        <v>197</v>
      </c>
      <c r="Z71" s="19" t="s">
        <v>476</v>
      </c>
      <c r="AA71" s="19">
        <v>2</v>
      </c>
      <c r="AB71" s="19">
        <v>2</v>
      </c>
      <c r="AC71" s="19" t="s">
        <v>58</v>
      </c>
      <c r="AD71" s="19" t="s">
        <v>268</v>
      </c>
      <c r="AE71" s="19" t="s">
        <v>315</v>
      </c>
      <c r="AF71" s="19" t="s">
        <v>477</v>
      </c>
    </row>
    <row r="72" spans="1:34">
      <c r="A72" s="19">
        <v>67</v>
      </c>
      <c r="B72" s="19" t="s">
        <v>71</v>
      </c>
      <c r="C72" s="19" t="s">
        <v>478</v>
      </c>
      <c r="D72" s="19" t="str">
        <f>HYPERLINK("http://henontech.com/fieldsafety/harzard/harzard_show.php?rid=2992&amp;url=harzardrecs.php","终冷塔蒸汽吹扫管漏点处泄漏蒸汽，一名操作工在冲终冷塔开蒸汽阀门时，突然蒸汽漏点压力高，大量蒸汽泄漏。由于阀门离漏点较远，造成操作工轻度烫伤。")</f>
        <v>终冷塔蒸汽吹扫管漏点处泄漏蒸汽，一名操作工在冲终冷塔开蒸汽阀门时，突然蒸汽漏点压力高，大量蒸汽泄漏。由于阀门离漏点较远，造成操作工轻度烫伤。</v>
      </c>
      <c r="E72" s="19" t="s">
        <v>479</v>
      </c>
      <c r="F72" s="20" t="s">
        <v>42</v>
      </c>
      <c r="G72" s="21" t="s">
        <v>43</v>
      </c>
      <c r="H72" s="19" t="s">
        <v>44</v>
      </c>
      <c r="I72" s="19" t="s">
        <v>75</v>
      </c>
      <c r="J72" s="19" t="s">
        <v>46</v>
      </c>
      <c r="K72" s="19" t="s">
        <v>47</v>
      </c>
      <c r="L72" s="19" t="s">
        <v>48</v>
      </c>
      <c r="M72" s="19" t="s">
        <v>49</v>
      </c>
      <c r="N72" s="19" t="s">
        <v>480</v>
      </c>
      <c r="O72" s="19" t="s">
        <v>49</v>
      </c>
      <c r="P72" s="19" t="s">
        <v>51</v>
      </c>
      <c r="Q72" s="19" t="s">
        <v>468</v>
      </c>
      <c r="R72" s="19" t="s">
        <v>481</v>
      </c>
      <c r="S72" s="19"/>
      <c r="T72" s="19" t="s">
        <v>41</v>
      </c>
      <c r="U72" s="19" t="s">
        <v>54</v>
      </c>
      <c r="V72" s="19" t="s">
        <v>55</v>
      </c>
      <c r="W72" s="19" t="s">
        <v>56</v>
      </c>
      <c r="X72" s="19"/>
      <c r="Y72" s="19"/>
      <c r="Z72" s="19" t="s">
        <v>482</v>
      </c>
      <c r="AA72" s="19">
        <v>1</v>
      </c>
      <c r="AB72" s="19">
        <v>1</v>
      </c>
      <c r="AC72" s="19" t="s">
        <v>58</v>
      </c>
      <c r="AD72" s="19" t="s">
        <v>51</v>
      </c>
      <c r="AE72" s="19" t="s">
        <v>424</v>
      </c>
      <c r="AF72" s="19"/>
    </row>
    <row r="73" spans="1:34" customHeight="1" ht="42">
      <c r="A73" s="19">
        <v>68</v>
      </c>
      <c r="B73" s="19" t="s">
        <v>71</v>
      </c>
      <c r="C73" s="19" t="s">
        <v>293</v>
      </c>
      <c r="D73" s="19" t="str">
        <f>HYPERLINK("http://henontech.com/fieldsafety/harzard/harzard_show.php?rid=2993&amp;url=harzardrecs.php","值班室西侧污水泵处有一铁盖板腐烂，夜间一操作工在巡检时不慎掉入水沟，导致腿部骨折，住院半个月，在家休养两个月。")</f>
        <v>值班室西侧污水泵处有一铁盖板腐烂，夜间一操作工在巡检时不慎掉入水沟，导致腿部骨折，住院半个月，在家休养两个月。</v>
      </c>
      <c r="E73" s="19" t="s">
        <v>483</v>
      </c>
      <c r="F73" s="20" t="s">
        <v>42</v>
      </c>
      <c r="G73" s="21" t="s">
        <v>43</v>
      </c>
      <c r="H73" s="19" t="s">
        <v>44</v>
      </c>
      <c r="I73" s="19" t="s">
        <v>45</v>
      </c>
      <c r="J73" s="19" t="s">
        <v>188</v>
      </c>
      <c r="K73" s="19" t="s">
        <v>92</v>
      </c>
      <c r="L73" s="19" t="s">
        <v>48</v>
      </c>
      <c r="M73" s="19" t="s">
        <v>266</v>
      </c>
      <c r="N73" s="19" t="s">
        <v>484</v>
      </c>
      <c r="O73" s="19" t="s">
        <v>266</v>
      </c>
      <c r="P73" s="19" t="s">
        <v>268</v>
      </c>
      <c r="Q73" s="19" t="s">
        <v>240</v>
      </c>
      <c r="R73" s="19" t="s">
        <v>485</v>
      </c>
      <c r="S73" s="19" t="s">
        <v>486</v>
      </c>
      <c r="T73" s="19" t="s">
        <v>41</v>
      </c>
      <c r="U73" s="19" t="s">
        <v>135</v>
      </c>
      <c r="V73" s="19" t="s">
        <v>55</v>
      </c>
      <c r="W73" s="19" t="s">
        <v>107</v>
      </c>
      <c r="X73" s="19" t="s">
        <v>197</v>
      </c>
      <c r="Y73" s="19" t="s">
        <v>197</v>
      </c>
      <c r="Z73" s="19" t="s">
        <v>487</v>
      </c>
      <c r="AA73" s="19">
        <v>2</v>
      </c>
      <c r="AB73" s="19">
        <v>2</v>
      </c>
      <c r="AC73" s="19" t="s">
        <v>58</v>
      </c>
      <c r="AD73" s="19" t="s">
        <v>268</v>
      </c>
      <c r="AE73" s="19" t="s">
        <v>315</v>
      </c>
      <c r="AF73" s="19" t="s">
        <v>488</v>
      </c>
    </row>
    <row r="74" spans="1:34" customHeight="1" ht="42">
      <c r="A74" s="19">
        <v>69</v>
      </c>
      <c r="B74" s="19" t="s">
        <v>71</v>
      </c>
      <c r="C74" s="19" t="s">
        <v>489</v>
      </c>
      <c r="D74" s="19" t="str">
        <f>HYPERLINK("http://henontech.com/fieldsafety/harzard/harzard_show.php?rid=2994&amp;url=harzardrecs.php","3#煤场4#料口水泥平台外漏钢筋，一名操作工作业过程中不慎被绊倒，导致双手手腕骨折。住院治疗1个月，在家休养2个月。")</f>
        <v>3#煤场4#料口水泥平台外漏钢筋，一名操作工作业过程中不慎被绊倒，导致双手手腕骨折。住院治疗1个月，在家休养2个月。</v>
      </c>
      <c r="E74" s="19" t="s">
        <v>490</v>
      </c>
      <c r="F74" s="20" t="s">
        <v>42</v>
      </c>
      <c r="G74" s="21" t="s">
        <v>43</v>
      </c>
      <c r="H74" s="19" t="s">
        <v>44</v>
      </c>
      <c r="I74" s="19" t="s">
        <v>45</v>
      </c>
      <c r="J74" s="19" t="s">
        <v>46</v>
      </c>
      <c r="K74" s="19" t="s">
        <v>92</v>
      </c>
      <c r="L74" s="19" t="s">
        <v>48</v>
      </c>
      <c r="M74" s="19" t="s">
        <v>266</v>
      </c>
      <c r="N74" s="19" t="s">
        <v>491</v>
      </c>
      <c r="O74" s="19" t="s">
        <v>266</v>
      </c>
      <c r="P74" s="19" t="s">
        <v>268</v>
      </c>
      <c r="Q74" s="19" t="s">
        <v>240</v>
      </c>
      <c r="R74" s="19" t="s">
        <v>492</v>
      </c>
      <c r="S74" s="19" t="s">
        <v>493</v>
      </c>
      <c r="T74" s="19" t="s">
        <v>41</v>
      </c>
      <c r="U74" s="19" t="s">
        <v>135</v>
      </c>
      <c r="V74" s="19" t="s">
        <v>55</v>
      </c>
      <c r="W74" s="19" t="s">
        <v>107</v>
      </c>
      <c r="X74" s="19" t="s">
        <v>197</v>
      </c>
      <c r="Y74" s="19" t="s">
        <v>197</v>
      </c>
      <c r="Z74" s="19" t="s">
        <v>494</v>
      </c>
      <c r="AA74" s="19">
        <v>2</v>
      </c>
      <c r="AB74" s="19">
        <v>2</v>
      </c>
      <c r="AC74" s="19" t="s">
        <v>58</v>
      </c>
      <c r="AD74" s="19" t="s">
        <v>268</v>
      </c>
      <c r="AE74" s="19" t="s">
        <v>495</v>
      </c>
      <c r="AF74" s="19"/>
    </row>
    <row r="75" spans="1:34">
      <c r="A75" s="19">
        <v>70</v>
      </c>
      <c r="B75" s="19" t="s">
        <v>71</v>
      </c>
      <c r="C75" s="19" t="s">
        <v>496</v>
      </c>
      <c r="D75" s="19" t="str">
        <f>HYPERLINK("http://henontech.com/fieldsafety/harzard/harzard_show.php?rid=2995&amp;url=harzardrecs.php","一名操作人员在巡检过程中因安全意识不强，未注意到轴流风扇电缆线、经过时被电缆线绊倒致使膝盖淤青去医务室处理后继续工作。")</f>
        <v>一名操作人员在巡检过程中因安全意识不强，未注意到轴流风扇电缆线、经过时被电缆线绊倒致使膝盖淤青去医务室处理后继续工作。</v>
      </c>
      <c r="E75" s="19" t="s">
        <v>497</v>
      </c>
      <c r="F75" s="20" t="s">
        <v>42</v>
      </c>
      <c r="G75" s="21" t="s">
        <v>43</v>
      </c>
      <c r="H75" s="19" t="s">
        <v>44</v>
      </c>
      <c r="I75" s="19"/>
      <c r="J75" s="19" t="s">
        <v>118</v>
      </c>
      <c r="K75" s="19" t="s">
        <v>129</v>
      </c>
      <c r="L75" s="19" t="s">
        <v>48</v>
      </c>
      <c r="M75" s="19" t="s">
        <v>49</v>
      </c>
      <c r="N75" s="19" t="s">
        <v>498</v>
      </c>
      <c r="O75" s="19" t="s">
        <v>49</v>
      </c>
      <c r="P75" s="19" t="s">
        <v>51</v>
      </c>
      <c r="Q75" s="19" t="s">
        <v>468</v>
      </c>
      <c r="R75" s="19" t="s">
        <v>499</v>
      </c>
      <c r="S75" s="19"/>
      <c r="T75" s="19" t="s">
        <v>41</v>
      </c>
      <c r="U75" s="19" t="s">
        <v>54</v>
      </c>
      <c r="V75" s="19" t="s">
        <v>68</v>
      </c>
      <c r="W75" s="19" t="s">
        <v>56</v>
      </c>
      <c r="X75" s="19"/>
      <c r="Y75" s="19"/>
      <c r="Z75" s="19" t="s">
        <v>500</v>
      </c>
      <c r="AA75" s="19">
        <v>1</v>
      </c>
      <c r="AB75" s="19">
        <v>1</v>
      </c>
      <c r="AC75" s="19" t="s">
        <v>58</v>
      </c>
      <c r="AD75" s="19" t="s">
        <v>51</v>
      </c>
      <c r="AE75" s="19" t="s">
        <v>501</v>
      </c>
      <c r="AF75" s="19"/>
    </row>
    <row r="76" spans="1:34">
      <c r="A76" s="19">
        <v>71</v>
      </c>
      <c r="B76" s="19" t="s">
        <v>71</v>
      </c>
      <c r="C76" s="19" t="s">
        <v>40</v>
      </c>
      <c r="D76" s="19" t="str">
        <f>HYPERLINK("http://henontech.com/fieldsafety/harzard/harzard_show.php?rid=2996&amp;url=harzardrecs.php","化产车间南风机一名操作人员在初冷器下面巡检时，二层平台有杂物，如果平台杂物掉落，砸到操作人员身上，造成操作人员肩部受伤，送医诊断，肩部轻微伤，误工两天。")</f>
        <v>化产车间南风机一名操作人员在初冷器下面巡检时，二层平台有杂物，如果平台杂物掉落，砸到操作人员身上，造成操作人员肩部受伤，送医诊断，肩部轻微伤，误工两天。</v>
      </c>
      <c r="E76" s="19" t="s">
        <v>502</v>
      </c>
      <c r="F76" s="20" t="s">
        <v>42</v>
      </c>
      <c r="G76" s="21" t="s">
        <v>43</v>
      </c>
      <c r="H76" s="19" t="s">
        <v>44</v>
      </c>
      <c r="I76" s="19" t="s">
        <v>117</v>
      </c>
      <c r="J76" s="19" t="s">
        <v>188</v>
      </c>
      <c r="K76" s="19" t="s">
        <v>47</v>
      </c>
      <c r="L76" s="19" t="s">
        <v>48</v>
      </c>
      <c r="M76" s="19" t="s">
        <v>49</v>
      </c>
      <c r="N76" s="19" t="s">
        <v>503</v>
      </c>
      <c r="O76" s="19" t="s">
        <v>49</v>
      </c>
      <c r="P76" s="19" t="s">
        <v>51</v>
      </c>
      <c r="Q76" s="19" t="s">
        <v>468</v>
      </c>
      <c r="R76" s="19" t="s">
        <v>504</v>
      </c>
      <c r="S76" s="19"/>
      <c r="T76" s="19" t="s">
        <v>41</v>
      </c>
      <c r="U76" s="19" t="s">
        <v>135</v>
      </c>
      <c r="V76" s="19" t="s">
        <v>55</v>
      </c>
      <c r="W76" s="19" t="s">
        <v>107</v>
      </c>
      <c r="X76" s="19"/>
      <c r="Y76" s="19"/>
      <c r="Z76" s="19" t="s">
        <v>505</v>
      </c>
      <c r="AA76" s="19">
        <v>1</v>
      </c>
      <c r="AB76" s="19">
        <v>1</v>
      </c>
      <c r="AC76" s="19" t="s">
        <v>58</v>
      </c>
      <c r="AD76" s="19" t="s">
        <v>51</v>
      </c>
      <c r="AE76" s="19" t="s">
        <v>59</v>
      </c>
      <c r="AF76" s="19"/>
    </row>
    <row r="77" spans="1:34">
      <c r="A77" s="19">
        <v>72</v>
      </c>
      <c r="B77" s="19" t="s">
        <v>71</v>
      </c>
      <c r="C77" s="19" t="s">
        <v>425</v>
      </c>
      <c r="D77" s="19" t="str">
        <f>HYPERLINK("http://henontech.com/fieldsafety/harzard/harzard_show.php?rid=2997&amp;url=harzardrecs.php","扒焦小屋西侧的护栏下端腐蚀严重，一操作工在靠近栏杆干活时不慎跌落摔伤")</f>
        <v>扒焦小屋西侧的护栏下端腐蚀严重，一操作工在靠近栏杆干活时不慎跌落摔伤</v>
      </c>
      <c r="E77" s="19" t="s">
        <v>506</v>
      </c>
      <c r="F77" s="20" t="s">
        <v>42</v>
      </c>
      <c r="G77" s="21" t="s">
        <v>43</v>
      </c>
      <c r="H77" s="19" t="s">
        <v>44</v>
      </c>
      <c r="I77" s="19" t="s">
        <v>45</v>
      </c>
      <c r="J77" s="19" t="s">
        <v>46</v>
      </c>
      <c r="K77" s="19" t="s">
        <v>47</v>
      </c>
      <c r="L77" s="19" t="s">
        <v>48</v>
      </c>
      <c r="M77" s="19" t="s">
        <v>101</v>
      </c>
      <c r="N77" s="19" t="s">
        <v>507</v>
      </c>
      <c r="O77" s="19" t="s">
        <v>101</v>
      </c>
      <c r="P77" s="19" t="s">
        <v>206</v>
      </c>
      <c r="Q77" s="19" t="s">
        <v>420</v>
      </c>
      <c r="R77" s="19" t="s">
        <v>508</v>
      </c>
      <c r="S77" s="19" t="s">
        <v>509</v>
      </c>
      <c r="T77" s="19" t="s">
        <v>41</v>
      </c>
      <c r="U77" s="19" t="s">
        <v>135</v>
      </c>
      <c r="V77" s="19" t="s">
        <v>106</v>
      </c>
      <c r="W77" s="19" t="s">
        <v>151</v>
      </c>
      <c r="X77" s="19" t="s">
        <v>69</v>
      </c>
      <c r="Y77" s="19"/>
      <c r="Z77" s="19" t="s">
        <v>510</v>
      </c>
      <c r="AA77" s="19">
        <v>1</v>
      </c>
      <c r="AB77" s="19">
        <v>1</v>
      </c>
      <c r="AC77" s="19" t="s">
        <v>58</v>
      </c>
      <c r="AD77" s="19" t="s">
        <v>206</v>
      </c>
      <c r="AE77" s="19" t="s">
        <v>260</v>
      </c>
      <c r="AF77" s="19"/>
    </row>
    <row r="78" spans="1:34" customHeight="1" ht="42">
      <c r="A78" s="19">
        <v>73</v>
      </c>
      <c r="B78" s="19" t="s">
        <v>71</v>
      </c>
      <c r="C78" s="19" t="s">
        <v>425</v>
      </c>
      <c r="D78" s="19" t="str">
        <f>HYPERLINK("http://henontech.com/fieldsafety/harzard/harzard_show.php?rid=2998&amp;url=harzardrecs.php","15#炉门衡栓不到位，炉门意外掉落，砸伤一名在此干活的员工，随即送医抢救无效死亡")</f>
        <v>15#炉门衡栓不到位，炉门意外掉落，砸伤一名在此干活的员工，随即送医抢救无效死亡</v>
      </c>
      <c r="E78" s="19" t="s">
        <v>511</v>
      </c>
      <c r="F78" s="23" t="s">
        <v>187</v>
      </c>
      <c r="G78" s="24" t="s">
        <v>254</v>
      </c>
      <c r="H78" s="19" t="s">
        <v>44</v>
      </c>
      <c r="I78" s="19" t="s">
        <v>45</v>
      </c>
      <c r="J78" s="19" t="s">
        <v>46</v>
      </c>
      <c r="K78" s="19" t="s">
        <v>47</v>
      </c>
      <c r="L78" s="19" t="s">
        <v>48</v>
      </c>
      <c r="M78" s="19" t="s">
        <v>101</v>
      </c>
      <c r="N78" s="19" t="s">
        <v>512</v>
      </c>
      <c r="O78" s="19" t="s">
        <v>101</v>
      </c>
      <c r="P78" s="19" t="s">
        <v>513</v>
      </c>
      <c r="Q78" s="19" t="s">
        <v>191</v>
      </c>
      <c r="R78" s="19" t="s">
        <v>514</v>
      </c>
      <c r="S78" s="19"/>
      <c r="T78" s="19" t="s">
        <v>41</v>
      </c>
      <c r="U78" s="19" t="s">
        <v>195</v>
      </c>
      <c r="V78" s="19" t="s">
        <v>106</v>
      </c>
      <c r="W78" s="19" t="s">
        <v>196</v>
      </c>
      <c r="X78" s="19" t="s">
        <v>258</v>
      </c>
      <c r="Y78" s="19"/>
      <c r="Z78" s="19" t="s">
        <v>515</v>
      </c>
      <c r="AA78" s="19">
        <v>2</v>
      </c>
      <c r="AB78" s="19"/>
      <c r="AC78" s="19" t="s">
        <v>162</v>
      </c>
      <c r="AD78" s="19"/>
      <c r="AE78" s="19"/>
      <c r="AF78" s="19"/>
    </row>
    <row r="79" spans="1:34">
      <c r="A79" s="19">
        <v>74</v>
      </c>
      <c r="B79" s="19" t="s">
        <v>71</v>
      </c>
      <c r="C79" s="19" t="s">
        <v>73</v>
      </c>
      <c r="D79" s="19" t="str">
        <f>HYPERLINK("http://henontech.com/fieldsafety/harzard/harzard_show.php?rid=2999&amp;url=harzardrecs.php","33#水封处踏步不规范，如果操作工站在上面进行开关阀门作业时，站立不稳，从其上部跌落，可能造成脚踝受伤，送医院治疗")</f>
        <v>33#水封处踏步不规范，如果操作工站在上面进行开关阀门作业时，站立不稳，从其上部跌落，可能造成脚踝受伤，送医院治疗</v>
      </c>
      <c r="E79" s="19" t="s">
        <v>516</v>
      </c>
      <c r="F79" s="20" t="s">
        <v>42</v>
      </c>
      <c r="G79" s="21" t="s">
        <v>43</v>
      </c>
      <c r="H79" s="19" t="s">
        <v>44</v>
      </c>
      <c r="I79" s="19" t="s">
        <v>75</v>
      </c>
      <c r="J79" s="19" t="s">
        <v>46</v>
      </c>
      <c r="K79" s="19" t="s">
        <v>47</v>
      </c>
      <c r="L79" s="19"/>
      <c r="M79" s="19" t="s">
        <v>49</v>
      </c>
      <c r="N79" s="19" t="s">
        <v>517</v>
      </c>
      <c r="O79" s="19" t="s">
        <v>49</v>
      </c>
      <c r="P79" s="19" t="s">
        <v>51</v>
      </c>
      <c r="Q79" s="19" t="s">
        <v>468</v>
      </c>
      <c r="R79" s="19" t="s">
        <v>518</v>
      </c>
      <c r="S79" s="19"/>
      <c r="T79" s="19" t="s">
        <v>41</v>
      </c>
      <c r="U79" s="19" t="s">
        <v>135</v>
      </c>
      <c r="V79" s="19" t="s">
        <v>55</v>
      </c>
      <c r="W79" s="19" t="s">
        <v>107</v>
      </c>
      <c r="X79" s="19"/>
      <c r="Y79" s="19"/>
      <c r="Z79" s="19" t="s">
        <v>519</v>
      </c>
      <c r="AA79" s="19">
        <v>1</v>
      </c>
      <c r="AB79" s="19">
        <v>1</v>
      </c>
      <c r="AC79" s="19" t="s">
        <v>58</v>
      </c>
      <c r="AD79" s="19" t="s">
        <v>51</v>
      </c>
      <c r="AE79" s="19" t="s">
        <v>520</v>
      </c>
      <c r="AF79" s="19"/>
    </row>
    <row r="80" spans="1:34">
      <c r="A80" s="19">
        <v>75</v>
      </c>
      <c r="B80" s="19" t="s">
        <v>465</v>
      </c>
      <c r="C80" s="19" t="s">
        <v>293</v>
      </c>
      <c r="D80" s="19" t="str">
        <f>HYPERLINK("http://henontech.com/fieldsafety/harzard/harzard_show.php?rid=3000&amp;url=harzardrecs.php","因工具未按定置摆放，一名操作工在巡检时被放置在槽钢上的钎子绊倒受伤，送医检查，手腕脱臼，在家休息两天后复工")</f>
        <v>因工具未按定置摆放，一名操作工在巡检时被放置在槽钢上的钎子绊倒受伤，送医检查，手腕脱臼，在家休息两天后复工</v>
      </c>
      <c r="E80" s="19" t="s">
        <v>521</v>
      </c>
      <c r="F80" s="20" t="s">
        <v>42</v>
      </c>
      <c r="G80" s="25" t="s">
        <v>264</v>
      </c>
      <c r="H80" s="19" t="s">
        <v>44</v>
      </c>
      <c r="I80" s="19" t="s">
        <v>45</v>
      </c>
      <c r="J80" s="19" t="s">
        <v>46</v>
      </c>
      <c r="K80" s="19" t="s">
        <v>129</v>
      </c>
      <c r="L80" s="19" t="s">
        <v>372</v>
      </c>
      <c r="M80" s="19" t="s">
        <v>266</v>
      </c>
      <c r="N80" s="19" t="s">
        <v>522</v>
      </c>
      <c r="O80" s="19" t="s">
        <v>266</v>
      </c>
      <c r="P80" s="19" t="s">
        <v>303</v>
      </c>
      <c r="Q80" s="19" t="s">
        <v>315</v>
      </c>
      <c r="R80" s="19" t="s">
        <v>523</v>
      </c>
      <c r="S80" s="19"/>
      <c r="T80" s="19" t="s">
        <v>41</v>
      </c>
      <c r="U80" s="19" t="s">
        <v>54</v>
      </c>
      <c r="V80" s="19" t="s">
        <v>106</v>
      </c>
      <c r="W80" s="19" t="s">
        <v>107</v>
      </c>
      <c r="X80" s="19"/>
      <c r="Y80" s="19"/>
      <c r="Z80" s="19" t="s">
        <v>524</v>
      </c>
      <c r="AA80" s="19">
        <v>1</v>
      </c>
      <c r="AB80" s="19">
        <v>1</v>
      </c>
      <c r="AC80" s="19" t="s">
        <v>58</v>
      </c>
      <c r="AD80" s="19" t="s">
        <v>303</v>
      </c>
      <c r="AE80" s="19" t="s">
        <v>315</v>
      </c>
      <c r="AF80" s="19"/>
    </row>
    <row r="81" spans="1:34">
      <c r="A81" s="19">
        <v>76</v>
      </c>
      <c r="B81" s="19" t="s">
        <v>465</v>
      </c>
      <c r="C81" s="19" t="s">
        <v>211</v>
      </c>
      <c r="D81" s="19" t="str">
        <f>HYPERLINK("http://henontech.com/fieldsafety/harzard/harzard_show.php?rid=3001&amp;url=harzardrecs.php","行车底部无遮栏，如果一巡检工训练至此，有异物发生坠落，将右脚面砸伤，送医院就医，住院7天，在家修养一月，损工38天")</f>
        <v>行车底部无遮栏，如果一巡检工训练至此，有异物发生坠落，将右脚面砸伤，送医院就医，住院7天，在家修养一月，损工38天</v>
      </c>
      <c r="E81" s="19" t="s">
        <v>525</v>
      </c>
      <c r="F81" s="22" t="s">
        <v>157</v>
      </c>
      <c r="G81" s="21" t="s">
        <v>43</v>
      </c>
      <c r="H81" s="19" t="s">
        <v>44</v>
      </c>
      <c r="I81" s="19" t="s">
        <v>117</v>
      </c>
      <c r="J81" s="19" t="s">
        <v>91</v>
      </c>
      <c r="K81" s="19" t="s">
        <v>100</v>
      </c>
      <c r="L81" s="19" t="s">
        <v>48</v>
      </c>
      <c r="M81" s="19" t="s">
        <v>130</v>
      </c>
      <c r="N81" s="19" t="s">
        <v>526</v>
      </c>
      <c r="O81" s="19"/>
      <c r="P81" s="19"/>
      <c r="Q81" s="19"/>
      <c r="R81" s="19" t="s">
        <v>527</v>
      </c>
      <c r="S81" s="19" t="s">
        <v>528</v>
      </c>
      <c r="T81" s="19" t="s">
        <v>41</v>
      </c>
      <c r="U81" s="19" t="s">
        <v>135</v>
      </c>
      <c r="V81" s="19" t="s">
        <v>106</v>
      </c>
      <c r="W81" s="19" t="s">
        <v>151</v>
      </c>
      <c r="X81" s="19"/>
      <c r="Y81" s="19"/>
      <c r="Z81" s="19"/>
      <c r="AA81" s="19">
        <v>0</v>
      </c>
      <c r="AB81" s="19"/>
      <c r="AC81" s="19" t="s">
        <v>162</v>
      </c>
      <c r="AD81" s="19"/>
      <c r="AE81" s="19"/>
      <c r="AF81" s="19"/>
    </row>
    <row r="82" spans="1:34">
      <c r="A82" s="19">
        <v>77</v>
      </c>
      <c r="B82" s="19" t="s">
        <v>465</v>
      </c>
      <c r="C82" s="19" t="s">
        <v>211</v>
      </c>
      <c r="D82" s="19" t="str">
        <f>HYPERLINK("http://henontech.com/fieldsafety/harzard/harzard_show.php?rid=3002&amp;url=harzardrecs.php","行车底部无遮栏，如果一巡检工训练至此，有异物发生坠落，将右脚面砸伤，送医院就医，住院7天，在家修养一月，损工38天")</f>
        <v>行车底部无遮栏，如果一巡检工训练至此，有异物发生坠落，将右脚面砸伤，送医院就医，住院7天，在家修养一月，损工38天</v>
      </c>
      <c r="E82" s="19" t="s">
        <v>525</v>
      </c>
      <c r="F82" s="22" t="s">
        <v>157</v>
      </c>
      <c r="G82" s="21" t="s">
        <v>43</v>
      </c>
      <c r="H82" s="19" t="s">
        <v>44</v>
      </c>
      <c r="I82" s="19" t="s">
        <v>117</v>
      </c>
      <c r="J82" s="19" t="s">
        <v>91</v>
      </c>
      <c r="K82" s="19" t="s">
        <v>100</v>
      </c>
      <c r="L82" s="19" t="s">
        <v>48</v>
      </c>
      <c r="M82" s="19" t="s">
        <v>130</v>
      </c>
      <c r="N82" s="19" t="s">
        <v>526</v>
      </c>
      <c r="O82" s="19"/>
      <c r="P82" s="19"/>
      <c r="Q82" s="19"/>
      <c r="R82" s="19" t="s">
        <v>527</v>
      </c>
      <c r="S82" s="19" t="s">
        <v>529</v>
      </c>
      <c r="T82" s="19" t="s">
        <v>41</v>
      </c>
      <c r="U82" s="19" t="s">
        <v>135</v>
      </c>
      <c r="V82" s="19" t="s">
        <v>106</v>
      </c>
      <c r="W82" s="19" t="s">
        <v>151</v>
      </c>
      <c r="X82" s="19"/>
      <c r="Y82" s="19"/>
      <c r="Z82" s="19"/>
      <c r="AA82" s="19">
        <v>0</v>
      </c>
      <c r="AB82" s="19"/>
      <c r="AC82" s="19" t="s">
        <v>162</v>
      </c>
      <c r="AD82" s="19"/>
      <c r="AE82" s="19"/>
      <c r="AF82" s="19"/>
    </row>
    <row r="83" spans="1:34">
      <c r="A83" s="19">
        <v>78</v>
      </c>
      <c r="B83" s="19" t="s">
        <v>465</v>
      </c>
      <c r="C83" s="19" t="s">
        <v>530</v>
      </c>
      <c r="D83" s="19" t="str">
        <f>HYPERLINK("http://henontech.com/fieldsafety/harzard/harzard_show.php?rid=3003&amp;url=harzardrecs.php","一名操作工在巡检时，管道支架脱落砸伤手臂，医院治疗五天，后正常工作，损工五天。")</f>
        <v>一名操作工在巡检时，管道支架脱落砸伤手臂，医院治疗五天，后正常工作，损工五天。</v>
      </c>
      <c r="E83" s="19" t="s">
        <v>531</v>
      </c>
      <c r="F83" s="20" t="s">
        <v>42</v>
      </c>
      <c r="G83" s="21" t="s">
        <v>43</v>
      </c>
      <c r="H83" s="19" t="s">
        <v>44</v>
      </c>
      <c r="I83" s="19" t="s">
        <v>75</v>
      </c>
      <c r="J83" s="19" t="s">
        <v>46</v>
      </c>
      <c r="K83" s="19" t="s">
        <v>47</v>
      </c>
      <c r="L83" s="19" t="s">
        <v>48</v>
      </c>
      <c r="M83" s="19" t="s">
        <v>49</v>
      </c>
      <c r="N83" s="19" t="s">
        <v>532</v>
      </c>
      <c r="O83" s="19" t="s">
        <v>49</v>
      </c>
      <c r="P83" s="19" t="s">
        <v>51</v>
      </c>
      <c r="Q83" s="19" t="s">
        <v>468</v>
      </c>
      <c r="R83" s="19" t="s">
        <v>533</v>
      </c>
      <c r="S83" s="19"/>
      <c r="T83" s="19" t="s">
        <v>41</v>
      </c>
      <c r="U83" s="19" t="s">
        <v>135</v>
      </c>
      <c r="V83" s="19" t="s">
        <v>106</v>
      </c>
      <c r="W83" s="19" t="s">
        <v>151</v>
      </c>
      <c r="X83" s="19"/>
      <c r="Y83" s="19"/>
      <c r="Z83" s="19" t="s">
        <v>534</v>
      </c>
      <c r="AA83" s="19">
        <v>1</v>
      </c>
      <c r="AB83" s="19">
        <v>1</v>
      </c>
      <c r="AC83" s="19" t="s">
        <v>58</v>
      </c>
      <c r="AD83" s="19" t="s">
        <v>51</v>
      </c>
      <c r="AE83" s="19" t="s">
        <v>535</v>
      </c>
      <c r="AF83" s="19" t="s">
        <v>536</v>
      </c>
    </row>
    <row r="84" spans="1:34">
      <c r="A84" s="19">
        <v>79</v>
      </c>
      <c r="B84" s="19" t="s">
        <v>465</v>
      </c>
      <c r="C84" s="19" t="s">
        <v>537</v>
      </c>
      <c r="D84" s="19" t="str">
        <f>HYPERLINK("http://henontech.com/fieldsafety/harzard/harzard_show.php?rid=3004&amp;url=harzardrecs.php","两盐冷凝液泵连轴器防护罩缺失，可能会造成一操作工因安全风险辨识不足，用棉纱擦拭该转到设备时手部造成缠绕挤伤")</f>
        <v>两盐冷凝液泵连轴器防护罩缺失，可能会造成一操作工因安全风险辨识不足，用棉纱擦拭该转到设备时手部造成缠绕挤伤</v>
      </c>
      <c r="E84" s="19" t="s">
        <v>538</v>
      </c>
      <c r="F84" s="20" t="s">
        <v>42</v>
      </c>
      <c r="G84" s="21" t="s">
        <v>43</v>
      </c>
      <c r="H84" s="19" t="s">
        <v>44</v>
      </c>
      <c r="I84" s="19" t="s">
        <v>75</v>
      </c>
      <c r="J84" s="19" t="s">
        <v>91</v>
      </c>
      <c r="K84" s="19" t="s">
        <v>129</v>
      </c>
      <c r="L84" s="19" t="s">
        <v>48</v>
      </c>
      <c r="M84" s="19" t="s">
        <v>49</v>
      </c>
      <c r="N84" s="19" t="s">
        <v>539</v>
      </c>
      <c r="O84" s="19" t="s">
        <v>49</v>
      </c>
      <c r="P84" s="19" t="s">
        <v>51</v>
      </c>
      <c r="Q84" s="19" t="s">
        <v>468</v>
      </c>
      <c r="R84" s="19" t="s">
        <v>540</v>
      </c>
      <c r="S84" s="19"/>
      <c r="T84" s="19" t="s">
        <v>41</v>
      </c>
      <c r="U84" s="19" t="s">
        <v>135</v>
      </c>
      <c r="V84" s="19" t="s">
        <v>55</v>
      </c>
      <c r="W84" s="19" t="s">
        <v>107</v>
      </c>
      <c r="X84" s="19"/>
      <c r="Y84" s="19"/>
      <c r="Z84" s="19" t="s">
        <v>541</v>
      </c>
      <c r="AA84" s="19">
        <v>1</v>
      </c>
      <c r="AB84" s="19">
        <v>1</v>
      </c>
      <c r="AC84" s="19" t="s">
        <v>58</v>
      </c>
      <c r="AD84" s="19" t="s">
        <v>51</v>
      </c>
      <c r="AE84" s="19" t="s">
        <v>260</v>
      </c>
      <c r="AF84" s="19"/>
    </row>
    <row r="85" spans="1:34">
      <c r="A85" s="19">
        <v>80</v>
      </c>
      <c r="B85" s="19" t="s">
        <v>535</v>
      </c>
      <c r="C85" s="19" t="s">
        <v>81</v>
      </c>
      <c r="D85" s="19" t="str">
        <f>HYPERLINK("http://henontech.com/fieldsafety/harzard/harzard_show.php?rid=3005&amp;url=harzardrecs.php","南脱硫溶液循环槽顶北侧高6米护栏腐蚀掉落，假如一操作工在靠近护栏操作时不慎坠落，可能会造成头部着地，身体多处损伤。")</f>
        <v>南脱硫溶液循环槽顶北侧高6米护栏腐蚀掉落，假如一操作工在靠近护栏操作时不慎坠落，可能会造成头部着地，身体多处损伤。</v>
      </c>
      <c r="E85" s="19" t="s">
        <v>542</v>
      </c>
      <c r="F85" s="20" t="s">
        <v>42</v>
      </c>
      <c r="G85" s="21" t="s">
        <v>43</v>
      </c>
      <c r="H85" s="19" t="s">
        <v>44</v>
      </c>
      <c r="I85" s="19"/>
      <c r="J85" s="19" t="s">
        <v>46</v>
      </c>
      <c r="K85" s="19"/>
      <c r="L85" s="19"/>
      <c r="M85" s="19" t="s">
        <v>49</v>
      </c>
      <c r="N85" s="19" t="s">
        <v>467</v>
      </c>
      <c r="O85" s="19" t="s">
        <v>49</v>
      </c>
      <c r="P85" s="19" t="s">
        <v>51</v>
      </c>
      <c r="Q85" s="19" t="s">
        <v>237</v>
      </c>
      <c r="R85" s="19" t="s">
        <v>543</v>
      </c>
      <c r="S85" s="19"/>
      <c r="T85" s="19" t="s">
        <v>41</v>
      </c>
      <c r="U85" s="19" t="s">
        <v>195</v>
      </c>
      <c r="V85" s="19" t="s">
        <v>106</v>
      </c>
      <c r="W85" s="19" t="s">
        <v>196</v>
      </c>
      <c r="X85" s="19"/>
      <c r="Y85" s="19"/>
      <c r="Z85" s="19" t="s">
        <v>544</v>
      </c>
      <c r="AA85" s="19">
        <v>1</v>
      </c>
      <c r="AB85" s="19">
        <v>1</v>
      </c>
      <c r="AC85" s="19" t="s">
        <v>58</v>
      </c>
      <c r="AD85" s="19" t="s">
        <v>51</v>
      </c>
      <c r="AE85" s="19" t="s">
        <v>88</v>
      </c>
      <c r="AF85" s="19"/>
    </row>
    <row r="86" spans="1:34" customHeight="1" ht="42">
      <c r="A86" s="19">
        <v>81</v>
      </c>
      <c r="B86" s="19" t="s">
        <v>465</v>
      </c>
      <c r="C86" s="19" t="s">
        <v>300</v>
      </c>
      <c r="D86" s="19" t="str">
        <f>HYPERLINK("http://henontech.com/fieldsafety/harzard/harzard_show.php?rid=3006&amp;url=harzardrecs.php","东一地沟水沟篦子覆盖不到位，人员巡检经过时，不慎掉入水沟，造成腿部骨折，住院治疗一个月，在家休养两个月")</f>
        <v>东一地沟水沟篦子覆盖不到位，人员巡检经过时，不慎掉入水沟，造成腿部骨折，住院治疗一个月，在家休养两个月</v>
      </c>
      <c r="E86" s="19" t="s">
        <v>545</v>
      </c>
      <c r="F86" s="20" t="s">
        <v>42</v>
      </c>
      <c r="G86" s="25" t="s">
        <v>264</v>
      </c>
      <c r="H86" s="19" t="s">
        <v>44</v>
      </c>
      <c r="I86" s="19" t="s">
        <v>45</v>
      </c>
      <c r="J86" s="19" t="s">
        <v>91</v>
      </c>
      <c r="K86" s="19" t="s">
        <v>129</v>
      </c>
      <c r="L86" s="19" t="s">
        <v>48</v>
      </c>
      <c r="M86" s="19" t="s">
        <v>266</v>
      </c>
      <c r="N86" s="19" t="s">
        <v>546</v>
      </c>
      <c r="O86" s="19" t="s">
        <v>266</v>
      </c>
      <c r="P86" s="19" t="s">
        <v>268</v>
      </c>
      <c r="Q86" s="19" t="s">
        <v>240</v>
      </c>
      <c r="R86" s="19" t="s">
        <v>547</v>
      </c>
      <c r="S86" s="19" t="s">
        <v>548</v>
      </c>
      <c r="T86" s="19" t="s">
        <v>41</v>
      </c>
      <c r="U86" s="19" t="s">
        <v>135</v>
      </c>
      <c r="V86" s="19" t="s">
        <v>106</v>
      </c>
      <c r="W86" s="19" t="s">
        <v>151</v>
      </c>
      <c r="X86" s="19" t="s">
        <v>197</v>
      </c>
      <c r="Y86" s="19" t="s">
        <v>197</v>
      </c>
      <c r="Z86" s="19" t="s">
        <v>549</v>
      </c>
      <c r="AA86" s="19">
        <v>2</v>
      </c>
      <c r="AB86" s="19">
        <v>2</v>
      </c>
      <c r="AC86" s="19" t="s">
        <v>58</v>
      </c>
      <c r="AD86" s="19" t="s">
        <v>268</v>
      </c>
      <c r="AE86" s="19" t="s">
        <v>535</v>
      </c>
      <c r="AF86" s="19" t="s">
        <v>550</v>
      </c>
    </row>
    <row r="87" spans="1:34">
      <c r="A87" s="19">
        <v>82</v>
      </c>
      <c r="B87" s="19" t="s">
        <v>465</v>
      </c>
      <c r="C87" s="19" t="s">
        <v>89</v>
      </c>
      <c r="D87" s="19" t="str">
        <f>HYPERLINK("http://henontech.com/fieldsafety/harzard/harzard_show.php?rid=3007&amp;url=harzardrecs.php","北脱硫溶液槽安全警示牌悬挂不规范，一名操作工夜间巡检溶液槽时，视线不好，下爬梯时，碰到警示牌一角，滑倒在地，立即送医院。")</f>
        <v>北脱硫溶液槽安全警示牌悬挂不规范，一名操作工夜间巡检溶液槽时，视线不好，下爬梯时，碰到警示牌一角，滑倒在地，立即送医院。</v>
      </c>
      <c r="E87" s="19" t="s">
        <v>551</v>
      </c>
      <c r="F87" s="20" t="s">
        <v>42</v>
      </c>
      <c r="G87" s="21" t="s">
        <v>43</v>
      </c>
      <c r="H87" s="19" t="s">
        <v>44</v>
      </c>
      <c r="I87" s="19" t="s">
        <v>75</v>
      </c>
      <c r="J87" s="19" t="s">
        <v>46</v>
      </c>
      <c r="K87" s="19" t="s">
        <v>47</v>
      </c>
      <c r="L87" s="19"/>
      <c r="M87" s="19" t="s">
        <v>49</v>
      </c>
      <c r="N87" s="19" t="s">
        <v>181</v>
      </c>
      <c r="O87" s="19" t="s">
        <v>49</v>
      </c>
      <c r="P87" s="19" t="s">
        <v>51</v>
      </c>
      <c r="Q87" s="19" t="s">
        <v>237</v>
      </c>
      <c r="R87" s="19" t="s">
        <v>552</v>
      </c>
      <c r="S87" s="19"/>
      <c r="T87" s="19" t="s">
        <v>41</v>
      </c>
      <c r="U87" s="19" t="s">
        <v>135</v>
      </c>
      <c r="V87" s="19" t="s">
        <v>55</v>
      </c>
      <c r="W87" s="19" t="s">
        <v>107</v>
      </c>
      <c r="X87" s="19"/>
      <c r="Y87" s="19"/>
      <c r="Z87" s="19" t="s">
        <v>553</v>
      </c>
      <c r="AA87" s="19">
        <v>1</v>
      </c>
      <c r="AB87" s="19">
        <v>1</v>
      </c>
      <c r="AC87" s="19" t="s">
        <v>58</v>
      </c>
      <c r="AD87" s="19" t="s">
        <v>51</v>
      </c>
      <c r="AE87" s="19" t="s">
        <v>88</v>
      </c>
      <c r="AF87" s="19"/>
    </row>
    <row r="88" spans="1:34">
      <c r="A88" s="19">
        <v>83</v>
      </c>
      <c r="B88" s="19" t="s">
        <v>535</v>
      </c>
      <c r="C88" s="19" t="s">
        <v>73</v>
      </c>
      <c r="D88" s="19" t="str">
        <f>HYPERLINK("http://henontech.com/fieldsafety/harzard/harzard_show.php?rid=3008&amp;url=harzardrecs.php","粗苯计量槽爬梯接近顶部处有铁皮，由于气候原因春天风大，操作工在日常巡检过程中途经此处，铁皮被大风刮落，容易导致操作工面部划伤")</f>
        <v>粗苯计量槽爬梯接近顶部处有铁皮，由于气候原因春天风大，操作工在日常巡检过程中途经此处，铁皮被大风刮落，容易导致操作工面部划伤</v>
      </c>
      <c r="E88" s="19" t="s">
        <v>554</v>
      </c>
      <c r="F88" s="20" t="s">
        <v>42</v>
      </c>
      <c r="G88" s="21" t="s">
        <v>43</v>
      </c>
      <c r="H88" s="19" t="s">
        <v>44</v>
      </c>
      <c r="I88" s="19" t="s">
        <v>75</v>
      </c>
      <c r="J88" s="19" t="s">
        <v>46</v>
      </c>
      <c r="K88" s="19" t="s">
        <v>47</v>
      </c>
      <c r="L88" s="19"/>
      <c r="M88" s="19" t="s">
        <v>49</v>
      </c>
      <c r="N88" s="19" t="s">
        <v>77</v>
      </c>
      <c r="O88" s="19" t="s">
        <v>49</v>
      </c>
      <c r="P88" s="19" t="s">
        <v>51</v>
      </c>
      <c r="Q88" s="19" t="s">
        <v>237</v>
      </c>
      <c r="R88" s="19" t="s">
        <v>555</v>
      </c>
      <c r="S88" s="19"/>
      <c r="T88" s="19" t="s">
        <v>41</v>
      </c>
      <c r="U88" s="19" t="s">
        <v>54</v>
      </c>
      <c r="V88" s="19" t="s">
        <v>55</v>
      </c>
      <c r="W88" s="19" t="s">
        <v>56</v>
      </c>
      <c r="X88" s="19"/>
      <c r="Y88" s="19"/>
      <c r="Z88" s="19" t="s">
        <v>556</v>
      </c>
      <c r="AA88" s="19">
        <v>1</v>
      </c>
      <c r="AB88" s="19">
        <v>1</v>
      </c>
      <c r="AC88" s="19" t="s">
        <v>58</v>
      </c>
      <c r="AD88" s="19" t="s">
        <v>51</v>
      </c>
      <c r="AE88" s="19" t="s">
        <v>260</v>
      </c>
      <c r="AF88" s="19"/>
    </row>
    <row r="89" spans="1:34">
      <c r="A89" s="19">
        <v>84</v>
      </c>
      <c r="B89" s="19" t="s">
        <v>535</v>
      </c>
      <c r="C89" s="19" t="s">
        <v>300</v>
      </c>
      <c r="D89" s="19" t="str">
        <f>HYPERLINK("http://henontech.com/fieldsafety/harzard/harzard_show.php?rid=3009&amp;url=harzardrecs.php","因工具室内电源插排用电过载，导致电源线路烧毁，引发火灾，在扑救过程中造成一人头部烧伤，送医治疗20天，在家休养10天复工。")</f>
        <v>因工具室内电源插排用电过载，导致电源线路烧毁，引发火灾，在扑救过程中造成一人头部烧伤，送医治疗20天，在家休养10天复工。</v>
      </c>
      <c r="E89" s="19" t="s">
        <v>557</v>
      </c>
      <c r="F89" s="20" t="s">
        <v>42</v>
      </c>
      <c r="G89" s="25" t="s">
        <v>264</v>
      </c>
      <c r="H89" s="19" t="s">
        <v>44</v>
      </c>
      <c r="I89" s="19" t="s">
        <v>75</v>
      </c>
      <c r="J89" s="19" t="s">
        <v>284</v>
      </c>
      <c r="K89" s="19" t="s">
        <v>129</v>
      </c>
      <c r="L89" s="19"/>
      <c r="M89" s="19" t="s">
        <v>266</v>
      </c>
      <c r="N89" s="19" t="s">
        <v>303</v>
      </c>
      <c r="O89" s="19" t="s">
        <v>266</v>
      </c>
      <c r="P89" s="19" t="s">
        <v>303</v>
      </c>
      <c r="Q89" s="19" t="s">
        <v>315</v>
      </c>
      <c r="R89" s="19" t="s">
        <v>558</v>
      </c>
      <c r="S89" s="19"/>
      <c r="T89" s="19" t="s">
        <v>41</v>
      </c>
      <c r="U89" s="19" t="s">
        <v>135</v>
      </c>
      <c r="V89" s="19" t="s">
        <v>55</v>
      </c>
      <c r="W89" s="19" t="s">
        <v>107</v>
      </c>
      <c r="X89" s="19"/>
      <c r="Y89" s="19"/>
      <c r="Z89" s="19" t="s">
        <v>559</v>
      </c>
      <c r="AA89" s="19">
        <v>1</v>
      </c>
      <c r="AB89" s="19">
        <v>1</v>
      </c>
      <c r="AC89" s="19" t="s">
        <v>58</v>
      </c>
      <c r="AD89" s="19" t="s">
        <v>303</v>
      </c>
      <c r="AE89" s="19" t="s">
        <v>315</v>
      </c>
      <c r="AF89" s="19"/>
    </row>
    <row r="90" spans="1:34">
      <c r="A90" s="19">
        <v>85</v>
      </c>
      <c r="B90" s="19" t="s">
        <v>535</v>
      </c>
      <c r="C90" s="19" t="s">
        <v>300</v>
      </c>
      <c r="D90" s="19" t="str">
        <f>HYPERLINK("http://henontech.com/fieldsafety/harzard/harzard_show.php?rid=3010&amp;url=harzardrecs.php","因工具室内电源插排用电过载，导致电源线路烧毁，引发火灾，在扑救过程中造成一人头部烧伤，送医治疗20天，在家休养10天后复工。")</f>
        <v>因工具室内电源插排用电过载，导致电源线路烧毁，引发火灾，在扑救过程中造成一人头部烧伤，送医治疗20天，在家休养10天后复工。</v>
      </c>
      <c r="E90" s="19" t="s">
        <v>557</v>
      </c>
      <c r="F90" s="20" t="s">
        <v>42</v>
      </c>
      <c r="G90" s="25" t="s">
        <v>264</v>
      </c>
      <c r="H90" s="19" t="s">
        <v>44</v>
      </c>
      <c r="I90" s="19" t="s">
        <v>75</v>
      </c>
      <c r="J90" s="19" t="s">
        <v>284</v>
      </c>
      <c r="K90" s="19" t="s">
        <v>129</v>
      </c>
      <c r="L90" s="19"/>
      <c r="M90" s="19" t="s">
        <v>266</v>
      </c>
      <c r="N90" s="19" t="s">
        <v>303</v>
      </c>
      <c r="O90" s="19" t="s">
        <v>266</v>
      </c>
      <c r="P90" s="19" t="s">
        <v>303</v>
      </c>
      <c r="Q90" s="19" t="s">
        <v>315</v>
      </c>
      <c r="R90" s="19" t="s">
        <v>558</v>
      </c>
      <c r="S90" s="19"/>
      <c r="T90" s="19" t="s">
        <v>41</v>
      </c>
      <c r="U90" s="19" t="s">
        <v>135</v>
      </c>
      <c r="V90" s="19" t="s">
        <v>55</v>
      </c>
      <c r="W90" s="19" t="s">
        <v>107</v>
      </c>
      <c r="X90" s="19"/>
      <c r="Y90" s="19"/>
      <c r="Z90" s="19" t="s">
        <v>560</v>
      </c>
      <c r="AA90" s="19">
        <v>1</v>
      </c>
      <c r="AB90" s="19">
        <v>1</v>
      </c>
      <c r="AC90" s="19" t="s">
        <v>58</v>
      </c>
      <c r="AD90" s="19" t="s">
        <v>303</v>
      </c>
      <c r="AE90" s="19" t="s">
        <v>315</v>
      </c>
      <c r="AF90" s="19"/>
    </row>
    <row r="91" spans="1:34">
      <c r="A91" s="19">
        <v>86</v>
      </c>
      <c r="B91" s="19" t="s">
        <v>535</v>
      </c>
      <c r="C91" s="19" t="s">
        <v>530</v>
      </c>
      <c r="D91" s="19" t="str">
        <f>HYPERLINK("http://henontech.com/fieldsafety/harzard/harzard_show.php?rid=3011&amp;url=harzardrecs.php","西硫铵西饱和器爬梯腐蚀严重，一名操作工夜间巡检时，照明设施不良，未抓牢扶手，踏空踏板滑落，造成右脚韧带扭伤，就医后在家休息半月！")</f>
        <v>西硫铵西饱和器爬梯腐蚀严重，一名操作工夜间巡检时，照明设施不良，未抓牢扶手，踏空踏板滑落，造成右脚韧带扭伤，就医后在家休息半月！</v>
      </c>
      <c r="E91" s="19" t="s">
        <v>561</v>
      </c>
      <c r="F91" s="20" t="s">
        <v>42</v>
      </c>
      <c r="G91" s="21" t="s">
        <v>43</v>
      </c>
      <c r="H91" s="19" t="s">
        <v>44</v>
      </c>
      <c r="I91" s="19" t="s">
        <v>45</v>
      </c>
      <c r="J91" s="19" t="s">
        <v>188</v>
      </c>
      <c r="K91" s="19" t="s">
        <v>76</v>
      </c>
      <c r="L91" s="19" t="s">
        <v>48</v>
      </c>
      <c r="M91" s="19" t="s">
        <v>49</v>
      </c>
      <c r="N91" s="19" t="s">
        <v>562</v>
      </c>
      <c r="O91" s="19" t="s">
        <v>49</v>
      </c>
      <c r="P91" s="19" t="s">
        <v>51</v>
      </c>
      <c r="Q91" s="19" t="s">
        <v>237</v>
      </c>
      <c r="R91" s="19" t="s">
        <v>563</v>
      </c>
      <c r="S91" s="19"/>
      <c r="T91" s="19" t="s">
        <v>41</v>
      </c>
      <c r="U91" s="19" t="s">
        <v>135</v>
      </c>
      <c r="V91" s="19" t="s">
        <v>55</v>
      </c>
      <c r="W91" s="19" t="s">
        <v>107</v>
      </c>
      <c r="X91" s="19"/>
      <c r="Y91" s="19"/>
      <c r="Z91" s="19" t="s">
        <v>564</v>
      </c>
      <c r="AA91" s="19">
        <v>1</v>
      </c>
      <c r="AB91" s="19">
        <v>1</v>
      </c>
      <c r="AC91" s="19" t="s">
        <v>58</v>
      </c>
      <c r="AD91" s="19" t="s">
        <v>51</v>
      </c>
      <c r="AE91" s="19" t="s">
        <v>535</v>
      </c>
      <c r="AF91" s="19"/>
    </row>
    <row r="92" spans="1:34">
      <c r="A92" s="19">
        <v>87</v>
      </c>
      <c r="B92" s="19" t="s">
        <v>315</v>
      </c>
      <c r="C92" s="19" t="s">
        <v>356</v>
      </c>
      <c r="D92" s="19" t="str">
        <f>HYPERLINK("http://henontech.com/fieldsafety/harzard/harzard_show.php?rid=3012&amp;url=harzardrecs.php","一替班人员在清理西五后尾卫生时，头部不慎碰到横梁，感觉颈部不适，送医确诊为颈椎轻微损伤，回家修养3天后，复工。")</f>
        <v>一替班人员在清理西五后尾卫生时，头部不慎碰到横梁，感觉颈部不适，送医确诊为颈椎轻微损伤，回家修养3天后，复工。</v>
      </c>
      <c r="E92" s="19" t="s">
        <v>565</v>
      </c>
      <c r="F92" s="20" t="s">
        <v>42</v>
      </c>
      <c r="G92" s="25" t="s">
        <v>264</v>
      </c>
      <c r="H92" s="19" t="s">
        <v>44</v>
      </c>
      <c r="I92" s="19" t="s">
        <v>75</v>
      </c>
      <c r="J92" s="19" t="s">
        <v>566</v>
      </c>
      <c r="K92" s="19" t="s">
        <v>129</v>
      </c>
      <c r="L92" s="19" t="s">
        <v>48</v>
      </c>
      <c r="M92" s="19" t="s">
        <v>266</v>
      </c>
      <c r="N92" s="19" t="s">
        <v>567</v>
      </c>
      <c r="O92" s="19" t="s">
        <v>266</v>
      </c>
      <c r="P92" s="19" t="s">
        <v>303</v>
      </c>
      <c r="Q92" s="19" t="s">
        <v>88</v>
      </c>
      <c r="R92" s="19" t="s">
        <v>568</v>
      </c>
      <c r="S92" s="19" t="s">
        <v>569</v>
      </c>
      <c r="T92" s="19" t="s">
        <v>41</v>
      </c>
      <c r="U92" s="19" t="s">
        <v>54</v>
      </c>
      <c r="V92" s="19" t="s">
        <v>106</v>
      </c>
      <c r="W92" s="19" t="s">
        <v>107</v>
      </c>
      <c r="X92" s="19"/>
      <c r="Y92" s="19"/>
      <c r="Z92" s="19" t="s">
        <v>570</v>
      </c>
      <c r="AA92" s="19">
        <v>1</v>
      </c>
      <c r="AB92" s="19">
        <v>1</v>
      </c>
      <c r="AC92" s="19" t="s">
        <v>58</v>
      </c>
      <c r="AD92" s="19" t="s">
        <v>303</v>
      </c>
      <c r="AE92" s="19" t="s">
        <v>88</v>
      </c>
      <c r="AF92" s="19"/>
    </row>
    <row r="93" spans="1:34">
      <c r="A93" s="19">
        <v>88</v>
      </c>
      <c r="B93" s="19" t="s">
        <v>315</v>
      </c>
      <c r="C93" s="19" t="s">
        <v>175</v>
      </c>
      <c r="D93" s="19" t="str">
        <f>HYPERLINK("http://henontech.com/fieldsafety/harzard/harzard_show.php?rid=3013&amp;url=harzardrecs.php","初冷器顶部平台处有铝皮，由于天气原因风大，操作工在日常巡检经过初冷器时，铁皮被大风刮落，导致操作工面部划伤。")</f>
        <v>初冷器顶部平台处有铝皮，由于天气原因风大，操作工在日常巡检经过初冷器时，铁皮被大风刮落，导致操作工面部划伤。</v>
      </c>
      <c r="E93" s="19" t="s">
        <v>571</v>
      </c>
      <c r="F93" s="20" t="s">
        <v>42</v>
      </c>
      <c r="G93" s="21" t="s">
        <v>43</v>
      </c>
      <c r="H93" s="19" t="s">
        <v>44</v>
      </c>
      <c r="I93" s="19"/>
      <c r="J93" s="19" t="s">
        <v>91</v>
      </c>
      <c r="K93" s="19" t="s">
        <v>129</v>
      </c>
      <c r="L93" s="19" t="s">
        <v>48</v>
      </c>
      <c r="M93" s="19" t="s">
        <v>49</v>
      </c>
      <c r="N93" s="19" t="s">
        <v>572</v>
      </c>
      <c r="O93" s="19" t="s">
        <v>49</v>
      </c>
      <c r="P93" s="19" t="s">
        <v>51</v>
      </c>
      <c r="Q93" s="19" t="s">
        <v>191</v>
      </c>
      <c r="R93" s="19" t="s">
        <v>573</v>
      </c>
      <c r="S93" s="19"/>
      <c r="T93" s="19" t="s">
        <v>41</v>
      </c>
      <c r="U93" s="19" t="s">
        <v>54</v>
      </c>
      <c r="V93" s="19" t="s">
        <v>55</v>
      </c>
      <c r="W93" s="19" t="s">
        <v>56</v>
      </c>
      <c r="X93" s="19"/>
      <c r="Y93" s="19"/>
      <c r="Z93" s="19" t="s">
        <v>574</v>
      </c>
      <c r="AA93" s="19">
        <v>1</v>
      </c>
      <c r="AB93" s="19">
        <v>1</v>
      </c>
      <c r="AC93" s="19" t="s">
        <v>58</v>
      </c>
      <c r="AD93" s="19" t="s">
        <v>51</v>
      </c>
      <c r="AE93" s="19" t="s">
        <v>88</v>
      </c>
      <c r="AF93" s="19"/>
    </row>
    <row r="94" spans="1:34">
      <c r="A94" s="19">
        <v>89</v>
      </c>
      <c r="B94" s="19" t="s">
        <v>315</v>
      </c>
      <c r="C94" s="19" t="s">
        <v>496</v>
      </c>
      <c r="D94" s="19" t="str">
        <f>HYPERLINK("http://henontech.com/fieldsafety/harzard/harzard_show.php?rid=3014&amp;url=harzardrecs.php","两盐西侧排水沟盖板破损，如果一名巡检人员经过此处不小心踩到此盖板上面，有可能会因踩空造成腿部骨折，住院治疗15天后回家休养2个月。")</f>
        <v>两盐西侧排水沟盖板破损，如果一名巡检人员经过此处不小心踩到此盖板上面，有可能会因踩空造成腿部骨折，住院治疗15天后回家休养2个月。</v>
      </c>
      <c r="E94" s="19" t="s">
        <v>575</v>
      </c>
      <c r="F94" s="20" t="s">
        <v>42</v>
      </c>
      <c r="G94" s="21" t="s">
        <v>43</v>
      </c>
      <c r="H94" s="19" t="s">
        <v>44</v>
      </c>
      <c r="I94" s="19" t="s">
        <v>75</v>
      </c>
      <c r="J94" s="19" t="s">
        <v>46</v>
      </c>
      <c r="K94" s="19" t="s">
        <v>92</v>
      </c>
      <c r="L94" s="19" t="s">
        <v>48</v>
      </c>
      <c r="M94" s="19" t="s">
        <v>49</v>
      </c>
      <c r="N94" s="19" t="s">
        <v>576</v>
      </c>
      <c r="O94" s="19" t="s">
        <v>49</v>
      </c>
      <c r="P94" s="19" t="s">
        <v>51</v>
      </c>
      <c r="Q94" s="19" t="s">
        <v>191</v>
      </c>
      <c r="R94" s="19" t="s">
        <v>577</v>
      </c>
      <c r="S94" s="19"/>
      <c r="T94" s="19" t="s">
        <v>41</v>
      </c>
      <c r="U94" s="19" t="s">
        <v>135</v>
      </c>
      <c r="V94" s="19" t="s">
        <v>55</v>
      </c>
      <c r="W94" s="19" t="s">
        <v>107</v>
      </c>
      <c r="X94" s="19"/>
      <c r="Y94" s="19"/>
      <c r="Z94" s="19" t="s">
        <v>578</v>
      </c>
      <c r="AA94" s="19">
        <v>1</v>
      </c>
      <c r="AB94" s="19">
        <v>1</v>
      </c>
      <c r="AC94" s="19" t="s">
        <v>58</v>
      </c>
      <c r="AD94" s="19" t="s">
        <v>51</v>
      </c>
      <c r="AE94" s="19" t="s">
        <v>88</v>
      </c>
      <c r="AF94" s="19"/>
    </row>
    <row r="95" spans="1:34" customHeight="1" ht="42">
      <c r="A95" s="19">
        <v>90</v>
      </c>
      <c r="B95" s="19" t="s">
        <v>315</v>
      </c>
      <c r="C95" s="19" t="s">
        <v>300</v>
      </c>
      <c r="D95" s="19" t="str">
        <f>HYPERLINK("http://henontech.com/fieldsafety/harzard/harzard_show.php?rid=3015&amp;url=harzardrecs.php","一操作工，在投煤作业时手扶护栏，由于护栏开焊 操作人员不小心坠落地面 当场死亡， 造成一人员死亡事故")</f>
        <v>一操作工，在投煤作业时手扶护栏，由于护栏开焊 操作人员不小心坠落地面 当场死亡， 造成一人员死亡事故</v>
      </c>
      <c r="E95" s="19" t="s">
        <v>579</v>
      </c>
      <c r="F95" s="20" t="s">
        <v>42</v>
      </c>
      <c r="G95" s="21" t="s">
        <v>43</v>
      </c>
      <c r="H95" s="19" t="s">
        <v>44</v>
      </c>
      <c r="I95" s="19"/>
      <c r="J95" s="19" t="s">
        <v>91</v>
      </c>
      <c r="K95" s="19" t="s">
        <v>92</v>
      </c>
      <c r="L95" s="19"/>
      <c r="M95" s="19" t="s">
        <v>266</v>
      </c>
      <c r="N95" s="19" t="s">
        <v>580</v>
      </c>
      <c r="O95" s="19" t="s">
        <v>266</v>
      </c>
      <c r="P95" s="19" t="s">
        <v>268</v>
      </c>
      <c r="Q95" s="19" t="s">
        <v>240</v>
      </c>
      <c r="R95" s="19" t="s">
        <v>474</v>
      </c>
      <c r="S95" s="19" t="s">
        <v>581</v>
      </c>
      <c r="T95" s="19" t="s">
        <v>41</v>
      </c>
      <c r="U95" s="19" t="s">
        <v>195</v>
      </c>
      <c r="V95" s="19" t="s">
        <v>106</v>
      </c>
      <c r="W95" s="19" t="s">
        <v>196</v>
      </c>
      <c r="X95" s="19" t="s">
        <v>197</v>
      </c>
      <c r="Y95" s="19" t="s">
        <v>197</v>
      </c>
      <c r="Z95" s="19" t="s">
        <v>582</v>
      </c>
      <c r="AA95" s="19">
        <v>2</v>
      </c>
      <c r="AB95" s="19">
        <v>2</v>
      </c>
      <c r="AC95" s="19" t="s">
        <v>58</v>
      </c>
      <c r="AD95" s="19" t="s">
        <v>268</v>
      </c>
      <c r="AE95" s="19" t="s">
        <v>133</v>
      </c>
      <c r="AF95" s="19" t="s">
        <v>583</v>
      </c>
    </row>
    <row r="96" spans="1:34">
      <c r="A96" s="19">
        <v>91</v>
      </c>
      <c r="B96" s="19" t="s">
        <v>315</v>
      </c>
      <c r="C96" s="19" t="s">
        <v>73</v>
      </c>
      <c r="D96" s="19" t="str">
        <f>HYPERLINK("http://henontech.com/fieldsafety/harzard/harzard_show.php?rid=3016&amp;url=harzardrecs.php","粗苯操作室北上方管架上有掉落的铝皮，大风天气，铝皮掉落，造成操作工面部划伤，不影响正常工作。")</f>
        <v>粗苯操作室北上方管架上有掉落的铝皮，大风天气，铝皮掉落，造成操作工面部划伤，不影响正常工作。</v>
      </c>
      <c r="E96" s="19" t="s">
        <v>584</v>
      </c>
      <c r="F96" s="20" t="s">
        <v>42</v>
      </c>
      <c r="G96" s="21" t="s">
        <v>43</v>
      </c>
      <c r="H96" s="19" t="s">
        <v>44</v>
      </c>
      <c r="I96" s="19" t="s">
        <v>45</v>
      </c>
      <c r="J96" s="19" t="s">
        <v>91</v>
      </c>
      <c r="K96" s="19" t="s">
        <v>92</v>
      </c>
      <c r="L96" s="19" t="s">
        <v>48</v>
      </c>
      <c r="M96" s="19" t="s">
        <v>49</v>
      </c>
      <c r="N96" s="19" t="s">
        <v>585</v>
      </c>
      <c r="O96" s="19" t="s">
        <v>49</v>
      </c>
      <c r="P96" s="19" t="s">
        <v>51</v>
      </c>
      <c r="Q96" s="19" t="s">
        <v>191</v>
      </c>
      <c r="R96" s="19" t="s">
        <v>586</v>
      </c>
      <c r="S96" s="19"/>
      <c r="T96" s="19" t="s">
        <v>41</v>
      </c>
      <c r="U96" s="19" t="s">
        <v>54</v>
      </c>
      <c r="V96" s="19" t="s">
        <v>55</v>
      </c>
      <c r="W96" s="19" t="s">
        <v>56</v>
      </c>
      <c r="X96" s="19"/>
      <c r="Y96" s="19"/>
      <c r="Z96" s="19" t="s">
        <v>587</v>
      </c>
      <c r="AA96" s="19">
        <v>1</v>
      </c>
      <c r="AB96" s="19">
        <v>1</v>
      </c>
      <c r="AC96" s="19" t="s">
        <v>58</v>
      </c>
      <c r="AD96" s="19" t="s">
        <v>51</v>
      </c>
      <c r="AE96" s="19" t="s">
        <v>88</v>
      </c>
      <c r="AF96" s="19"/>
    </row>
    <row r="97" spans="1:34">
      <c r="A97" s="19">
        <v>92</v>
      </c>
      <c r="B97" s="19" t="s">
        <v>315</v>
      </c>
      <c r="C97" s="19" t="s">
        <v>588</v>
      </c>
      <c r="D97" s="19" t="str">
        <f>HYPERLINK("http://henontech.com/fieldsafety/harzard/harzard_show.php?rid=3017&amp;url=harzardrecs.php","南凉水架平顶紧固螺栓腐蚀脱落，假如一名操作工巡检到此处时，不小心绊倒，左胳膊擦伤，到医务室简单处理，无损工，正常上班。")</f>
        <v>南凉水架平顶紧固螺栓腐蚀脱落，假如一名操作工巡检到此处时，不小心绊倒，左胳膊擦伤，到医务室简单处理，无损工，正常上班。</v>
      </c>
      <c r="E97" s="19" t="s">
        <v>589</v>
      </c>
      <c r="F97" s="23" t="s">
        <v>187</v>
      </c>
      <c r="G97" s="21" t="s">
        <v>43</v>
      </c>
      <c r="H97" s="19" t="s">
        <v>44</v>
      </c>
      <c r="I97" s="19" t="s">
        <v>45</v>
      </c>
      <c r="J97" s="19" t="s">
        <v>46</v>
      </c>
      <c r="K97" s="19"/>
      <c r="L97" s="19" t="s">
        <v>48</v>
      </c>
      <c r="M97" s="19" t="s">
        <v>49</v>
      </c>
      <c r="N97" s="19" t="s">
        <v>590</v>
      </c>
      <c r="O97" s="19" t="s">
        <v>49</v>
      </c>
      <c r="P97" s="19" t="s">
        <v>51</v>
      </c>
      <c r="Q97" s="19" t="s">
        <v>591</v>
      </c>
      <c r="R97" s="19" t="s">
        <v>592</v>
      </c>
      <c r="S97" s="19"/>
      <c r="T97" s="19" t="s">
        <v>41</v>
      </c>
      <c r="U97" s="19" t="s">
        <v>54</v>
      </c>
      <c r="V97" s="19" t="s">
        <v>55</v>
      </c>
      <c r="W97" s="19" t="s">
        <v>56</v>
      </c>
      <c r="X97" s="19"/>
      <c r="Y97" s="19"/>
      <c r="Z97" s="19" t="s">
        <v>593</v>
      </c>
      <c r="AA97" s="19">
        <v>1</v>
      </c>
      <c r="AB97" s="19"/>
      <c r="AC97" s="19" t="s">
        <v>162</v>
      </c>
      <c r="AD97" s="19"/>
      <c r="AE97" s="19"/>
      <c r="AF97" s="19"/>
    </row>
    <row r="98" spans="1:34">
      <c r="A98" s="19">
        <v>93</v>
      </c>
      <c r="B98" s="19" t="s">
        <v>315</v>
      </c>
      <c r="C98" s="19" t="s">
        <v>530</v>
      </c>
      <c r="D98" s="19" t="str">
        <f>HYPERLINK("http://henontech.com/fieldsafety/harzard/harzard_show.php?rid=3018&amp;url=harzardrecs.php","一操作工在巡检过程中，发现皮带托辊脱落。如果发现不及时，皮带运转时操作工从下面行走，托辊掉落砸伤头部，休息两个小时继续上班。")</f>
        <v>一操作工在巡检过程中，发现皮带托辊脱落。如果发现不及时，皮带运转时操作工从下面行走，托辊掉落砸伤头部，休息两个小时继续上班。</v>
      </c>
      <c r="E98" s="19" t="s">
        <v>594</v>
      </c>
      <c r="F98" s="20" t="s">
        <v>42</v>
      </c>
      <c r="G98" s="21" t="s">
        <v>43</v>
      </c>
      <c r="H98" s="19" t="s">
        <v>44</v>
      </c>
      <c r="I98" s="19" t="s">
        <v>75</v>
      </c>
      <c r="J98" s="19" t="s">
        <v>46</v>
      </c>
      <c r="K98" s="19" t="s">
        <v>47</v>
      </c>
      <c r="L98" s="19" t="s">
        <v>48</v>
      </c>
      <c r="M98" s="19" t="s">
        <v>49</v>
      </c>
      <c r="N98" s="19" t="s">
        <v>595</v>
      </c>
      <c r="O98" s="19" t="s">
        <v>49</v>
      </c>
      <c r="P98" s="19" t="s">
        <v>51</v>
      </c>
      <c r="Q98" s="19" t="s">
        <v>591</v>
      </c>
      <c r="R98" s="19" t="s">
        <v>596</v>
      </c>
      <c r="S98" s="19"/>
      <c r="T98" s="19" t="s">
        <v>41</v>
      </c>
      <c r="U98" s="19" t="s">
        <v>54</v>
      </c>
      <c r="V98" s="19" t="s">
        <v>68</v>
      </c>
      <c r="W98" s="19" t="s">
        <v>56</v>
      </c>
      <c r="X98" s="19"/>
      <c r="Y98" s="19"/>
      <c r="Z98" s="19" t="s">
        <v>597</v>
      </c>
      <c r="AA98" s="19">
        <v>1</v>
      </c>
      <c r="AB98" s="19">
        <v>1</v>
      </c>
      <c r="AC98" s="19" t="s">
        <v>58</v>
      </c>
      <c r="AD98" s="19" t="s">
        <v>51</v>
      </c>
      <c r="AE98" s="19" t="s">
        <v>144</v>
      </c>
      <c r="AF98" s="19"/>
    </row>
    <row r="99" spans="1:34">
      <c r="A99" s="19">
        <v>94</v>
      </c>
      <c r="B99" s="19" t="s">
        <v>144</v>
      </c>
      <c r="C99" s="19" t="s">
        <v>175</v>
      </c>
      <c r="D99" s="19" t="str">
        <f>HYPERLINK("http://henontech.com/fieldsafety/harzard/harzard_show.php?rid=3019&amp;url=harzardrecs.php","南脱硫脱硫塔爬梯护栏开焊，如果一名操作工巡检到此未发现护栏开焊，可能会抓空跌落，造成脚部扭伤，请假治疗3天，损工3天。")</f>
        <v>南脱硫脱硫塔爬梯护栏开焊，如果一名操作工巡检到此未发现护栏开焊，可能会抓空跌落，造成脚部扭伤，请假治疗3天，损工3天。</v>
      </c>
      <c r="E99" s="19" t="s">
        <v>598</v>
      </c>
      <c r="F99" s="20" t="s">
        <v>42</v>
      </c>
      <c r="G99" s="21" t="s">
        <v>43</v>
      </c>
      <c r="H99" s="19" t="s">
        <v>44</v>
      </c>
      <c r="I99" s="19" t="s">
        <v>45</v>
      </c>
      <c r="J99" s="19" t="s">
        <v>46</v>
      </c>
      <c r="K99" s="19" t="s">
        <v>92</v>
      </c>
      <c r="L99" s="19" t="s">
        <v>48</v>
      </c>
      <c r="M99" s="19" t="s">
        <v>49</v>
      </c>
      <c r="N99" s="19" t="s">
        <v>599</v>
      </c>
      <c r="O99" s="19" t="s">
        <v>49</v>
      </c>
      <c r="P99" s="19" t="s">
        <v>51</v>
      </c>
      <c r="Q99" s="19" t="s">
        <v>591</v>
      </c>
      <c r="R99" s="19" t="s">
        <v>600</v>
      </c>
      <c r="S99" s="19"/>
      <c r="T99" s="19" t="s">
        <v>41</v>
      </c>
      <c r="U99" s="19" t="s">
        <v>135</v>
      </c>
      <c r="V99" s="19" t="s">
        <v>106</v>
      </c>
      <c r="W99" s="19" t="s">
        <v>151</v>
      </c>
      <c r="X99" s="19"/>
      <c r="Y99" s="19"/>
      <c r="Z99" s="19" t="s">
        <v>601</v>
      </c>
      <c r="AA99" s="19">
        <v>1</v>
      </c>
      <c r="AB99" s="19">
        <v>1</v>
      </c>
      <c r="AC99" s="19" t="s">
        <v>58</v>
      </c>
      <c r="AD99" s="19" t="s">
        <v>51</v>
      </c>
      <c r="AE99" s="19" t="s">
        <v>144</v>
      </c>
      <c r="AF99" s="19"/>
    </row>
    <row r="100" spans="1:34">
      <c r="A100" s="19">
        <v>95</v>
      </c>
      <c r="B100" s="19" t="s">
        <v>315</v>
      </c>
      <c r="C100" s="19" t="s">
        <v>175</v>
      </c>
      <c r="D100" s="19" t="str">
        <f>HYPERLINK("http://henontech.com/fieldsafety/harzard/harzard_show.php?rid=3020&amp;url=harzardrecs.php","南脱硫电动阀头视窗破裂，容易进水，加入进水后引起线路短路，导致阀门损坏。")</f>
        <v>南脱硫电动阀头视窗破裂，容易进水，加入进水后引起线路短路，导致阀门损坏。</v>
      </c>
      <c r="E100" s="19" t="s">
        <v>602</v>
      </c>
      <c r="F100" s="20" t="s">
        <v>42</v>
      </c>
      <c r="G100" s="21" t="s">
        <v>43</v>
      </c>
      <c r="H100" s="19" t="s">
        <v>44</v>
      </c>
      <c r="I100" s="19" t="s">
        <v>45</v>
      </c>
      <c r="J100" s="19" t="s">
        <v>46</v>
      </c>
      <c r="K100" s="19" t="s">
        <v>47</v>
      </c>
      <c r="L100" s="19" t="s">
        <v>48</v>
      </c>
      <c r="M100" s="19" t="s">
        <v>49</v>
      </c>
      <c r="N100" s="19" t="s">
        <v>603</v>
      </c>
      <c r="O100" s="19" t="s">
        <v>49</v>
      </c>
      <c r="P100" s="19" t="s">
        <v>51</v>
      </c>
      <c r="Q100" s="19" t="s">
        <v>591</v>
      </c>
      <c r="R100" s="19" t="s">
        <v>604</v>
      </c>
      <c r="S100" s="19"/>
      <c r="T100" s="19" t="s">
        <v>194</v>
      </c>
      <c r="U100" s="19" t="s">
        <v>86</v>
      </c>
      <c r="V100" s="19" t="s">
        <v>68</v>
      </c>
      <c r="W100" s="19" t="s">
        <v>56</v>
      </c>
      <c r="X100" s="19"/>
      <c r="Y100" s="19"/>
      <c r="Z100" s="19" t="s">
        <v>605</v>
      </c>
      <c r="AA100" s="19">
        <v>1</v>
      </c>
      <c r="AB100" s="19">
        <v>1</v>
      </c>
      <c r="AC100" s="19" t="s">
        <v>58</v>
      </c>
      <c r="AD100" s="19" t="s">
        <v>51</v>
      </c>
      <c r="AE100" s="19" t="s">
        <v>144</v>
      </c>
      <c r="AF100" s="19"/>
    </row>
    <row r="101" spans="1:34">
      <c r="A101" s="19">
        <v>96</v>
      </c>
      <c r="B101" s="19" t="s">
        <v>315</v>
      </c>
      <c r="C101" s="19" t="s">
        <v>606</v>
      </c>
      <c r="D101" s="19" t="str">
        <f>HYPERLINK("http://henontech.com/fieldsafety/harzard/harzard_show.php?rid=3021&amp;url=harzardrecs.php","化产深度脱硫现场彩钢瓦松动，大风吹落彩钢瓦，砸伤下方作业人员肩部，致使肩部脱臼，损工五天")</f>
        <v>化产深度脱硫现场彩钢瓦松动，大风吹落彩钢瓦，砸伤下方作业人员肩部，致使肩部脱臼，损工五天</v>
      </c>
      <c r="E101" s="19" t="s">
        <v>607</v>
      </c>
      <c r="F101" s="22" t="s">
        <v>157</v>
      </c>
      <c r="G101" s="21" t="s">
        <v>43</v>
      </c>
      <c r="H101" s="19" t="s">
        <v>44</v>
      </c>
      <c r="I101" s="19"/>
      <c r="J101" s="19" t="s">
        <v>46</v>
      </c>
      <c r="K101" s="19" t="s">
        <v>100</v>
      </c>
      <c r="L101" s="19"/>
      <c r="M101" s="19" t="s">
        <v>49</v>
      </c>
      <c r="N101" s="19" t="s">
        <v>608</v>
      </c>
      <c r="O101" s="19"/>
      <c r="P101" s="19"/>
      <c r="Q101" s="19"/>
      <c r="R101" s="19" t="s">
        <v>609</v>
      </c>
      <c r="S101" s="19" t="s">
        <v>610</v>
      </c>
      <c r="T101" s="19" t="s">
        <v>41</v>
      </c>
      <c r="U101" s="19" t="s">
        <v>135</v>
      </c>
      <c r="V101" s="19" t="s">
        <v>106</v>
      </c>
      <c r="W101" s="19" t="s">
        <v>151</v>
      </c>
      <c r="X101" s="19"/>
      <c r="Y101" s="19"/>
      <c r="Z101" s="19"/>
      <c r="AA101" s="19">
        <v>0</v>
      </c>
      <c r="AB101" s="19"/>
      <c r="AC101" s="19" t="s">
        <v>162</v>
      </c>
      <c r="AD101" s="19"/>
      <c r="AE101" s="19"/>
      <c r="AF101" s="19"/>
    </row>
    <row r="102" spans="1:34">
      <c r="A102" s="19">
        <v>97</v>
      </c>
      <c r="B102" s="19" t="s">
        <v>144</v>
      </c>
      <c r="C102" s="19" t="s">
        <v>611</v>
      </c>
      <c r="D102" s="19" t="str">
        <f>HYPERLINK("http://henontech.com/fieldsafety/harzard/harzard_show.php?rid=3022&amp;url=harzardrecs.php","风机房内直梯上距地面1.6m处有一30cm长的三角铁，如果一名操作工巡检时从此经过被三角铁划伤左脸，住院治疗一周，休息一周，损工两周。")</f>
        <v>风机房内直梯上距地面1.6m处有一30cm长的三角铁，如果一名操作工巡检时从此经过被三角铁划伤左脸，住院治疗一周，休息一周，损工两周。</v>
      </c>
      <c r="E102" s="19" t="s">
        <v>612</v>
      </c>
      <c r="F102" s="20" t="s">
        <v>42</v>
      </c>
      <c r="G102" s="21" t="s">
        <v>43</v>
      </c>
      <c r="H102" s="19" t="s">
        <v>44</v>
      </c>
      <c r="I102" s="19" t="s">
        <v>75</v>
      </c>
      <c r="J102" s="19" t="s">
        <v>46</v>
      </c>
      <c r="K102" s="19" t="s">
        <v>129</v>
      </c>
      <c r="L102" s="19" t="s">
        <v>285</v>
      </c>
      <c r="M102" s="19" t="s">
        <v>49</v>
      </c>
      <c r="N102" s="19" t="s">
        <v>613</v>
      </c>
      <c r="O102" s="19" t="s">
        <v>49</v>
      </c>
      <c r="P102" s="19" t="s">
        <v>51</v>
      </c>
      <c r="Q102" s="19" t="s">
        <v>591</v>
      </c>
      <c r="R102" s="19" t="s">
        <v>614</v>
      </c>
      <c r="S102" s="19"/>
      <c r="T102" s="19" t="s">
        <v>41</v>
      </c>
      <c r="U102" s="19" t="s">
        <v>135</v>
      </c>
      <c r="V102" s="19" t="s">
        <v>168</v>
      </c>
      <c r="W102" s="19" t="s">
        <v>196</v>
      </c>
      <c r="X102" s="19"/>
      <c r="Y102" s="19"/>
      <c r="Z102" s="19" t="s">
        <v>615</v>
      </c>
      <c r="AA102" s="19">
        <v>1</v>
      </c>
      <c r="AB102" s="19">
        <v>1</v>
      </c>
      <c r="AC102" s="19" t="s">
        <v>58</v>
      </c>
      <c r="AD102" s="19" t="s">
        <v>51</v>
      </c>
      <c r="AE102" s="19" t="s">
        <v>240</v>
      </c>
      <c r="AF102" s="19"/>
    </row>
    <row r="103" spans="1:34">
      <c r="A103" s="19">
        <v>98</v>
      </c>
      <c r="B103" s="19" t="s">
        <v>88</v>
      </c>
      <c r="C103" s="19" t="s">
        <v>616</v>
      </c>
      <c r="D103" s="19" t="str">
        <f>HYPERLINK("http://henontech.com/fieldsafety/harzard/harzard_show.php?rid=3023&amp;url=harzardrecs.php","东冷凝澄清槽北框架上面氨水管道因腐蚀泄漏氨水，一名操作工在夜间巡检时，照明设施不良，风险辨识不清，劳保着装不齐全，造成手被氨水灼伤，清水冲洗后复工。")</f>
        <v>东冷凝澄清槽北框架上面氨水管道因腐蚀泄漏氨水，一名操作工在夜间巡检时，照明设施不良，风险辨识不清，劳保着装不齐全，造成手被氨水灼伤，清水冲洗后复工。</v>
      </c>
      <c r="E103" s="19" t="s">
        <v>617</v>
      </c>
      <c r="F103" s="20" t="s">
        <v>42</v>
      </c>
      <c r="G103" s="21" t="s">
        <v>43</v>
      </c>
      <c r="H103" s="19" t="s">
        <v>44</v>
      </c>
      <c r="I103" s="19" t="s">
        <v>75</v>
      </c>
      <c r="J103" s="19" t="s">
        <v>91</v>
      </c>
      <c r="K103" s="19" t="s">
        <v>92</v>
      </c>
      <c r="L103" s="19" t="s">
        <v>48</v>
      </c>
      <c r="M103" s="19" t="s">
        <v>49</v>
      </c>
      <c r="N103" s="19" t="s">
        <v>618</v>
      </c>
      <c r="O103" s="19" t="s">
        <v>49</v>
      </c>
      <c r="P103" s="19" t="s">
        <v>51</v>
      </c>
      <c r="Q103" s="19" t="s">
        <v>191</v>
      </c>
      <c r="R103" s="19" t="s">
        <v>619</v>
      </c>
      <c r="S103" s="19"/>
      <c r="T103" s="19" t="s">
        <v>41</v>
      </c>
      <c r="U103" s="19" t="s">
        <v>54</v>
      </c>
      <c r="V103" s="19" t="s">
        <v>55</v>
      </c>
      <c r="W103" s="19" t="s">
        <v>56</v>
      </c>
      <c r="X103" s="19"/>
      <c r="Y103" s="19"/>
      <c r="Z103" s="19" t="s">
        <v>620</v>
      </c>
      <c r="AA103" s="19">
        <v>1</v>
      </c>
      <c r="AB103" s="19">
        <v>1</v>
      </c>
      <c r="AC103" s="19" t="s">
        <v>58</v>
      </c>
      <c r="AD103" s="19" t="s">
        <v>51</v>
      </c>
      <c r="AE103" s="19" t="s">
        <v>144</v>
      </c>
      <c r="AF103" s="19"/>
    </row>
    <row r="104" spans="1:34">
      <c r="A104" s="19">
        <v>99</v>
      </c>
      <c r="B104" s="19" t="s">
        <v>88</v>
      </c>
      <c r="C104" s="19" t="s">
        <v>621</v>
      </c>
      <c r="D104" s="19" t="str">
        <f>HYPERLINK("http://henontech.com/fieldsafety/harzard/harzard_show.php?rid=3024&amp;url=harzardrecs.php","一名操作工开煤气管道阀门时，突然蒸汽管道泄露，造成操作工轻微烫伤，医务室治疗后正常工作")</f>
        <v>一名操作工开煤气管道阀门时，突然蒸汽管道泄露，造成操作工轻微烫伤，医务室治疗后正常工作</v>
      </c>
      <c r="E104" s="19" t="s">
        <v>622</v>
      </c>
      <c r="F104" s="20" t="s">
        <v>42</v>
      </c>
      <c r="G104" s="21" t="s">
        <v>43</v>
      </c>
      <c r="H104" s="19" t="s">
        <v>44</v>
      </c>
      <c r="I104" s="19" t="s">
        <v>75</v>
      </c>
      <c r="J104" s="19" t="s">
        <v>46</v>
      </c>
      <c r="K104" s="19" t="s">
        <v>47</v>
      </c>
      <c r="L104" s="19"/>
      <c r="M104" s="19" t="s">
        <v>49</v>
      </c>
      <c r="N104" s="19" t="s">
        <v>532</v>
      </c>
      <c r="O104" s="19" t="s">
        <v>49</v>
      </c>
      <c r="P104" s="19" t="s">
        <v>51</v>
      </c>
      <c r="Q104" s="19" t="s">
        <v>591</v>
      </c>
      <c r="R104" s="19" t="s">
        <v>621</v>
      </c>
      <c r="S104" s="19"/>
      <c r="T104" s="19" t="s">
        <v>41</v>
      </c>
      <c r="U104" s="19" t="s">
        <v>54</v>
      </c>
      <c r="V104" s="19" t="s">
        <v>55</v>
      </c>
      <c r="W104" s="19" t="s">
        <v>56</v>
      </c>
      <c r="X104" s="19"/>
      <c r="Y104" s="19"/>
      <c r="Z104" s="19" t="s">
        <v>620</v>
      </c>
      <c r="AA104" s="19">
        <v>1</v>
      </c>
      <c r="AB104" s="19">
        <v>1</v>
      </c>
      <c r="AC104" s="19" t="s">
        <v>58</v>
      </c>
      <c r="AD104" s="19" t="s">
        <v>51</v>
      </c>
      <c r="AE104" s="19" t="s">
        <v>144</v>
      </c>
      <c r="AF104" s="19"/>
    </row>
    <row r="105" spans="1:34" customHeight="1" ht="42">
      <c r="A105" s="19">
        <v>100</v>
      </c>
      <c r="B105" s="19" t="s">
        <v>88</v>
      </c>
      <c r="C105" s="19" t="s">
        <v>101</v>
      </c>
      <c r="D105" s="19" t="str">
        <f>HYPERLINK("http://henontech.com/fieldsafety/harzard/harzard_show.php?rid=3025&amp;url=harzardrecs.php","二层平台护栏中间开焊，一操作工在搬运物品上下楼梯时，不慎滑倒，从开焊处坠落地面，头部着地，经医院抢救无效死亡。")</f>
        <v>二层平台护栏中间开焊，一操作工在搬运物品上下楼梯时，不慎滑倒，从开焊处坠落地面，头部着地，经医院抢救无效死亡。</v>
      </c>
      <c r="E105" s="19" t="s">
        <v>449</v>
      </c>
      <c r="F105" s="20" t="s">
        <v>42</v>
      </c>
      <c r="G105" s="25" t="s">
        <v>264</v>
      </c>
      <c r="H105" s="19" t="s">
        <v>44</v>
      </c>
      <c r="I105" s="19" t="s">
        <v>45</v>
      </c>
      <c r="J105" s="19" t="s">
        <v>46</v>
      </c>
      <c r="K105" s="19" t="s">
        <v>47</v>
      </c>
      <c r="L105" s="19" t="s">
        <v>48</v>
      </c>
      <c r="M105" s="19" t="s">
        <v>101</v>
      </c>
      <c r="N105" s="19" t="s">
        <v>450</v>
      </c>
      <c r="O105" s="19" t="s">
        <v>101</v>
      </c>
      <c r="P105" s="19" t="s">
        <v>206</v>
      </c>
      <c r="Q105" s="19" t="s">
        <v>191</v>
      </c>
      <c r="R105" s="19" t="s">
        <v>425</v>
      </c>
      <c r="S105" s="19"/>
      <c r="T105" s="19" t="s">
        <v>41</v>
      </c>
      <c r="U105" s="19" t="s">
        <v>195</v>
      </c>
      <c r="V105" s="19" t="s">
        <v>106</v>
      </c>
      <c r="W105" s="19" t="s">
        <v>196</v>
      </c>
      <c r="X105" s="19" t="s">
        <v>69</v>
      </c>
      <c r="Y105" s="19"/>
      <c r="Z105" s="19" t="s">
        <v>623</v>
      </c>
      <c r="AA105" s="19">
        <v>2</v>
      </c>
      <c r="AB105" s="19">
        <v>2</v>
      </c>
      <c r="AC105" s="19" t="s">
        <v>58</v>
      </c>
      <c r="AD105" s="19" t="s">
        <v>206</v>
      </c>
      <c r="AE105" s="19" t="s">
        <v>260</v>
      </c>
      <c r="AF105" s="19"/>
    </row>
    <row r="106" spans="1:34">
      <c r="A106" s="19">
        <v>101</v>
      </c>
      <c r="B106" s="19" t="s">
        <v>88</v>
      </c>
      <c r="C106" s="19" t="s">
        <v>356</v>
      </c>
      <c r="D106" s="19" t="str">
        <f>HYPERLINK("http://henontech.com/fieldsafety/harzard/harzard_show.php?rid=3026&amp;url=harzardrecs.php","西一皮带支架腐蚀严重 操作工清理底下卫生时 支架断开 皮带架砸到操作工胳膊上 造成右前臂骨折 送医治疗住院一个月在家休养90天")</f>
        <v>西一皮带支架腐蚀严重 操作工清理底下卫生时 支架断开 皮带架砸到操作工胳膊上 造成右前臂骨折 送医治疗住院一个月在家休养90天</v>
      </c>
      <c r="E106" s="19" t="s">
        <v>624</v>
      </c>
      <c r="F106" s="20" t="s">
        <v>42</v>
      </c>
      <c r="G106" s="21" t="s">
        <v>43</v>
      </c>
      <c r="H106" s="19" t="s">
        <v>44</v>
      </c>
      <c r="I106" s="19" t="s">
        <v>75</v>
      </c>
      <c r="J106" s="19" t="s">
        <v>46</v>
      </c>
      <c r="K106" s="19" t="s">
        <v>92</v>
      </c>
      <c r="L106" s="19" t="s">
        <v>48</v>
      </c>
      <c r="M106" s="19" t="s">
        <v>266</v>
      </c>
      <c r="N106" s="19" t="s">
        <v>381</v>
      </c>
      <c r="O106" s="19" t="s">
        <v>266</v>
      </c>
      <c r="P106" s="19" t="s">
        <v>382</v>
      </c>
      <c r="Q106" s="19" t="s">
        <v>591</v>
      </c>
      <c r="R106" s="19" t="s">
        <v>404</v>
      </c>
      <c r="S106" s="19"/>
      <c r="T106" s="19" t="s">
        <v>41</v>
      </c>
      <c r="U106" s="19" t="s">
        <v>135</v>
      </c>
      <c r="V106" s="19" t="s">
        <v>106</v>
      </c>
      <c r="W106" s="19" t="s">
        <v>151</v>
      </c>
      <c r="X106" s="19"/>
      <c r="Y106" s="19"/>
      <c r="Z106" s="19" t="s">
        <v>625</v>
      </c>
      <c r="AA106" s="19">
        <v>1</v>
      </c>
      <c r="AB106" s="19">
        <v>1</v>
      </c>
      <c r="AC106" s="19" t="s">
        <v>58</v>
      </c>
      <c r="AD106" s="19" t="s">
        <v>382</v>
      </c>
      <c r="AE106" s="19" t="s">
        <v>144</v>
      </c>
      <c r="AF106" s="19"/>
    </row>
    <row r="107" spans="1:34" customHeight="1" ht="42">
      <c r="A107" s="19">
        <v>102</v>
      </c>
      <c r="B107" s="19" t="s">
        <v>88</v>
      </c>
      <c r="C107" s="19" t="s">
        <v>293</v>
      </c>
      <c r="D107" s="19" t="str">
        <f>HYPERLINK("http://henontech.com/fieldsafety/harzard/harzard_show.php?rid=3027&amp;url=harzardrecs.php","破碎机下料筒铁板开裂  操作工巡检时 铁板掉落砸到 操作工头上 送医治疗抢救无效死亡")</f>
        <v>破碎机下料筒铁板开裂  操作工巡检时 铁板掉落砸到 操作工头上 送医治疗抢救无效死亡</v>
      </c>
      <c r="E107" s="19" t="s">
        <v>459</v>
      </c>
      <c r="F107" s="20" t="s">
        <v>42</v>
      </c>
      <c r="G107" s="21" t="s">
        <v>43</v>
      </c>
      <c r="H107" s="19" t="s">
        <v>44</v>
      </c>
      <c r="I107" s="19" t="s">
        <v>45</v>
      </c>
      <c r="J107" s="19" t="s">
        <v>46</v>
      </c>
      <c r="K107" s="19" t="s">
        <v>92</v>
      </c>
      <c r="L107" s="19" t="s">
        <v>48</v>
      </c>
      <c r="M107" s="19" t="s">
        <v>266</v>
      </c>
      <c r="N107" s="19" t="s">
        <v>381</v>
      </c>
      <c r="O107" s="19" t="s">
        <v>266</v>
      </c>
      <c r="P107" s="19" t="s">
        <v>382</v>
      </c>
      <c r="Q107" s="19" t="s">
        <v>591</v>
      </c>
      <c r="R107" s="19" t="s">
        <v>367</v>
      </c>
      <c r="S107" s="19"/>
      <c r="T107" s="19" t="s">
        <v>41</v>
      </c>
      <c r="U107" s="19" t="s">
        <v>195</v>
      </c>
      <c r="V107" s="19" t="s">
        <v>168</v>
      </c>
      <c r="W107" s="19" t="s">
        <v>196</v>
      </c>
      <c r="X107" s="19"/>
      <c r="Y107" s="19"/>
      <c r="Z107" s="19" t="s">
        <v>626</v>
      </c>
      <c r="AA107" s="19">
        <v>2</v>
      </c>
      <c r="AB107" s="19">
        <v>2</v>
      </c>
      <c r="AC107" s="19" t="s">
        <v>58</v>
      </c>
      <c r="AD107" s="19" t="s">
        <v>382</v>
      </c>
      <c r="AE107" s="19" t="s">
        <v>144</v>
      </c>
      <c r="AF107" s="19"/>
    </row>
    <row r="108" spans="1:34">
      <c r="A108" s="19">
        <v>103</v>
      </c>
      <c r="B108" s="19" t="s">
        <v>88</v>
      </c>
      <c r="C108" s="19" t="s">
        <v>139</v>
      </c>
      <c r="D108" s="19" t="str">
        <f>HYPERLINK("http://henontech.com/fieldsafety/harzard/harzard_show.php?rid=3028&amp;url=harzardrecs.php","南风机初冷器东部草坪上方离地面三米管架缝隙间有一块脚手架扣件，如果一名操作人员在清理管架下方草坪杂物时，扣件松动从管架上掉落砸中操作人员右手手背，造成一人右手手背骨裂，送医治疗七天在家修养一个月后复工")</f>
        <v>南风机初冷器东部草坪上方离地面三米管架缝隙间有一块脚手架扣件，如果一名操作人员在清理管架下方草坪杂物时，扣件松动从管架上掉落砸中操作人员右手手背，造成一人右手手背骨裂，送医治疗七天在家修养一个月后复工</v>
      </c>
      <c r="E108" s="19" t="s">
        <v>627</v>
      </c>
      <c r="F108" s="20" t="s">
        <v>42</v>
      </c>
      <c r="G108" s="21" t="s">
        <v>43</v>
      </c>
      <c r="H108" s="19" t="s">
        <v>44</v>
      </c>
      <c r="I108" s="19" t="s">
        <v>45</v>
      </c>
      <c r="J108" s="19" t="s">
        <v>91</v>
      </c>
      <c r="K108" s="19" t="s">
        <v>47</v>
      </c>
      <c r="L108" s="19" t="s">
        <v>48</v>
      </c>
      <c r="M108" s="19" t="s">
        <v>49</v>
      </c>
      <c r="N108" s="19" t="s">
        <v>628</v>
      </c>
      <c r="O108" s="19" t="s">
        <v>49</v>
      </c>
      <c r="P108" s="19" t="s">
        <v>51</v>
      </c>
      <c r="Q108" s="19" t="s">
        <v>591</v>
      </c>
      <c r="R108" s="19" t="s">
        <v>629</v>
      </c>
      <c r="S108" s="19"/>
      <c r="T108" s="19" t="s">
        <v>41</v>
      </c>
      <c r="U108" s="19" t="s">
        <v>135</v>
      </c>
      <c r="V108" s="19" t="s">
        <v>106</v>
      </c>
      <c r="W108" s="19" t="s">
        <v>151</v>
      </c>
      <c r="X108" s="19"/>
      <c r="Y108" s="19"/>
      <c r="Z108" s="19" t="s">
        <v>630</v>
      </c>
      <c r="AA108" s="19">
        <v>1</v>
      </c>
      <c r="AB108" s="19">
        <v>1</v>
      </c>
      <c r="AC108" s="19" t="s">
        <v>58</v>
      </c>
      <c r="AD108" s="19" t="s">
        <v>51</v>
      </c>
      <c r="AE108" s="19" t="s">
        <v>144</v>
      </c>
      <c r="AF108" s="19"/>
    </row>
    <row r="109" spans="1:34">
      <c r="A109" s="19">
        <v>104</v>
      </c>
      <c r="B109" s="19" t="s">
        <v>88</v>
      </c>
      <c r="C109" s="19" t="s">
        <v>631</v>
      </c>
      <c r="D109" s="19" t="str">
        <f>HYPERLINK("http://henontech.com/fieldsafety/harzard/harzard_show.php?rid=3029&amp;url=harzardrecs.php","北班长室南安全宣传栏顶部有一废弃电缆盖板，如果大风天气将废弃盖板吹落一操作工从宣传栏前经过，盖板砸中操作人员左脚，送医院检查左脚骨裂，住院一周，损工三个月。")</f>
        <v>北班长室南安全宣传栏顶部有一废弃电缆盖板，如果大风天气将废弃盖板吹落一操作工从宣传栏前经过，盖板砸中操作人员左脚，送医院检查左脚骨裂，住院一周，损工三个月。</v>
      </c>
      <c r="E109" s="19" t="s">
        <v>632</v>
      </c>
      <c r="F109" s="20" t="s">
        <v>42</v>
      </c>
      <c r="G109" s="21" t="s">
        <v>43</v>
      </c>
      <c r="H109" s="19" t="s">
        <v>44</v>
      </c>
      <c r="I109" s="19" t="s">
        <v>75</v>
      </c>
      <c r="J109" s="19" t="s">
        <v>46</v>
      </c>
      <c r="K109" s="19" t="s">
        <v>47</v>
      </c>
      <c r="L109" s="19" t="s">
        <v>48</v>
      </c>
      <c r="M109" s="19" t="s">
        <v>49</v>
      </c>
      <c r="N109" s="19" t="s">
        <v>141</v>
      </c>
      <c r="O109" s="19" t="s">
        <v>49</v>
      </c>
      <c r="P109" s="19" t="s">
        <v>51</v>
      </c>
      <c r="Q109" s="19" t="s">
        <v>591</v>
      </c>
      <c r="R109" s="19" t="s">
        <v>633</v>
      </c>
      <c r="S109" s="19"/>
      <c r="T109" s="19" t="s">
        <v>41</v>
      </c>
      <c r="U109" s="19" t="s">
        <v>135</v>
      </c>
      <c r="V109" s="19" t="s">
        <v>106</v>
      </c>
      <c r="W109" s="19" t="s">
        <v>151</v>
      </c>
      <c r="X109" s="19"/>
      <c r="Y109" s="19"/>
      <c r="Z109" s="19" t="s">
        <v>634</v>
      </c>
      <c r="AA109" s="19">
        <v>1</v>
      </c>
      <c r="AB109" s="19">
        <v>1</v>
      </c>
      <c r="AC109" s="19" t="s">
        <v>58</v>
      </c>
      <c r="AD109" s="19" t="s">
        <v>51</v>
      </c>
      <c r="AE109" s="19" t="s">
        <v>144</v>
      </c>
      <c r="AF109" s="19"/>
    </row>
    <row r="110" spans="1:34">
      <c r="A110" s="19">
        <v>105</v>
      </c>
      <c r="B110" s="19" t="s">
        <v>88</v>
      </c>
      <c r="C110" s="19" t="s">
        <v>293</v>
      </c>
      <c r="D110" s="19" t="str">
        <f>HYPERLINK("http://henontech.com/fieldsafety/harzard/harzard_show.php?rid=3030&amp;url=harzardrecs.php","煤八后尾东门玻璃破损未及时清理更换，操作工在出入门口时破损的玻璃脱落划伤操作工脖颈处！造成动脉割伤送医院包扎住院治疗7天回家休养30天！")</f>
        <v>煤八后尾东门玻璃破损未及时清理更换，操作工在出入门口时破损的玻璃脱落划伤操作工脖颈处！造成动脉割伤送医院包扎住院治疗7天回家休养30天！</v>
      </c>
      <c r="E110" s="19" t="s">
        <v>635</v>
      </c>
      <c r="F110" s="20" t="s">
        <v>42</v>
      </c>
      <c r="G110" s="21" t="s">
        <v>43</v>
      </c>
      <c r="H110" s="19" t="s">
        <v>44</v>
      </c>
      <c r="I110" s="19" t="s">
        <v>45</v>
      </c>
      <c r="J110" s="19" t="s">
        <v>188</v>
      </c>
      <c r="K110" s="19" t="s">
        <v>92</v>
      </c>
      <c r="L110" s="19" t="s">
        <v>48</v>
      </c>
      <c r="M110" s="19" t="s">
        <v>266</v>
      </c>
      <c r="N110" s="19" t="s">
        <v>402</v>
      </c>
      <c r="O110" s="19" t="s">
        <v>266</v>
      </c>
      <c r="P110" s="19" t="s">
        <v>403</v>
      </c>
      <c r="Q110" s="19" t="s">
        <v>636</v>
      </c>
      <c r="R110" s="19" t="s">
        <v>637</v>
      </c>
      <c r="S110" s="19"/>
      <c r="T110" s="19" t="s">
        <v>41</v>
      </c>
      <c r="U110" s="19" t="s">
        <v>135</v>
      </c>
      <c r="V110" s="19" t="s">
        <v>106</v>
      </c>
      <c r="W110" s="19" t="s">
        <v>151</v>
      </c>
      <c r="X110" s="19"/>
      <c r="Y110" s="19"/>
      <c r="Z110" s="19" t="s">
        <v>638</v>
      </c>
      <c r="AA110" s="19">
        <v>1</v>
      </c>
      <c r="AB110" s="19">
        <v>1</v>
      </c>
      <c r="AC110" s="19" t="s">
        <v>58</v>
      </c>
      <c r="AD110" s="19" t="s">
        <v>403</v>
      </c>
      <c r="AE110" s="19" t="s">
        <v>639</v>
      </c>
      <c r="AF110" s="19"/>
    </row>
    <row r="111" spans="1:34">
      <c r="A111" s="19">
        <v>106</v>
      </c>
      <c r="B111" s="19" t="s">
        <v>88</v>
      </c>
      <c r="C111" s="19" t="s">
        <v>300</v>
      </c>
      <c r="D111" s="19" t="str">
        <f>HYPERLINK("http://henontech.com/fieldsafety/harzard/harzard_show.php?rid=3031&amp;url=harzardrecs.php","东一操作工在巡检至1#给料机时偏心盘螺栓突然断裂，被甩出的螺栓击中面部，送医院检查鼻梁骨断裂，住院15天在家休养30天")</f>
        <v>东一操作工在巡检至1#给料机时偏心盘螺栓突然断裂，被甩出的螺栓击中面部，送医院检查鼻梁骨断裂，住院15天在家休养30天</v>
      </c>
      <c r="E111" s="19" t="s">
        <v>640</v>
      </c>
      <c r="F111" s="20" t="s">
        <v>42</v>
      </c>
      <c r="G111" s="21" t="s">
        <v>43</v>
      </c>
      <c r="H111" s="19" t="s">
        <v>44</v>
      </c>
      <c r="I111" s="19" t="s">
        <v>45</v>
      </c>
      <c r="J111" s="19" t="s">
        <v>46</v>
      </c>
      <c r="K111" s="19" t="s">
        <v>92</v>
      </c>
      <c r="L111" s="19" t="s">
        <v>48</v>
      </c>
      <c r="M111" s="19" t="s">
        <v>266</v>
      </c>
      <c r="N111" s="19" t="s">
        <v>402</v>
      </c>
      <c r="O111" s="19" t="s">
        <v>266</v>
      </c>
      <c r="P111" s="19" t="s">
        <v>403</v>
      </c>
      <c r="Q111" s="19" t="s">
        <v>636</v>
      </c>
      <c r="R111" s="19" t="s">
        <v>641</v>
      </c>
      <c r="S111" s="19"/>
      <c r="T111" s="19" t="s">
        <v>41</v>
      </c>
      <c r="U111" s="19" t="s">
        <v>135</v>
      </c>
      <c r="V111" s="19" t="s">
        <v>106</v>
      </c>
      <c r="W111" s="19" t="s">
        <v>151</v>
      </c>
      <c r="X111" s="19"/>
      <c r="Y111" s="19"/>
      <c r="Z111" s="19" t="s">
        <v>642</v>
      </c>
      <c r="AA111" s="19">
        <v>1</v>
      </c>
      <c r="AB111" s="19">
        <v>1</v>
      </c>
      <c r="AC111" s="19" t="s">
        <v>58</v>
      </c>
      <c r="AD111" s="19" t="s">
        <v>403</v>
      </c>
      <c r="AE111" s="19" t="s">
        <v>639</v>
      </c>
      <c r="AF111" s="19"/>
    </row>
    <row r="112" spans="1:34">
      <c r="A112" s="19">
        <v>107</v>
      </c>
      <c r="B112" s="19" t="s">
        <v>144</v>
      </c>
      <c r="C112" s="19" t="s">
        <v>73</v>
      </c>
      <c r="D112" s="19" t="str">
        <f>HYPERLINK("http://henontech.com/fieldsafety/harzard/harzard_show.php?rid=3032&amp;url=harzardrecs.php","粗苯北再生器东侧有一根废弃铁管，操作人员在巡检过程中废弃铁管坠落造成一名操作人员头部砸伤，送医院治疗10天后正常上班。")</f>
        <v>粗苯北再生器东侧有一根废弃铁管，操作人员在巡检过程中废弃铁管坠落造成一名操作人员头部砸伤，送医院治疗10天后正常上班。</v>
      </c>
      <c r="E112" s="19" t="s">
        <v>643</v>
      </c>
      <c r="F112" s="20" t="s">
        <v>42</v>
      </c>
      <c r="G112" s="21" t="s">
        <v>43</v>
      </c>
      <c r="H112" s="19" t="s">
        <v>44</v>
      </c>
      <c r="I112" s="19" t="s">
        <v>45</v>
      </c>
      <c r="J112" s="19" t="s">
        <v>188</v>
      </c>
      <c r="K112" s="19" t="s">
        <v>47</v>
      </c>
      <c r="L112" s="19" t="s">
        <v>48</v>
      </c>
      <c r="M112" s="19" t="s">
        <v>49</v>
      </c>
      <c r="N112" s="19" t="s">
        <v>644</v>
      </c>
      <c r="O112" s="19" t="s">
        <v>49</v>
      </c>
      <c r="P112" s="19" t="s">
        <v>51</v>
      </c>
      <c r="Q112" s="19" t="s">
        <v>591</v>
      </c>
      <c r="R112" s="19" t="s">
        <v>645</v>
      </c>
      <c r="S112" s="19"/>
      <c r="T112" s="19" t="s">
        <v>41</v>
      </c>
      <c r="U112" s="19" t="s">
        <v>135</v>
      </c>
      <c r="V112" s="19" t="s">
        <v>106</v>
      </c>
      <c r="W112" s="19" t="s">
        <v>151</v>
      </c>
      <c r="X112" s="19"/>
      <c r="Y112" s="19"/>
      <c r="Z112" s="19" t="s">
        <v>646</v>
      </c>
      <c r="AA112" s="19">
        <v>1</v>
      </c>
      <c r="AB112" s="19">
        <v>1</v>
      </c>
      <c r="AC112" s="19" t="s">
        <v>58</v>
      </c>
      <c r="AD112" s="19" t="s">
        <v>51</v>
      </c>
      <c r="AE112" s="19" t="s">
        <v>59</v>
      </c>
      <c r="AF112" s="19"/>
    </row>
    <row r="113" spans="1:34">
      <c r="A113" s="19">
        <v>108</v>
      </c>
      <c r="B113" s="19" t="s">
        <v>144</v>
      </c>
      <c r="C113" s="19" t="s">
        <v>478</v>
      </c>
      <c r="D113" s="19" t="str">
        <f>HYPERLINK("http://henontech.com/fieldsafety/harzard/harzard_show.php?rid=3033&amp;url=harzardrecs.php","西硫铵工段预热器管道铝皮脱落，掉落在预热器平台上，如果在大风天气一名操作工在巡检时经过此处可能被掉落的铝皮轻微划伤右手简单包扎后能正常工作")</f>
        <v>西硫铵工段预热器管道铝皮脱落，掉落在预热器平台上，如果在大风天气一名操作工在巡检时经过此处可能被掉落的铝皮轻微划伤右手简单包扎后能正常工作</v>
      </c>
      <c r="E113" s="19" t="s">
        <v>647</v>
      </c>
      <c r="F113" s="20" t="s">
        <v>42</v>
      </c>
      <c r="G113" s="21" t="s">
        <v>43</v>
      </c>
      <c r="H113" s="19" t="s">
        <v>44</v>
      </c>
      <c r="I113" s="19" t="s">
        <v>45</v>
      </c>
      <c r="J113" s="19" t="s">
        <v>46</v>
      </c>
      <c r="K113" s="19" t="s">
        <v>47</v>
      </c>
      <c r="L113" s="19" t="s">
        <v>48</v>
      </c>
      <c r="M113" s="19" t="s">
        <v>49</v>
      </c>
      <c r="N113" s="19" t="s">
        <v>648</v>
      </c>
      <c r="O113" s="19" t="s">
        <v>49</v>
      </c>
      <c r="P113" s="19" t="s">
        <v>51</v>
      </c>
      <c r="Q113" s="19" t="s">
        <v>591</v>
      </c>
      <c r="R113" s="19" t="s">
        <v>649</v>
      </c>
      <c r="S113" s="19"/>
      <c r="T113" s="19" t="s">
        <v>41</v>
      </c>
      <c r="U113" s="19" t="s">
        <v>54</v>
      </c>
      <c r="V113" s="19" t="s">
        <v>55</v>
      </c>
      <c r="W113" s="19" t="s">
        <v>56</v>
      </c>
      <c r="X113" s="19"/>
      <c r="Y113" s="19"/>
      <c r="Z113" s="19" t="s">
        <v>574</v>
      </c>
      <c r="AA113" s="19">
        <v>1</v>
      </c>
      <c r="AB113" s="19">
        <v>1</v>
      </c>
      <c r="AC113" s="19" t="s">
        <v>58</v>
      </c>
      <c r="AD113" s="19" t="s">
        <v>51</v>
      </c>
      <c r="AE113" s="19" t="s">
        <v>59</v>
      </c>
      <c r="AF113" s="19"/>
    </row>
    <row r="114" spans="1:34">
      <c r="A114" s="19">
        <v>109</v>
      </c>
      <c r="B114" s="19" t="s">
        <v>144</v>
      </c>
      <c r="C114" s="19" t="s">
        <v>139</v>
      </c>
      <c r="D114" s="19" t="str">
        <f>HYPERLINK("http://henontech.com/fieldsafety/harzard/harzard_show.php?rid=3034&amp;url=harzardrecs.php","南风机2#初冷器西侧一施工人员在距离二层平台地面2米处吊笼中施工时，安全带单挂，如果施工过程中吊笼突然脱落，使1名施工人员的安全带断裂从吊笼中跌落，造成右前臂骨折送医治疗15天，损工3个月。")</f>
        <v>南风机2#初冷器西侧一施工人员在距离二层平台地面2米处吊笼中施工时，安全带单挂，如果施工过程中吊笼突然脱落，使1名施工人员的安全带断裂从吊笼中跌落，造成右前臂骨折送医治疗15天，损工3个月。</v>
      </c>
      <c r="E114" s="19" t="s">
        <v>650</v>
      </c>
      <c r="F114" s="20" t="s">
        <v>42</v>
      </c>
      <c r="G114" s="21" t="s">
        <v>43</v>
      </c>
      <c r="H114" s="19" t="s">
        <v>44</v>
      </c>
      <c r="I114" s="19" t="s">
        <v>117</v>
      </c>
      <c r="J114" s="19" t="s">
        <v>91</v>
      </c>
      <c r="K114" s="19" t="s">
        <v>47</v>
      </c>
      <c r="L114" s="19" t="s">
        <v>48</v>
      </c>
      <c r="M114" s="19" t="s">
        <v>49</v>
      </c>
      <c r="N114" s="19" t="s">
        <v>651</v>
      </c>
      <c r="O114" s="19" t="s">
        <v>49</v>
      </c>
      <c r="P114" s="19" t="s">
        <v>51</v>
      </c>
      <c r="Q114" s="19" t="s">
        <v>591</v>
      </c>
      <c r="R114" s="19" t="s">
        <v>652</v>
      </c>
      <c r="S114" s="19"/>
      <c r="T114" s="19" t="s">
        <v>41</v>
      </c>
      <c r="U114" s="19" t="s">
        <v>135</v>
      </c>
      <c r="V114" s="19" t="s">
        <v>106</v>
      </c>
      <c r="W114" s="19" t="s">
        <v>151</v>
      </c>
      <c r="X114" s="19"/>
      <c r="Y114" s="19"/>
      <c r="Z114" s="19" t="s">
        <v>653</v>
      </c>
      <c r="AA114" s="19">
        <v>1</v>
      </c>
      <c r="AB114" s="19">
        <v>1</v>
      </c>
      <c r="AC114" s="19" t="s">
        <v>58</v>
      </c>
      <c r="AD114" s="19" t="s">
        <v>51</v>
      </c>
      <c r="AE114" s="19" t="s">
        <v>144</v>
      </c>
      <c r="AF114" s="19"/>
    </row>
    <row r="115" spans="1:34" customHeight="1" ht="42">
      <c r="A115" s="19">
        <v>110</v>
      </c>
      <c r="B115" s="19" t="s">
        <v>144</v>
      </c>
      <c r="C115" s="19" t="s">
        <v>211</v>
      </c>
      <c r="D115" s="19" t="str">
        <f>HYPERLINK("http://henontech.com/fieldsafety/harzard/harzard_show.php?rid=3035&amp;url=harzardrecs.php","东区蒸汽管线改造对接，万盛施工人员安全带挂在低处，作业时脚下踩空 跌落脚手架，造成小腿骨折")</f>
        <v>东区蒸汽管线改造对接，万盛施工人员安全带挂在低处，作业时脚下踩空 跌落脚手架，造成小腿骨折</v>
      </c>
      <c r="E115" s="19" t="s">
        <v>654</v>
      </c>
      <c r="F115" s="20" t="s">
        <v>42</v>
      </c>
      <c r="G115" s="25" t="s">
        <v>264</v>
      </c>
      <c r="H115" s="19" t="s">
        <v>44</v>
      </c>
      <c r="I115" s="19" t="s">
        <v>75</v>
      </c>
      <c r="J115" s="19" t="s">
        <v>91</v>
      </c>
      <c r="K115" s="19"/>
      <c r="L115" s="19"/>
      <c r="M115" s="19" t="s">
        <v>130</v>
      </c>
      <c r="N115" s="19" t="s">
        <v>655</v>
      </c>
      <c r="O115" s="19" t="s">
        <v>130</v>
      </c>
      <c r="P115" s="19" t="s">
        <v>397</v>
      </c>
      <c r="Q115" s="19" t="s">
        <v>78</v>
      </c>
      <c r="R115" s="19" t="s">
        <v>656</v>
      </c>
      <c r="S115" s="19"/>
      <c r="T115" s="19" t="s">
        <v>41</v>
      </c>
      <c r="U115" s="19" t="s">
        <v>135</v>
      </c>
      <c r="V115" s="19" t="s">
        <v>106</v>
      </c>
      <c r="W115" s="19" t="s">
        <v>151</v>
      </c>
      <c r="X115" s="19" t="s">
        <v>69</v>
      </c>
      <c r="Y115" s="19"/>
      <c r="Z115" s="19" t="s">
        <v>657</v>
      </c>
      <c r="AA115" s="19">
        <v>2</v>
      </c>
      <c r="AB115" s="19">
        <v>2</v>
      </c>
      <c r="AC115" s="19" t="s">
        <v>58</v>
      </c>
      <c r="AD115" s="19" t="s">
        <v>397</v>
      </c>
      <c r="AE115" s="19" t="s">
        <v>144</v>
      </c>
      <c r="AF115" s="19" t="s">
        <v>658</v>
      </c>
    </row>
    <row r="116" spans="1:34">
      <c r="A116" s="19">
        <v>111</v>
      </c>
      <c r="B116" s="19" t="s">
        <v>639</v>
      </c>
      <c r="C116" s="19" t="s">
        <v>478</v>
      </c>
      <c r="D116" s="19" t="str">
        <f>HYPERLINK("http://henontech.com/fieldsafety/harzard/harzard_show.php?rid=3036&amp;url=harzardrecs.php","西硫铵东小母液泵进口法兰垫片因长时间使用被母液侵蚀并破损，造成母液大量泄露。从而造成环境污染")</f>
        <v>西硫铵东小母液泵进口法兰垫片因长时间使用被母液侵蚀并破损，造成母液大量泄露。从而造成环境污染</v>
      </c>
      <c r="E116" s="19" t="s">
        <v>659</v>
      </c>
      <c r="F116" s="20" t="s">
        <v>42</v>
      </c>
      <c r="G116" s="21" t="s">
        <v>43</v>
      </c>
      <c r="H116" s="19" t="s">
        <v>44</v>
      </c>
      <c r="I116" s="19" t="s">
        <v>75</v>
      </c>
      <c r="J116" s="19" t="s">
        <v>46</v>
      </c>
      <c r="K116" s="19" t="s">
        <v>47</v>
      </c>
      <c r="L116" s="19" t="s">
        <v>48</v>
      </c>
      <c r="M116" s="19" t="s">
        <v>49</v>
      </c>
      <c r="N116" s="19" t="s">
        <v>660</v>
      </c>
      <c r="O116" s="19" t="s">
        <v>49</v>
      </c>
      <c r="P116" s="19" t="s">
        <v>51</v>
      </c>
      <c r="Q116" s="19" t="s">
        <v>661</v>
      </c>
      <c r="R116" s="19" t="s">
        <v>662</v>
      </c>
      <c r="S116" s="19"/>
      <c r="T116" s="19" t="s">
        <v>85</v>
      </c>
      <c r="U116" s="19" t="s">
        <v>86</v>
      </c>
      <c r="V116" s="19" t="s">
        <v>168</v>
      </c>
      <c r="W116" s="19" t="s">
        <v>56</v>
      </c>
      <c r="X116" s="19"/>
      <c r="Y116" s="19"/>
      <c r="Z116" s="19" t="s">
        <v>663</v>
      </c>
      <c r="AA116" s="19">
        <v>1</v>
      </c>
      <c r="AB116" s="19">
        <v>1</v>
      </c>
      <c r="AC116" s="19" t="s">
        <v>58</v>
      </c>
      <c r="AD116" s="19" t="s">
        <v>51</v>
      </c>
      <c r="AE116" s="19" t="s">
        <v>78</v>
      </c>
      <c r="AF116" s="19"/>
    </row>
    <row r="117" spans="1:34">
      <c r="A117" s="19">
        <v>112</v>
      </c>
      <c r="B117" s="19" t="s">
        <v>639</v>
      </c>
      <c r="C117" s="19" t="s">
        <v>664</v>
      </c>
      <c r="D117" s="19" t="str">
        <f>HYPERLINK("http://henontech.com/fieldsafety/harzard/harzard_show.php?rid=3037&amp;url=harzardrecs.php","三号站废料库棚顶玻璃钢瓦脱落，如果在大风天气一名操作人员在巡检过程中经过此处被掉落的玻璃钢瓦砸中背部，造成背部多处划伤，送医处理后在家休息三天后复工。")</f>
        <v>三号站废料库棚顶玻璃钢瓦脱落，如果在大风天气一名操作人员在巡检过程中经过此处被掉落的玻璃钢瓦砸中背部，造成背部多处划伤，送医处理后在家休息三天后复工。</v>
      </c>
      <c r="E117" s="19" t="s">
        <v>665</v>
      </c>
      <c r="F117" s="20" t="s">
        <v>42</v>
      </c>
      <c r="G117" s="21" t="s">
        <v>43</v>
      </c>
      <c r="H117" s="19" t="s">
        <v>44</v>
      </c>
      <c r="I117" s="19"/>
      <c r="J117" s="19" t="s">
        <v>46</v>
      </c>
      <c r="K117" s="19" t="s">
        <v>47</v>
      </c>
      <c r="L117" s="19"/>
      <c r="M117" s="19" t="s">
        <v>63</v>
      </c>
      <c r="N117" s="19" t="s">
        <v>666</v>
      </c>
      <c r="O117" s="19" t="s">
        <v>63</v>
      </c>
      <c r="P117" s="19" t="s">
        <v>65</v>
      </c>
      <c r="Q117" s="19" t="s">
        <v>214</v>
      </c>
      <c r="R117" s="19" t="s">
        <v>667</v>
      </c>
      <c r="S117" s="19"/>
      <c r="T117" s="19" t="s">
        <v>41</v>
      </c>
      <c r="U117" s="19" t="s">
        <v>135</v>
      </c>
      <c r="V117" s="19" t="s">
        <v>55</v>
      </c>
      <c r="W117" s="19" t="s">
        <v>107</v>
      </c>
      <c r="X117" s="19" t="s">
        <v>69</v>
      </c>
      <c r="Y117" s="19" t="s">
        <v>69</v>
      </c>
      <c r="Z117" s="19" t="s">
        <v>668</v>
      </c>
      <c r="AA117" s="19">
        <v>1</v>
      </c>
      <c r="AB117" s="19">
        <v>1</v>
      </c>
      <c r="AC117" s="19" t="s">
        <v>58</v>
      </c>
      <c r="AD117" s="19" t="s">
        <v>65</v>
      </c>
      <c r="AE117" s="19" t="s">
        <v>66</v>
      </c>
      <c r="AF117" s="19"/>
    </row>
    <row r="118" spans="1:34">
      <c r="A118" s="19">
        <v>113</v>
      </c>
      <c r="B118" s="19" t="s">
        <v>639</v>
      </c>
      <c r="C118" s="19" t="s">
        <v>89</v>
      </c>
      <c r="D118" s="19" t="str">
        <f>HYPERLINK("http://henontech.com/fieldsafety/harzard/harzard_show.php?rid=3038&amp;url=harzardrecs.php","北脱硫操作室南墙外管架上有一弃用管道存在坠落危险，假如有人从下面经过时管道突然坠落，有可能会造成右臂擦伤，去医务室包扎后休养五天后复工。")</f>
        <v>北脱硫操作室南墙外管架上有一弃用管道存在坠落危险，假如有人从下面经过时管道突然坠落，有可能会造成右臂擦伤，去医务室包扎后休养五天后复工。</v>
      </c>
      <c r="E118" s="19" t="s">
        <v>669</v>
      </c>
      <c r="F118" s="20" t="s">
        <v>42</v>
      </c>
      <c r="G118" s="21" t="s">
        <v>43</v>
      </c>
      <c r="H118" s="19" t="s">
        <v>44</v>
      </c>
      <c r="I118" s="19" t="s">
        <v>75</v>
      </c>
      <c r="J118" s="19" t="s">
        <v>91</v>
      </c>
      <c r="K118" s="19" t="s">
        <v>47</v>
      </c>
      <c r="L118" s="19"/>
      <c r="M118" s="19" t="s">
        <v>49</v>
      </c>
      <c r="N118" s="19" t="s">
        <v>670</v>
      </c>
      <c r="O118" s="19" t="s">
        <v>49</v>
      </c>
      <c r="P118" s="19" t="s">
        <v>51</v>
      </c>
      <c r="Q118" s="19" t="s">
        <v>661</v>
      </c>
      <c r="R118" s="19" t="s">
        <v>671</v>
      </c>
      <c r="S118" s="19"/>
      <c r="T118" s="19" t="s">
        <v>41</v>
      </c>
      <c r="U118" s="19" t="s">
        <v>54</v>
      </c>
      <c r="V118" s="19" t="s">
        <v>106</v>
      </c>
      <c r="W118" s="19" t="s">
        <v>107</v>
      </c>
      <c r="X118" s="19"/>
      <c r="Y118" s="19"/>
      <c r="Z118" s="19" t="s">
        <v>672</v>
      </c>
      <c r="AA118" s="19">
        <v>1</v>
      </c>
      <c r="AB118" s="19">
        <v>1</v>
      </c>
      <c r="AC118" s="19" t="s">
        <v>58</v>
      </c>
      <c r="AD118" s="19" t="s">
        <v>51</v>
      </c>
      <c r="AE118" s="19" t="s">
        <v>240</v>
      </c>
      <c r="AF118" s="19" t="s">
        <v>673</v>
      </c>
    </row>
    <row r="119" spans="1:34">
      <c r="A119" s="19">
        <v>114</v>
      </c>
      <c r="B119" s="19" t="s">
        <v>639</v>
      </c>
      <c r="C119" s="19" t="s">
        <v>146</v>
      </c>
      <c r="D119" s="19" t="str">
        <f>HYPERLINK("http://henontech.com/fieldsafety/harzard/harzard_show.php?rid=3039&amp;url=harzardrecs.php","检修2号初冷器施工队吊笼升降器吊钩锁舌损坏，如果吊笼在升降的过程中脱钩会造成吊笼倾斜或者直接坠落 造成人员伤亡或致残")</f>
        <v>检修2号初冷器施工队吊笼升降器吊钩锁舌损坏，如果吊笼在升降的过程中脱钩会造成吊笼倾斜或者直接坠落 造成人员伤亡或致残</v>
      </c>
      <c r="E119" s="19" t="s">
        <v>674</v>
      </c>
      <c r="F119" s="20" t="s">
        <v>42</v>
      </c>
      <c r="G119" s="25" t="s">
        <v>264</v>
      </c>
      <c r="H119" s="19" t="s">
        <v>44</v>
      </c>
      <c r="I119" s="19" t="s">
        <v>45</v>
      </c>
      <c r="J119" s="19"/>
      <c r="K119" s="19" t="s">
        <v>47</v>
      </c>
      <c r="L119" s="19"/>
      <c r="M119" s="19" t="s">
        <v>49</v>
      </c>
      <c r="N119" s="19" t="s">
        <v>675</v>
      </c>
      <c r="O119" s="19" t="s">
        <v>49</v>
      </c>
      <c r="P119" s="19" t="s">
        <v>51</v>
      </c>
      <c r="Q119" s="19" t="s">
        <v>676</v>
      </c>
      <c r="R119" s="19" t="s">
        <v>677</v>
      </c>
      <c r="S119" s="19"/>
      <c r="T119" s="19" t="s">
        <v>41</v>
      </c>
      <c r="U119" s="19" t="s">
        <v>195</v>
      </c>
      <c r="V119" s="19" t="s">
        <v>55</v>
      </c>
      <c r="W119" s="19" t="s">
        <v>151</v>
      </c>
      <c r="X119" s="19"/>
      <c r="Y119" s="19"/>
      <c r="Z119" s="19" t="s">
        <v>678</v>
      </c>
      <c r="AA119" s="19">
        <v>1</v>
      </c>
      <c r="AB119" s="19">
        <v>1</v>
      </c>
      <c r="AC119" s="19" t="s">
        <v>58</v>
      </c>
      <c r="AD119" s="19" t="s">
        <v>51</v>
      </c>
      <c r="AE119" s="19" t="s">
        <v>240</v>
      </c>
      <c r="AF119" s="19"/>
    </row>
    <row r="120" spans="1:34">
      <c r="A120" s="19">
        <v>115</v>
      </c>
      <c r="B120" s="19" t="s">
        <v>639</v>
      </c>
      <c r="C120" s="19" t="s">
        <v>478</v>
      </c>
      <c r="D120" s="19" t="str">
        <f>HYPERLINK("http://henontech.com/fieldsafety/harzard/harzard_show.php?rid=3040&amp;url=harzardrecs.php","西硫铵四楼西后窗户因长年使用，窗户内挂件被腐蚀坏，如果大风天气一名操作工在四楼屋内擦拭玻璃时，人员可能会被大风刮落的窗户勾住衣服，造成人员跟窗户一并坠落，事故造成一人死亡")</f>
        <v>西硫铵四楼西后窗户因长年使用，窗户内挂件被腐蚀坏，如果大风天气一名操作工在四楼屋内擦拭玻璃时，人员可能会被大风刮落的窗户勾住衣服，造成人员跟窗户一并坠落，事故造成一人死亡</v>
      </c>
      <c r="E120" s="19" t="s">
        <v>679</v>
      </c>
      <c r="F120" s="23" t="s">
        <v>187</v>
      </c>
      <c r="G120" s="21" t="s">
        <v>43</v>
      </c>
      <c r="H120" s="19" t="s">
        <v>44</v>
      </c>
      <c r="I120" s="19" t="s">
        <v>45</v>
      </c>
      <c r="J120" s="19" t="s">
        <v>46</v>
      </c>
      <c r="K120" s="19" t="s">
        <v>100</v>
      </c>
      <c r="L120" s="19" t="s">
        <v>48</v>
      </c>
      <c r="M120" s="19" t="s">
        <v>49</v>
      </c>
      <c r="N120" s="19" t="s">
        <v>660</v>
      </c>
      <c r="O120" s="19" t="s">
        <v>49</v>
      </c>
      <c r="P120" s="19" t="s">
        <v>51</v>
      </c>
      <c r="Q120" s="19" t="s">
        <v>661</v>
      </c>
      <c r="R120" s="19" t="s">
        <v>680</v>
      </c>
      <c r="S120" s="19"/>
      <c r="T120" s="19" t="s">
        <v>41</v>
      </c>
      <c r="U120" s="19" t="s">
        <v>195</v>
      </c>
      <c r="V120" s="19" t="s">
        <v>168</v>
      </c>
      <c r="W120" s="19" t="s">
        <v>196</v>
      </c>
      <c r="X120" s="19"/>
      <c r="Y120" s="19"/>
      <c r="Z120" s="19" t="s">
        <v>681</v>
      </c>
      <c r="AA120" s="19">
        <v>1</v>
      </c>
      <c r="AB120" s="19"/>
      <c r="AC120" s="19" t="s">
        <v>162</v>
      </c>
      <c r="AD120" s="19"/>
      <c r="AE120" s="19"/>
      <c r="AF120" s="19"/>
    </row>
    <row r="121" spans="1:34">
      <c r="A121" s="19">
        <v>116</v>
      </c>
      <c r="B121" s="19" t="s">
        <v>639</v>
      </c>
      <c r="C121" s="19" t="s">
        <v>478</v>
      </c>
      <c r="D121" s="19" t="str">
        <f>HYPERLINK("http://henontech.com/fieldsafety/harzard/harzard_show.php?rid=3041&amp;url=harzardrecs.php","硫酸储槽顶部，打酸管线排气罐底部放空阀因长年使用腐蚀严重并泄露，如果一名操作工在夜间灯照不好的条件下进入硫酸储槽巡检可能会被喷溅出来的硫酸溅到脸部跟手部用抹布跟大量清水冲洗后送医治疗一月后复工损工一月")</f>
        <v>硫酸储槽顶部，打酸管线排气罐底部放空阀因长年使用腐蚀严重并泄露，如果一名操作工在夜间灯照不好的条件下进入硫酸储槽巡检可能会被喷溅出来的硫酸溅到脸部跟手部用抹布跟大量清水冲洗后送医治疗一月后复工损工一月</v>
      </c>
      <c r="E121" s="19" t="s">
        <v>682</v>
      </c>
      <c r="F121" s="20" t="s">
        <v>42</v>
      </c>
      <c r="G121" s="21" t="s">
        <v>43</v>
      </c>
      <c r="H121" s="19" t="s">
        <v>44</v>
      </c>
      <c r="I121" s="19" t="s">
        <v>75</v>
      </c>
      <c r="J121" s="19" t="s">
        <v>46</v>
      </c>
      <c r="K121" s="19" t="s">
        <v>47</v>
      </c>
      <c r="L121" s="19" t="s">
        <v>48</v>
      </c>
      <c r="M121" s="19" t="s">
        <v>49</v>
      </c>
      <c r="N121" s="19" t="s">
        <v>660</v>
      </c>
      <c r="O121" s="19" t="s">
        <v>49</v>
      </c>
      <c r="P121" s="19" t="s">
        <v>51</v>
      </c>
      <c r="Q121" s="19" t="s">
        <v>661</v>
      </c>
      <c r="R121" s="19" t="s">
        <v>683</v>
      </c>
      <c r="S121" s="19"/>
      <c r="T121" s="19" t="s">
        <v>41</v>
      </c>
      <c r="U121" s="19" t="s">
        <v>135</v>
      </c>
      <c r="V121" s="19" t="s">
        <v>106</v>
      </c>
      <c r="W121" s="19" t="s">
        <v>151</v>
      </c>
      <c r="X121" s="19"/>
      <c r="Y121" s="19"/>
      <c r="Z121" s="19" t="s">
        <v>684</v>
      </c>
      <c r="AA121" s="19">
        <v>1</v>
      </c>
      <c r="AB121" s="19">
        <v>1</v>
      </c>
      <c r="AC121" s="19" t="s">
        <v>58</v>
      </c>
      <c r="AD121" s="19" t="s">
        <v>51</v>
      </c>
      <c r="AE121" s="19" t="s">
        <v>78</v>
      </c>
      <c r="AF121" s="19"/>
    </row>
    <row r="122" spans="1:34">
      <c r="A122" s="19">
        <v>117</v>
      </c>
      <c r="B122" s="19" t="s">
        <v>639</v>
      </c>
      <c r="C122" s="19" t="s">
        <v>293</v>
      </c>
      <c r="D122" s="19" t="str">
        <f>HYPERLINK("http://henontech.com/fieldsafety/harzard/harzard_show.php?rid=3042&amp;url=harzardrecs.php","车库铁门未关闭，铁门随风而动，职工途经时，头部被铁门门框外侧撞伤，经送医缝合5针，住院治疗3天，在家休养七天后复工。")</f>
        <v>车库铁门未关闭，铁门随风而动，职工途经时，头部被铁门门框外侧撞伤，经送医缝合5针，住院治疗3天，在家休养七天后复工。</v>
      </c>
      <c r="E122" s="19" t="s">
        <v>685</v>
      </c>
      <c r="F122" s="20" t="s">
        <v>42</v>
      </c>
      <c r="G122" s="25" t="s">
        <v>264</v>
      </c>
      <c r="H122" s="19" t="s">
        <v>44</v>
      </c>
      <c r="I122" s="19" t="s">
        <v>75</v>
      </c>
      <c r="J122" s="19" t="s">
        <v>91</v>
      </c>
      <c r="K122" s="19" t="s">
        <v>47</v>
      </c>
      <c r="L122" s="19" t="s">
        <v>372</v>
      </c>
      <c r="M122" s="19" t="s">
        <v>266</v>
      </c>
      <c r="N122" s="19" t="s">
        <v>373</v>
      </c>
      <c r="O122" s="19" t="s">
        <v>266</v>
      </c>
      <c r="P122" s="19" t="s">
        <v>303</v>
      </c>
      <c r="Q122" s="19" t="s">
        <v>78</v>
      </c>
      <c r="R122" s="19" t="s">
        <v>686</v>
      </c>
      <c r="S122" s="19"/>
      <c r="T122" s="19" t="s">
        <v>41</v>
      </c>
      <c r="U122" s="19" t="s">
        <v>135</v>
      </c>
      <c r="V122" s="19" t="s">
        <v>106</v>
      </c>
      <c r="W122" s="19" t="s">
        <v>151</v>
      </c>
      <c r="X122" s="19"/>
      <c r="Y122" s="19"/>
      <c r="Z122" s="19" t="s">
        <v>687</v>
      </c>
      <c r="AA122" s="19">
        <v>1</v>
      </c>
      <c r="AB122" s="19">
        <v>1</v>
      </c>
      <c r="AC122" s="19" t="s">
        <v>58</v>
      </c>
      <c r="AD122" s="19" t="s">
        <v>303</v>
      </c>
      <c r="AE122" s="19" t="s">
        <v>78</v>
      </c>
      <c r="AF122" s="19"/>
    </row>
    <row r="123" spans="1:34" customHeight="1" ht="42">
      <c r="A123" s="19">
        <v>118</v>
      </c>
      <c r="B123" s="19" t="s">
        <v>66</v>
      </c>
      <c r="C123" s="19" t="s">
        <v>425</v>
      </c>
      <c r="D123" s="19" t="str">
        <f>HYPERLINK("http://henontech.com/fieldsafety/harzard/harzard_show.php?rid=3043&amp;url=harzardrecs.php","焦侧地面除尘器防爆板破损，拦焦开启除尘后吸力降低，除尘效果差。")</f>
        <v>焦侧地面除尘器防爆板破损，拦焦开启除尘后吸力降低，除尘效果差。</v>
      </c>
      <c r="E123" s="19" t="s">
        <v>688</v>
      </c>
      <c r="F123" s="20" t="s">
        <v>42</v>
      </c>
      <c r="G123" s="21" t="s">
        <v>43</v>
      </c>
      <c r="H123" s="19" t="s">
        <v>44</v>
      </c>
      <c r="I123" s="19" t="s">
        <v>75</v>
      </c>
      <c r="J123" s="19" t="s">
        <v>46</v>
      </c>
      <c r="K123" s="19" t="s">
        <v>47</v>
      </c>
      <c r="L123" s="19" t="s">
        <v>372</v>
      </c>
      <c r="M123" s="19" t="s">
        <v>101</v>
      </c>
      <c r="N123" s="19" t="s">
        <v>689</v>
      </c>
      <c r="O123" s="19" t="s">
        <v>101</v>
      </c>
      <c r="P123" s="19" t="s">
        <v>206</v>
      </c>
      <c r="Q123" s="19" t="s">
        <v>256</v>
      </c>
      <c r="R123" s="19" t="s">
        <v>690</v>
      </c>
      <c r="S123" s="19"/>
      <c r="T123" s="19" t="s">
        <v>85</v>
      </c>
      <c r="U123" s="19" t="s">
        <v>86</v>
      </c>
      <c r="V123" s="19" t="s">
        <v>106</v>
      </c>
      <c r="W123" s="19" t="s">
        <v>56</v>
      </c>
      <c r="X123" s="19" t="s">
        <v>69</v>
      </c>
      <c r="Y123" s="19"/>
      <c r="Z123" s="19" t="s">
        <v>691</v>
      </c>
      <c r="AA123" s="19">
        <v>2</v>
      </c>
      <c r="AB123" s="19">
        <v>2</v>
      </c>
      <c r="AC123" s="19" t="s">
        <v>58</v>
      </c>
      <c r="AD123" s="19" t="s">
        <v>206</v>
      </c>
      <c r="AE123" s="19" t="s">
        <v>103</v>
      </c>
      <c r="AF123" s="19"/>
    </row>
    <row r="124" spans="1:34" customHeight="1" ht="42">
      <c r="A124" s="19">
        <v>119</v>
      </c>
      <c r="B124" s="19" t="s">
        <v>66</v>
      </c>
      <c r="C124" s="19" t="s">
        <v>692</v>
      </c>
      <c r="D124" s="19" t="str">
        <f>HYPERLINK("http://henontech.com/fieldsafety/harzard/harzard_show.php?rid=3044&amp;url=harzardrecs.php","5.5米焦炉炉顶北端台爬梯护栏开焊翘起，操作工下行不小心挂住衣服摔倒，滚落爬梯，至摔伤，肋骨骨折。")</f>
        <v>5.5米焦炉炉顶北端台爬梯护栏开焊翘起，操作工下行不小心挂住衣服摔倒，滚落爬梯，至摔伤，肋骨骨折。</v>
      </c>
      <c r="E124" s="19" t="s">
        <v>693</v>
      </c>
      <c r="F124" s="20" t="s">
        <v>42</v>
      </c>
      <c r="G124" s="21" t="s">
        <v>43</v>
      </c>
      <c r="H124" s="19" t="s">
        <v>44</v>
      </c>
      <c r="I124" s="19" t="s">
        <v>117</v>
      </c>
      <c r="J124" s="19" t="s">
        <v>91</v>
      </c>
      <c r="K124" s="19" t="s">
        <v>76</v>
      </c>
      <c r="L124" s="19" t="s">
        <v>48</v>
      </c>
      <c r="M124" s="19" t="s">
        <v>101</v>
      </c>
      <c r="N124" s="19" t="s">
        <v>694</v>
      </c>
      <c r="O124" s="19" t="s">
        <v>101</v>
      </c>
      <c r="P124" s="19" t="s">
        <v>206</v>
      </c>
      <c r="Q124" s="19" t="s">
        <v>256</v>
      </c>
      <c r="R124" s="19" t="s">
        <v>695</v>
      </c>
      <c r="S124" s="19"/>
      <c r="T124" s="19" t="s">
        <v>41</v>
      </c>
      <c r="U124" s="19" t="s">
        <v>135</v>
      </c>
      <c r="V124" s="19" t="s">
        <v>106</v>
      </c>
      <c r="W124" s="19" t="s">
        <v>151</v>
      </c>
      <c r="X124" s="19" t="s">
        <v>258</v>
      </c>
      <c r="Y124" s="19"/>
      <c r="Z124" s="19" t="s">
        <v>696</v>
      </c>
      <c r="AA124" s="19">
        <v>2</v>
      </c>
      <c r="AB124" s="19">
        <v>2</v>
      </c>
      <c r="AC124" s="19" t="s">
        <v>58</v>
      </c>
      <c r="AD124" s="19" t="s">
        <v>206</v>
      </c>
      <c r="AE124" s="19" t="s">
        <v>59</v>
      </c>
      <c r="AF124" s="19"/>
    </row>
    <row r="125" spans="1:34" customHeight="1" ht="42">
      <c r="A125" s="19">
        <v>120</v>
      </c>
      <c r="B125" s="19" t="s">
        <v>66</v>
      </c>
      <c r="C125" s="19" t="s">
        <v>356</v>
      </c>
      <c r="D125" s="19" t="str">
        <f>HYPERLINK("http://henontech.com/fieldsafety/harzard/harzard_show.php?rid=3045&amp;url=harzardrecs.php","西四岗位一名员工在巡检时，因工具乱摆乱放，被绊倒，经医院检查，造成腿部骨折，住院治疗半个月，在家休养三个月。")</f>
        <v>西四岗位一名员工在巡检时，因工具乱摆乱放，被绊倒，经医院检查，造成腿部骨折，住院治疗半个月，在家休养三个月。</v>
      </c>
      <c r="E125" s="19" t="s">
        <v>697</v>
      </c>
      <c r="F125" s="20" t="s">
        <v>42</v>
      </c>
      <c r="G125" s="21" t="s">
        <v>43</v>
      </c>
      <c r="H125" s="19" t="s">
        <v>44</v>
      </c>
      <c r="I125" s="19" t="s">
        <v>75</v>
      </c>
      <c r="J125" s="19" t="s">
        <v>188</v>
      </c>
      <c r="K125" s="19" t="s">
        <v>129</v>
      </c>
      <c r="L125" s="19"/>
      <c r="M125" s="19" t="s">
        <v>266</v>
      </c>
      <c r="N125" s="19" t="s">
        <v>698</v>
      </c>
      <c r="O125" s="19" t="s">
        <v>266</v>
      </c>
      <c r="P125" s="19" t="s">
        <v>268</v>
      </c>
      <c r="Q125" s="19" t="s">
        <v>59</v>
      </c>
      <c r="R125" s="19" t="s">
        <v>386</v>
      </c>
      <c r="S125" s="19" t="s">
        <v>699</v>
      </c>
      <c r="T125" s="19" t="s">
        <v>41</v>
      </c>
      <c r="U125" s="19" t="s">
        <v>135</v>
      </c>
      <c r="V125" s="19" t="s">
        <v>106</v>
      </c>
      <c r="W125" s="19" t="s">
        <v>151</v>
      </c>
      <c r="X125" s="19" t="s">
        <v>197</v>
      </c>
      <c r="Y125" s="19" t="s">
        <v>197</v>
      </c>
      <c r="Z125" s="19" t="s">
        <v>700</v>
      </c>
      <c r="AA125" s="19">
        <v>2</v>
      </c>
      <c r="AB125" s="19">
        <v>2</v>
      </c>
      <c r="AC125" s="19" t="s">
        <v>58</v>
      </c>
      <c r="AD125" s="19" t="s">
        <v>268</v>
      </c>
      <c r="AE125" s="19" t="s">
        <v>133</v>
      </c>
      <c r="AF125" s="19" t="s">
        <v>701</v>
      </c>
    </row>
    <row r="126" spans="1:34" customHeight="1" ht="42">
      <c r="A126" s="19">
        <v>121</v>
      </c>
      <c r="B126" s="19" t="s">
        <v>66</v>
      </c>
      <c r="C126" s="19" t="s">
        <v>702</v>
      </c>
      <c r="D126" s="19" t="str">
        <f>HYPERLINK("http://henontech.com/fieldsafety/harzard/harzard_show.php?rid=3046&amp;url=harzardrecs.php","机侧地面除尘管道上方防爆板破损，送煤车送煤时开启除尘吸力降低，消烟效果差。")</f>
        <v>机侧地面除尘管道上方防爆板破损，送煤车送煤时开启除尘吸力降低，消烟效果差。</v>
      </c>
      <c r="E126" s="19" t="s">
        <v>688</v>
      </c>
      <c r="F126" s="20" t="s">
        <v>42</v>
      </c>
      <c r="G126" s="21" t="s">
        <v>43</v>
      </c>
      <c r="H126" s="19" t="s">
        <v>44</v>
      </c>
      <c r="I126" s="19" t="s">
        <v>75</v>
      </c>
      <c r="J126" s="19" t="s">
        <v>46</v>
      </c>
      <c r="K126" s="19" t="s">
        <v>47</v>
      </c>
      <c r="L126" s="19" t="s">
        <v>372</v>
      </c>
      <c r="M126" s="19" t="s">
        <v>101</v>
      </c>
      <c r="N126" s="19" t="s">
        <v>689</v>
      </c>
      <c r="O126" s="19" t="s">
        <v>101</v>
      </c>
      <c r="P126" s="19" t="s">
        <v>206</v>
      </c>
      <c r="Q126" s="19" t="s">
        <v>256</v>
      </c>
      <c r="R126" s="19" t="s">
        <v>703</v>
      </c>
      <c r="S126" s="19"/>
      <c r="T126" s="19" t="s">
        <v>85</v>
      </c>
      <c r="U126" s="19" t="s">
        <v>86</v>
      </c>
      <c r="V126" s="19" t="s">
        <v>106</v>
      </c>
      <c r="W126" s="19" t="s">
        <v>56</v>
      </c>
      <c r="X126" s="19" t="s">
        <v>69</v>
      </c>
      <c r="Y126" s="19"/>
      <c r="Z126" s="19" t="s">
        <v>704</v>
      </c>
      <c r="AA126" s="19">
        <v>2</v>
      </c>
      <c r="AB126" s="19">
        <v>2</v>
      </c>
      <c r="AC126" s="19" t="s">
        <v>58</v>
      </c>
      <c r="AD126" s="19" t="s">
        <v>206</v>
      </c>
      <c r="AE126" s="19" t="s">
        <v>103</v>
      </c>
      <c r="AF126" s="19"/>
    </row>
    <row r="127" spans="1:34" customHeight="1" ht="42">
      <c r="A127" s="19">
        <v>122</v>
      </c>
      <c r="B127" s="19" t="s">
        <v>66</v>
      </c>
      <c r="C127" s="19" t="s">
        <v>417</v>
      </c>
      <c r="D127" s="19" t="str">
        <f>HYPERLINK("http://henontech.com/fieldsafety/harzard/harzard_show.php?rid=3047&amp;url=harzardrecs.php","一名操作工检查设备不慎将脚部卷入三角带中造成脚部骨折")</f>
        <v>一名操作工检查设备不慎将脚部卷入三角带中造成脚部骨折</v>
      </c>
      <c r="E127" s="19" t="s">
        <v>705</v>
      </c>
      <c r="F127" s="20" t="s">
        <v>42</v>
      </c>
      <c r="G127" s="25" t="s">
        <v>264</v>
      </c>
      <c r="H127" s="19" t="s">
        <v>44</v>
      </c>
      <c r="I127" s="19" t="s">
        <v>75</v>
      </c>
      <c r="J127" s="19" t="s">
        <v>46</v>
      </c>
      <c r="K127" s="19" t="s">
        <v>47</v>
      </c>
      <c r="L127" s="19" t="s">
        <v>372</v>
      </c>
      <c r="M127" s="19" t="s">
        <v>101</v>
      </c>
      <c r="N127" s="19" t="s">
        <v>706</v>
      </c>
      <c r="O127" s="19" t="s">
        <v>101</v>
      </c>
      <c r="P127" s="19" t="s">
        <v>206</v>
      </c>
      <c r="Q127" s="19" t="s">
        <v>256</v>
      </c>
      <c r="R127" s="19" t="s">
        <v>707</v>
      </c>
      <c r="S127" s="19"/>
      <c r="T127" s="19" t="s">
        <v>41</v>
      </c>
      <c r="U127" s="19" t="s">
        <v>135</v>
      </c>
      <c r="V127" s="19" t="s">
        <v>106</v>
      </c>
      <c r="W127" s="19" t="s">
        <v>151</v>
      </c>
      <c r="X127" s="19" t="s">
        <v>69</v>
      </c>
      <c r="Y127" s="19"/>
      <c r="Z127" s="19" t="s">
        <v>708</v>
      </c>
      <c r="AA127" s="19">
        <v>2</v>
      </c>
      <c r="AB127" s="19">
        <v>2</v>
      </c>
      <c r="AC127" s="19" t="s">
        <v>58</v>
      </c>
      <c r="AD127" s="19" t="s">
        <v>206</v>
      </c>
      <c r="AE127" s="19" t="s">
        <v>103</v>
      </c>
      <c r="AF127" s="19"/>
    </row>
    <row r="128" spans="1:34" customHeight="1" ht="42">
      <c r="A128" s="19">
        <v>123</v>
      </c>
      <c r="B128" s="19" t="s">
        <v>66</v>
      </c>
      <c r="C128" s="19" t="s">
        <v>458</v>
      </c>
      <c r="D128" s="19" t="str">
        <f>HYPERLINK("http://henontech.com/fieldsafety/harzard/harzard_show.php?rid=3048&amp;url=harzardrecs.php","焦侧除尘管道腐蚀破损，拦焦开启除尘时吸力降低，消烟除尘效果差")</f>
        <v>焦侧除尘管道腐蚀破损，拦焦开启除尘时吸力降低，消烟除尘效果差</v>
      </c>
      <c r="E128" s="19" t="s">
        <v>688</v>
      </c>
      <c r="F128" s="20" t="s">
        <v>42</v>
      </c>
      <c r="G128" s="21" t="s">
        <v>43</v>
      </c>
      <c r="H128" s="19" t="s">
        <v>44</v>
      </c>
      <c r="I128" s="19" t="s">
        <v>75</v>
      </c>
      <c r="J128" s="19" t="s">
        <v>46</v>
      </c>
      <c r="K128" s="19" t="s">
        <v>47</v>
      </c>
      <c r="L128" s="19" t="s">
        <v>372</v>
      </c>
      <c r="M128" s="19" t="s">
        <v>101</v>
      </c>
      <c r="N128" s="19" t="s">
        <v>689</v>
      </c>
      <c r="O128" s="19" t="s">
        <v>101</v>
      </c>
      <c r="P128" s="19" t="s">
        <v>206</v>
      </c>
      <c r="Q128" s="19" t="s">
        <v>256</v>
      </c>
      <c r="R128" s="19" t="s">
        <v>703</v>
      </c>
      <c r="S128" s="19"/>
      <c r="T128" s="19" t="s">
        <v>85</v>
      </c>
      <c r="U128" s="19" t="s">
        <v>86</v>
      </c>
      <c r="V128" s="19" t="s">
        <v>106</v>
      </c>
      <c r="W128" s="19" t="s">
        <v>56</v>
      </c>
      <c r="X128" s="19" t="s">
        <v>69</v>
      </c>
      <c r="Y128" s="19"/>
      <c r="Z128" s="19" t="s">
        <v>709</v>
      </c>
      <c r="AA128" s="19">
        <v>2</v>
      </c>
      <c r="AB128" s="19">
        <v>2</v>
      </c>
      <c r="AC128" s="19" t="s">
        <v>58</v>
      </c>
      <c r="AD128" s="19" t="s">
        <v>206</v>
      </c>
      <c r="AE128" s="19" t="s">
        <v>103</v>
      </c>
      <c r="AF128" s="19"/>
    </row>
    <row r="129" spans="1:34">
      <c r="A129" s="19">
        <v>124</v>
      </c>
      <c r="B129" s="19" t="s">
        <v>66</v>
      </c>
      <c r="C129" s="19" t="s">
        <v>300</v>
      </c>
      <c r="D129" s="19" t="str">
        <f>HYPERLINK("http://henontech.com/fieldsafety/harzard/harzard_show.php?rid=3049&amp;url=harzardrecs.php","东七南北胶带机西侧彩钢包边腐蚀脱落外挂在彩钢瓦上，一行人走至东七斜桥低部时腐蚀的包边被风吹落砸在行人头部造成颈部划伤送医院治疗一星期，回家休养一个月！")</f>
        <v>东七南北胶带机西侧彩钢包边腐蚀脱落外挂在彩钢瓦上，一行人走至东七斜桥低部时腐蚀的包边被风吹落砸在行人头部造成颈部划伤送医院治疗一星期，回家休养一个月！</v>
      </c>
      <c r="E129" s="19" t="s">
        <v>710</v>
      </c>
      <c r="F129" s="20" t="s">
        <v>42</v>
      </c>
      <c r="G129" s="21" t="s">
        <v>43</v>
      </c>
      <c r="H129" s="19" t="s">
        <v>44</v>
      </c>
      <c r="I129" s="19" t="s">
        <v>75</v>
      </c>
      <c r="J129" s="19" t="s">
        <v>91</v>
      </c>
      <c r="K129" s="19" t="s">
        <v>92</v>
      </c>
      <c r="L129" s="19" t="s">
        <v>48</v>
      </c>
      <c r="M129" s="19" t="s">
        <v>266</v>
      </c>
      <c r="N129" s="19" t="s">
        <v>402</v>
      </c>
      <c r="O129" s="19" t="s">
        <v>266</v>
      </c>
      <c r="P129" s="19" t="s">
        <v>403</v>
      </c>
      <c r="Q129" s="19" t="s">
        <v>711</v>
      </c>
      <c r="R129" s="19" t="s">
        <v>712</v>
      </c>
      <c r="S129" s="19"/>
      <c r="T129" s="19" t="s">
        <v>41</v>
      </c>
      <c r="U129" s="19" t="s">
        <v>135</v>
      </c>
      <c r="V129" s="19" t="s">
        <v>106</v>
      </c>
      <c r="W129" s="19" t="s">
        <v>151</v>
      </c>
      <c r="X129" s="19"/>
      <c r="Y129" s="19"/>
      <c r="Z129" s="19" t="s">
        <v>713</v>
      </c>
      <c r="AA129" s="19">
        <v>1</v>
      </c>
      <c r="AB129" s="19">
        <v>1</v>
      </c>
      <c r="AC129" s="19" t="s">
        <v>58</v>
      </c>
      <c r="AD129" s="19" t="s">
        <v>403</v>
      </c>
      <c r="AE129" s="19" t="s">
        <v>103</v>
      </c>
      <c r="AF129" s="19"/>
    </row>
    <row r="130" spans="1:34">
      <c r="A130" s="19">
        <v>125</v>
      </c>
      <c r="B130" s="19" t="s">
        <v>66</v>
      </c>
      <c r="C130" s="19" t="s">
        <v>300</v>
      </c>
      <c r="D130" s="19" t="str">
        <f>HYPERLINK("http://henontech.com/fieldsafety/harzard/harzard_show.php?rid=3050&amp;url=harzardrecs.php","脚手架架设倾斜未固定，作业人员攀爬过程中脚手架侧倒，作业人员从脚手架上坠落，腿部受伤，送医确诊左小腿骨折，住院治疗10天，在家休养60天后复工。")</f>
        <v>脚手架架设倾斜未固定，作业人员攀爬过程中脚手架侧倒，作业人员从脚手架上坠落，腿部受伤，送医确诊左小腿骨折，住院治疗10天，在家休养60天后复工。</v>
      </c>
      <c r="E130" s="19" t="s">
        <v>714</v>
      </c>
      <c r="F130" s="20" t="s">
        <v>42</v>
      </c>
      <c r="G130" s="25" t="s">
        <v>264</v>
      </c>
      <c r="H130" s="19" t="s">
        <v>44</v>
      </c>
      <c r="I130" s="19" t="s">
        <v>75</v>
      </c>
      <c r="J130" s="19" t="s">
        <v>91</v>
      </c>
      <c r="K130" s="19" t="s">
        <v>47</v>
      </c>
      <c r="L130" s="19" t="s">
        <v>48</v>
      </c>
      <c r="M130" s="19" t="s">
        <v>266</v>
      </c>
      <c r="N130" s="19" t="s">
        <v>362</v>
      </c>
      <c r="O130" s="19" t="s">
        <v>266</v>
      </c>
      <c r="P130" s="19" t="s">
        <v>303</v>
      </c>
      <c r="Q130" s="19" t="s">
        <v>78</v>
      </c>
      <c r="R130" s="19" t="s">
        <v>715</v>
      </c>
      <c r="S130" s="19"/>
      <c r="T130" s="19" t="s">
        <v>41</v>
      </c>
      <c r="U130" s="19" t="s">
        <v>135</v>
      </c>
      <c r="V130" s="19" t="s">
        <v>55</v>
      </c>
      <c r="W130" s="19" t="s">
        <v>107</v>
      </c>
      <c r="X130" s="19"/>
      <c r="Y130" s="19"/>
      <c r="Z130" s="19" t="s">
        <v>716</v>
      </c>
      <c r="AA130" s="19">
        <v>1</v>
      </c>
      <c r="AB130" s="19">
        <v>1</v>
      </c>
      <c r="AC130" s="19" t="s">
        <v>58</v>
      </c>
      <c r="AD130" s="19" t="s">
        <v>303</v>
      </c>
      <c r="AE130" s="19" t="s">
        <v>78</v>
      </c>
      <c r="AF130" s="19"/>
    </row>
    <row r="131" spans="1:34">
      <c r="A131" s="19">
        <v>126</v>
      </c>
      <c r="B131" s="19" t="s">
        <v>66</v>
      </c>
      <c r="C131" s="19" t="s">
        <v>227</v>
      </c>
      <c r="D131" s="19" t="str">
        <f>HYPERLINK("http://henontech.com/fieldsafety/harzard/harzard_show.php?rid=3051&amp;url=harzardrecs.php","因操作工未发现内回流泵电机防雨罩不在正确位置，下雨时进入雨水，烧毁电机一台，价值五千元")</f>
        <v>因操作工未发现内回流泵电机防雨罩不在正确位置，下雨时进入雨水，烧毁电机一台，价值五千元</v>
      </c>
      <c r="E131" s="19" t="s">
        <v>717</v>
      </c>
      <c r="F131" s="20" t="s">
        <v>42</v>
      </c>
      <c r="G131" s="21" t="s">
        <v>43</v>
      </c>
      <c r="H131" s="19" t="s">
        <v>44</v>
      </c>
      <c r="I131" s="19" t="s">
        <v>75</v>
      </c>
      <c r="J131" s="19" t="s">
        <v>91</v>
      </c>
      <c r="K131" s="19"/>
      <c r="L131" s="19" t="s">
        <v>48</v>
      </c>
      <c r="M131" s="19" t="s">
        <v>63</v>
      </c>
      <c r="N131" s="19" t="s">
        <v>718</v>
      </c>
      <c r="O131" s="19" t="s">
        <v>63</v>
      </c>
      <c r="P131" s="19" t="s">
        <v>65</v>
      </c>
      <c r="Q131" s="19" t="s">
        <v>719</v>
      </c>
      <c r="R131" s="19" t="s">
        <v>720</v>
      </c>
      <c r="S131" s="19" t="s">
        <v>721</v>
      </c>
      <c r="T131" s="19" t="s">
        <v>194</v>
      </c>
      <c r="U131" s="19" t="s">
        <v>86</v>
      </c>
      <c r="V131" s="19" t="s">
        <v>55</v>
      </c>
      <c r="W131" s="19" t="s">
        <v>56</v>
      </c>
      <c r="X131" s="19" t="s">
        <v>69</v>
      </c>
      <c r="Y131" s="19" t="s">
        <v>69</v>
      </c>
      <c r="Z131" s="19" t="s">
        <v>722</v>
      </c>
      <c r="AA131" s="19">
        <v>1</v>
      </c>
      <c r="AB131" s="19">
        <v>1</v>
      </c>
      <c r="AC131" s="19" t="s">
        <v>58</v>
      </c>
      <c r="AD131" s="19" t="s">
        <v>65</v>
      </c>
      <c r="AE131" s="19" t="s">
        <v>94</v>
      </c>
      <c r="AF131" s="19"/>
    </row>
    <row r="132" spans="1:34">
      <c r="A132" s="19">
        <v>127</v>
      </c>
      <c r="B132" s="19" t="s">
        <v>66</v>
      </c>
      <c r="C132" s="19" t="s">
        <v>723</v>
      </c>
      <c r="D132" s="19" t="str">
        <f>HYPERLINK("http://henontech.com/fieldsafety/harzard/harzard_show.php?rid=3052&amp;url=harzardrecs.php","一名操作工在进行中水项目加药泵启动时因未发现出口压力表指针缺失，而管道加药口处结晶导致加药泵憋压，无法观察加药泵出口压力，导致泵膜片破损，操作工发现后及时停泵，仅造成经济损失500元。")</f>
        <v>一名操作工在进行中水项目加药泵启动时因未发现出口压力表指针缺失，而管道加药口处结晶导致加药泵憋压，无法观察加药泵出口压力，导致泵膜片破损，操作工发现后及时停泵，仅造成经济损失500元。</v>
      </c>
      <c r="E132" s="19" t="s">
        <v>724</v>
      </c>
      <c r="F132" s="20" t="s">
        <v>42</v>
      </c>
      <c r="G132" s="21" t="s">
        <v>43</v>
      </c>
      <c r="H132" s="19" t="s">
        <v>44</v>
      </c>
      <c r="I132" s="19" t="s">
        <v>75</v>
      </c>
      <c r="J132" s="19" t="s">
        <v>46</v>
      </c>
      <c r="K132" s="19"/>
      <c r="L132" s="19"/>
      <c r="M132" s="19" t="s">
        <v>63</v>
      </c>
      <c r="N132" s="19" t="s">
        <v>725</v>
      </c>
      <c r="O132" s="19" t="s">
        <v>63</v>
      </c>
      <c r="P132" s="19" t="s">
        <v>65</v>
      </c>
      <c r="Q132" s="19" t="s">
        <v>719</v>
      </c>
      <c r="R132" s="19" t="s">
        <v>726</v>
      </c>
      <c r="S132" s="19" t="s">
        <v>727</v>
      </c>
      <c r="T132" s="19" t="s">
        <v>194</v>
      </c>
      <c r="U132" s="19" t="s">
        <v>86</v>
      </c>
      <c r="V132" s="19" t="s">
        <v>168</v>
      </c>
      <c r="W132" s="19" t="s">
        <v>56</v>
      </c>
      <c r="X132" s="19" t="s">
        <v>69</v>
      </c>
      <c r="Y132" s="19" t="s">
        <v>69</v>
      </c>
      <c r="Z132" s="19" t="s">
        <v>728</v>
      </c>
      <c r="AA132" s="19">
        <v>1</v>
      </c>
      <c r="AB132" s="19">
        <v>1</v>
      </c>
      <c r="AC132" s="19" t="s">
        <v>58</v>
      </c>
      <c r="AD132" s="19" t="s">
        <v>65</v>
      </c>
      <c r="AE132" s="19" t="s">
        <v>94</v>
      </c>
      <c r="AF132" s="19"/>
    </row>
    <row r="133" spans="1:34">
      <c r="A133" s="19">
        <v>128</v>
      </c>
      <c r="B133" s="19" t="s">
        <v>66</v>
      </c>
      <c r="C133" s="19" t="s">
        <v>530</v>
      </c>
      <c r="D133" s="19" t="str">
        <f>HYPERLINK("http://henontech.com/fieldsafety/harzard/harzard_show.php?rid=3053&amp;url=harzardrecs.php","北班长室南侧框架上保温铝皮因铆钉脱落，悬挂在4.5米高空管道上，如果有人途径此处，铝皮被大风刮落，就会造成过往人员右肩砸伤，送医院检查，诊断为右肩轻微骨折，损工10天")</f>
        <v>北班长室南侧框架上保温铝皮因铆钉脱落，悬挂在4.5米高空管道上，如果有人途径此处，铝皮被大风刮落，就会造成过往人员右肩砸伤，送医院检查，诊断为右肩轻微骨折，损工10天</v>
      </c>
      <c r="E133" s="19" t="s">
        <v>729</v>
      </c>
      <c r="F133" s="20" t="s">
        <v>42</v>
      </c>
      <c r="G133" s="21" t="s">
        <v>43</v>
      </c>
      <c r="H133" s="19" t="s">
        <v>44</v>
      </c>
      <c r="I133" s="19"/>
      <c r="J133" s="19"/>
      <c r="K133" s="19" t="s">
        <v>47</v>
      </c>
      <c r="L133" s="19" t="s">
        <v>48</v>
      </c>
      <c r="M133" s="19" t="s">
        <v>49</v>
      </c>
      <c r="N133" s="19" t="s">
        <v>730</v>
      </c>
      <c r="O133" s="19" t="s">
        <v>49</v>
      </c>
      <c r="P133" s="19" t="s">
        <v>51</v>
      </c>
      <c r="Q133" s="19" t="s">
        <v>661</v>
      </c>
      <c r="R133" s="19" t="s">
        <v>731</v>
      </c>
      <c r="S133" s="19"/>
      <c r="T133" s="19" t="s">
        <v>41</v>
      </c>
      <c r="U133" s="19" t="s">
        <v>135</v>
      </c>
      <c r="V133" s="19" t="s">
        <v>106</v>
      </c>
      <c r="W133" s="19" t="s">
        <v>151</v>
      </c>
      <c r="X133" s="19"/>
      <c r="Y133" s="19"/>
      <c r="Z133" s="19" t="s">
        <v>732</v>
      </c>
      <c r="AA133" s="19">
        <v>1</v>
      </c>
      <c r="AB133" s="19">
        <v>1</v>
      </c>
      <c r="AC133" s="19" t="s">
        <v>58</v>
      </c>
      <c r="AD133" s="19" t="s">
        <v>51</v>
      </c>
      <c r="AE133" s="19" t="s">
        <v>260</v>
      </c>
      <c r="AF133" s="19"/>
    </row>
    <row r="134" spans="1:34">
      <c r="A134" s="19">
        <v>129</v>
      </c>
      <c r="B134" s="19" t="s">
        <v>78</v>
      </c>
      <c r="C134" s="19" t="s">
        <v>733</v>
      </c>
      <c r="D134" s="19" t="str">
        <f>HYPERLINK("http://henontech.com/fieldsafety/harzard/harzard_show.php?rid=3054&amp;url=harzardrecs.php","焦油发货室西侧爬梯无警示牌，假如操作人员在上下爬梯时爬梯无警示牌操作人员危险辨识不清造成一名操作人员左脚脚踝扭伤，送医院治疗7天在家休息7天后正常上班，损工14天")</f>
        <v>焦油发货室西侧爬梯无警示牌，假如操作人员在上下爬梯时爬梯无警示牌操作人员危险辨识不清造成一名操作人员左脚脚踝扭伤，送医院治疗7天在家休息7天后正常上班，损工14天</v>
      </c>
      <c r="E134" s="19" t="s">
        <v>734</v>
      </c>
      <c r="F134" s="20" t="s">
        <v>42</v>
      </c>
      <c r="G134" s="21" t="s">
        <v>43</v>
      </c>
      <c r="H134" s="19" t="s">
        <v>44</v>
      </c>
      <c r="I134" s="19" t="s">
        <v>45</v>
      </c>
      <c r="J134" s="19" t="s">
        <v>188</v>
      </c>
      <c r="K134" s="19" t="s">
        <v>47</v>
      </c>
      <c r="L134" s="19" t="s">
        <v>48</v>
      </c>
      <c r="M134" s="19" t="s">
        <v>49</v>
      </c>
      <c r="N134" s="19" t="s">
        <v>735</v>
      </c>
      <c r="O134" s="19" t="s">
        <v>49</v>
      </c>
      <c r="P134" s="19" t="s">
        <v>51</v>
      </c>
      <c r="Q134" s="19" t="s">
        <v>661</v>
      </c>
      <c r="R134" s="19" t="s">
        <v>736</v>
      </c>
      <c r="S134" s="19"/>
      <c r="T134" s="19" t="s">
        <v>41</v>
      </c>
      <c r="U134" s="19" t="s">
        <v>135</v>
      </c>
      <c r="V134" s="19" t="s">
        <v>106</v>
      </c>
      <c r="W134" s="19" t="s">
        <v>151</v>
      </c>
      <c r="X134" s="19"/>
      <c r="Y134" s="19"/>
      <c r="Z134" s="19" t="s">
        <v>737</v>
      </c>
      <c r="AA134" s="19">
        <v>1</v>
      </c>
      <c r="AB134" s="19">
        <v>1</v>
      </c>
      <c r="AC134" s="19" t="s">
        <v>58</v>
      </c>
      <c r="AD134" s="19" t="s">
        <v>51</v>
      </c>
      <c r="AE134" s="19" t="s">
        <v>240</v>
      </c>
      <c r="AF134" s="19"/>
    </row>
    <row r="135" spans="1:34">
      <c r="A135" s="19">
        <v>130</v>
      </c>
      <c r="B135" s="19" t="s">
        <v>78</v>
      </c>
      <c r="C135" s="19" t="s">
        <v>738</v>
      </c>
      <c r="D135" s="19" t="str">
        <f>HYPERLINK("http://henontech.com/fieldsafety/harzard/harzard_show.php?rid=3055&amp;url=harzardrecs.php","北班长室南侧管架高4.5米处阀门保温铝皮脱落，如果在刮大风时有操作工路过，铝皮掉落砸中操作工颈部，造成颈部轻微擦伤，医务室简单治疗，正常上班。")</f>
        <v>北班长室南侧管架高4.5米处阀门保温铝皮脱落，如果在刮大风时有操作工路过，铝皮掉落砸中操作工颈部，造成颈部轻微擦伤，医务室简单治疗，正常上班。</v>
      </c>
      <c r="E135" s="19" t="s">
        <v>739</v>
      </c>
      <c r="F135" s="20" t="s">
        <v>42</v>
      </c>
      <c r="G135" s="21" t="s">
        <v>43</v>
      </c>
      <c r="H135" s="19" t="s">
        <v>44</v>
      </c>
      <c r="I135" s="19" t="s">
        <v>75</v>
      </c>
      <c r="J135" s="19" t="s">
        <v>46</v>
      </c>
      <c r="K135" s="19" t="s">
        <v>47</v>
      </c>
      <c r="L135" s="19"/>
      <c r="M135" s="19" t="s">
        <v>49</v>
      </c>
      <c r="N135" s="19" t="s">
        <v>112</v>
      </c>
      <c r="O135" s="19" t="s">
        <v>49</v>
      </c>
      <c r="P135" s="19" t="s">
        <v>51</v>
      </c>
      <c r="Q135" s="19" t="s">
        <v>661</v>
      </c>
      <c r="R135" s="19" t="s">
        <v>740</v>
      </c>
      <c r="S135" s="19"/>
      <c r="T135" s="19" t="s">
        <v>41</v>
      </c>
      <c r="U135" s="19" t="s">
        <v>54</v>
      </c>
      <c r="V135" s="19" t="s">
        <v>55</v>
      </c>
      <c r="W135" s="19" t="s">
        <v>56</v>
      </c>
      <c r="X135" s="19"/>
      <c r="Y135" s="19"/>
      <c r="Z135" s="19" t="s">
        <v>741</v>
      </c>
      <c r="AA135" s="19">
        <v>1</v>
      </c>
      <c r="AB135" s="19">
        <v>1</v>
      </c>
      <c r="AC135" s="19" t="s">
        <v>58</v>
      </c>
      <c r="AD135" s="19" t="s">
        <v>51</v>
      </c>
      <c r="AE135" s="19" t="s">
        <v>424</v>
      </c>
      <c r="AF135" s="19"/>
    </row>
    <row r="136" spans="1:34">
      <c r="A136" s="19">
        <v>131</v>
      </c>
      <c r="B136" s="19" t="s">
        <v>78</v>
      </c>
      <c r="C136" s="19" t="s">
        <v>742</v>
      </c>
      <c r="D136" s="19" t="str">
        <f>HYPERLINK("http://henontech.com/fieldsafety/harzard/harzard_show.php?rid=3056&amp;url=harzardrecs.php","MVR屋后4米管架处有废弃电缆盖板，当大风天气，电缆盖板被吹落，砸伤正在此处巡检的操作工，造成操作工右胳膊砸伤，去医院拍片检查为局部软组织挫伤，擦药包扎后回家休养7天，损工7天。")</f>
        <v>MVR屋后4米管架处有废弃电缆盖板，当大风天气，电缆盖板被吹落，砸伤正在此处巡检的操作工，造成操作工右胳膊砸伤，去医院拍片检查为局部软组织挫伤，擦药包扎后回家休养7天，损工7天。</v>
      </c>
      <c r="E136" s="19" t="s">
        <v>743</v>
      </c>
      <c r="F136" s="20" t="s">
        <v>42</v>
      </c>
      <c r="G136" s="21" t="s">
        <v>43</v>
      </c>
      <c r="H136" s="19" t="s">
        <v>44</v>
      </c>
      <c r="I136" s="19" t="s">
        <v>45</v>
      </c>
      <c r="J136" s="19" t="s">
        <v>46</v>
      </c>
      <c r="K136" s="19" t="s">
        <v>47</v>
      </c>
      <c r="L136" s="19" t="s">
        <v>48</v>
      </c>
      <c r="M136" s="19" t="s">
        <v>49</v>
      </c>
      <c r="N136" s="19" t="s">
        <v>744</v>
      </c>
      <c r="O136" s="19" t="s">
        <v>49</v>
      </c>
      <c r="P136" s="19" t="s">
        <v>51</v>
      </c>
      <c r="Q136" s="19" t="s">
        <v>719</v>
      </c>
      <c r="R136" s="19" t="s">
        <v>745</v>
      </c>
      <c r="S136" s="19"/>
      <c r="T136" s="19" t="s">
        <v>41</v>
      </c>
      <c r="U136" s="19" t="s">
        <v>135</v>
      </c>
      <c r="V136" s="19" t="s">
        <v>106</v>
      </c>
      <c r="W136" s="19" t="s">
        <v>151</v>
      </c>
      <c r="X136" s="19"/>
      <c r="Y136" s="19"/>
      <c r="Z136" s="19" t="s">
        <v>746</v>
      </c>
      <c r="AA136" s="19">
        <v>1</v>
      </c>
      <c r="AB136" s="19">
        <v>1</v>
      </c>
      <c r="AC136" s="19" t="s">
        <v>58</v>
      </c>
      <c r="AD136" s="19" t="s">
        <v>51</v>
      </c>
      <c r="AE136" s="19" t="s">
        <v>133</v>
      </c>
      <c r="AF136" s="19"/>
    </row>
    <row r="137" spans="1:34">
      <c r="A137" s="19">
        <v>132</v>
      </c>
      <c r="B137" s="19" t="s">
        <v>78</v>
      </c>
      <c r="C137" s="19" t="s">
        <v>621</v>
      </c>
      <c r="D137" s="19" t="str">
        <f>HYPERLINK("http://henontech.com/fieldsafety/harzard/harzard_show.php?rid=3058&amp;url=harzardrecs.php","北脱硫南草坪上方管道架上有一废弃铝皮，假如操作工在清理草坪时，铝皮被大风吹落，砸中操作工后背，送往医务室检查，诊断为轻微擦伤，消毒上药后复工，无损工。")</f>
        <v>北脱硫南草坪上方管道架上有一废弃铝皮，假如操作工在清理草坪时，铝皮被大风吹落，砸中操作工后背，送往医务室检查，诊断为轻微擦伤，消毒上药后复工，无损工。</v>
      </c>
      <c r="E137" s="19" t="s">
        <v>747</v>
      </c>
      <c r="F137" s="20" t="s">
        <v>42</v>
      </c>
      <c r="G137" s="21" t="s">
        <v>43</v>
      </c>
      <c r="H137" s="19" t="s">
        <v>44</v>
      </c>
      <c r="I137" s="19" t="s">
        <v>75</v>
      </c>
      <c r="J137" s="19" t="s">
        <v>46</v>
      </c>
      <c r="K137" s="19" t="s">
        <v>47</v>
      </c>
      <c r="L137" s="19" t="s">
        <v>48</v>
      </c>
      <c r="M137" s="19" t="s">
        <v>49</v>
      </c>
      <c r="N137" s="19" t="s">
        <v>148</v>
      </c>
      <c r="O137" s="19" t="s">
        <v>49</v>
      </c>
      <c r="P137" s="19" t="s">
        <v>51</v>
      </c>
      <c r="Q137" s="19" t="s">
        <v>719</v>
      </c>
      <c r="R137" s="19" t="s">
        <v>748</v>
      </c>
      <c r="S137" s="19"/>
      <c r="T137" s="19" t="s">
        <v>41</v>
      </c>
      <c r="U137" s="19" t="s">
        <v>54</v>
      </c>
      <c r="V137" s="19" t="s">
        <v>55</v>
      </c>
      <c r="W137" s="19" t="s">
        <v>56</v>
      </c>
      <c r="X137" s="19"/>
      <c r="Y137" s="19"/>
      <c r="Z137" s="19" t="s">
        <v>113</v>
      </c>
      <c r="AA137" s="19">
        <v>1</v>
      </c>
      <c r="AB137" s="19">
        <v>1</v>
      </c>
      <c r="AC137" s="19" t="s">
        <v>58</v>
      </c>
      <c r="AD137" s="19" t="s">
        <v>51</v>
      </c>
      <c r="AE137" s="19" t="s">
        <v>424</v>
      </c>
      <c r="AF137" s="19"/>
    </row>
    <row r="138" spans="1:34" customHeight="1" ht="42">
      <c r="A138" s="19">
        <v>133</v>
      </c>
      <c r="B138" s="19" t="s">
        <v>94</v>
      </c>
      <c r="C138" s="19" t="s">
        <v>356</v>
      </c>
      <c r="D138" s="19" t="str">
        <f>HYPERLINK("http://henontech.com/fieldsafety/harzard/harzard_show.php?rid=3059&amp;url=harzardrecs.php","西二机头下水管道因固定螺栓腐烂造成水管坠落一职工未戴安全帽经过时砸中头部送医院后经抢救无效死亡。")</f>
        <v>西二机头下水管道因固定螺栓腐烂造成水管坠落一职工未戴安全帽经过时砸中头部送医院后经抢救无效死亡。</v>
      </c>
      <c r="E138" s="19" t="s">
        <v>449</v>
      </c>
      <c r="F138" s="20" t="s">
        <v>42</v>
      </c>
      <c r="G138" s="25" t="s">
        <v>264</v>
      </c>
      <c r="H138" s="19" t="s">
        <v>44</v>
      </c>
      <c r="I138" s="19" t="s">
        <v>45</v>
      </c>
      <c r="J138" s="19" t="s">
        <v>46</v>
      </c>
      <c r="K138" s="19" t="s">
        <v>92</v>
      </c>
      <c r="L138" s="19" t="s">
        <v>48</v>
      </c>
      <c r="M138" s="19" t="s">
        <v>266</v>
      </c>
      <c r="N138" s="19" t="s">
        <v>749</v>
      </c>
      <c r="O138" s="19" t="s">
        <v>266</v>
      </c>
      <c r="P138" s="19" t="s">
        <v>268</v>
      </c>
      <c r="Q138" s="19" t="s">
        <v>240</v>
      </c>
      <c r="R138" s="19" t="s">
        <v>750</v>
      </c>
      <c r="S138" s="19" t="s">
        <v>751</v>
      </c>
      <c r="T138" s="19" t="s">
        <v>41</v>
      </c>
      <c r="U138" s="19" t="s">
        <v>195</v>
      </c>
      <c r="V138" s="19" t="s">
        <v>55</v>
      </c>
      <c r="W138" s="19" t="s">
        <v>151</v>
      </c>
      <c r="X138" s="19" t="s">
        <v>197</v>
      </c>
      <c r="Y138" s="19" t="s">
        <v>197</v>
      </c>
      <c r="Z138" s="19" t="s">
        <v>752</v>
      </c>
      <c r="AA138" s="19">
        <v>2</v>
      </c>
      <c r="AB138" s="19">
        <v>2</v>
      </c>
      <c r="AC138" s="19" t="s">
        <v>58</v>
      </c>
      <c r="AD138" s="19" t="s">
        <v>268</v>
      </c>
      <c r="AE138" s="19" t="s">
        <v>133</v>
      </c>
      <c r="AF138" s="19" t="s">
        <v>753</v>
      </c>
    </row>
    <row r="139" spans="1:34" customHeight="1" ht="42">
      <c r="A139" s="19">
        <v>134</v>
      </c>
      <c r="B139" s="19" t="s">
        <v>94</v>
      </c>
      <c r="C139" s="19" t="s">
        <v>300</v>
      </c>
      <c r="D139" s="19" t="str">
        <f>HYPERLINK("http://henontech.com/fieldsafety/harzard/harzard_show.php?rid=3060&amp;url=harzardrecs.php","电动葫芦手柄电缆老化，一维修工在维修吊装移动设备时不慎触电，同事紧急断电做心肺复苏，后送医院抢救无效死亡。")</f>
        <v>电动葫芦手柄电缆老化，一维修工在维修吊装移动设备时不慎触电，同事紧急断电做心肺复苏，后送医院抢救无效死亡。</v>
      </c>
      <c r="E139" s="19" t="s">
        <v>754</v>
      </c>
      <c r="F139" s="20" t="s">
        <v>42</v>
      </c>
      <c r="G139" s="25" t="s">
        <v>264</v>
      </c>
      <c r="H139" s="19" t="s">
        <v>44</v>
      </c>
      <c r="I139" s="19" t="s">
        <v>75</v>
      </c>
      <c r="J139" s="19" t="s">
        <v>46</v>
      </c>
      <c r="K139" s="19" t="s">
        <v>129</v>
      </c>
      <c r="L139" s="19" t="s">
        <v>372</v>
      </c>
      <c r="M139" s="19" t="s">
        <v>278</v>
      </c>
      <c r="N139" s="19" t="s">
        <v>755</v>
      </c>
      <c r="O139" s="19" t="s">
        <v>266</v>
      </c>
      <c r="P139" s="19" t="s">
        <v>268</v>
      </c>
      <c r="Q139" s="19" t="s">
        <v>240</v>
      </c>
      <c r="R139" s="19" t="s">
        <v>756</v>
      </c>
      <c r="S139" s="19" t="s">
        <v>757</v>
      </c>
      <c r="T139" s="19" t="s">
        <v>41</v>
      </c>
      <c r="U139" s="19" t="s">
        <v>195</v>
      </c>
      <c r="V139" s="19" t="s">
        <v>106</v>
      </c>
      <c r="W139" s="19" t="s">
        <v>196</v>
      </c>
      <c r="X139" s="19" t="s">
        <v>258</v>
      </c>
      <c r="Y139" s="19" t="s">
        <v>197</v>
      </c>
      <c r="Z139" s="19" t="s">
        <v>758</v>
      </c>
      <c r="AA139" s="19">
        <v>2</v>
      </c>
      <c r="AB139" s="19">
        <v>2</v>
      </c>
      <c r="AC139" s="19" t="s">
        <v>58</v>
      </c>
      <c r="AD139" s="19" t="s">
        <v>268</v>
      </c>
      <c r="AE139" s="19" t="s">
        <v>133</v>
      </c>
      <c r="AF139" s="19" t="s">
        <v>759</v>
      </c>
    </row>
    <row r="140" spans="1:34">
      <c r="A140" s="19">
        <v>135</v>
      </c>
      <c r="B140" s="19" t="s">
        <v>94</v>
      </c>
      <c r="C140" s="19" t="s">
        <v>760</v>
      </c>
      <c r="D140" s="19" t="str">
        <f>HYPERLINK("http://henontech.com/fieldsafety/harzard/harzard_show.php?rid=3061&amp;url=harzardrecs.php","焦渣掺配铰刀电机电源线未套管  造成线皮磨损 露出电源线铁架子接触 操作工工作碰触到架子 触电倒地 送医治疗抢救无效死亡")</f>
        <v>焦渣掺配铰刀电机电源线未套管  造成线皮磨损 露出电源线铁架子接触 操作工工作碰触到架子 触电倒地 送医治疗抢救无效死亡</v>
      </c>
      <c r="E140" s="19" t="s">
        <v>459</v>
      </c>
      <c r="F140" s="20" t="s">
        <v>42</v>
      </c>
      <c r="G140" s="21" t="s">
        <v>43</v>
      </c>
      <c r="H140" s="19" t="s">
        <v>44</v>
      </c>
      <c r="I140" s="19" t="s">
        <v>45</v>
      </c>
      <c r="J140" s="19" t="s">
        <v>46</v>
      </c>
      <c r="K140" s="19" t="s">
        <v>92</v>
      </c>
      <c r="L140" s="19" t="s">
        <v>48</v>
      </c>
      <c r="M140" s="19" t="s">
        <v>266</v>
      </c>
      <c r="N140" s="19" t="s">
        <v>381</v>
      </c>
      <c r="O140" s="19" t="s">
        <v>266</v>
      </c>
      <c r="P140" s="19" t="s">
        <v>382</v>
      </c>
      <c r="Q140" s="19" t="s">
        <v>353</v>
      </c>
      <c r="R140" s="19" t="s">
        <v>761</v>
      </c>
      <c r="S140" s="19"/>
      <c r="T140" s="19" t="s">
        <v>41</v>
      </c>
      <c r="U140" s="19" t="s">
        <v>195</v>
      </c>
      <c r="V140" s="19" t="s">
        <v>168</v>
      </c>
      <c r="W140" s="19" t="s">
        <v>196</v>
      </c>
      <c r="X140" s="19"/>
      <c r="Y140" s="19"/>
      <c r="Z140" s="19" t="s">
        <v>762</v>
      </c>
      <c r="AA140" s="19">
        <v>1</v>
      </c>
      <c r="AB140" s="19">
        <v>1</v>
      </c>
      <c r="AC140" s="19" t="s">
        <v>58</v>
      </c>
      <c r="AD140" s="19" t="s">
        <v>382</v>
      </c>
      <c r="AE140" s="19" t="s">
        <v>133</v>
      </c>
      <c r="AF140" s="19"/>
    </row>
    <row r="141" spans="1:34" customHeight="1" ht="42">
      <c r="A141" s="19">
        <v>136</v>
      </c>
      <c r="B141" s="19" t="s">
        <v>94</v>
      </c>
      <c r="C141" s="19" t="s">
        <v>293</v>
      </c>
      <c r="D141" s="19" t="str">
        <f>HYPERLINK("http://henontech.com/fieldsafety/harzard/harzard_show.php?rid=3062&amp;url=harzardrecs.php","煤八后尾照明灯损坏 夜班操作工巡检时 脚下看不清被绊倒 造成右脚脚踝扭伤 休息一会不影响工作")</f>
        <v>煤八后尾照明灯损坏 夜班操作工巡检时 脚下看不清被绊倒 造成右脚脚踝扭伤 休息一会不影响工作</v>
      </c>
      <c r="E141" s="19" t="s">
        <v>763</v>
      </c>
      <c r="F141" s="20" t="s">
        <v>42</v>
      </c>
      <c r="G141" s="21" t="s">
        <v>43</v>
      </c>
      <c r="H141" s="19" t="s">
        <v>44</v>
      </c>
      <c r="I141" s="19" t="s">
        <v>75</v>
      </c>
      <c r="J141" s="19" t="s">
        <v>188</v>
      </c>
      <c r="K141" s="19" t="s">
        <v>129</v>
      </c>
      <c r="L141" s="19" t="s">
        <v>48</v>
      </c>
      <c r="M141" s="19" t="s">
        <v>266</v>
      </c>
      <c r="N141" s="19" t="s">
        <v>381</v>
      </c>
      <c r="O141" s="19" t="s">
        <v>266</v>
      </c>
      <c r="P141" s="19" t="s">
        <v>382</v>
      </c>
      <c r="Q141" s="19" t="s">
        <v>353</v>
      </c>
      <c r="R141" s="19" t="s">
        <v>637</v>
      </c>
      <c r="S141" s="19"/>
      <c r="T141" s="19" t="s">
        <v>41</v>
      </c>
      <c r="U141" s="19" t="s">
        <v>54</v>
      </c>
      <c r="V141" s="19" t="s">
        <v>55</v>
      </c>
      <c r="W141" s="19" t="s">
        <v>56</v>
      </c>
      <c r="X141" s="19"/>
      <c r="Y141" s="19"/>
      <c r="Z141" s="19" t="s">
        <v>764</v>
      </c>
      <c r="AA141" s="19">
        <v>2</v>
      </c>
      <c r="AB141" s="19">
        <v>2</v>
      </c>
      <c r="AC141" s="19" t="s">
        <v>58</v>
      </c>
      <c r="AD141" s="19" t="s">
        <v>382</v>
      </c>
      <c r="AE141" s="19" t="s">
        <v>133</v>
      </c>
      <c r="AF141" s="19"/>
    </row>
    <row r="142" spans="1:34" customHeight="1" ht="42">
      <c r="A142" s="19">
        <v>137</v>
      </c>
      <c r="B142" s="19" t="s">
        <v>94</v>
      </c>
      <c r="C142" s="19" t="s">
        <v>765</v>
      </c>
      <c r="D142" s="19" t="str">
        <f>HYPERLINK("http://henontech.com/fieldsafety/harzard/harzard_show.php?rid=3063&amp;url=harzardrecs.php","1蒸汽阀门局部保温缺失，若1名职工上管廊巡查操作时，手部不慎触碰到内部蒸汽280℃的该阀门裸露铁件，会造成手部烫伤。")</f>
        <v>1蒸汽阀门局部保温缺失，若1名职工上管廊巡查操作时，手部不慎触碰到内部蒸汽280℃的该阀门裸露铁件，会造成手部烫伤。</v>
      </c>
      <c r="E142" s="19" t="s">
        <v>766</v>
      </c>
      <c r="F142" s="20" t="s">
        <v>42</v>
      </c>
      <c r="G142" s="21" t="s">
        <v>43</v>
      </c>
      <c r="H142" s="19" t="s">
        <v>44</v>
      </c>
      <c r="I142" s="19"/>
      <c r="J142" s="19" t="s">
        <v>158</v>
      </c>
      <c r="K142" s="19"/>
      <c r="L142" s="19"/>
      <c r="M142" s="19" t="s">
        <v>101</v>
      </c>
      <c r="N142" s="19" t="s">
        <v>767</v>
      </c>
      <c r="O142" s="19" t="s">
        <v>101</v>
      </c>
      <c r="P142" s="19" t="s">
        <v>206</v>
      </c>
      <c r="Q142" s="19" t="s">
        <v>768</v>
      </c>
      <c r="R142" s="19" t="s">
        <v>769</v>
      </c>
      <c r="S142" s="19"/>
      <c r="T142" s="19" t="s">
        <v>41</v>
      </c>
      <c r="U142" s="19" t="s">
        <v>135</v>
      </c>
      <c r="V142" s="19" t="s">
        <v>106</v>
      </c>
      <c r="W142" s="19" t="s">
        <v>151</v>
      </c>
      <c r="X142" s="19" t="s">
        <v>390</v>
      </c>
      <c r="Y142" s="19"/>
      <c r="Z142" s="19" t="s">
        <v>770</v>
      </c>
      <c r="AA142" s="19">
        <v>2</v>
      </c>
      <c r="AB142" s="19">
        <v>2</v>
      </c>
      <c r="AC142" s="19" t="s">
        <v>58</v>
      </c>
      <c r="AD142" s="19" t="s">
        <v>206</v>
      </c>
      <c r="AE142" s="19" t="s">
        <v>94</v>
      </c>
      <c r="AF142" s="19"/>
    </row>
    <row r="143" spans="1:34" customHeight="1" ht="42">
      <c r="A143" s="19">
        <v>138</v>
      </c>
      <c r="B143" s="19" t="s">
        <v>94</v>
      </c>
      <c r="C143" s="19" t="s">
        <v>169</v>
      </c>
      <c r="D143" s="19" t="str">
        <f>HYPERLINK("http://henontech.com/fieldsafety/harzard/harzard_show.php?rid=3065&amp;url=harzardrecs.php","新化水盐酸罐处排水口无盖板，化水一名职工在巡检时右脚掉入水口，造成右脚脚踝骨折。")</f>
        <v>新化水盐酸罐处排水口无盖板，化水一名职工在巡检时右脚掉入水口，造成右脚脚踝骨折。</v>
      </c>
      <c r="E143" s="19" t="s">
        <v>771</v>
      </c>
      <c r="F143" s="20" t="s">
        <v>42</v>
      </c>
      <c r="G143" s="21" t="s">
        <v>43</v>
      </c>
      <c r="H143" s="19" t="s">
        <v>44</v>
      </c>
      <c r="I143" s="19" t="s">
        <v>117</v>
      </c>
      <c r="J143" s="19" t="s">
        <v>46</v>
      </c>
      <c r="K143" s="19" t="s">
        <v>47</v>
      </c>
      <c r="L143" s="19"/>
      <c r="M143" s="19" t="s">
        <v>130</v>
      </c>
      <c r="N143" s="19" t="s">
        <v>772</v>
      </c>
      <c r="O143" s="19" t="s">
        <v>130</v>
      </c>
      <c r="P143" s="19" t="s">
        <v>132</v>
      </c>
      <c r="Q143" s="19" t="s">
        <v>353</v>
      </c>
      <c r="R143" s="19" t="s">
        <v>773</v>
      </c>
      <c r="S143" s="19"/>
      <c r="T143" s="19" t="s">
        <v>41</v>
      </c>
      <c r="U143" s="19" t="s">
        <v>54</v>
      </c>
      <c r="V143" s="19" t="s">
        <v>168</v>
      </c>
      <c r="W143" s="19" t="s">
        <v>151</v>
      </c>
      <c r="X143" s="19" t="s">
        <v>69</v>
      </c>
      <c r="Y143" s="19"/>
      <c r="Z143" s="19" t="s">
        <v>244</v>
      </c>
      <c r="AA143" s="19">
        <v>2</v>
      </c>
      <c r="AB143" s="19">
        <v>1</v>
      </c>
      <c r="AC143" s="19" t="s">
        <v>58</v>
      </c>
      <c r="AD143" s="19" t="s">
        <v>132</v>
      </c>
      <c r="AE143" s="19" t="s">
        <v>177</v>
      </c>
      <c r="AF143" s="19" t="s">
        <v>774</v>
      </c>
    </row>
    <row r="144" spans="1:34">
      <c r="A144" s="19">
        <v>139</v>
      </c>
      <c r="B144" s="19" t="s">
        <v>240</v>
      </c>
      <c r="C144" s="19" t="s">
        <v>175</v>
      </c>
      <c r="D144" s="19" t="str">
        <f>HYPERLINK("http://henontech.com/fieldsafety/harzard/harzard_show.php?rid=3066&amp;url=harzardrecs.php","一名职工在巡检电解水处理器的过程中，由于电解水处理配电箱端子老化造成漏电职工触电后摔倒，造成脚部擦伤经医务室处理后继续上班后。")</f>
        <v>一名职工在巡检电解水处理器的过程中，由于电解水处理配电箱端子老化造成漏电职工触电后摔倒，造成脚部擦伤经医务室处理后继续上班后。</v>
      </c>
      <c r="E144" s="19" t="s">
        <v>775</v>
      </c>
      <c r="F144" s="20" t="s">
        <v>42</v>
      </c>
      <c r="G144" s="21" t="s">
        <v>43</v>
      </c>
      <c r="H144" s="19" t="s">
        <v>44</v>
      </c>
      <c r="I144" s="19" t="s">
        <v>45</v>
      </c>
      <c r="J144" s="19" t="s">
        <v>284</v>
      </c>
      <c r="K144" s="19" t="s">
        <v>129</v>
      </c>
      <c r="L144" s="19" t="s">
        <v>48</v>
      </c>
      <c r="M144" s="19" t="s">
        <v>49</v>
      </c>
      <c r="N144" s="19" t="s">
        <v>776</v>
      </c>
      <c r="O144" s="19" t="s">
        <v>49</v>
      </c>
      <c r="P144" s="19" t="s">
        <v>51</v>
      </c>
      <c r="Q144" s="19" t="s">
        <v>676</v>
      </c>
      <c r="R144" s="19" t="s">
        <v>777</v>
      </c>
      <c r="S144" s="19"/>
      <c r="T144" s="19" t="s">
        <v>41</v>
      </c>
      <c r="U144" s="19" t="s">
        <v>86</v>
      </c>
      <c r="V144" s="19" t="s">
        <v>55</v>
      </c>
      <c r="W144" s="19" t="s">
        <v>56</v>
      </c>
      <c r="X144" s="19"/>
      <c r="Y144" s="19"/>
      <c r="Z144" s="19" t="s">
        <v>778</v>
      </c>
      <c r="AA144" s="19">
        <v>1</v>
      </c>
      <c r="AB144" s="19">
        <v>1</v>
      </c>
      <c r="AC144" s="19" t="s">
        <v>58</v>
      </c>
      <c r="AD144" s="19" t="s">
        <v>51</v>
      </c>
      <c r="AE144" s="19" t="s">
        <v>779</v>
      </c>
      <c r="AF144" s="19"/>
    </row>
    <row r="145" spans="1:34">
      <c r="A145" s="19">
        <v>140</v>
      </c>
      <c r="B145" s="19" t="s">
        <v>94</v>
      </c>
      <c r="C145" s="19" t="s">
        <v>146</v>
      </c>
      <c r="D145" s="19" t="str">
        <f>HYPERLINK("http://henontech.com/fieldsafety/harzard/harzard_show.php?rid=3067&amp;url=harzardrecs.php","检修2号初冷器用的氧气瓶没有采取防倾倒措  如果气瓶歪倒可能会造成气瓶爆炸影响右侧设备运转")</f>
        <v>检修2号初冷器用的氧气瓶没有采取防倾倒措  如果气瓶歪倒可能会造成气瓶爆炸影响右侧设备运转</v>
      </c>
      <c r="E145" s="19" t="s">
        <v>780</v>
      </c>
      <c r="F145" s="20" t="s">
        <v>42</v>
      </c>
      <c r="G145" s="21" t="s">
        <v>43</v>
      </c>
      <c r="H145" s="19" t="s">
        <v>44</v>
      </c>
      <c r="I145" s="19" t="s">
        <v>45</v>
      </c>
      <c r="J145" s="19"/>
      <c r="K145" s="19" t="s">
        <v>47</v>
      </c>
      <c r="L145" s="19" t="s">
        <v>48</v>
      </c>
      <c r="M145" s="19" t="s">
        <v>49</v>
      </c>
      <c r="N145" s="19" t="s">
        <v>675</v>
      </c>
      <c r="O145" s="19" t="s">
        <v>49</v>
      </c>
      <c r="P145" s="19" t="s">
        <v>51</v>
      </c>
      <c r="Q145" s="19" t="s">
        <v>676</v>
      </c>
      <c r="R145" s="19" t="s">
        <v>781</v>
      </c>
      <c r="S145" s="19"/>
      <c r="T145" s="19" t="s">
        <v>194</v>
      </c>
      <c r="U145" s="19" t="s">
        <v>86</v>
      </c>
      <c r="V145" s="19" t="s">
        <v>55</v>
      </c>
      <c r="W145" s="19" t="s">
        <v>56</v>
      </c>
      <c r="X145" s="19"/>
      <c r="Y145" s="19"/>
      <c r="Z145" s="19" t="s">
        <v>782</v>
      </c>
      <c r="AA145" s="19">
        <v>1</v>
      </c>
      <c r="AB145" s="19">
        <v>1</v>
      </c>
      <c r="AC145" s="19" t="s">
        <v>58</v>
      </c>
      <c r="AD145" s="19" t="s">
        <v>51</v>
      </c>
      <c r="AE145" s="19" t="s">
        <v>240</v>
      </c>
      <c r="AF145" s="19"/>
    </row>
    <row r="146" spans="1:34">
      <c r="A146" s="19">
        <v>141</v>
      </c>
      <c r="B146" s="19" t="s">
        <v>94</v>
      </c>
      <c r="C146" s="19" t="s">
        <v>146</v>
      </c>
      <c r="D146" s="19" t="str">
        <f>HYPERLINK("http://henontech.com/fieldsafety/harzard/harzard_show.php?rid=3068&amp;url=harzardrecs.php","检修2号初冷器用的乙炔气瓶缺少防护帽  如果气瓶歪倒气瓶阀门损坏  造成可燃气体泄露有着火爆炸的可能")</f>
        <v>检修2号初冷器用的乙炔气瓶缺少防护帽  如果气瓶歪倒气瓶阀门损坏  造成可燃气体泄露有着火爆炸的可能</v>
      </c>
      <c r="E146" s="19" t="s">
        <v>783</v>
      </c>
      <c r="F146" s="20" t="s">
        <v>42</v>
      </c>
      <c r="G146" s="25" t="s">
        <v>264</v>
      </c>
      <c r="H146" s="19" t="s">
        <v>44</v>
      </c>
      <c r="I146" s="19" t="s">
        <v>45</v>
      </c>
      <c r="J146" s="19"/>
      <c r="K146" s="19" t="s">
        <v>47</v>
      </c>
      <c r="L146" s="19" t="s">
        <v>48</v>
      </c>
      <c r="M146" s="19" t="s">
        <v>49</v>
      </c>
      <c r="N146" s="19" t="s">
        <v>675</v>
      </c>
      <c r="O146" s="19" t="s">
        <v>49</v>
      </c>
      <c r="P146" s="19" t="s">
        <v>51</v>
      </c>
      <c r="Q146" s="19" t="s">
        <v>676</v>
      </c>
      <c r="R146" s="19" t="s">
        <v>781</v>
      </c>
      <c r="S146" s="19"/>
      <c r="T146" s="19" t="s">
        <v>85</v>
      </c>
      <c r="U146" s="19" t="s">
        <v>86</v>
      </c>
      <c r="V146" s="19" t="s">
        <v>68</v>
      </c>
      <c r="W146" s="19" t="s">
        <v>56</v>
      </c>
      <c r="X146" s="19"/>
      <c r="Y146" s="19"/>
      <c r="Z146" s="19" t="s">
        <v>784</v>
      </c>
      <c r="AA146" s="19">
        <v>1</v>
      </c>
      <c r="AB146" s="19">
        <v>1</v>
      </c>
      <c r="AC146" s="19" t="s">
        <v>58</v>
      </c>
      <c r="AD146" s="19" t="s">
        <v>51</v>
      </c>
      <c r="AE146" s="19" t="s">
        <v>240</v>
      </c>
      <c r="AF146" s="19"/>
    </row>
    <row r="147" spans="1:34">
      <c r="A147" s="19">
        <v>142</v>
      </c>
      <c r="B147" s="19" t="s">
        <v>94</v>
      </c>
      <c r="C147" s="19" t="s">
        <v>300</v>
      </c>
      <c r="D147" s="19" t="str">
        <f>HYPERLINK("http://henontech.com/fieldsafety/harzard/harzard_show.php?rid=3069&amp;url=harzardrecs.php","一名员工，在开启倒淋水阀门时，因操作不规范，导致倒淋水溅到脸部，送医确诊为脸部过敏，住院治疗3天后复工。")</f>
        <v>一名员工，在开启倒淋水阀门时，因操作不规范，导致倒淋水溅到脸部，送医确诊为脸部过敏，住院治疗3天后复工。</v>
      </c>
      <c r="E147" s="19" t="s">
        <v>785</v>
      </c>
      <c r="F147" s="20" t="s">
        <v>42</v>
      </c>
      <c r="G147" s="25" t="s">
        <v>264</v>
      </c>
      <c r="H147" s="19" t="s">
        <v>44</v>
      </c>
      <c r="I147" s="19" t="s">
        <v>75</v>
      </c>
      <c r="J147" s="19" t="s">
        <v>91</v>
      </c>
      <c r="K147" s="19" t="s">
        <v>47</v>
      </c>
      <c r="L147" s="19" t="s">
        <v>372</v>
      </c>
      <c r="M147" s="19" t="s">
        <v>266</v>
      </c>
      <c r="N147" s="19" t="s">
        <v>302</v>
      </c>
      <c r="O147" s="19" t="s">
        <v>266</v>
      </c>
      <c r="P147" s="19" t="s">
        <v>303</v>
      </c>
      <c r="Q147" s="19" t="s">
        <v>59</v>
      </c>
      <c r="R147" s="19" t="s">
        <v>786</v>
      </c>
      <c r="S147" s="19" t="s">
        <v>787</v>
      </c>
      <c r="T147" s="19" t="s">
        <v>41</v>
      </c>
      <c r="U147" s="19" t="s">
        <v>135</v>
      </c>
      <c r="V147" s="19" t="s">
        <v>55</v>
      </c>
      <c r="W147" s="19" t="s">
        <v>107</v>
      </c>
      <c r="X147" s="19"/>
      <c r="Y147" s="19"/>
      <c r="Z147" s="19" t="s">
        <v>788</v>
      </c>
      <c r="AA147" s="19">
        <v>1</v>
      </c>
      <c r="AB147" s="19">
        <v>1</v>
      </c>
      <c r="AC147" s="19" t="s">
        <v>58</v>
      </c>
      <c r="AD147" s="19" t="s">
        <v>303</v>
      </c>
      <c r="AE147" s="19" t="s">
        <v>59</v>
      </c>
      <c r="AF147" s="19"/>
    </row>
    <row r="148" spans="1:34">
      <c r="A148" s="19">
        <v>143</v>
      </c>
      <c r="B148" s="19" t="s">
        <v>149</v>
      </c>
      <c r="C148" s="19" t="s">
        <v>478</v>
      </c>
      <c r="D148" s="19" t="str">
        <f>HYPERLINK("http://henontech.com/fieldsafety/harzard/harzard_show.php?rid=3070&amp;url=harzardrecs.php","进硫铵工段蒸汽压力表阀门垫子出现老化，导致阀门处蒸汽发生泄漏，一旦巡检人员经过，查看蒸汽压力时，脸部被泄漏的蒸汽轻微烫伤，简单处理后正常上班")</f>
        <v>进硫铵工段蒸汽压力表阀门垫子出现老化，导致阀门处蒸汽发生泄漏，一旦巡检人员经过，查看蒸汽压力时，脸部被泄漏的蒸汽轻微烫伤，简单处理后正常上班</v>
      </c>
      <c r="E148" s="19" t="s">
        <v>789</v>
      </c>
      <c r="F148" s="20" t="s">
        <v>42</v>
      </c>
      <c r="G148" s="21" t="s">
        <v>43</v>
      </c>
      <c r="H148" s="19" t="s">
        <v>44</v>
      </c>
      <c r="I148" s="19" t="s">
        <v>75</v>
      </c>
      <c r="J148" s="19" t="s">
        <v>46</v>
      </c>
      <c r="K148" s="19" t="s">
        <v>47</v>
      </c>
      <c r="L148" s="19" t="s">
        <v>48</v>
      </c>
      <c r="M148" s="19" t="s">
        <v>49</v>
      </c>
      <c r="N148" s="19" t="s">
        <v>790</v>
      </c>
      <c r="O148" s="19" t="s">
        <v>49</v>
      </c>
      <c r="P148" s="19" t="s">
        <v>51</v>
      </c>
      <c r="Q148" s="19" t="s">
        <v>791</v>
      </c>
      <c r="R148" s="19" t="s">
        <v>792</v>
      </c>
      <c r="S148" s="19"/>
      <c r="T148" s="19" t="s">
        <v>41</v>
      </c>
      <c r="U148" s="19" t="s">
        <v>54</v>
      </c>
      <c r="V148" s="19" t="s">
        <v>55</v>
      </c>
      <c r="W148" s="19" t="s">
        <v>56</v>
      </c>
      <c r="X148" s="19"/>
      <c r="Y148" s="19"/>
      <c r="Z148" s="19" t="s">
        <v>179</v>
      </c>
      <c r="AA148" s="19">
        <v>1</v>
      </c>
      <c r="AB148" s="19">
        <v>1</v>
      </c>
      <c r="AC148" s="19" t="s">
        <v>58</v>
      </c>
      <c r="AD148" s="19" t="s">
        <v>51</v>
      </c>
      <c r="AE148" s="19" t="s">
        <v>768</v>
      </c>
      <c r="AF148" s="19"/>
    </row>
    <row r="149" spans="1:34">
      <c r="A149" s="19">
        <v>144</v>
      </c>
      <c r="B149" s="19" t="s">
        <v>103</v>
      </c>
      <c r="C149" s="19" t="s">
        <v>765</v>
      </c>
      <c r="D149" s="19" t="str">
        <f>HYPERLINK("http://henontech.com/fieldsafety/harzard/harzard_show.php?rid=3072&amp;url=harzardrecs.php","循环风机降温风扇电缆接头未安装防护套管，巡检人员清理降温风扇积灰时，手臂碰到电缆接头造成人员触电，经抢救无效死亡。")</f>
        <v>循环风机降温风扇电缆接头未安装防护套管，巡检人员清理降温风扇积灰时，手臂碰到电缆接头造成人员触电，经抢救无效死亡。</v>
      </c>
      <c r="E149" s="19" t="s">
        <v>459</v>
      </c>
      <c r="F149" s="23" t="s">
        <v>187</v>
      </c>
      <c r="G149" s="21" t="s">
        <v>43</v>
      </c>
      <c r="H149" s="19" t="s">
        <v>44</v>
      </c>
      <c r="I149" s="19" t="s">
        <v>75</v>
      </c>
      <c r="J149" s="19" t="s">
        <v>91</v>
      </c>
      <c r="K149" s="19" t="s">
        <v>92</v>
      </c>
      <c r="L149" s="19" t="s">
        <v>48</v>
      </c>
      <c r="M149" s="19" t="s">
        <v>101</v>
      </c>
      <c r="N149" s="19" t="s">
        <v>793</v>
      </c>
      <c r="O149" s="19" t="s">
        <v>101</v>
      </c>
      <c r="P149" s="19" t="s">
        <v>794</v>
      </c>
      <c r="Q149" s="19" t="s">
        <v>676</v>
      </c>
      <c r="R149" s="19" t="s">
        <v>795</v>
      </c>
      <c r="S149" s="19" t="s">
        <v>796</v>
      </c>
      <c r="T149" s="19" t="s">
        <v>41</v>
      </c>
      <c r="U149" s="19" t="s">
        <v>195</v>
      </c>
      <c r="V149" s="19" t="s">
        <v>55</v>
      </c>
      <c r="W149" s="19" t="s">
        <v>151</v>
      </c>
      <c r="X149" s="19" t="s">
        <v>69</v>
      </c>
      <c r="Y149" s="19"/>
      <c r="Z149" s="19" t="s">
        <v>797</v>
      </c>
      <c r="AA149" s="19">
        <v>1</v>
      </c>
      <c r="AB149" s="19"/>
      <c r="AC149" s="19" t="s">
        <v>162</v>
      </c>
      <c r="AD149" s="19"/>
      <c r="AE149" s="19"/>
      <c r="AF149" s="19"/>
    </row>
    <row r="150" spans="1:34">
      <c r="A150" s="19">
        <v>145</v>
      </c>
      <c r="B150" s="19" t="s">
        <v>182</v>
      </c>
      <c r="C150" s="19" t="s">
        <v>293</v>
      </c>
      <c r="D150" s="19" t="str">
        <f>HYPERLINK("http://henontech.com/fieldsafety/harzard/harzard_show.php?rid=3073&amp;url=harzardrecs.php","煤六机头台阶地面损坏，操作工在上下台阶时被损坏的地面绊倒，导致左小臂骨折，送医院治疗15天，回家休养三个月康复！")</f>
        <v>煤六机头台阶地面损坏，操作工在上下台阶时被损坏的地面绊倒，导致左小臂骨折，送医院治疗15天，回家休养三个月康复！</v>
      </c>
      <c r="E150" s="19" t="s">
        <v>798</v>
      </c>
      <c r="F150" s="20" t="s">
        <v>42</v>
      </c>
      <c r="G150" s="21" t="s">
        <v>43</v>
      </c>
      <c r="H150" s="19" t="s">
        <v>44</v>
      </c>
      <c r="I150" s="19" t="s">
        <v>75</v>
      </c>
      <c r="J150" s="19" t="s">
        <v>46</v>
      </c>
      <c r="K150" s="19" t="s">
        <v>129</v>
      </c>
      <c r="L150" s="19" t="s">
        <v>48</v>
      </c>
      <c r="M150" s="19" t="s">
        <v>266</v>
      </c>
      <c r="N150" s="19" t="s">
        <v>402</v>
      </c>
      <c r="O150" s="19" t="s">
        <v>266</v>
      </c>
      <c r="P150" s="19" t="s">
        <v>403</v>
      </c>
      <c r="Q150" s="19" t="s">
        <v>799</v>
      </c>
      <c r="R150" s="19" t="s">
        <v>800</v>
      </c>
      <c r="S150" s="19"/>
      <c r="T150" s="19" t="s">
        <v>41</v>
      </c>
      <c r="U150" s="19" t="s">
        <v>135</v>
      </c>
      <c r="V150" s="19" t="s">
        <v>106</v>
      </c>
      <c r="W150" s="19" t="s">
        <v>151</v>
      </c>
      <c r="X150" s="19"/>
      <c r="Y150" s="19"/>
      <c r="Z150" s="19" t="s">
        <v>801</v>
      </c>
      <c r="AA150" s="19">
        <v>1</v>
      </c>
      <c r="AB150" s="19">
        <v>1</v>
      </c>
      <c r="AC150" s="19" t="s">
        <v>58</v>
      </c>
      <c r="AD150" s="19" t="s">
        <v>403</v>
      </c>
      <c r="AE150" s="19" t="s">
        <v>802</v>
      </c>
      <c r="AF150" s="19"/>
    </row>
    <row r="151" spans="1:34">
      <c r="A151" s="19">
        <v>146</v>
      </c>
      <c r="B151" s="19" t="s">
        <v>103</v>
      </c>
      <c r="C151" s="19" t="s">
        <v>89</v>
      </c>
      <c r="D151" s="19" t="str">
        <f>HYPERLINK("http://henontech.com/fieldsafety/harzard/harzard_show.php?rid=3074&amp;url=harzardrecs.php","北脱硫循环槽顶部有一废弃铁管，一操作工巡检作业时废弃铁管突然坠落，可能造成操作工头部砸伤，送医院治疗15天后复工。")</f>
        <v>北脱硫循环槽顶部有一废弃铁管，一操作工巡检作业时废弃铁管突然坠落，可能造成操作工头部砸伤，送医院治疗15天后复工。</v>
      </c>
      <c r="E151" s="19" t="s">
        <v>803</v>
      </c>
      <c r="F151" s="20" t="s">
        <v>42</v>
      </c>
      <c r="G151" s="21" t="s">
        <v>43</v>
      </c>
      <c r="H151" s="19" t="s">
        <v>44</v>
      </c>
      <c r="I151" s="19" t="s">
        <v>45</v>
      </c>
      <c r="J151" s="19" t="s">
        <v>188</v>
      </c>
      <c r="K151" s="19" t="s">
        <v>47</v>
      </c>
      <c r="L151" s="19" t="s">
        <v>48</v>
      </c>
      <c r="M151" s="19" t="s">
        <v>49</v>
      </c>
      <c r="N151" s="19" t="s">
        <v>93</v>
      </c>
      <c r="O151" s="19" t="s">
        <v>49</v>
      </c>
      <c r="P151" s="19" t="s">
        <v>51</v>
      </c>
      <c r="Q151" s="19" t="s">
        <v>353</v>
      </c>
      <c r="R151" s="19" t="s">
        <v>804</v>
      </c>
      <c r="S151" s="19"/>
      <c r="T151" s="19" t="s">
        <v>41</v>
      </c>
      <c r="U151" s="19" t="s">
        <v>135</v>
      </c>
      <c r="V151" s="19" t="s">
        <v>106</v>
      </c>
      <c r="W151" s="19" t="s">
        <v>151</v>
      </c>
      <c r="X151" s="19"/>
      <c r="Y151" s="19"/>
      <c r="Z151" s="19" t="s">
        <v>805</v>
      </c>
      <c r="AA151" s="19">
        <v>1</v>
      </c>
      <c r="AB151" s="19">
        <v>1</v>
      </c>
      <c r="AC151" s="19" t="s">
        <v>58</v>
      </c>
      <c r="AD151" s="19" t="s">
        <v>51</v>
      </c>
      <c r="AE151" s="19" t="s">
        <v>182</v>
      </c>
      <c r="AF151" s="19"/>
    </row>
    <row r="152" spans="1:34">
      <c r="A152" s="19">
        <v>147</v>
      </c>
      <c r="B152" s="19" t="s">
        <v>103</v>
      </c>
      <c r="C152" s="19" t="s">
        <v>478</v>
      </c>
      <c r="D152" s="19" t="str">
        <f>HYPERLINK("http://henontech.com/fieldsafety/harzard/harzard_show.php?rid=3075&amp;url=harzardrecs.php","西饱和器顶部有一根废弃槽钢，一操作工巡检作业时废弃槽钢突然坠落，可能造成操作工头部砸伤，送医院治疗15天后复工。")</f>
        <v>西饱和器顶部有一根废弃槽钢，一操作工巡检作业时废弃槽钢突然坠落，可能造成操作工头部砸伤，送医院治疗15天后复工。</v>
      </c>
      <c r="E152" s="19" t="s">
        <v>806</v>
      </c>
      <c r="F152" s="20" t="s">
        <v>42</v>
      </c>
      <c r="G152" s="21" t="s">
        <v>43</v>
      </c>
      <c r="H152" s="19" t="s">
        <v>44</v>
      </c>
      <c r="I152" s="19" t="s">
        <v>75</v>
      </c>
      <c r="J152" s="19" t="s">
        <v>118</v>
      </c>
      <c r="K152" s="19" t="s">
        <v>47</v>
      </c>
      <c r="L152" s="19" t="s">
        <v>48</v>
      </c>
      <c r="M152" s="19" t="s">
        <v>49</v>
      </c>
      <c r="N152" s="19" t="s">
        <v>807</v>
      </c>
      <c r="O152" s="19" t="s">
        <v>49</v>
      </c>
      <c r="P152" s="19" t="s">
        <v>51</v>
      </c>
      <c r="Q152" s="19" t="s">
        <v>353</v>
      </c>
      <c r="R152" s="19" t="s">
        <v>563</v>
      </c>
      <c r="S152" s="19"/>
      <c r="T152" s="19" t="s">
        <v>41</v>
      </c>
      <c r="U152" s="19" t="s">
        <v>135</v>
      </c>
      <c r="V152" s="19" t="s">
        <v>106</v>
      </c>
      <c r="W152" s="19" t="s">
        <v>151</v>
      </c>
      <c r="X152" s="19"/>
      <c r="Y152" s="19"/>
      <c r="Z152" s="19" t="s">
        <v>808</v>
      </c>
      <c r="AA152" s="19">
        <v>1</v>
      </c>
      <c r="AB152" s="19">
        <v>1</v>
      </c>
      <c r="AC152" s="19" t="s">
        <v>58</v>
      </c>
      <c r="AD152" s="19" t="s">
        <v>51</v>
      </c>
      <c r="AE152" s="19" t="s">
        <v>424</v>
      </c>
      <c r="AF152" s="19"/>
    </row>
    <row r="153" spans="1:34">
      <c r="A153" s="19">
        <v>148</v>
      </c>
      <c r="B153" s="19" t="s">
        <v>103</v>
      </c>
      <c r="C153" s="19" t="s">
        <v>664</v>
      </c>
      <c r="D153" s="19" t="str">
        <f>HYPERLINK("http://henontech.com/fieldsafety/harzard/harzard_show.php?rid=3076&amp;url=harzardrecs.php","操作人员巡检到液碱罐区洗眼器时，未发现上方电缆桥架盖板掉落，砸到操作人员头部，因佩戴安全帽，人员未受伤，休息一会，正常工作。")</f>
        <v>操作人员巡检到液碱罐区洗眼器时，未发现上方电缆桥架盖板掉落，砸到操作人员头部，因佩戴安全帽，人员未受伤，休息一会，正常工作。</v>
      </c>
      <c r="E153" s="19" t="s">
        <v>809</v>
      </c>
      <c r="F153" s="22" t="s">
        <v>157</v>
      </c>
      <c r="G153" s="21" t="s">
        <v>43</v>
      </c>
      <c r="H153" s="19" t="s">
        <v>44</v>
      </c>
      <c r="I153" s="19" t="s">
        <v>75</v>
      </c>
      <c r="J153" s="19" t="s">
        <v>118</v>
      </c>
      <c r="K153" s="19"/>
      <c r="L153" s="19"/>
      <c r="M153" s="19" t="s">
        <v>63</v>
      </c>
      <c r="N153" s="19" t="s">
        <v>810</v>
      </c>
      <c r="O153" s="19"/>
      <c r="P153" s="19"/>
      <c r="Q153" s="19"/>
      <c r="R153" s="19" t="s">
        <v>811</v>
      </c>
      <c r="S153" s="19" t="s">
        <v>812</v>
      </c>
      <c r="T153" s="19" t="s">
        <v>41</v>
      </c>
      <c r="U153" s="19" t="s">
        <v>86</v>
      </c>
      <c r="V153" s="19" t="s">
        <v>106</v>
      </c>
      <c r="W153" s="19" t="s">
        <v>56</v>
      </c>
      <c r="X153" s="19"/>
      <c r="Y153" s="19"/>
      <c r="Z153" s="19"/>
      <c r="AA153" s="19">
        <v>0</v>
      </c>
      <c r="AB153" s="19"/>
      <c r="AC153" s="19" t="s">
        <v>162</v>
      </c>
      <c r="AD153" s="19"/>
      <c r="AE153" s="19"/>
      <c r="AF153" s="19"/>
    </row>
    <row r="154" spans="1:34">
      <c r="A154" s="19">
        <v>149</v>
      </c>
      <c r="B154" s="19" t="s">
        <v>103</v>
      </c>
      <c r="C154" s="19" t="s">
        <v>115</v>
      </c>
      <c r="D154" s="19" t="str">
        <f>HYPERLINK("http://henontech.com/fieldsafety/harzard/harzard_show.php?rid=3077&amp;url=harzardrecs.php","2#站污泥棚门合页开焊，操作人员在开闭门时突然掉落，操作人员可能被门绊倒，造成腕部皮肤擦伤，简单处理后，正常工作。")</f>
        <v>2#站污泥棚门合页开焊，操作人员在开闭门时突然掉落，操作人员可能被门绊倒，造成腕部皮肤擦伤，简单处理后，正常工作。</v>
      </c>
      <c r="E154" s="19" t="s">
        <v>813</v>
      </c>
      <c r="F154" s="20" t="s">
        <v>42</v>
      </c>
      <c r="G154" s="21" t="s">
        <v>43</v>
      </c>
      <c r="H154" s="19" t="s">
        <v>44</v>
      </c>
      <c r="I154" s="19" t="s">
        <v>75</v>
      </c>
      <c r="J154" s="19" t="s">
        <v>118</v>
      </c>
      <c r="K154" s="19"/>
      <c r="L154" s="19"/>
      <c r="M154" s="19" t="s">
        <v>63</v>
      </c>
      <c r="N154" s="19" t="s">
        <v>810</v>
      </c>
      <c r="O154" s="19" t="s">
        <v>814</v>
      </c>
      <c r="P154" s="19" t="s">
        <v>810</v>
      </c>
      <c r="Q154" s="19" t="s">
        <v>711</v>
      </c>
      <c r="R154" s="19" t="s">
        <v>815</v>
      </c>
      <c r="S154" s="19"/>
      <c r="T154" s="19" t="s">
        <v>41</v>
      </c>
      <c r="U154" s="19" t="s">
        <v>54</v>
      </c>
      <c r="V154" s="19" t="s">
        <v>106</v>
      </c>
      <c r="W154" s="19" t="s">
        <v>107</v>
      </c>
      <c r="X154" s="19" t="s">
        <v>69</v>
      </c>
      <c r="Y154" s="19" t="s">
        <v>69</v>
      </c>
      <c r="Z154" s="19" t="s">
        <v>816</v>
      </c>
      <c r="AA154" s="19">
        <v>1</v>
      </c>
      <c r="AB154" s="19">
        <v>1</v>
      </c>
      <c r="AC154" s="19" t="s">
        <v>58</v>
      </c>
      <c r="AD154" s="19" t="s">
        <v>810</v>
      </c>
      <c r="AE154" s="19" t="s">
        <v>59</v>
      </c>
      <c r="AF154" s="19"/>
    </row>
    <row r="155" spans="1:34">
      <c r="A155" s="19">
        <v>150</v>
      </c>
      <c r="B155" s="19" t="s">
        <v>59</v>
      </c>
      <c r="C155" s="19" t="s">
        <v>73</v>
      </c>
      <c r="D155" s="19" t="str">
        <f>HYPERLINK("http://henontech.com/fieldsafety/harzard/harzard_show.php?rid=3078&amp;url=harzardrecs.php","粗苯南管式炉蒸汽管道保温铝皮脱落，如果大风天气时有操作工从下部经过，铝皮掉落砸中操作工面部，造成面部轻微擦伤，到医务室处理后，正常工作。")</f>
        <v>粗苯南管式炉蒸汽管道保温铝皮脱落，如果大风天气时有操作工从下部经过，铝皮掉落砸中操作工面部，造成面部轻微擦伤，到医务室处理后，正常工作。</v>
      </c>
      <c r="E155" s="19" t="s">
        <v>817</v>
      </c>
      <c r="F155" s="22" t="s">
        <v>157</v>
      </c>
      <c r="G155" s="21" t="s">
        <v>43</v>
      </c>
      <c r="H155" s="19" t="s">
        <v>44</v>
      </c>
      <c r="I155" s="19" t="s">
        <v>75</v>
      </c>
      <c r="J155" s="19" t="s">
        <v>46</v>
      </c>
      <c r="K155" s="19" t="s">
        <v>47</v>
      </c>
      <c r="L155" s="19" t="s">
        <v>48</v>
      </c>
      <c r="M155" s="19" t="s">
        <v>49</v>
      </c>
      <c r="N155" s="19" t="s">
        <v>818</v>
      </c>
      <c r="O155" s="19"/>
      <c r="P155" s="19"/>
      <c r="Q155" s="19"/>
      <c r="R155" s="19" t="s">
        <v>819</v>
      </c>
      <c r="S155" s="19" t="s">
        <v>820</v>
      </c>
      <c r="T155" s="19" t="s">
        <v>41</v>
      </c>
      <c r="U155" s="19" t="s">
        <v>54</v>
      </c>
      <c r="V155" s="19" t="s">
        <v>106</v>
      </c>
      <c r="W155" s="19" t="s">
        <v>107</v>
      </c>
      <c r="X155" s="19"/>
      <c r="Y155" s="19"/>
      <c r="Z155" s="19"/>
      <c r="AA155" s="19">
        <v>0</v>
      </c>
      <c r="AB155" s="19"/>
      <c r="AC155" s="19" t="s">
        <v>162</v>
      </c>
      <c r="AD155" s="19"/>
      <c r="AE155" s="19"/>
      <c r="AF155" s="19"/>
    </row>
    <row r="156" spans="1:34">
      <c r="A156" s="19">
        <v>151</v>
      </c>
      <c r="B156" s="19" t="s">
        <v>59</v>
      </c>
      <c r="C156" s="19" t="s">
        <v>73</v>
      </c>
      <c r="D156" s="19" t="str">
        <f>HYPERLINK("http://henontech.com/fieldsafety/harzard/harzard_show.php?rid=3079&amp;url=harzardrecs.php","粗苯南管式炉蒸汽管道保温铝皮脱落，如果大风天气时有操作工从下部经过，铝皮掉落砸中操作工面部，造成面部轻微擦伤，到医务室处理后，正常工作。")</f>
        <v>粗苯南管式炉蒸汽管道保温铝皮脱落，如果大风天气时有操作工从下部经过，铝皮掉落砸中操作工面部，造成面部轻微擦伤，到医务室处理后，正常工作。</v>
      </c>
      <c r="E156" s="19" t="s">
        <v>817</v>
      </c>
      <c r="F156" s="20" t="s">
        <v>42</v>
      </c>
      <c r="G156" s="21" t="s">
        <v>43</v>
      </c>
      <c r="H156" s="19" t="s">
        <v>44</v>
      </c>
      <c r="I156" s="19" t="s">
        <v>75</v>
      </c>
      <c r="J156" s="19" t="s">
        <v>46</v>
      </c>
      <c r="K156" s="19" t="s">
        <v>47</v>
      </c>
      <c r="L156" s="19" t="s">
        <v>48</v>
      </c>
      <c r="M156" s="19" t="s">
        <v>49</v>
      </c>
      <c r="N156" s="19" t="s">
        <v>818</v>
      </c>
      <c r="O156" s="19" t="s">
        <v>49</v>
      </c>
      <c r="P156" s="19" t="s">
        <v>51</v>
      </c>
      <c r="Q156" s="19" t="s">
        <v>353</v>
      </c>
      <c r="R156" s="19" t="s">
        <v>819</v>
      </c>
      <c r="S156" s="19"/>
      <c r="T156" s="19" t="s">
        <v>41</v>
      </c>
      <c r="U156" s="19" t="s">
        <v>54</v>
      </c>
      <c r="V156" s="19" t="s">
        <v>106</v>
      </c>
      <c r="W156" s="19" t="s">
        <v>107</v>
      </c>
      <c r="X156" s="19"/>
      <c r="Y156" s="19"/>
      <c r="Z156" s="19" t="s">
        <v>821</v>
      </c>
      <c r="AA156" s="19">
        <v>1</v>
      </c>
      <c r="AB156" s="19">
        <v>1</v>
      </c>
      <c r="AC156" s="19" t="s">
        <v>58</v>
      </c>
      <c r="AD156" s="19" t="s">
        <v>51</v>
      </c>
      <c r="AE156" s="19" t="s">
        <v>520</v>
      </c>
      <c r="AF156" s="19"/>
    </row>
    <row r="157" spans="1:34">
      <c r="A157" s="19">
        <v>152</v>
      </c>
      <c r="B157" s="19" t="s">
        <v>59</v>
      </c>
      <c r="C157" s="19" t="s">
        <v>822</v>
      </c>
      <c r="D157" s="19" t="str">
        <f>HYPERLINK("http://henontech.com/fieldsafety/harzard/harzard_show.php?rid=3080&amp;url=harzardrecs.php","主控楼楼顶门杆漏汽管道支撑架脱出，长时间运行管道蠕变、造成管道破裂。一操作工巡检至此处时被蒸汽烫伤左小腿，送医治疗。")</f>
        <v>主控楼楼顶门杆漏汽管道支撑架脱出，长时间运行管道蠕变、造成管道破裂。一操作工巡检至此处时被蒸汽烫伤左小腿，送医治疗。</v>
      </c>
      <c r="E157" s="19" t="s">
        <v>823</v>
      </c>
      <c r="F157" s="23" t="s">
        <v>187</v>
      </c>
      <c r="G157" s="21" t="s">
        <v>43</v>
      </c>
      <c r="H157" s="19" t="s">
        <v>44</v>
      </c>
      <c r="I157" s="19" t="s">
        <v>75</v>
      </c>
      <c r="J157" s="19" t="s">
        <v>46</v>
      </c>
      <c r="K157" s="19"/>
      <c r="L157" s="19"/>
      <c r="M157" s="19" t="s">
        <v>101</v>
      </c>
      <c r="N157" s="19" t="s">
        <v>824</v>
      </c>
      <c r="O157" s="19" t="s">
        <v>101</v>
      </c>
      <c r="P157" s="19" t="s">
        <v>206</v>
      </c>
      <c r="Q157" s="19" t="s">
        <v>501</v>
      </c>
      <c r="R157" s="19" t="s">
        <v>825</v>
      </c>
      <c r="S157" s="19" t="s">
        <v>826</v>
      </c>
      <c r="T157" s="19" t="s">
        <v>41</v>
      </c>
      <c r="U157" s="19" t="s">
        <v>135</v>
      </c>
      <c r="V157" s="19" t="s">
        <v>106</v>
      </c>
      <c r="W157" s="19" t="s">
        <v>151</v>
      </c>
      <c r="X157" s="19" t="s">
        <v>69</v>
      </c>
      <c r="Y157" s="19"/>
      <c r="Z157" s="19" t="s">
        <v>827</v>
      </c>
      <c r="AA157" s="19">
        <v>1</v>
      </c>
      <c r="AB157" s="19"/>
      <c r="AC157" s="19" t="s">
        <v>162</v>
      </c>
      <c r="AD157" s="19"/>
      <c r="AE157" s="19"/>
      <c r="AF157" s="19"/>
    </row>
    <row r="158" spans="1:34">
      <c r="A158" s="19">
        <v>153</v>
      </c>
      <c r="B158" s="19" t="s">
        <v>59</v>
      </c>
      <c r="C158" s="19" t="s">
        <v>98</v>
      </c>
      <c r="D158" s="19" t="str">
        <f>HYPERLINK("http://henontech.com/fieldsafety/harzard/harzard_show.php?rid=3082&amp;url=harzardrecs.php","排地沟潜水泵电缆部分未加保护套，破损漏电，导致铁板连电，一巡检工经过此处时，踩踏铁板触电倒地死亡。")</f>
        <v>排地沟潜水泵电缆部分未加保护套，破损漏电，导致铁板连电，一巡检工经过此处时，踩踏铁板触电倒地死亡。</v>
      </c>
      <c r="E158" s="19" t="s">
        <v>828</v>
      </c>
      <c r="F158" s="23" t="s">
        <v>187</v>
      </c>
      <c r="G158" s="21" t="s">
        <v>43</v>
      </c>
      <c r="H158" s="19" t="s">
        <v>829</v>
      </c>
      <c r="I158" s="19" t="s">
        <v>75</v>
      </c>
      <c r="J158" s="19" t="s">
        <v>91</v>
      </c>
      <c r="K158" s="19"/>
      <c r="L158" s="19"/>
      <c r="M158" s="19" t="s">
        <v>101</v>
      </c>
      <c r="N158" s="19" t="s">
        <v>830</v>
      </c>
      <c r="O158" s="19" t="s">
        <v>101</v>
      </c>
      <c r="P158" s="19" t="s">
        <v>794</v>
      </c>
      <c r="Q158" s="19" t="s">
        <v>501</v>
      </c>
      <c r="R158" s="19" t="s">
        <v>831</v>
      </c>
      <c r="S158" s="19" t="s">
        <v>832</v>
      </c>
      <c r="T158" s="19" t="s">
        <v>41</v>
      </c>
      <c r="U158" s="19" t="s">
        <v>195</v>
      </c>
      <c r="V158" s="19" t="s">
        <v>55</v>
      </c>
      <c r="W158" s="19" t="s">
        <v>151</v>
      </c>
      <c r="X158" s="19" t="s">
        <v>69</v>
      </c>
      <c r="Y158" s="19"/>
      <c r="Z158" s="19" t="s">
        <v>833</v>
      </c>
      <c r="AA158" s="19">
        <v>1</v>
      </c>
      <c r="AB158" s="19"/>
      <c r="AC158" s="19" t="s">
        <v>162</v>
      </c>
      <c r="AD158" s="19"/>
      <c r="AE158" s="19"/>
      <c r="AF158" s="19"/>
    </row>
    <row r="159" spans="1:34">
      <c r="A159" s="19">
        <v>154</v>
      </c>
      <c r="B159" s="19" t="s">
        <v>59</v>
      </c>
      <c r="C159" s="19" t="s">
        <v>834</v>
      </c>
      <c r="D159" s="19" t="str">
        <f>HYPERLINK("http://henontech.com/fieldsafety/harzard/harzard_show.php?rid=3083&amp;url=harzardrecs.php","5.5米提升井四层西侧护栏多处腐蚀开焊，遇大风天气护栏掉落，砸伤一名巡检工，送医治疗后宣布死亡")</f>
        <v>5.5米提升井四层西侧护栏多处腐蚀开焊，遇大风天气护栏掉落，砸伤一名巡检工，送医治疗后宣布死亡</v>
      </c>
      <c r="E159" s="19" t="s">
        <v>459</v>
      </c>
      <c r="F159" s="23" t="s">
        <v>187</v>
      </c>
      <c r="G159" s="21" t="s">
        <v>43</v>
      </c>
      <c r="H159" s="19" t="s">
        <v>44</v>
      </c>
      <c r="I159" s="19" t="s">
        <v>45</v>
      </c>
      <c r="J159" s="19" t="s">
        <v>46</v>
      </c>
      <c r="K159" s="19" t="s">
        <v>47</v>
      </c>
      <c r="L159" s="19" t="s">
        <v>48</v>
      </c>
      <c r="M159" s="19" t="s">
        <v>101</v>
      </c>
      <c r="N159" s="19" t="s">
        <v>835</v>
      </c>
      <c r="O159" s="19" t="s">
        <v>101</v>
      </c>
      <c r="P159" s="19" t="s">
        <v>794</v>
      </c>
      <c r="Q159" s="19" t="s">
        <v>676</v>
      </c>
      <c r="R159" s="19" t="s">
        <v>836</v>
      </c>
      <c r="S159" s="19" t="s">
        <v>837</v>
      </c>
      <c r="T159" s="19" t="s">
        <v>41</v>
      </c>
      <c r="U159" s="19" t="s">
        <v>195</v>
      </c>
      <c r="V159" s="19" t="s">
        <v>106</v>
      </c>
      <c r="W159" s="19" t="s">
        <v>196</v>
      </c>
      <c r="X159" s="19" t="s">
        <v>69</v>
      </c>
      <c r="Y159" s="19"/>
      <c r="Z159" s="19" t="s">
        <v>838</v>
      </c>
      <c r="AA159" s="19">
        <v>1</v>
      </c>
      <c r="AB159" s="19"/>
      <c r="AC159" s="19" t="s">
        <v>162</v>
      </c>
      <c r="AD159" s="19"/>
      <c r="AE159" s="19"/>
      <c r="AF159" s="19"/>
    </row>
    <row r="160" spans="1:34">
      <c r="A160" s="19">
        <v>155</v>
      </c>
      <c r="B160" s="19" t="s">
        <v>59</v>
      </c>
      <c r="C160" s="19" t="s">
        <v>203</v>
      </c>
      <c r="D160" s="19" t="str">
        <f>HYPERLINK("http://henontech.com/fieldsafety/harzard/harzard_show.php?rid=3084&amp;url=harzardrecs.php","中间水池液位计电缆未固定悬空，一员工巡检至中间水池不慎被电缆绊倒，导致膝盖及手臂皮肤破损，送医治疗无损工")</f>
        <v>中间水池液位计电缆未固定悬空，一员工巡检至中间水池不慎被电缆绊倒，导致膝盖及手臂皮肤破损，送医治疗无损工</v>
      </c>
      <c r="E160" s="19" t="s">
        <v>839</v>
      </c>
      <c r="F160" s="23" t="s">
        <v>187</v>
      </c>
      <c r="G160" s="21" t="s">
        <v>43</v>
      </c>
      <c r="H160" s="19" t="s">
        <v>44</v>
      </c>
      <c r="I160" s="19" t="s">
        <v>45</v>
      </c>
      <c r="J160" s="19" t="s">
        <v>188</v>
      </c>
      <c r="K160" s="19" t="s">
        <v>47</v>
      </c>
      <c r="L160" s="19" t="s">
        <v>48</v>
      </c>
      <c r="M160" s="19" t="s">
        <v>101</v>
      </c>
      <c r="N160" s="19" t="s">
        <v>840</v>
      </c>
      <c r="O160" s="19" t="s">
        <v>101</v>
      </c>
      <c r="P160" s="19" t="s">
        <v>794</v>
      </c>
      <c r="Q160" s="19" t="s">
        <v>501</v>
      </c>
      <c r="R160" s="19" t="s">
        <v>841</v>
      </c>
      <c r="S160" s="19" t="s">
        <v>842</v>
      </c>
      <c r="T160" s="19" t="s">
        <v>41</v>
      </c>
      <c r="U160" s="19" t="s">
        <v>86</v>
      </c>
      <c r="V160" s="19" t="s">
        <v>106</v>
      </c>
      <c r="W160" s="19" t="s">
        <v>56</v>
      </c>
      <c r="X160" s="19" t="s">
        <v>69</v>
      </c>
      <c r="Y160" s="19"/>
      <c r="Z160" s="19" t="s">
        <v>843</v>
      </c>
      <c r="AA160" s="19">
        <v>1</v>
      </c>
      <c r="AB160" s="19"/>
      <c r="AC160" s="19" t="s">
        <v>162</v>
      </c>
      <c r="AD160" s="19"/>
      <c r="AE160" s="19"/>
      <c r="AF160" s="19"/>
    </row>
    <row r="161" spans="1:34" customHeight="1" ht="42">
      <c r="A161" s="19">
        <v>156</v>
      </c>
      <c r="B161" s="19" t="s">
        <v>59</v>
      </c>
      <c r="C161" s="19" t="s">
        <v>844</v>
      </c>
      <c r="D161" s="19" t="str">
        <f>HYPERLINK("http://henontech.com/fieldsafety/harzard/harzard_show.php?rid=3085&amp;url=harzardrecs.php","一名汽轮机工在汽机一楼巡检时，由于盖板缺失，不慎掉入排水沟内，造成左腿小腿骨折")</f>
        <v>一名汽轮机工在汽机一楼巡检时，由于盖板缺失，不慎掉入排水沟内，造成左腿小腿骨折</v>
      </c>
      <c r="E161" s="19" t="s">
        <v>845</v>
      </c>
      <c r="F161" s="20" t="s">
        <v>42</v>
      </c>
      <c r="G161" s="21" t="s">
        <v>43</v>
      </c>
      <c r="H161" s="19" t="s">
        <v>829</v>
      </c>
      <c r="I161" s="19" t="s">
        <v>45</v>
      </c>
      <c r="J161" s="19" t="s">
        <v>46</v>
      </c>
      <c r="K161" s="19" t="s">
        <v>129</v>
      </c>
      <c r="L161" s="19" t="s">
        <v>48</v>
      </c>
      <c r="M161" s="19" t="s">
        <v>130</v>
      </c>
      <c r="N161" s="19" t="s">
        <v>846</v>
      </c>
      <c r="O161" s="19" t="s">
        <v>130</v>
      </c>
      <c r="P161" s="19" t="s">
        <v>132</v>
      </c>
      <c r="Q161" s="19" t="s">
        <v>353</v>
      </c>
      <c r="R161" s="19" t="s">
        <v>844</v>
      </c>
      <c r="S161" s="19"/>
      <c r="T161" s="19" t="s">
        <v>41</v>
      </c>
      <c r="U161" s="19" t="s">
        <v>135</v>
      </c>
      <c r="V161" s="19" t="s">
        <v>106</v>
      </c>
      <c r="W161" s="19" t="s">
        <v>151</v>
      </c>
      <c r="X161" s="19" t="s">
        <v>69</v>
      </c>
      <c r="Y161" s="19"/>
      <c r="Z161" s="19" t="s">
        <v>244</v>
      </c>
      <c r="AA161" s="19">
        <v>2</v>
      </c>
      <c r="AB161" s="19">
        <v>1</v>
      </c>
      <c r="AC161" s="19" t="s">
        <v>58</v>
      </c>
      <c r="AD161" s="19" t="s">
        <v>132</v>
      </c>
      <c r="AE161" s="19" t="s">
        <v>847</v>
      </c>
      <c r="AF161" s="19" t="s">
        <v>848</v>
      </c>
    </row>
    <row r="162" spans="1:34">
      <c r="A162" s="19">
        <v>157</v>
      </c>
      <c r="B162" s="19" t="s">
        <v>59</v>
      </c>
      <c r="C162" s="19" t="s">
        <v>300</v>
      </c>
      <c r="D162" s="19" t="str">
        <f>HYPERLINK("http://henontech.com/fieldsafety/harzard/harzard_show.php?rid=3087&amp;url=harzardrecs.php","因东四南门外爬梯处照明灯不亮，操作工在经过爬梯处时，不慎摔倒，造成腿部受伤，送医院经医生检查为左小腿擦伤，住院治疗3天后复工。")</f>
        <v>因东四南门外爬梯处照明灯不亮，操作工在经过爬梯处时，不慎摔倒，造成腿部受伤，送医院经医生检查为左小腿擦伤，住院治疗3天后复工。</v>
      </c>
      <c r="E162" s="19" t="s">
        <v>849</v>
      </c>
      <c r="F162" s="20" t="s">
        <v>42</v>
      </c>
      <c r="G162" s="25" t="s">
        <v>264</v>
      </c>
      <c r="H162" s="19" t="s">
        <v>44</v>
      </c>
      <c r="I162" s="19" t="s">
        <v>75</v>
      </c>
      <c r="J162" s="19" t="s">
        <v>46</v>
      </c>
      <c r="K162" s="19" t="s">
        <v>47</v>
      </c>
      <c r="L162" s="19" t="s">
        <v>48</v>
      </c>
      <c r="M162" s="19" t="s">
        <v>266</v>
      </c>
      <c r="N162" s="19" t="s">
        <v>377</v>
      </c>
      <c r="O162" s="19" t="s">
        <v>266</v>
      </c>
      <c r="P162" s="19" t="s">
        <v>303</v>
      </c>
      <c r="Q162" s="19" t="s">
        <v>133</v>
      </c>
      <c r="R162" s="19" t="s">
        <v>850</v>
      </c>
      <c r="S162" s="19" t="s">
        <v>851</v>
      </c>
      <c r="T162" s="19" t="s">
        <v>41</v>
      </c>
      <c r="U162" s="19" t="s">
        <v>54</v>
      </c>
      <c r="V162" s="19" t="s">
        <v>168</v>
      </c>
      <c r="W162" s="19" t="s">
        <v>151</v>
      </c>
      <c r="X162" s="19"/>
      <c r="Y162" s="19"/>
      <c r="Z162" s="19" t="s">
        <v>852</v>
      </c>
      <c r="AA162" s="19">
        <v>1</v>
      </c>
      <c r="AB162" s="19">
        <v>1</v>
      </c>
      <c r="AC162" s="19" t="s">
        <v>58</v>
      </c>
      <c r="AD162" s="19" t="s">
        <v>303</v>
      </c>
      <c r="AE162" s="19" t="s">
        <v>133</v>
      </c>
      <c r="AF162" s="19"/>
    </row>
    <row r="163" spans="1:34">
      <c r="A163" s="19">
        <v>158</v>
      </c>
      <c r="B163" s="19" t="s">
        <v>59</v>
      </c>
      <c r="C163" s="19" t="s">
        <v>356</v>
      </c>
      <c r="D163" s="19" t="str">
        <f>HYPERLINK("http://henontech.com/fieldsafety/harzard/harzard_show.php?rid=3088&amp;url=harzardrecs.php","西一地沟4#给料机西侧水沟篦子缺失，一操作工巡检至此处时，右脚不慎踩空，坠入水沟，及时送医治疗，右腿小腿骨折，住院治疗30天，回家休养61天后复工。")</f>
        <v>西一地沟4#给料机西侧水沟篦子缺失，一操作工巡检至此处时，右脚不慎踩空，坠入水沟，及时送医治疗，右腿小腿骨折，住院治疗30天，回家休养61天后复工。</v>
      </c>
      <c r="E163" s="19" t="s">
        <v>853</v>
      </c>
      <c r="F163" s="20" t="s">
        <v>42</v>
      </c>
      <c r="G163" s="25" t="s">
        <v>264</v>
      </c>
      <c r="H163" s="19" t="s">
        <v>44</v>
      </c>
      <c r="I163" s="19" t="s">
        <v>75</v>
      </c>
      <c r="J163" s="19" t="s">
        <v>46</v>
      </c>
      <c r="K163" s="19" t="s">
        <v>854</v>
      </c>
      <c r="L163" s="19" t="s">
        <v>48</v>
      </c>
      <c r="M163" s="19" t="s">
        <v>266</v>
      </c>
      <c r="N163" s="19" t="s">
        <v>855</v>
      </c>
      <c r="O163" s="19" t="s">
        <v>266</v>
      </c>
      <c r="P163" s="19" t="s">
        <v>303</v>
      </c>
      <c r="Q163" s="19" t="s">
        <v>133</v>
      </c>
      <c r="R163" s="19" t="s">
        <v>856</v>
      </c>
      <c r="S163" s="19"/>
      <c r="T163" s="19" t="s">
        <v>41</v>
      </c>
      <c r="U163" s="19" t="s">
        <v>135</v>
      </c>
      <c r="V163" s="19" t="s">
        <v>106</v>
      </c>
      <c r="W163" s="19" t="s">
        <v>151</v>
      </c>
      <c r="X163" s="19"/>
      <c r="Y163" s="19"/>
      <c r="Z163" s="19" t="s">
        <v>857</v>
      </c>
      <c r="AA163" s="19">
        <v>1</v>
      </c>
      <c r="AB163" s="19">
        <v>1</v>
      </c>
      <c r="AC163" s="19" t="s">
        <v>58</v>
      </c>
      <c r="AD163" s="19" t="s">
        <v>303</v>
      </c>
      <c r="AE163" s="19" t="s">
        <v>133</v>
      </c>
      <c r="AF163" s="19"/>
    </row>
    <row r="164" spans="1:34">
      <c r="A164" s="19">
        <v>159</v>
      </c>
      <c r="B164" s="19" t="s">
        <v>133</v>
      </c>
      <c r="C164" s="19" t="s">
        <v>139</v>
      </c>
      <c r="D164" s="19" t="str">
        <f>HYPERLINK("http://henontech.com/fieldsafety/harzard/harzard_show.php?rid=3092&amp;url=harzardrecs.php","南风机2#初冷器检修时，一名外来施工人员安全带使用不规范未使用腿带，如果检修过程中不慎脚下踩空掉落，安全带起到保护作用，但因未使用腿带安全带受到冲击时腰带上移造成腰腹部多处勒伤，送医治疗后在家休养3天")</f>
        <v>南风机2#初冷器检修时，一名外来施工人员安全带使用不规范未使用腿带，如果检修过程中不慎脚下踩空掉落，安全带起到保护作用，但因未使用腿带安全带受到冲击时腰带上移造成腰腹部多处勒伤，送医治疗后在家休养3天</v>
      </c>
      <c r="E164" s="19" t="s">
        <v>858</v>
      </c>
      <c r="F164" s="20" t="s">
        <v>42</v>
      </c>
      <c r="G164" s="21" t="s">
        <v>43</v>
      </c>
      <c r="H164" s="19" t="s">
        <v>44</v>
      </c>
      <c r="I164" s="19" t="s">
        <v>117</v>
      </c>
      <c r="J164" s="19" t="s">
        <v>91</v>
      </c>
      <c r="K164" s="19" t="s">
        <v>47</v>
      </c>
      <c r="L164" s="19" t="s">
        <v>48</v>
      </c>
      <c r="M164" s="19" t="s">
        <v>49</v>
      </c>
      <c r="N164" s="19" t="s">
        <v>859</v>
      </c>
      <c r="O164" s="19" t="s">
        <v>49</v>
      </c>
      <c r="P164" s="19" t="s">
        <v>51</v>
      </c>
      <c r="Q164" s="19" t="s">
        <v>676</v>
      </c>
      <c r="R164" s="19" t="s">
        <v>220</v>
      </c>
      <c r="S164" s="19"/>
      <c r="T164" s="19" t="s">
        <v>41</v>
      </c>
      <c r="U164" s="19" t="s">
        <v>135</v>
      </c>
      <c r="V164" s="19" t="s">
        <v>106</v>
      </c>
      <c r="W164" s="19" t="s">
        <v>151</v>
      </c>
      <c r="X164" s="19"/>
      <c r="Y164" s="19"/>
      <c r="Z164" s="19" t="s">
        <v>860</v>
      </c>
      <c r="AA164" s="19">
        <v>1</v>
      </c>
      <c r="AB164" s="19">
        <v>1</v>
      </c>
      <c r="AC164" s="19" t="s">
        <v>58</v>
      </c>
      <c r="AD164" s="19" t="s">
        <v>51</v>
      </c>
      <c r="AE164" s="19" t="s">
        <v>240</v>
      </c>
      <c r="AF164" s="19"/>
    </row>
    <row r="165" spans="1:34" customHeight="1" ht="42">
      <c r="A165" s="19">
        <v>160</v>
      </c>
      <c r="B165" s="19" t="s">
        <v>133</v>
      </c>
      <c r="C165" s="19" t="s">
        <v>211</v>
      </c>
      <c r="D165" s="19" t="str">
        <f>HYPERLINK("http://henontech.com/fieldsafety/harzard/harzard_show.php?rid=3093&amp;url=harzardrecs.php","因爬梯无警示标志汽轮机一名操作工巡检时不慎从爬梯滑倒摔落到地面造成左胳膊骨折需住院治疗。")</f>
        <v>因爬梯无警示标志汽轮机一名操作工巡检时不慎从爬梯滑倒摔落到地面造成左胳膊骨折需住院治疗。</v>
      </c>
      <c r="E165" s="19" t="s">
        <v>861</v>
      </c>
      <c r="F165" s="20" t="s">
        <v>42</v>
      </c>
      <c r="G165" s="21" t="s">
        <v>43</v>
      </c>
      <c r="H165" s="19" t="s">
        <v>44</v>
      </c>
      <c r="I165" s="19"/>
      <c r="J165" s="19" t="s">
        <v>566</v>
      </c>
      <c r="K165" s="19" t="s">
        <v>129</v>
      </c>
      <c r="L165" s="19"/>
      <c r="M165" s="19" t="s">
        <v>130</v>
      </c>
      <c r="N165" s="19" t="s">
        <v>862</v>
      </c>
      <c r="O165" s="19" t="s">
        <v>130</v>
      </c>
      <c r="P165" s="19" t="s">
        <v>132</v>
      </c>
      <c r="Q165" s="19" t="s">
        <v>676</v>
      </c>
      <c r="R165" s="19" t="s">
        <v>863</v>
      </c>
      <c r="S165" s="19"/>
      <c r="T165" s="19" t="s">
        <v>41</v>
      </c>
      <c r="U165" s="19" t="s">
        <v>135</v>
      </c>
      <c r="V165" s="19" t="s">
        <v>106</v>
      </c>
      <c r="W165" s="19" t="s">
        <v>151</v>
      </c>
      <c r="X165" s="19" t="s">
        <v>69</v>
      </c>
      <c r="Y165" s="19"/>
      <c r="Z165" s="19" t="s">
        <v>864</v>
      </c>
      <c r="AA165" s="19">
        <v>2</v>
      </c>
      <c r="AB165" s="19">
        <v>2</v>
      </c>
      <c r="AC165" s="19" t="s">
        <v>58</v>
      </c>
      <c r="AD165" s="19" t="s">
        <v>132</v>
      </c>
      <c r="AE165" s="19" t="s">
        <v>865</v>
      </c>
      <c r="AF165" s="19" t="s">
        <v>866</v>
      </c>
    </row>
    <row r="166" spans="1:34">
      <c r="A166" s="19">
        <v>161</v>
      </c>
      <c r="B166" s="19" t="s">
        <v>240</v>
      </c>
      <c r="C166" s="19" t="s">
        <v>530</v>
      </c>
      <c r="D166" s="19" t="str">
        <f>HYPERLINK("http://henontech.com/fieldsafety/harzard/harzard_show.php?rid=3094&amp;url=harzardrecs.php","西硫铵二楼东侧南窗外蒸汽放散管阀门腐蚀并关不严，导致蒸汽压力高时从放散管喷溅大量蒸汽冷凝水。一名操作工在巡检经过此处时被喷溅出的大量蒸汽冷凝水烫伤后背，送医治疗一周，回家休养一周后复工，损工两周。")</f>
        <v>西硫铵二楼东侧南窗外蒸汽放散管阀门腐蚀并关不严，导致蒸汽压力高时从放散管喷溅大量蒸汽冷凝水。一名操作工在巡检经过此处时被喷溅出的大量蒸汽冷凝水烫伤后背，送医治疗一周，回家休养一周后复工，损工两周。</v>
      </c>
      <c r="E166" s="19" t="s">
        <v>867</v>
      </c>
      <c r="F166" s="20" t="s">
        <v>42</v>
      </c>
      <c r="G166" s="21" t="s">
        <v>43</v>
      </c>
      <c r="H166" s="19" t="s">
        <v>44</v>
      </c>
      <c r="I166" s="19" t="s">
        <v>75</v>
      </c>
      <c r="J166" s="19" t="s">
        <v>46</v>
      </c>
      <c r="K166" s="19"/>
      <c r="L166" s="19"/>
      <c r="M166" s="19" t="s">
        <v>49</v>
      </c>
      <c r="N166" s="19" t="s">
        <v>868</v>
      </c>
      <c r="O166" s="19" t="s">
        <v>49</v>
      </c>
      <c r="P166" s="19" t="s">
        <v>51</v>
      </c>
      <c r="Q166" s="19" t="s">
        <v>676</v>
      </c>
      <c r="R166" s="19" t="s">
        <v>869</v>
      </c>
      <c r="S166" s="19"/>
      <c r="T166" s="19" t="s">
        <v>41</v>
      </c>
      <c r="U166" s="19" t="s">
        <v>135</v>
      </c>
      <c r="V166" s="19" t="s">
        <v>106</v>
      </c>
      <c r="W166" s="19" t="s">
        <v>151</v>
      </c>
      <c r="X166" s="19"/>
      <c r="Y166" s="19"/>
      <c r="Z166" s="19" t="s">
        <v>870</v>
      </c>
      <c r="AA166" s="19">
        <v>1</v>
      </c>
      <c r="AB166" s="19">
        <v>1</v>
      </c>
      <c r="AC166" s="19" t="s">
        <v>58</v>
      </c>
      <c r="AD166" s="19" t="s">
        <v>51</v>
      </c>
      <c r="AE166" s="19" t="s">
        <v>871</v>
      </c>
      <c r="AF166" s="19"/>
    </row>
    <row r="167" spans="1:34" customHeight="1" ht="42">
      <c r="A167" s="19">
        <v>162</v>
      </c>
      <c r="B167" s="19" t="s">
        <v>133</v>
      </c>
      <c r="C167" s="19" t="s">
        <v>300</v>
      </c>
      <c r="D167" s="19" t="str">
        <f>HYPERLINK("http://henontech.com/fieldsafety/harzard/harzard_show.php?rid=3095&amp;url=harzardrecs.php","东五清扫器开焊，人员在清理时，手臂被落下的清扫器刮伤，送医院治疗，手臂皮肉刮伤，住院治疗7七天，在家休养一个月")</f>
        <v>东五清扫器开焊，人员在清理时，手臂被落下的清扫器刮伤，送医院治疗，手臂皮肉刮伤，住院治疗7七天，在家休养一个月</v>
      </c>
      <c r="E167" s="19" t="s">
        <v>872</v>
      </c>
      <c r="F167" s="20" t="s">
        <v>42</v>
      </c>
      <c r="G167" s="25" t="s">
        <v>264</v>
      </c>
      <c r="H167" s="19" t="s">
        <v>44</v>
      </c>
      <c r="I167" s="19" t="s">
        <v>45</v>
      </c>
      <c r="J167" s="19" t="s">
        <v>46</v>
      </c>
      <c r="K167" s="19" t="s">
        <v>92</v>
      </c>
      <c r="L167" s="19" t="s">
        <v>48</v>
      </c>
      <c r="M167" s="19" t="s">
        <v>266</v>
      </c>
      <c r="N167" s="19" t="s">
        <v>546</v>
      </c>
      <c r="O167" s="19" t="s">
        <v>266</v>
      </c>
      <c r="P167" s="19" t="s">
        <v>268</v>
      </c>
      <c r="Q167" s="19" t="s">
        <v>240</v>
      </c>
      <c r="R167" s="19" t="s">
        <v>873</v>
      </c>
      <c r="S167" s="19" t="s">
        <v>874</v>
      </c>
      <c r="T167" s="19" t="s">
        <v>41</v>
      </c>
      <c r="U167" s="19" t="s">
        <v>135</v>
      </c>
      <c r="V167" s="19" t="s">
        <v>106</v>
      </c>
      <c r="W167" s="19" t="s">
        <v>151</v>
      </c>
      <c r="X167" s="19" t="s">
        <v>69</v>
      </c>
      <c r="Y167" s="19" t="s">
        <v>69</v>
      </c>
      <c r="Z167" s="19" t="s">
        <v>875</v>
      </c>
      <c r="AA167" s="19">
        <v>2</v>
      </c>
      <c r="AB167" s="19">
        <v>2</v>
      </c>
      <c r="AC167" s="19" t="s">
        <v>58</v>
      </c>
      <c r="AD167" s="19" t="s">
        <v>268</v>
      </c>
      <c r="AE167" s="19" t="s">
        <v>240</v>
      </c>
      <c r="AF167" s="19" t="s">
        <v>876</v>
      </c>
    </row>
    <row r="168" spans="1:34" customHeight="1" ht="42">
      <c r="A168" s="19">
        <v>163</v>
      </c>
      <c r="B168" s="19" t="s">
        <v>240</v>
      </c>
      <c r="C168" s="19" t="s">
        <v>169</v>
      </c>
      <c r="D168" s="19" t="str">
        <f>HYPERLINK("http://henontech.com/fieldsafety/harzard/harzard_show.php?rid=3096&amp;url=harzardrecs.php","一名化学水操作工在开关阀门时，不慎将脚踩入空隙内，造成左腿小腿骨折，多处软组织损伤。")</f>
        <v>一名化学水操作工在开关阀门时，不慎将脚踩入空隙内，造成左腿小腿骨折，多处软组织损伤。</v>
      </c>
      <c r="E168" s="19" t="s">
        <v>877</v>
      </c>
      <c r="F168" s="20" t="s">
        <v>42</v>
      </c>
      <c r="G168" s="21" t="s">
        <v>43</v>
      </c>
      <c r="H168" s="19" t="s">
        <v>44</v>
      </c>
      <c r="I168" s="19" t="s">
        <v>75</v>
      </c>
      <c r="J168" s="19" t="s">
        <v>46</v>
      </c>
      <c r="K168" s="19"/>
      <c r="L168" s="19"/>
      <c r="M168" s="19" t="s">
        <v>130</v>
      </c>
      <c r="N168" s="19" t="s">
        <v>878</v>
      </c>
      <c r="O168" s="19" t="s">
        <v>130</v>
      </c>
      <c r="P168" s="19" t="s">
        <v>132</v>
      </c>
      <c r="Q168" s="19" t="s">
        <v>676</v>
      </c>
      <c r="R168" s="19" t="s">
        <v>879</v>
      </c>
      <c r="S168" s="19"/>
      <c r="T168" s="19" t="s">
        <v>41</v>
      </c>
      <c r="U168" s="19" t="s">
        <v>135</v>
      </c>
      <c r="V168" s="19" t="s">
        <v>106</v>
      </c>
      <c r="W168" s="19" t="s">
        <v>151</v>
      </c>
      <c r="X168" s="19" t="s">
        <v>69</v>
      </c>
      <c r="Y168" s="19"/>
      <c r="Z168" s="19" t="s">
        <v>880</v>
      </c>
      <c r="AA168" s="19">
        <v>2</v>
      </c>
      <c r="AB168" s="19">
        <v>2</v>
      </c>
      <c r="AC168" s="19" t="s">
        <v>58</v>
      </c>
      <c r="AD168" s="19" t="s">
        <v>132</v>
      </c>
      <c r="AE168" s="19" t="s">
        <v>847</v>
      </c>
      <c r="AF168" s="19" t="s">
        <v>881</v>
      </c>
    </row>
    <row r="169" spans="1:34">
      <c r="A169" s="19">
        <v>164</v>
      </c>
      <c r="B169" s="19" t="s">
        <v>240</v>
      </c>
      <c r="C169" s="19" t="s">
        <v>738</v>
      </c>
      <c r="D169" s="19" t="str">
        <f>HYPERLINK("http://henontech.com/fieldsafety/harzard/harzard_show.php?rid=3097&amp;url=harzardrecs.php","初冷器平台爬梯处一临时照明灯电线杂乱，操作人员上下爬梯时不慎被杂乱的电线绊倒，造成小腿擦伤，送医治疗包扎，即可复工。")</f>
        <v>初冷器平台爬梯处一临时照明灯电线杂乱，操作人员上下爬梯时不慎被杂乱的电线绊倒，造成小腿擦伤，送医治疗包扎，即可复工。</v>
      </c>
      <c r="E169" s="19" t="s">
        <v>882</v>
      </c>
      <c r="F169" s="20" t="s">
        <v>42</v>
      </c>
      <c r="G169" s="21" t="s">
        <v>43</v>
      </c>
      <c r="H169" s="19" t="s">
        <v>44</v>
      </c>
      <c r="I169" s="19" t="s">
        <v>75</v>
      </c>
      <c r="J169" s="19" t="s">
        <v>46</v>
      </c>
      <c r="K169" s="19" t="s">
        <v>47</v>
      </c>
      <c r="L169" s="19" t="s">
        <v>48</v>
      </c>
      <c r="M169" s="19" t="s">
        <v>49</v>
      </c>
      <c r="N169" s="19" t="s">
        <v>883</v>
      </c>
      <c r="O169" s="19" t="s">
        <v>49</v>
      </c>
      <c r="P169" s="19" t="s">
        <v>51</v>
      </c>
      <c r="Q169" s="19" t="s">
        <v>676</v>
      </c>
      <c r="R169" s="19" t="s">
        <v>884</v>
      </c>
      <c r="S169" s="19"/>
      <c r="T169" s="19" t="s">
        <v>41</v>
      </c>
      <c r="U169" s="19" t="s">
        <v>54</v>
      </c>
      <c r="V169" s="19" t="s">
        <v>168</v>
      </c>
      <c r="W169" s="19" t="s">
        <v>151</v>
      </c>
      <c r="X169" s="19"/>
      <c r="Y169" s="19"/>
      <c r="Z169" s="19" t="s">
        <v>885</v>
      </c>
      <c r="AA169" s="19">
        <v>1</v>
      </c>
      <c r="AB169" s="19">
        <v>1</v>
      </c>
      <c r="AC169" s="19" t="s">
        <v>58</v>
      </c>
      <c r="AD169" s="19" t="s">
        <v>51</v>
      </c>
      <c r="AE169" s="19" t="s">
        <v>182</v>
      </c>
      <c r="AF169" s="19"/>
    </row>
    <row r="170" spans="1:34">
      <c r="A170" s="19">
        <v>165</v>
      </c>
      <c r="B170" s="19" t="s">
        <v>240</v>
      </c>
      <c r="C170" s="19" t="s">
        <v>175</v>
      </c>
      <c r="D170" s="19" t="str">
        <f>HYPERLINK("http://henontech.com/fieldsafety/harzard/harzard_show.php?rid=3099&amp;url=harzardrecs.php","南化产循环水凉水塔顶照明灯损坏，夜间现场光线昏暗，当操作工巡检时被电机底座槽钢划伤右腿，去医务室止血包扎后，回家休息3天后复工，损工3天。")</f>
        <v>南化产循环水凉水塔顶照明灯损坏，夜间现场光线昏暗，当操作工巡检时被电机底座槽钢划伤右腿，去医务室止血包扎后，回家休息3天后复工，损工3天。</v>
      </c>
      <c r="E170" s="19" t="s">
        <v>886</v>
      </c>
      <c r="F170" s="20" t="s">
        <v>42</v>
      </c>
      <c r="G170" s="21" t="s">
        <v>43</v>
      </c>
      <c r="H170" s="19" t="s">
        <v>44</v>
      </c>
      <c r="I170" s="19" t="s">
        <v>75</v>
      </c>
      <c r="J170" s="19" t="s">
        <v>46</v>
      </c>
      <c r="K170" s="19" t="s">
        <v>47</v>
      </c>
      <c r="L170" s="19" t="s">
        <v>48</v>
      </c>
      <c r="M170" s="19" t="s">
        <v>49</v>
      </c>
      <c r="N170" s="19" t="s">
        <v>887</v>
      </c>
      <c r="O170" s="19" t="s">
        <v>49</v>
      </c>
      <c r="P170" s="19" t="s">
        <v>51</v>
      </c>
      <c r="Q170" s="19" t="s">
        <v>791</v>
      </c>
      <c r="R170" s="19" t="s">
        <v>888</v>
      </c>
      <c r="S170" s="19"/>
      <c r="T170" s="19" t="s">
        <v>41</v>
      </c>
      <c r="U170" s="19" t="s">
        <v>135</v>
      </c>
      <c r="V170" s="19" t="s">
        <v>55</v>
      </c>
      <c r="W170" s="19" t="s">
        <v>107</v>
      </c>
      <c r="X170" s="19"/>
      <c r="Y170" s="19"/>
      <c r="Z170" s="19" t="s">
        <v>889</v>
      </c>
      <c r="AA170" s="19">
        <v>1</v>
      </c>
      <c r="AB170" s="19">
        <v>1</v>
      </c>
      <c r="AC170" s="19" t="s">
        <v>58</v>
      </c>
      <c r="AD170" s="19" t="s">
        <v>51</v>
      </c>
      <c r="AE170" s="19" t="s">
        <v>890</v>
      </c>
      <c r="AF170" s="19"/>
    </row>
    <row r="171" spans="1:34">
      <c r="A171" s="19">
        <v>166</v>
      </c>
      <c r="B171" s="19" t="s">
        <v>240</v>
      </c>
      <c r="C171" s="19" t="s">
        <v>891</v>
      </c>
      <c r="D171" s="19" t="str">
        <f>HYPERLINK("http://henontech.com/fieldsafety/harzard/harzard_show.php?rid=3100&amp;url=harzardrecs.php","南脱硫熔硫釜西侧蒸汽泄漏，操作人员在巡检时被上部滴落的蒸汽冷凝水，轻微烫伤颈部，送医务室简单处理，无防碍工作，正常上班。")</f>
        <v>南脱硫熔硫釜西侧蒸汽泄漏，操作人员在巡检时被上部滴落的蒸汽冷凝水，轻微烫伤颈部，送医务室简单处理，无防碍工作，正常上班。</v>
      </c>
      <c r="E171" s="19" t="s">
        <v>892</v>
      </c>
      <c r="F171" s="20" t="s">
        <v>42</v>
      </c>
      <c r="G171" s="21" t="s">
        <v>43</v>
      </c>
      <c r="H171" s="19" t="s">
        <v>44</v>
      </c>
      <c r="I171" s="19" t="s">
        <v>75</v>
      </c>
      <c r="J171" s="19" t="s">
        <v>46</v>
      </c>
      <c r="K171" s="19" t="s">
        <v>47</v>
      </c>
      <c r="L171" s="19" t="s">
        <v>48</v>
      </c>
      <c r="M171" s="19" t="s">
        <v>49</v>
      </c>
      <c r="N171" s="19" t="s">
        <v>893</v>
      </c>
      <c r="O171" s="19" t="s">
        <v>49</v>
      </c>
      <c r="P171" s="19" t="s">
        <v>51</v>
      </c>
      <c r="Q171" s="19" t="s">
        <v>676</v>
      </c>
      <c r="R171" s="19" t="s">
        <v>894</v>
      </c>
      <c r="S171" s="19"/>
      <c r="T171" s="19" t="s">
        <v>41</v>
      </c>
      <c r="U171" s="19" t="s">
        <v>54</v>
      </c>
      <c r="V171" s="19" t="s">
        <v>55</v>
      </c>
      <c r="W171" s="19" t="s">
        <v>56</v>
      </c>
      <c r="X171" s="19"/>
      <c r="Y171" s="19"/>
      <c r="Z171" s="19" t="s">
        <v>895</v>
      </c>
      <c r="AA171" s="19">
        <v>1</v>
      </c>
      <c r="AB171" s="19">
        <v>1</v>
      </c>
      <c r="AC171" s="19" t="s">
        <v>58</v>
      </c>
      <c r="AD171" s="19" t="s">
        <v>51</v>
      </c>
      <c r="AE171" s="19" t="s">
        <v>520</v>
      </c>
      <c r="AF171" s="19"/>
    </row>
    <row r="172" spans="1:34">
      <c r="A172" s="19">
        <v>167</v>
      </c>
      <c r="B172" s="19" t="s">
        <v>240</v>
      </c>
      <c r="C172" s="19" t="s">
        <v>89</v>
      </c>
      <c r="D172" s="19" t="str">
        <f>HYPERLINK("http://henontech.com/fieldsafety/harzard/harzard_show.php?rid=3101&amp;url=harzardrecs.php","往两盐调脱硫液管线法兰处开焊，该管线离地面3米，如果发现不及时，会造成脱硫液从此处大量溢出，造成重大环保事故。")</f>
        <v>往两盐调脱硫液管线法兰处开焊，该管线离地面3米，如果发现不及时，会造成脱硫液从此处大量溢出，造成重大环保事故。</v>
      </c>
      <c r="E172" s="19" t="s">
        <v>896</v>
      </c>
      <c r="F172" s="20" t="s">
        <v>42</v>
      </c>
      <c r="G172" s="21" t="s">
        <v>43</v>
      </c>
      <c r="H172" s="19" t="s">
        <v>44</v>
      </c>
      <c r="I172" s="19" t="s">
        <v>45</v>
      </c>
      <c r="J172" s="19" t="s">
        <v>46</v>
      </c>
      <c r="K172" s="19" t="s">
        <v>47</v>
      </c>
      <c r="L172" s="19"/>
      <c r="M172" s="19" t="s">
        <v>49</v>
      </c>
      <c r="N172" s="19" t="s">
        <v>83</v>
      </c>
      <c r="O172" s="19" t="s">
        <v>49</v>
      </c>
      <c r="P172" s="19" t="s">
        <v>51</v>
      </c>
      <c r="Q172" s="19" t="s">
        <v>676</v>
      </c>
      <c r="R172" s="19" t="s">
        <v>897</v>
      </c>
      <c r="S172" s="19"/>
      <c r="T172" s="19" t="s">
        <v>85</v>
      </c>
      <c r="U172" s="19" t="s">
        <v>86</v>
      </c>
      <c r="V172" s="19" t="s">
        <v>68</v>
      </c>
      <c r="W172" s="19" t="s">
        <v>56</v>
      </c>
      <c r="X172" s="19"/>
      <c r="Y172" s="19"/>
      <c r="Z172" s="19" t="s">
        <v>898</v>
      </c>
      <c r="AA172" s="19">
        <v>1</v>
      </c>
      <c r="AB172" s="19">
        <v>1</v>
      </c>
      <c r="AC172" s="19" t="s">
        <v>58</v>
      </c>
      <c r="AD172" s="19" t="s">
        <v>51</v>
      </c>
      <c r="AE172" s="19" t="s">
        <v>177</v>
      </c>
      <c r="AF172" s="19"/>
    </row>
    <row r="173" spans="1:34">
      <c r="A173" s="19">
        <v>168</v>
      </c>
      <c r="B173" s="19" t="s">
        <v>149</v>
      </c>
      <c r="C173" s="19" t="s">
        <v>899</v>
      </c>
      <c r="D173" s="19" t="str">
        <f>HYPERLINK("http://henontech.com/fieldsafety/harzard/harzard_show.php?rid=3102&amp;url=harzardrecs.php","深度脱硫打液泵电机罩破损，当操作工巡检经过打液泵时，不小心右腿裤脚被电机风扇叶轮卷入，造成右腿划伤，经去医务室包扎后，回家休息2天后复工，损工2天。")</f>
        <v>深度脱硫打液泵电机罩破损，当操作工巡检经过打液泵时，不小心右腿裤脚被电机风扇叶轮卷入，造成右腿划伤，经去医务室包扎后，回家休息2天后复工，损工2天。</v>
      </c>
      <c r="E173" s="19" t="s">
        <v>900</v>
      </c>
      <c r="F173" s="20" t="s">
        <v>42</v>
      </c>
      <c r="G173" s="21" t="s">
        <v>43</v>
      </c>
      <c r="H173" s="19" t="s">
        <v>44</v>
      </c>
      <c r="I173" s="19"/>
      <c r="J173" s="19" t="s">
        <v>46</v>
      </c>
      <c r="K173" s="19" t="s">
        <v>47</v>
      </c>
      <c r="L173" s="19" t="s">
        <v>48</v>
      </c>
      <c r="M173" s="19" t="s">
        <v>49</v>
      </c>
      <c r="N173" s="19" t="s">
        <v>901</v>
      </c>
      <c r="O173" s="19" t="s">
        <v>49</v>
      </c>
      <c r="P173" s="19" t="s">
        <v>51</v>
      </c>
      <c r="Q173" s="19" t="s">
        <v>791</v>
      </c>
      <c r="R173" s="19" t="s">
        <v>902</v>
      </c>
      <c r="S173" s="19"/>
      <c r="T173" s="19" t="s">
        <v>41</v>
      </c>
      <c r="U173" s="19" t="s">
        <v>135</v>
      </c>
      <c r="V173" s="19" t="s">
        <v>55</v>
      </c>
      <c r="W173" s="19" t="s">
        <v>107</v>
      </c>
      <c r="X173" s="19"/>
      <c r="Y173" s="19"/>
      <c r="Z173" s="19" t="s">
        <v>903</v>
      </c>
      <c r="AA173" s="19">
        <v>1</v>
      </c>
      <c r="AB173" s="19">
        <v>1</v>
      </c>
      <c r="AC173" s="19" t="s">
        <v>58</v>
      </c>
      <c r="AD173" s="19" t="s">
        <v>51</v>
      </c>
      <c r="AE173" s="19" t="s">
        <v>424</v>
      </c>
      <c r="AF173" s="19"/>
    </row>
    <row r="174" spans="1:34">
      <c r="A174" s="19">
        <v>169</v>
      </c>
      <c r="B174" s="19" t="s">
        <v>149</v>
      </c>
      <c r="C174" s="19" t="s">
        <v>73</v>
      </c>
      <c r="D174" s="19" t="str">
        <f>HYPERLINK("http://henontech.com/fieldsafety/harzard/harzard_show.php?rid=3103&amp;url=harzardrecs.php","粗苯北泵房房顶铁管未清理，如果一名巡检工从下部经过，铁管掉落砸中巡检工肩部，经送医诊断，巡检工肩部轻微伤。")</f>
        <v>粗苯北泵房房顶铁管未清理，如果一名巡检工从下部经过，铁管掉落砸中巡检工肩部，经送医诊断，巡检工肩部轻微伤。</v>
      </c>
      <c r="E174" s="19" t="s">
        <v>904</v>
      </c>
      <c r="F174" s="20" t="s">
        <v>42</v>
      </c>
      <c r="G174" s="21" t="s">
        <v>43</v>
      </c>
      <c r="H174" s="19" t="s">
        <v>44</v>
      </c>
      <c r="I174" s="19" t="s">
        <v>117</v>
      </c>
      <c r="J174" s="19" t="s">
        <v>118</v>
      </c>
      <c r="K174" s="19" t="s">
        <v>47</v>
      </c>
      <c r="L174" s="19" t="s">
        <v>48</v>
      </c>
      <c r="M174" s="19" t="s">
        <v>49</v>
      </c>
      <c r="N174" s="19" t="s">
        <v>905</v>
      </c>
      <c r="O174" s="19" t="s">
        <v>49</v>
      </c>
      <c r="P174" s="19" t="s">
        <v>51</v>
      </c>
      <c r="Q174" s="19" t="s">
        <v>791</v>
      </c>
      <c r="R174" s="19" t="s">
        <v>906</v>
      </c>
      <c r="S174" s="19"/>
      <c r="T174" s="19" t="s">
        <v>41</v>
      </c>
      <c r="U174" s="19" t="s">
        <v>135</v>
      </c>
      <c r="V174" s="19" t="s">
        <v>55</v>
      </c>
      <c r="W174" s="19" t="s">
        <v>107</v>
      </c>
      <c r="X174" s="19"/>
      <c r="Y174" s="19"/>
      <c r="Z174" s="19" t="s">
        <v>907</v>
      </c>
      <c r="AA174" s="19">
        <v>1</v>
      </c>
      <c r="AB174" s="19">
        <v>1</v>
      </c>
      <c r="AC174" s="19" t="s">
        <v>58</v>
      </c>
      <c r="AD174" s="19" t="s">
        <v>51</v>
      </c>
      <c r="AE174" s="19" t="s">
        <v>520</v>
      </c>
      <c r="AF174" s="19"/>
    </row>
    <row r="175" spans="1:34">
      <c r="A175" s="19">
        <v>170</v>
      </c>
      <c r="B175" s="19" t="s">
        <v>149</v>
      </c>
      <c r="C175" s="19" t="s">
        <v>73</v>
      </c>
      <c r="D175" s="19" t="str">
        <f>HYPERLINK("http://henontech.com/fieldsafety/harzard/harzard_show.php?rid=3104&amp;url=harzardrecs.php","粗苯南管式炉管道保温铝皮破损，巡检工经过时，如遇大风天气铝皮掉落砸中巡检工颈部，造成颈部轻微划伤，医务室简单处理后正常上班。")</f>
        <v>粗苯南管式炉管道保温铝皮破损，巡检工经过时，如遇大风天气铝皮掉落砸中巡检工颈部，造成颈部轻微划伤，医务室简单处理后正常上班。</v>
      </c>
      <c r="E175" s="19" t="s">
        <v>908</v>
      </c>
      <c r="F175" s="20" t="s">
        <v>42</v>
      </c>
      <c r="G175" s="21" t="s">
        <v>43</v>
      </c>
      <c r="H175" s="19" t="s">
        <v>44</v>
      </c>
      <c r="I175" s="19" t="s">
        <v>75</v>
      </c>
      <c r="J175" s="19" t="s">
        <v>46</v>
      </c>
      <c r="K175" s="19" t="s">
        <v>47</v>
      </c>
      <c r="L175" s="19" t="s">
        <v>48</v>
      </c>
      <c r="M175" s="19" t="s">
        <v>49</v>
      </c>
      <c r="N175" s="19" t="s">
        <v>909</v>
      </c>
      <c r="O175" s="19" t="s">
        <v>49</v>
      </c>
      <c r="P175" s="19" t="s">
        <v>51</v>
      </c>
      <c r="Q175" s="19" t="s">
        <v>791</v>
      </c>
      <c r="R175" s="19" t="s">
        <v>819</v>
      </c>
      <c r="S175" s="19"/>
      <c r="T175" s="19" t="s">
        <v>41</v>
      </c>
      <c r="U175" s="19" t="s">
        <v>54</v>
      </c>
      <c r="V175" s="19" t="s">
        <v>106</v>
      </c>
      <c r="W175" s="19" t="s">
        <v>107</v>
      </c>
      <c r="X175" s="19"/>
      <c r="Y175" s="19"/>
      <c r="Z175" s="19" t="s">
        <v>910</v>
      </c>
      <c r="AA175" s="19">
        <v>1</v>
      </c>
      <c r="AB175" s="19">
        <v>1</v>
      </c>
      <c r="AC175" s="19" t="s">
        <v>58</v>
      </c>
      <c r="AD175" s="19" t="s">
        <v>51</v>
      </c>
      <c r="AE175" s="19" t="s">
        <v>520</v>
      </c>
      <c r="AF175" s="19"/>
    </row>
    <row r="176" spans="1:34">
      <c r="A176" s="19">
        <v>171</v>
      </c>
      <c r="B176" s="19" t="s">
        <v>149</v>
      </c>
      <c r="C176" s="19" t="s">
        <v>293</v>
      </c>
      <c r="D176" s="19" t="str">
        <f>HYPERLINK("http://henontech.com/fieldsafety/harzard/harzard_show.php?rid=3105&amp;url=harzardrecs.php","煤十仓窗台有铁钎，一职工经过，掉下铁钎砸伤脚面，送医院确珍为脚面皮肤损伤，在医院治疗两天回家休养三天复工。")</f>
        <v>煤十仓窗台有铁钎，一职工经过，掉下铁钎砸伤脚面，送医院确珍为脚面皮肤损伤，在医院治疗两天回家休养三天复工。</v>
      </c>
      <c r="E176" s="19" t="s">
        <v>911</v>
      </c>
      <c r="F176" s="20" t="s">
        <v>42</v>
      </c>
      <c r="G176" s="25" t="s">
        <v>264</v>
      </c>
      <c r="H176" s="19" t="s">
        <v>44</v>
      </c>
      <c r="I176" s="19" t="s">
        <v>75</v>
      </c>
      <c r="J176" s="19" t="s">
        <v>91</v>
      </c>
      <c r="K176" s="19" t="s">
        <v>129</v>
      </c>
      <c r="L176" s="19" t="s">
        <v>372</v>
      </c>
      <c r="M176" s="19" t="s">
        <v>266</v>
      </c>
      <c r="N176" s="19" t="s">
        <v>358</v>
      </c>
      <c r="O176" s="19" t="s">
        <v>266</v>
      </c>
      <c r="P176" s="19" t="s">
        <v>303</v>
      </c>
      <c r="Q176" s="19" t="s">
        <v>847</v>
      </c>
      <c r="R176" s="19" t="s">
        <v>912</v>
      </c>
      <c r="S176" s="19"/>
      <c r="T176" s="19" t="s">
        <v>41</v>
      </c>
      <c r="U176" s="19" t="s">
        <v>135</v>
      </c>
      <c r="V176" s="19" t="s">
        <v>106</v>
      </c>
      <c r="W176" s="19" t="s">
        <v>151</v>
      </c>
      <c r="X176" s="19"/>
      <c r="Y176" s="19"/>
      <c r="Z176" s="19" t="s">
        <v>913</v>
      </c>
      <c r="AA176" s="19">
        <v>1</v>
      </c>
      <c r="AB176" s="19">
        <v>1</v>
      </c>
      <c r="AC176" s="19" t="s">
        <v>58</v>
      </c>
      <c r="AD176" s="19" t="s">
        <v>303</v>
      </c>
      <c r="AE176" s="19" t="s">
        <v>847</v>
      </c>
      <c r="AF176" s="19"/>
    </row>
    <row r="177" spans="1:34">
      <c r="A177" s="19">
        <v>172</v>
      </c>
      <c r="B177" s="19" t="s">
        <v>149</v>
      </c>
      <c r="C177" s="19" t="s">
        <v>293</v>
      </c>
      <c r="D177" s="19" t="str">
        <f>HYPERLINK("http://henontech.com/fieldsafety/harzard/harzard_show.php?rid=3106&amp;url=harzardrecs.php","一名操作工从煤场上经过，不慎被地面上露出的钢筋划伤右小腿，送医敷药包扎，回家休养5天后复工。")</f>
        <v>一名操作工从煤场上经过，不慎被地面上露出的钢筋划伤右小腿，送医敷药包扎，回家休养5天后复工。</v>
      </c>
      <c r="E177" s="19" t="s">
        <v>914</v>
      </c>
      <c r="F177" s="20" t="s">
        <v>42</v>
      </c>
      <c r="G177" s="25" t="s">
        <v>264</v>
      </c>
      <c r="H177" s="19" t="s">
        <v>44</v>
      </c>
      <c r="I177" s="19" t="s">
        <v>75</v>
      </c>
      <c r="J177" s="19" t="s">
        <v>188</v>
      </c>
      <c r="K177" s="19" t="s">
        <v>129</v>
      </c>
      <c r="L177" s="19" t="s">
        <v>48</v>
      </c>
      <c r="M177" s="19" t="s">
        <v>266</v>
      </c>
      <c r="N177" s="19" t="s">
        <v>915</v>
      </c>
      <c r="O177" s="19" t="s">
        <v>266</v>
      </c>
      <c r="P177" s="19" t="s">
        <v>303</v>
      </c>
      <c r="Q177" s="19" t="s">
        <v>847</v>
      </c>
      <c r="R177" s="19" t="s">
        <v>916</v>
      </c>
      <c r="S177" s="19"/>
      <c r="T177" s="19" t="s">
        <v>41</v>
      </c>
      <c r="U177" s="19" t="s">
        <v>135</v>
      </c>
      <c r="V177" s="19" t="s">
        <v>106</v>
      </c>
      <c r="W177" s="19" t="s">
        <v>151</v>
      </c>
      <c r="X177" s="19"/>
      <c r="Y177" s="19"/>
      <c r="Z177" s="19" t="s">
        <v>917</v>
      </c>
      <c r="AA177" s="19">
        <v>1</v>
      </c>
      <c r="AB177" s="19">
        <v>1</v>
      </c>
      <c r="AC177" s="19" t="s">
        <v>58</v>
      </c>
      <c r="AD177" s="19" t="s">
        <v>303</v>
      </c>
      <c r="AE177" s="19" t="s">
        <v>847</v>
      </c>
      <c r="AF177" s="19"/>
    </row>
    <row r="178" spans="1:34">
      <c r="A178" s="19">
        <v>173</v>
      </c>
      <c r="B178" s="19" t="s">
        <v>149</v>
      </c>
      <c r="C178" s="19" t="s">
        <v>89</v>
      </c>
      <c r="D178" s="19" t="str">
        <f>HYPERLINK("http://henontech.com/fieldsafety/harzard/harzard_show.php?rid=3107&amp;url=harzardrecs.php","北脱硫南侧地沟盖板未盖捞翘起，一名操作工在巡检经过此处时，可能会被翘起的盖板绊倒，造成手部轻微擦伤，膝盖淤青送医务室简单包扎后复工。")</f>
        <v>北脱硫南侧地沟盖板未盖捞翘起，一名操作工在巡检经过此处时，可能会被翘起的盖板绊倒，造成手部轻微擦伤，膝盖淤青送医务室简单包扎后复工。</v>
      </c>
      <c r="E178" s="19" t="s">
        <v>918</v>
      </c>
      <c r="F178" s="20" t="s">
        <v>42</v>
      </c>
      <c r="G178" s="21" t="s">
        <v>43</v>
      </c>
      <c r="H178" s="19" t="s">
        <v>44</v>
      </c>
      <c r="I178" s="19" t="s">
        <v>117</v>
      </c>
      <c r="J178" s="19" t="s">
        <v>91</v>
      </c>
      <c r="K178" s="19" t="s">
        <v>47</v>
      </c>
      <c r="L178" s="19" t="s">
        <v>48</v>
      </c>
      <c r="M178" s="19" t="s">
        <v>49</v>
      </c>
      <c r="N178" s="19" t="s">
        <v>919</v>
      </c>
      <c r="O178" s="19" t="s">
        <v>49</v>
      </c>
      <c r="P178" s="19" t="s">
        <v>51</v>
      </c>
      <c r="Q178" s="19" t="s">
        <v>791</v>
      </c>
      <c r="R178" s="19" t="s">
        <v>621</v>
      </c>
      <c r="S178" s="19"/>
      <c r="T178" s="19" t="s">
        <v>41</v>
      </c>
      <c r="U178" s="19" t="s">
        <v>54</v>
      </c>
      <c r="V178" s="19" t="s">
        <v>168</v>
      </c>
      <c r="W178" s="19" t="s">
        <v>151</v>
      </c>
      <c r="X178" s="19"/>
      <c r="Y178" s="19"/>
      <c r="Z178" s="19" t="s">
        <v>920</v>
      </c>
      <c r="AA178" s="19">
        <v>1</v>
      </c>
      <c r="AB178" s="19">
        <v>1</v>
      </c>
      <c r="AC178" s="19" t="s">
        <v>58</v>
      </c>
      <c r="AD178" s="19" t="s">
        <v>51</v>
      </c>
      <c r="AE178" s="19" t="s">
        <v>520</v>
      </c>
      <c r="AF178" s="19"/>
    </row>
    <row r="179" spans="1:34">
      <c r="A179" s="19">
        <v>174</v>
      </c>
      <c r="B179" s="19" t="s">
        <v>149</v>
      </c>
      <c r="C179" s="19" t="s">
        <v>921</v>
      </c>
      <c r="D179" s="19" t="str">
        <f>HYPERLINK("http://henontech.com/fieldsafety/harzard/harzard_show.php?rid=3108&amp;url=harzardrecs.php","地面残留一高约20cm竖立铁件，若1名巡检人员夜间巡查时不慎脚下被绊，身体向前倾倒右肩部磕碰至混凝土基础台上。")</f>
        <v>地面残留一高约20cm竖立铁件，若1名巡检人员夜间巡查时不慎脚下被绊，身体向前倾倒右肩部磕碰至混凝土基础台上。</v>
      </c>
      <c r="E179" s="19" t="s">
        <v>922</v>
      </c>
      <c r="F179" s="20" t="s">
        <v>42</v>
      </c>
      <c r="G179" s="25" t="s">
        <v>264</v>
      </c>
      <c r="H179" s="19" t="s">
        <v>44</v>
      </c>
      <c r="I179" s="19"/>
      <c r="J179" s="19" t="s">
        <v>46</v>
      </c>
      <c r="K179" s="19" t="s">
        <v>47</v>
      </c>
      <c r="L179" s="19"/>
      <c r="M179" s="19" t="s">
        <v>101</v>
      </c>
      <c r="N179" s="19" t="s">
        <v>767</v>
      </c>
      <c r="O179" s="19" t="s">
        <v>101</v>
      </c>
      <c r="P179" s="19" t="s">
        <v>206</v>
      </c>
      <c r="Q179" s="19" t="s">
        <v>520</v>
      </c>
      <c r="R179" s="19" t="s">
        <v>923</v>
      </c>
      <c r="S179" s="19"/>
      <c r="T179" s="19" t="s">
        <v>41</v>
      </c>
      <c r="U179" s="19" t="s">
        <v>135</v>
      </c>
      <c r="V179" s="19" t="s">
        <v>106</v>
      </c>
      <c r="W179" s="19" t="s">
        <v>151</v>
      </c>
      <c r="X179" s="19" t="s">
        <v>924</v>
      </c>
      <c r="Y179" s="19" t="s">
        <v>924</v>
      </c>
      <c r="Z179" s="19" t="s">
        <v>925</v>
      </c>
      <c r="AA179" s="19">
        <v>1</v>
      </c>
      <c r="AB179" s="19">
        <v>1</v>
      </c>
      <c r="AC179" s="19" t="s">
        <v>58</v>
      </c>
      <c r="AD179" s="19" t="s">
        <v>206</v>
      </c>
      <c r="AE179" s="19" t="s">
        <v>424</v>
      </c>
      <c r="AF179" s="19"/>
    </row>
    <row r="180" spans="1:34">
      <c r="A180" s="19">
        <v>175</v>
      </c>
      <c r="B180" s="19" t="s">
        <v>149</v>
      </c>
      <c r="C180" s="19" t="s">
        <v>496</v>
      </c>
      <c r="D180" s="19" t="str">
        <f>HYPERLINK("http://henontech.com/fieldsafety/harzard/harzard_show.php?rid=3109&amp;url=harzardrecs.php","两盐岗位切片机东侧出料泵电机护罩腐蚀严重无法起到防护作用，当操作人员巡检时不慎碰到，被转动的风扇划伤腿部，包扎后回家休息3天后复工，损工3天")</f>
        <v>两盐岗位切片机东侧出料泵电机护罩腐蚀严重无法起到防护作用，当操作人员巡检时不慎碰到，被转动的风扇划伤腿部，包扎后回家休息3天后复工，损工3天</v>
      </c>
      <c r="E180" s="19" t="s">
        <v>926</v>
      </c>
      <c r="F180" s="20" t="s">
        <v>42</v>
      </c>
      <c r="G180" s="21" t="s">
        <v>43</v>
      </c>
      <c r="H180" s="19" t="s">
        <v>44</v>
      </c>
      <c r="I180" s="19" t="s">
        <v>45</v>
      </c>
      <c r="J180" s="19" t="s">
        <v>46</v>
      </c>
      <c r="K180" s="19" t="s">
        <v>129</v>
      </c>
      <c r="L180" s="19"/>
      <c r="M180" s="19" t="s">
        <v>49</v>
      </c>
      <c r="N180" s="19" t="s">
        <v>927</v>
      </c>
      <c r="O180" s="19" t="s">
        <v>49</v>
      </c>
      <c r="P180" s="19" t="s">
        <v>51</v>
      </c>
      <c r="Q180" s="19" t="s">
        <v>791</v>
      </c>
      <c r="R180" s="19" t="s">
        <v>928</v>
      </c>
      <c r="S180" s="19"/>
      <c r="T180" s="19" t="s">
        <v>41</v>
      </c>
      <c r="U180" s="19" t="s">
        <v>135</v>
      </c>
      <c r="V180" s="19" t="s">
        <v>55</v>
      </c>
      <c r="W180" s="19" t="s">
        <v>107</v>
      </c>
      <c r="X180" s="19"/>
      <c r="Y180" s="19"/>
      <c r="Z180" s="19" t="s">
        <v>929</v>
      </c>
      <c r="AA180" s="19">
        <v>1</v>
      </c>
      <c r="AB180" s="19">
        <v>1</v>
      </c>
      <c r="AC180" s="19" t="s">
        <v>58</v>
      </c>
      <c r="AD180" s="19" t="s">
        <v>51</v>
      </c>
      <c r="AE180" s="19" t="s">
        <v>779</v>
      </c>
      <c r="AF180" s="19"/>
    </row>
    <row r="181" spans="1:34">
      <c r="A181" s="19">
        <v>176</v>
      </c>
      <c r="B181" s="19" t="s">
        <v>149</v>
      </c>
      <c r="C181" s="19" t="s">
        <v>81</v>
      </c>
      <c r="D181" s="19" t="str">
        <f>HYPERLINK("http://henontech.com/fieldsafety/harzard/harzard_show.php?rid=3110&amp;url=harzardrecs.php","一名操作工在夜间巡检时，被地面碎石子滑倒造成髌骨骨折，住院30天，修养70天。")</f>
        <v>一名操作工在夜间巡检时，被地面碎石子滑倒造成髌骨骨折，住院30天，修养70天。</v>
      </c>
      <c r="E181" s="19" t="s">
        <v>930</v>
      </c>
      <c r="F181" s="20" t="s">
        <v>42</v>
      </c>
      <c r="G181" s="21" t="s">
        <v>43</v>
      </c>
      <c r="H181" s="19" t="s">
        <v>44</v>
      </c>
      <c r="I181" s="19"/>
      <c r="J181" s="19"/>
      <c r="K181" s="19" t="s">
        <v>47</v>
      </c>
      <c r="L181" s="19"/>
      <c r="M181" s="19" t="s">
        <v>49</v>
      </c>
      <c r="N181" s="19" t="s">
        <v>200</v>
      </c>
      <c r="O181" s="19" t="s">
        <v>49</v>
      </c>
      <c r="P181" s="19" t="s">
        <v>51</v>
      </c>
      <c r="Q181" s="19" t="s">
        <v>791</v>
      </c>
      <c r="R181" s="19" t="s">
        <v>931</v>
      </c>
      <c r="S181" s="19"/>
      <c r="T181" s="19" t="s">
        <v>41</v>
      </c>
      <c r="U181" s="19" t="s">
        <v>135</v>
      </c>
      <c r="V181" s="19" t="s">
        <v>55</v>
      </c>
      <c r="W181" s="19" t="s">
        <v>107</v>
      </c>
      <c r="X181" s="19"/>
      <c r="Y181" s="19"/>
      <c r="Z181" s="19" t="s">
        <v>932</v>
      </c>
      <c r="AA181" s="19">
        <v>1</v>
      </c>
      <c r="AB181" s="19">
        <v>1</v>
      </c>
      <c r="AC181" s="19" t="s">
        <v>58</v>
      </c>
      <c r="AD181" s="19" t="s">
        <v>51</v>
      </c>
      <c r="AE181" s="19" t="s">
        <v>520</v>
      </c>
      <c r="AF181" s="19"/>
    </row>
    <row r="182" spans="1:34">
      <c r="A182" s="19">
        <v>177</v>
      </c>
      <c r="B182" s="19" t="s">
        <v>424</v>
      </c>
      <c r="C182" s="19" t="s">
        <v>933</v>
      </c>
      <c r="D182" s="19" t="str">
        <f>HYPERLINK("http://henontech.com/fieldsafety/harzard/harzard_show.php?rid=3111&amp;url=harzardrecs.php","北化产综合供水配电室配电盘后电缆沟盖板缺失，当一名电工巡检时，不慎左腿掉入电缆沟，造成左腿脚踝扭伤，去医务室上药包扎后回家休养7天，恢复后复工，损工七天。")</f>
        <v>北化产综合供水配电室配电盘后电缆沟盖板缺失，当一名电工巡检时，不慎左腿掉入电缆沟，造成左腿脚踝扭伤，去医务室上药包扎后回家休养7天，恢复后复工，损工七天。</v>
      </c>
      <c r="E182" s="19" t="s">
        <v>934</v>
      </c>
      <c r="F182" s="23" t="s">
        <v>187</v>
      </c>
      <c r="G182" s="21" t="s">
        <v>43</v>
      </c>
      <c r="H182" s="19" t="s">
        <v>44</v>
      </c>
      <c r="I182" s="19" t="s">
        <v>75</v>
      </c>
      <c r="J182" s="19" t="s">
        <v>46</v>
      </c>
      <c r="K182" s="19" t="s">
        <v>129</v>
      </c>
      <c r="L182" s="19" t="s">
        <v>48</v>
      </c>
      <c r="M182" s="19" t="s">
        <v>49</v>
      </c>
      <c r="N182" s="19" t="s">
        <v>935</v>
      </c>
      <c r="O182" s="19" t="s">
        <v>49</v>
      </c>
      <c r="P182" s="19" t="s">
        <v>51</v>
      </c>
      <c r="Q182" s="19" t="s">
        <v>791</v>
      </c>
      <c r="R182" s="19" t="s">
        <v>936</v>
      </c>
      <c r="S182" s="19"/>
      <c r="T182" s="19" t="s">
        <v>41</v>
      </c>
      <c r="U182" s="19" t="s">
        <v>135</v>
      </c>
      <c r="V182" s="19" t="s">
        <v>106</v>
      </c>
      <c r="W182" s="19" t="s">
        <v>151</v>
      </c>
      <c r="X182" s="19"/>
      <c r="Y182" s="19"/>
      <c r="Z182" s="19" t="s">
        <v>937</v>
      </c>
      <c r="AA182" s="19">
        <v>1</v>
      </c>
      <c r="AB182" s="19"/>
      <c r="AC182" s="19" t="s">
        <v>162</v>
      </c>
      <c r="AD182" s="19"/>
      <c r="AE182" s="19"/>
      <c r="AF182" s="19"/>
    </row>
    <row r="183" spans="1:34">
      <c r="A183" s="19">
        <v>178</v>
      </c>
      <c r="B183" s="19" t="s">
        <v>424</v>
      </c>
      <c r="C183" s="19" t="s">
        <v>89</v>
      </c>
      <c r="D183" s="19" t="str">
        <f>HYPERLINK("http://henontech.com/fieldsafety/harzard/harzard_show.php?rid=3112&amp;url=harzardrecs.php","一名操作工在雨天巡检经过操作室北边爬梯时，因爬梯踏板有水可能摔倒在爬梯上，手臂磕碰到爬梯踏板，造成手臂骨折，住院治疗3个月。")</f>
        <v>一名操作工在雨天巡检经过操作室北边爬梯时，因爬梯踏板有水可能摔倒在爬梯上，手臂磕碰到爬梯踏板，造成手臂骨折，住院治疗3个月。</v>
      </c>
      <c r="E183" s="19" t="s">
        <v>938</v>
      </c>
      <c r="F183" s="20" t="s">
        <v>42</v>
      </c>
      <c r="G183" s="21" t="s">
        <v>43</v>
      </c>
      <c r="H183" s="19" t="s">
        <v>44</v>
      </c>
      <c r="I183" s="19" t="s">
        <v>117</v>
      </c>
      <c r="J183" s="19" t="s">
        <v>91</v>
      </c>
      <c r="K183" s="19" t="s">
        <v>47</v>
      </c>
      <c r="L183" s="19" t="s">
        <v>48</v>
      </c>
      <c r="M183" s="19" t="s">
        <v>49</v>
      </c>
      <c r="N183" s="19" t="s">
        <v>939</v>
      </c>
      <c r="O183" s="19" t="s">
        <v>49</v>
      </c>
      <c r="P183" s="19" t="s">
        <v>51</v>
      </c>
      <c r="Q183" s="19" t="s">
        <v>791</v>
      </c>
      <c r="R183" s="19" t="s">
        <v>621</v>
      </c>
      <c r="S183" s="19"/>
      <c r="T183" s="19" t="s">
        <v>41</v>
      </c>
      <c r="U183" s="19" t="s">
        <v>135</v>
      </c>
      <c r="V183" s="19" t="s">
        <v>168</v>
      </c>
      <c r="W183" s="19" t="s">
        <v>196</v>
      </c>
      <c r="X183" s="19"/>
      <c r="Y183" s="19"/>
      <c r="Z183" s="19" t="s">
        <v>940</v>
      </c>
      <c r="AA183" s="19">
        <v>1</v>
      </c>
      <c r="AB183" s="19">
        <v>1</v>
      </c>
      <c r="AC183" s="19" t="s">
        <v>58</v>
      </c>
      <c r="AD183" s="19" t="s">
        <v>51</v>
      </c>
      <c r="AE183" s="19" t="s">
        <v>847</v>
      </c>
      <c r="AF183" s="19"/>
    </row>
    <row r="184" spans="1:34">
      <c r="A184" s="19">
        <v>179</v>
      </c>
      <c r="B184" s="19" t="s">
        <v>768</v>
      </c>
      <c r="C184" s="19" t="s">
        <v>175</v>
      </c>
      <c r="D184" s="19" t="str">
        <f>HYPERLINK("http://henontech.com/fieldsafety/harzard/harzard_show.php?rid=3113&amp;url=harzardrecs.php","2#换热器脱硫液管道开焊漏液严重，污染环境卫生，一名操作工擦拭设备时，脱硫液有可能溅到手上灼伤皮肤，简单处理，不影响工作，继续上班。")</f>
        <v>2#换热器脱硫液管道开焊漏液严重，污染环境卫生，一名操作工擦拭设备时，脱硫液有可能溅到手上灼伤皮肤，简单处理，不影响工作，继续上班。</v>
      </c>
      <c r="E184" s="19" t="s">
        <v>941</v>
      </c>
      <c r="F184" s="20" t="s">
        <v>42</v>
      </c>
      <c r="G184" s="21" t="s">
        <v>43</v>
      </c>
      <c r="H184" s="19" t="s">
        <v>44</v>
      </c>
      <c r="I184" s="19" t="s">
        <v>45</v>
      </c>
      <c r="J184" s="19" t="s">
        <v>188</v>
      </c>
      <c r="K184" s="19" t="s">
        <v>47</v>
      </c>
      <c r="L184" s="19" t="s">
        <v>48</v>
      </c>
      <c r="M184" s="19" t="s">
        <v>49</v>
      </c>
      <c r="N184" s="19" t="s">
        <v>942</v>
      </c>
      <c r="O184" s="19" t="s">
        <v>49</v>
      </c>
      <c r="P184" s="19" t="s">
        <v>51</v>
      </c>
      <c r="Q184" s="19" t="s">
        <v>943</v>
      </c>
      <c r="R184" s="19" t="s">
        <v>944</v>
      </c>
      <c r="S184" s="19"/>
      <c r="T184" s="19" t="s">
        <v>41</v>
      </c>
      <c r="U184" s="19" t="s">
        <v>54</v>
      </c>
      <c r="V184" s="19" t="s">
        <v>55</v>
      </c>
      <c r="W184" s="19" t="s">
        <v>56</v>
      </c>
      <c r="X184" s="19"/>
      <c r="Y184" s="19"/>
      <c r="Z184" s="19" t="s">
        <v>945</v>
      </c>
      <c r="AA184" s="19">
        <v>1</v>
      </c>
      <c r="AB184" s="19">
        <v>1</v>
      </c>
      <c r="AC184" s="19" t="s">
        <v>58</v>
      </c>
      <c r="AD184" s="19" t="s">
        <v>51</v>
      </c>
      <c r="AE184" s="19" t="s">
        <v>177</v>
      </c>
      <c r="AF184" s="19"/>
    </row>
    <row r="185" spans="1:34">
      <c r="A185" s="19">
        <v>180</v>
      </c>
      <c r="B185" s="19" t="s">
        <v>768</v>
      </c>
      <c r="C185" s="19" t="s">
        <v>765</v>
      </c>
      <c r="D185" s="19" t="str">
        <f>HYPERLINK("http://henontech.com/fieldsafety/harzard/harzard_show.php?rid=3115&amp;url=harzardrecs.php","五号减温减压分汽缸处阀门保温缺失，一员工在作业过程中，右手臂被约300℃蒸汽阀体烫伤，送医救治，经医院诊断为浅二度烫伤，治疗两天，回家休养五天。")</f>
        <v>五号减温减压分汽缸处阀门保温缺失，一员工在作业过程中，右手臂被约300℃蒸汽阀体烫伤，送医救治，经医院诊断为浅二度烫伤，治疗两天，回家休养五天。</v>
      </c>
      <c r="E185" s="19" t="s">
        <v>946</v>
      </c>
      <c r="F185" s="23" t="s">
        <v>187</v>
      </c>
      <c r="G185" s="21" t="s">
        <v>43</v>
      </c>
      <c r="H185" s="19" t="s">
        <v>44</v>
      </c>
      <c r="I185" s="19" t="s">
        <v>45</v>
      </c>
      <c r="J185" s="19" t="s">
        <v>46</v>
      </c>
      <c r="K185" s="19" t="s">
        <v>92</v>
      </c>
      <c r="L185" s="19" t="s">
        <v>48</v>
      </c>
      <c r="M185" s="19" t="s">
        <v>101</v>
      </c>
      <c r="N185" s="19" t="s">
        <v>947</v>
      </c>
      <c r="O185" s="19" t="s">
        <v>101</v>
      </c>
      <c r="P185" s="19" t="s">
        <v>948</v>
      </c>
      <c r="Q185" s="19" t="s">
        <v>949</v>
      </c>
      <c r="R185" s="19" t="s">
        <v>950</v>
      </c>
      <c r="S185" s="19" t="s">
        <v>951</v>
      </c>
      <c r="T185" s="19" t="s">
        <v>41</v>
      </c>
      <c r="U185" s="19" t="s">
        <v>54</v>
      </c>
      <c r="V185" s="19" t="s">
        <v>168</v>
      </c>
      <c r="W185" s="19" t="s">
        <v>151</v>
      </c>
      <c r="X185" s="19" t="s">
        <v>69</v>
      </c>
      <c r="Y185" s="19"/>
      <c r="Z185" s="19" t="s">
        <v>952</v>
      </c>
      <c r="AA185" s="19">
        <v>1</v>
      </c>
      <c r="AB185" s="19"/>
      <c r="AC185" s="19" t="s">
        <v>162</v>
      </c>
      <c r="AD185" s="19"/>
      <c r="AE185" s="19"/>
      <c r="AF185" s="19"/>
    </row>
    <row r="186" spans="1:34">
      <c r="A186" s="19">
        <v>181</v>
      </c>
      <c r="B186" s="19" t="s">
        <v>768</v>
      </c>
      <c r="C186" s="19" t="s">
        <v>175</v>
      </c>
      <c r="D186" s="19" t="str">
        <f>HYPERLINK("http://henontech.com/fieldsafety/harzard/harzard_show.php?rid=3116&amp;url=harzardrecs.php","风机房西侧爬梯，无警示标志，假设一操作工，爬上爬梯关阀门，因马虎大意，危险意识不强，从爬梯摔落。")</f>
        <v>风机房西侧爬梯，无警示标志，假设一操作工，爬上爬梯关阀门，因马虎大意，危险意识不强，从爬梯摔落。</v>
      </c>
      <c r="E186" s="19" t="s">
        <v>953</v>
      </c>
      <c r="F186" s="20" t="s">
        <v>42</v>
      </c>
      <c r="G186" s="21" t="s">
        <v>43</v>
      </c>
      <c r="H186" s="19" t="s">
        <v>44</v>
      </c>
      <c r="I186" s="19" t="s">
        <v>75</v>
      </c>
      <c r="J186" s="19" t="s">
        <v>46</v>
      </c>
      <c r="K186" s="19" t="s">
        <v>76</v>
      </c>
      <c r="L186" s="19"/>
      <c r="M186" s="19" t="s">
        <v>49</v>
      </c>
      <c r="N186" s="19" t="s">
        <v>954</v>
      </c>
      <c r="O186" s="19" t="s">
        <v>49</v>
      </c>
      <c r="P186" s="19" t="s">
        <v>51</v>
      </c>
      <c r="Q186" s="19" t="s">
        <v>949</v>
      </c>
      <c r="R186" s="19" t="s">
        <v>955</v>
      </c>
      <c r="S186" s="19"/>
      <c r="T186" s="19" t="s">
        <v>41</v>
      </c>
      <c r="U186" s="19" t="s">
        <v>54</v>
      </c>
      <c r="V186" s="19" t="s">
        <v>106</v>
      </c>
      <c r="W186" s="19" t="s">
        <v>107</v>
      </c>
      <c r="X186" s="19"/>
      <c r="Y186" s="19"/>
      <c r="Z186" s="19" t="s">
        <v>956</v>
      </c>
      <c r="AA186" s="19">
        <v>1</v>
      </c>
      <c r="AB186" s="19">
        <v>1</v>
      </c>
      <c r="AC186" s="19" t="s">
        <v>58</v>
      </c>
      <c r="AD186" s="19" t="s">
        <v>51</v>
      </c>
      <c r="AE186" s="19" t="s">
        <v>520</v>
      </c>
      <c r="AF186" s="19"/>
    </row>
    <row r="187" spans="1:34">
      <c r="A187" s="19">
        <v>182</v>
      </c>
      <c r="B187" s="19" t="s">
        <v>768</v>
      </c>
      <c r="C187" s="19" t="s">
        <v>822</v>
      </c>
      <c r="D187" s="19" t="str">
        <f>HYPERLINK("http://henontech.com/fieldsafety/harzard/harzard_show.php?rid=3117&amp;url=harzardrecs.php","巡检通廊高度2米，台阶踏板宽度5厘米，一名员工巡检至主控楼楼顶时，踩踏台阶踏板，踏板过窄，重心不稳，人员跌落，尾椎处与地面发生碰撞")</f>
        <v>巡检通廊高度2米，台阶踏板宽度5厘米，一名员工巡检至主控楼楼顶时，踩踏台阶踏板，踏板过窄，重心不稳，人员跌落，尾椎处与地面发生碰撞</v>
      </c>
      <c r="E187" s="19" t="s">
        <v>957</v>
      </c>
      <c r="F187" s="23" t="s">
        <v>187</v>
      </c>
      <c r="G187" s="21" t="s">
        <v>43</v>
      </c>
      <c r="H187" s="19" t="s">
        <v>44</v>
      </c>
      <c r="I187" s="19" t="s">
        <v>117</v>
      </c>
      <c r="J187" s="19" t="s">
        <v>46</v>
      </c>
      <c r="K187" s="19" t="s">
        <v>76</v>
      </c>
      <c r="L187" s="19" t="s">
        <v>48</v>
      </c>
      <c r="M187" s="19" t="s">
        <v>101</v>
      </c>
      <c r="N187" s="19" t="s">
        <v>958</v>
      </c>
      <c r="O187" s="19" t="s">
        <v>101</v>
      </c>
      <c r="P187" s="19" t="s">
        <v>959</v>
      </c>
      <c r="Q187" s="19" t="s">
        <v>949</v>
      </c>
      <c r="R187" s="19" t="s">
        <v>825</v>
      </c>
      <c r="S187" s="19" t="s">
        <v>960</v>
      </c>
      <c r="T187" s="19" t="s">
        <v>41</v>
      </c>
      <c r="U187" s="19" t="s">
        <v>135</v>
      </c>
      <c r="V187" s="19" t="s">
        <v>106</v>
      </c>
      <c r="W187" s="19" t="s">
        <v>151</v>
      </c>
      <c r="X187" s="19" t="s">
        <v>69</v>
      </c>
      <c r="Y187" s="19"/>
      <c r="Z187" s="19" t="s">
        <v>961</v>
      </c>
      <c r="AA187" s="19">
        <v>1</v>
      </c>
      <c r="AB187" s="19"/>
      <c r="AC187" s="19" t="s">
        <v>162</v>
      </c>
      <c r="AD187" s="19"/>
      <c r="AE187" s="19"/>
      <c r="AF187" s="19"/>
    </row>
    <row r="188" spans="1:34">
      <c r="A188" s="19">
        <v>183</v>
      </c>
      <c r="B188" s="19" t="s">
        <v>768</v>
      </c>
      <c r="C188" s="19" t="s">
        <v>765</v>
      </c>
      <c r="D188" s="19" t="str">
        <f>HYPERLINK("http://henontech.com/fieldsafety/harzard/harzard_show.php?rid=3118&amp;url=harzardrecs.php","干熄炉四层平台铁板翘起，一名员工巡检至此时，被铁板绊倒，造成右脚脚踝扭伤")</f>
        <v>干熄炉四层平台铁板翘起，一名员工巡检至此时，被铁板绊倒，造成右脚脚踝扭伤</v>
      </c>
      <c r="E188" s="19" t="s">
        <v>962</v>
      </c>
      <c r="F188" s="23" t="s">
        <v>187</v>
      </c>
      <c r="G188" s="21" t="s">
        <v>43</v>
      </c>
      <c r="H188" s="19" t="s">
        <v>44</v>
      </c>
      <c r="I188" s="19" t="s">
        <v>117</v>
      </c>
      <c r="J188" s="19" t="s">
        <v>46</v>
      </c>
      <c r="K188" s="19" t="s">
        <v>47</v>
      </c>
      <c r="L188" s="19" t="s">
        <v>48</v>
      </c>
      <c r="M188" s="19" t="s">
        <v>101</v>
      </c>
      <c r="N188" s="19" t="s">
        <v>963</v>
      </c>
      <c r="O188" s="19" t="s">
        <v>101</v>
      </c>
      <c r="P188" s="19" t="s">
        <v>959</v>
      </c>
      <c r="Q188" s="19" t="s">
        <v>949</v>
      </c>
      <c r="R188" s="19" t="s">
        <v>964</v>
      </c>
      <c r="S188" s="19" t="s">
        <v>965</v>
      </c>
      <c r="T188" s="19" t="s">
        <v>41</v>
      </c>
      <c r="U188" s="19" t="s">
        <v>135</v>
      </c>
      <c r="V188" s="19" t="s">
        <v>106</v>
      </c>
      <c r="W188" s="19" t="s">
        <v>151</v>
      </c>
      <c r="X188" s="19" t="s">
        <v>69</v>
      </c>
      <c r="Y188" s="19"/>
      <c r="Z188" s="19" t="s">
        <v>966</v>
      </c>
      <c r="AA188" s="19">
        <v>1</v>
      </c>
      <c r="AB188" s="19"/>
      <c r="AC188" s="19" t="s">
        <v>162</v>
      </c>
      <c r="AD188" s="19"/>
      <c r="AE188" s="19"/>
      <c r="AF188" s="19"/>
    </row>
    <row r="189" spans="1:34">
      <c r="A189" s="19">
        <v>184</v>
      </c>
      <c r="B189" s="19" t="s">
        <v>177</v>
      </c>
      <c r="C189" s="19" t="s">
        <v>496</v>
      </c>
      <c r="D189" s="19" t="str">
        <f>HYPERLINK("http://henontech.com/fieldsafety/harzard/harzard_show.php?rid=3119&amp;url=harzardrecs.php","切片机变频柜柜门下部活页脱落，一名操作工打开柜门调节变频器时，柜门掉落砸伤右脚脚踝！，")</f>
        <v>切片机变频柜柜门下部活页脱落，一名操作工打开柜门调节变频器时，柜门掉落砸伤右脚脚踝！，</v>
      </c>
      <c r="E189" s="19" t="s">
        <v>967</v>
      </c>
      <c r="F189" s="20" t="s">
        <v>42</v>
      </c>
      <c r="G189" s="21" t="s">
        <v>43</v>
      </c>
      <c r="H189" s="19" t="s">
        <v>44</v>
      </c>
      <c r="I189" s="19" t="s">
        <v>117</v>
      </c>
      <c r="J189" s="19" t="s">
        <v>46</v>
      </c>
      <c r="K189" s="19" t="s">
        <v>129</v>
      </c>
      <c r="L189" s="19" t="s">
        <v>48</v>
      </c>
      <c r="M189" s="19" t="s">
        <v>49</v>
      </c>
      <c r="N189" s="19" t="s">
        <v>968</v>
      </c>
      <c r="O189" s="19" t="s">
        <v>49</v>
      </c>
      <c r="P189" s="19" t="s">
        <v>51</v>
      </c>
      <c r="Q189" s="19" t="s">
        <v>949</v>
      </c>
      <c r="R189" s="19" t="s">
        <v>969</v>
      </c>
      <c r="S189" s="19"/>
      <c r="T189" s="19" t="s">
        <v>41</v>
      </c>
      <c r="U189" s="19" t="s">
        <v>135</v>
      </c>
      <c r="V189" s="19" t="s">
        <v>106</v>
      </c>
      <c r="W189" s="19" t="s">
        <v>151</v>
      </c>
      <c r="X189" s="19"/>
      <c r="Y189" s="19"/>
      <c r="Z189" s="19" t="s">
        <v>970</v>
      </c>
      <c r="AA189" s="19">
        <v>1</v>
      </c>
      <c r="AB189" s="19">
        <v>1</v>
      </c>
      <c r="AC189" s="19" t="s">
        <v>58</v>
      </c>
      <c r="AD189" s="19" t="s">
        <v>51</v>
      </c>
      <c r="AE189" s="19" t="s">
        <v>207</v>
      </c>
      <c r="AF189" s="19"/>
    </row>
    <row r="190" spans="1:34">
      <c r="A190" s="19">
        <v>185</v>
      </c>
      <c r="B190" s="19" t="s">
        <v>177</v>
      </c>
      <c r="C190" s="19" t="s">
        <v>356</v>
      </c>
      <c r="D190" s="19" t="str">
        <f>HYPERLINK("http://henontech.com/fieldsafety/harzard/harzard_show.php?rid=3120&amp;url=harzardrecs.php","院墙上方遗留砖块，一职工途径时砖块突然掉落砸伤肩部，送医确诊为肩部皮外伤，经医敷药包扎，回家休养三天后复工")</f>
        <v>院墙上方遗留砖块，一职工途径时砖块突然掉落砸伤肩部，送医确诊为肩部皮外伤，经医敷药包扎，回家休养三天后复工</v>
      </c>
      <c r="E190" s="19" t="s">
        <v>971</v>
      </c>
      <c r="F190" s="20" t="s">
        <v>42</v>
      </c>
      <c r="G190" s="25" t="s">
        <v>264</v>
      </c>
      <c r="H190" s="19" t="s">
        <v>44</v>
      </c>
      <c r="I190" s="19" t="s">
        <v>75</v>
      </c>
      <c r="J190" s="19" t="s">
        <v>188</v>
      </c>
      <c r="K190" s="19" t="s">
        <v>47</v>
      </c>
      <c r="L190" s="19" t="s">
        <v>48</v>
      </c>
      <c r="M190" s="19" t="s">
        <v>266</v>
      </c>
      <c r="N190" s="19" t="s">
        <v>522</v>
      </c>
      <c r="O190" s="19" t="s">
        <v>266</v>
      </c>
      <c r="P190" s="19" t="s">
        <v>303</v>
      </c>
      <c r="Q190" s="19" t="s">
        <v>847</v>
      </c>
      <c r="R190" s="19" t="s">
        <v>972</v>
      </c>
      <c r="S190" s="19"/>
      <c r="T190" s="19" t="s">
        <v>41</v>
      </c>
      <c r="U190" s="19" t="s">
        <v>135</v>
      </c>
      <c r="V190" s="19" t="s">
        <v>106</v>
      </c>
      <c r="W190" s="19" t="s">
        <v>151</v>
      </c>
      <c r="X190" s="19"/>
      <c r="Y190" s="19"/>
      <c r="Z190" s="19" t="s">
        <v>973</v>
      </c>
      <c r="AA190" s="19">
        <v>1</v>
      </c>
      <c r="AB190" s="19">
        <v>1</v>
      </c>
      <c r="AC190" s="19" t="s">
        <v>58</v>
      </c>
      <c r="AD190" s="19" t="s">
        <v>303</v>
      </c>
      <c r="AE190" s="19" t="s">
        <v>847</v>
      </c>
      <c r="AF190" s="19"/>
    </row>
    <row r="191" spans="1:34">
      <c r="A191" s="19">
        <v>186</v>
      </c>
      <c r="B191" s="19" t="s">
        <v>847</v>
      </c>
      <c r="C191" s="19" t="s">
        <v>765</v>
      </c>
      <c r="D191" s="19" t="str">
        <f>HYPERLINK("http://henontech.com/fieldsafety/harzard/harzard_show.php?rid=3121&amp;url=harzardrecs.php","一员工在开五号减温减压东侧管道阀门时，因缺少必要的踩踏物，脚底打滑不甚从6米管道处跌落，头部着地，送医治疗抢救无效死亡")</f>
        <v>一员工在开五号减温减压东侧管道阀门时，因缺少必要的踩踏物，脚底打滑不甚从6米管道处跌落，头部着地，送医治疗抢救无效死亡</v>
      </c>
      <c r="E191" s="19" t="s">
        <v>459</v>
      </c>
      <c r="F191" s="23" t="s">
        <v>187</v>
      </c>
      <c r="G191" s="21" t="s">
        <v>43</v>
      </c>
      <c r="H191" s="19" t="s">
        <v>44</v>
      </c>
      <c r="I191" s="19"/>
      <c r="J191" s="19" t="s">
        <v>91</v>
      </c>
      <c r="K191" s="19"/>
      <c r="L191" s="19"/>
      <c r="M191" s="19" t="s">
        <v>101</v>
      </c>
      <c r="N191" s="19" t="s">
        <v>318</v>
      </c>
      <c r="O191" s="19" t="s">
        <v>101</v>
      </c>
      <c r="P191" s="19" t="s">
        <v>206</v>
      </c>
      <c r="Q191" s="19" t="s">
        <v>974</v>
      </c>
      <c r="R191" s="19" t="s">
        <v>975</v>
      </c>
      <c r="S191" s="19" t="s">
        <v>976</v>
      </c>
      <c r="T191" s="19" t="s">
        <v>41</v>
      </c>
      <c r="U191" s="19" t="s">
        <v>195</v>
      </c>
      <c r="V191" s="19" t="s">
        <v>168</v>
      </c>
      <c r="W191" s="19" t="s">
        <v>196</v>
      </c>
      <c r="X191" s="19" t="s">
        <v>69</v>
      </c>
      <c r="Y191" s="19"/>
      <c r="Z191" s="19" t="s">
        <v>977</v>
      </c>
      <c r="AA191" s="19">
        <v>1</v>
      </c>
      <c r="AB191" s="19"/>
      <c r="AC191" s="19" t="s">
        <v>162</v>
      </c>
      <c r="AD191" s="19"/>
      <c r="AE191" s="19"/>
      <c r="AF191" s="19"/>
    </row>
    <row r="192" spans="1:34">
      <c r="A192" s="19">
        <v>187</v>
      </c>
      <c r="B192" s="19" t="s">
        <v>177</v>
      </c>
      <c r="C192" s="19" t="s">
        <v>61</v>
      </c>
      <c r="D192" s="19" t="str">
        <f>HYPERLINK("http://henontech.com/fieldsafety/harzard/harzard_show.php?rid=3122&amp;url=harzardrecs.php","深度处理中水回用纳滤装置段间增压泵未接地线，如段间增压泵绝缘损坏，外壳带电，一操作工清理卫生时，触电身亡。")</f>
        <v>深度处理中水回用纳滤装置段间增压泵未接地线，如段间增压泵绝缘损坏，外壳带电，一操作工清理卫生时，触电身亡。</v>
      </c>
      <c r="E192" s="19" t="s">
        <v>978</v>
      </c>
      <c r="F192" s="20" t="s">
        <v>42</v>
      </c>
      <c r="G192" s="21" t="s">
        <v>43</v>
      </c>
      <c r="H192" s="19" t="s">
        <v>44</v>
      </c>
      <c r="I192" s="19" t="s">
        <v>45</v>
      </c>
      <c r="J192" s="19" t="s">
        <v>284</v>
      </c>
      <c r="K192" s="19"/>
      <c r="L192" s="19"/>
      <c r="M192" s="19" t="s">
        <v>63</v>
      </c>
      <c r="N192" s="19" t="s">
        <v>979</v>
      </c>
      <c r="O192" s="19" t="s">
        <v>63</v>
      </c>
      <c r="P192" s="19" t="s">
        <v>65</v>
      </c>
      <c r="Q192" s="19" t="s">
        <v>280</v>
      </c>
      <c r="R192" s="19" t="s">
        <v>980</v>
      </c>
      <c r="S192" s="19"/>
      <c r="T192" s="19" t="s">
        <v>41</v>
      </c>
      <c r="U192" s="19" t="s">
        <v>195</v>
      </c>
      <c r="V192" s="19" t="s">
        <v>106</v>
      </c>
      <c r="W192" s="19" t="s">
        <v>196</v>
      </c>
      <c r="X192" s="19" t="s">
        <v>69</v>
      </c>
      <c r="Y192" s="19" t="s">
        <v>69</v>
      </c>
      <c r="Z192" s="19" t="s">
        <v>981</v>
      </c>
      <c r="AA192" s="19">
        <v>1</v>
      </c>
      <c r="AB192" s="19">
        <v>1</v>
      </c>
      <c r="AC192" s="19" t="s">
        <v>58</v>
      </c>
      <c r="AD192" s="19" t="s">
        <v>65</v>
      </c>
      <c r="AE192" s="19" t="s">
        <v>847</v>
      </c>
      <c r="AF192" s="19"/>
    </row>
    <row r="193" spans="1:34" customHeight="1" ht="42">
      <c r="A193" s="19">
        <v>188</v>
      </c>
      <c r="B193" s="19" t="s">
        <v>177</v>
      </c>
      <c r="C193" s="19" t="s">
        <v>293</v>
      </c>
      <c r="D193" s="19" t="str">
        <f>HYPERLINK("http://henontech.com/fieldsafety/harzard/harzard_show.php?rid=3124&amp;url=harzardrecs.php","1618外墙下水管道脱落 有人员经过砸到头上头部受伤送医治疗住院一个月在家休养一个月")</f>
        <v>1618外墙下水管道脱落 有人员经过砸到头上头部受伤送医治疗住院一个月在家休养一个月</v>
      </c>
      <c r="E193" s="19" t="s">
        <v>982</v>
      </c>
      <c r="F193" s="20" t="s">
        <v>42</v>
      </c>
      <c r="G193" s="21" t="s">
        <v>43</v>
      </c>
      <c r="H193" s="19" t="s">
        <v>44</v>
      </c>
      <c r="I193" s="19" t="s">
        <v>75</v>
      </c>
      <c r="J193" s="19" t="s">
        <v>118</v>
      </c>
      <c r="K193" s="19" t="s">
        <v>92</v>
      </c>
      <c r="L193" s="19" t="s">
        <v>48</v>
      </c>
      <c r="M193" s="19" t="s">
        <v>266</v>
      </c>
      <c r="N193" s="19" t="s">
        <v>381</v>
      </c>
      <c r="O193" s="19" t="s">
        <v>266</v>
      </c>
      <c r="P193" s="19" t="s">
        <v>382</v>
      </c>
      <c r="Q193" s="19" t="s">
        <v>949</v>
      </c>
      <c r="R193" s="19" t="s">
        <v>983</v>
      </c>
      <c r="S193" s="19"/>
      <c r="T193" s="19" t="s">
        <v>41</v>
      </c>
      <c r="U193" s="19" t="s">
        <v>135</v>
      </c>
      <c r="V193" s="19" t="s">
        <v>106</v>
      </c>
      <c r="W193" s="19" t="s">
        <v>151</v>
      </c>
      <c r="X193" s="19"/>
      <c r="Y193" s="19"/>
      <c r="Z193" s="19" t="s">
        <v>984</v>
      </c>
      <c r="AA193" s="19">
        <v>2</v>
      </c>
      <c r="AB193" s="19">
        <v>2</v>
      </c>
      <c r="AC193" s="19" t="s">
        <v>58</v>
      </c>
      <c r="AD193" s="19" t="s">
        <v>382</v>
      </c>
      <c r="AE193" s="19" t="s">
        <v>847</v>
      </c>
      <c r="AF193" s="19"/>
    </row>
    <row r="194" spans="1:34">
      <c r="A194" s="19">
        <v>189</v>
      </c>
      <c r="B194" s="19" t="s">
        <v>177</v>
      </c>
      <c r="C194" s="19" t="s">
        <v>985</v>
      </c>
      <c r="D194" s="19" t="str">
        <f>HYPERLINK("http://henontech.com/fieldsafety/harzard/harzard_show.php?rid=3125&amp;url=harzardrecs.php","三号站配电箱开关松动，易造成配电开关连电短路，造成离心泵电机烧毁，财产损失2000元。")</f>
        <v>三号站配电箱开关松动，易造成配电开关连电短路，造成离心泵电机烧毁，财产损失2000元。</v>
      </c>
      <c r="E194" s="19" t="s">
        <v>986</v>
      </c>
      <c r="F194" s="20" t="s">
        <v>42</v>
      </c>
      <c r="G194" s="21" t="s">
        <v>43</v>
      </c>
      <c r="H194" s="19" t="s">
        <v>44</v>
      </c>
      <c r="I194" s="19"/>
      <c r="J194" s="19" t="s">
        <v>284</v>
      </c>
      <c r="K194" s="19"/>
      <c r="L194" s="19"/>
      <c r="M194" s="19" t="s">
        <v>63</v>
      </c>
      <c r="N194" s="19" t="s">
        <v>987</v>
      </c>
      <c r="O194" s="19" t="s">
        <v>63</v>
      </c>
      <c r="P194" s="19" t="s">
        <v>65</v>
      </c>
      <c r="Q194" s="19" t="s">
        <v>988</v>
      </c>
      <c r="R194" s="19" t="s">
        <v>989</v>
      </c>
      <c r="S194" s="19"/>
      <c r="T194" s="19" t="s">
        <v>194</v>
      </c>
      <c r="U194" s="19" t="s">
        <v>86</v>
      </c>
      <c r="V194" s="19" t="s">
        <v>168</v>
      </c>
      <c r="W194" s="19" t="s">
        <v>56</v>
      </c>
      <c r="X194" s="19" t="s">
        <v>69</v>
      </c>
      <c r="Y194" s="19" t="s">
        <v>69</v>
      </c>
      <c r="Z194" s="19" t="s">
        <v>990</v>
      </c>
      <c r="AA194" s="19">
        <v>1</v>
      </c>
      <c r="AB194" s="19">
        <v>1</v>
      </c>
      <c r="AC194" s="19" t="s">
        <v>58</v>
      </c>
      <c r="AD194" s="19" t="s">
        <v>65</v>
      </c>
      <c r="AE194" s="19" t="s">
        <v>177</v>
      </c>
      <c r="AF194" s="19"/>
    </row>
    <row r="195" spans="1:34" customHeight="1" ht="42">
      <c r="A195" s="19">
        <v>190</v>
      </c>
      <c r="B195" s="19" t="s">
        <v>177</v>
      </c>
      <c r="C195" s="19" t="s">
        <v>356</v>
      </c>
      <c r="D195" s="19" t="str">
        <f>HYPERLINK("http://henontech.com/fieldsafety/harzard/harzard_show.php?rid=3126&amp;url=harzardrecs.php","西煤厂篦子口处钢筋外露 人员经过被绊倒 右脚脚踝扭伤 休息一会不影响工作")</f>
        <v>西煤厂篦子口处钢筋外露 人员经过被绊倒 右脚脚踝扭伤 休息一会不影响工作</v>
      </c>
      <c r="E195" s="19" t="s">
        <v>763</v>
      </c>
      <c r="F195" s="20" t="s">
        <v>42</v>
      </c>
      <c r="G195" s="21" t="s">
        <v>43</v>
      </c>
      <c r="H195" s="19" t="s">
        <v>44</v>
      </c>
      <c r="I195" s="19" t="s">
        <v>75</v>
      </c>
      <c r="J195" s="19" t="s">
        <v>188</v>
      </c>
      <c r="K195" s="19" t="s">
        <v>92</v>
      </c>
      <c r="L195" s="19" t="s">
        <v>48</v>
      </c>
      <c r="M195" s="19" t="s">
        <v>266</v>
      </c>
      <c r="N195" s="19" t="s">
        <v>381</v>
      </c>
      <c r="O195" s="19" t="s">
        <v>266</v>
      </c>
      <c r="P195" s="19" t="s">
        <v>382</v>
      </c>
      <c r="Q195" s="19" t="s">
        <v>949</v>
      </c>
      <c r="R195" s="19" t="s">
        <v>991</v>
      </c>
      <c r="S195" s="19"/>
      <c r="T195" s="19" t="s">
        <v>41</v>
      </c>
      <c r="U195" s="19" t="s">
        <v>54</v>
      </c>
      <c r="V195" s="19" t="s">
        <v>55</v>
      </c>
      <c r="W195" s="19" t="s">
        <v>56</v>
      </c>
      <c r="X195" s="19"/>
      <c r="Y195" s="19"/>
      <c r="Z195" s="19" t="s">
        <v>992</v>
      </c>
      <c r="AA195" s="19">
        <v>2</v>
      </c>
      <c r="AB195" s="19">
        <v>2</v>
      </c>
      <c r="AC195" s="19" t="s">
        <v>58</v>
      </c>
      <c r="AD195" s="19" t="s">
        <v>382</v>
      </c>
      <c r="AE195" s="19" t="s">
        <v>847</v>
      </c>
      <c r="AF195" s="19"/>
    </row>
    <row r="196" spans="1:34" customHeight="1" ht="42">
      <c r="A196" s="19">
        <v>191</v>
      </c>
      <c r="B196" s="19" t="s">
        <v>177</v>
      </c>
      <c r="C196" s="19" t="s">
        <v>489</v>
      </c>
      <c r="D196" s="19" t="str">
        <f>HYPERLINK("http://henontech.com/fieldsafety/harzard/harzard_show.php?rid=3127&amp;url=harzardrecs.php","煤八斜桥照明灯暗，操作工在下台阶巡检时，因看不清不慎踩歪摔倒，扭伤脚踝关节送院治疗3天，在家休养7天后复工。")</f>
        <v>煤八斜桥照明灯暗，操作工在下台阶巡检时，因看不清不慎踩歪摔倒，扭伤脚踝关节送院治疗3天，在家休养7天后复工。</v>
      </c>
      <c r="E196" s="19" t="s">
        <v>993</v>
      </c>
      <c r="F196" s="20" t="s">
        <v>42</v>
      </c>
      <c r="G196" s="25" t="s">
        <v>264</v>
      </c>
      <c r="H196" s="19" t="s">
        <v>44</v>
      </c>
      <c r="I196" s="19" t="s">
        <v>75</v>
      </c>
      <c r="J196" s="19" t="s">
        <v>46</v>
      </c>
      <c r="K196" s="19" t="s">
        <v>129</v>
      </c>
      <c r="L196" s="19" t="s">
        <v>48</v>
      </c>
      <c r="M196" s="19" t="s">
        <v>266</v>
      </c>
      <c r="N196" s="19" t="s">
        <v>267</v>
      </c>
      <c r="O196" s="19" t="s">
        <v>266</v>
      </c>
      <c r="P196" s="19" t="s">
        <v>268</v>
      </c>
      <c r="Q196" s="19" t="s">
        <v>865</v>
      </c>
      <c r="R196" s="19" t="s">
        <v>637</v>
      </c>
      <c r="S196" s="19"/>
      <c r="T196" s="19" t="s">
        <v>41</v>
      </c>
      <c r="U196" s="19" t="s">
        <v>54</v>
      </c>
      <c r="V196" s="19" t="s">
        <v>106</v>
      </c>
      <c r="W196" s="19" t="s">
        <v>107</v>
      </c>
      <c r="X196" s="19" t="s">
        <v>197</v>
      </c>
      <c r="Y196" s="19" t="s">
        <v>197</v>
      </c>
      <c r="Z196" s="19" t="s">
        <v>994</v>
      </c>
      <c r="AA196" s="19">
        <v>2</v>
      </c>
      <c r="AB196" s="19">
        <v>2</v>
      </c>
      <c r="AC196" s="19" t="s">
        <v>58</v>
      </c>
      <c r="AD196" s="19" t="s">
        <v>268</v>
      </c>
      <c r="AE196" s="19" t="s">
        <v>495</v>
      </c>
      <c r="AF196" s="19"/>
    </row>
    <row r="197" spans="1:34" customHeight="1" ht="42">
      <c r="A197" s="19">
        <v>192</v>
      </c>
      <c r="B197" s="19" t="s">
        <v>177</v>
      </c>
      <c r="C197" s="19" t="s">
        <v>356</v>
      </c>
      <c r="D197" s="19" t="str">
        <f>HYPERLINK("http://henontech.com/fieldsafety/harzard/harzard_show.php?rid=3128&amp;url=harzardrecs.php","西三岗位，行灯线裸露。一名操作人员，在清理卫生中，手不慎触碰在带电裸露的线头上，造成触电，送医抢救，无效死亡")</f>
        <v>西三岗位，行灯线裸露。一名操作人员，在清理卫生中，手不慎触碰在带电裸露的线头上，造成触电，送医抢救，无效死亡</v>
      </c>
      <c r="E197" s="19" t="s">
        <v>995</v>
      </c>
      <c r="F197" s="20" t="s">
        <v>42</v>
      </c>
      <c r="G197" s="25" t="s">
        <v>264</v>
      </c>
      <c r="H197" s="19" t="s">
        <v>44</v>
      </c>
      <c r="I197" s="19" t="s">
        <v>45</v>
      </c>
      <c r="J197" s="19" t="s">
        <v>284</v>
      </c>
      <c r="K197" s="19" t="s">
        <v>92</v>
      </c>
      <c r="L197" s="19"/>
      <c r="M197" s="19" t="s">
        <v>266</v>
      </c>
      <c r="N197" s="19" t="s">
        <v>318</v>
      </c>
      <c r="O197" s="19" t="s">
        <v>266</v>
      </c>
      <c r="P197" s="19" t="s">
        <v>268</v>
      </c>
      <c r="Q197" s="19" t="s">
        <v>865</v>
      </c>
      <c r="R197" s="19" t="s">
        <v>319</v>
      </c>
      <c r="S197" s="19"/>
      <c r="T197" s="19" t="s">
        <v>41</v>
      </c>
      <c r="U197" s="19" t="s">
        <v>195</v>
      </c>
      <c r="V197" s="19" t="s">
        <v>106</v>
      </c>
      <c r="W197" s="19" t="s">
        <v>196</v>
      </c>
      <c r="X197" s="19" t="s">
        <v>197</v>
      </c>
      <c r="Y197" s="19" t="s">
        <v>197</v>
      </c>
      <c r="Z197" s="19" t="s">
        <v>996</v>
      </c>
      <c r="AA197" s="19">
        <v>2</v>
      </c>
      <c r="AB197" s="19">
        <v>2</v>
      </c>
      <c r="AC197" s="19" t="s">
        <v>58</v>
      </c>
      <c r="AD197" s="19" t="s">
        <v>268</v>
      </c>
      <c r="AE197" s="19" t="s">
        <v>182</v>
      </c>
      <c r="AF197" s="19" t="s">
        <v>997</v>
      </c>
    </row>
    <row r="198" spans="1:34">
      <c r="A198" s="19">
        <v>193</v>
      </c>
      <c r="B198" s="19" t="s">
        <v>847</v>
      </c>
      <c r="C198" s="19" t="s">
        <v>293</v>
      </c>
      <c r="D198" s="19" t="str">
        <f>HYPERLINK("http://henontech.com/fieldsafety/harzard/harzard_show.php?rid=3129&amp;url=harzardrecs.php","在关闭破碎机时，操作人员重叠作业，上方人员的扳手不慎从手中滑落时，砸中下方人员右手食指，送医确诊为食指轻微骨折，送医治疗三天，回家休养四天后复工。")</f>
        <v>在关闭破碎机时，操作人员重叠作业，上方人员的扳手不慎从手中滑落时，砸中下方人员右手食指，送医确诊为食指轻微骨折，送医治疗三天，回家休养四天后复工。</v>
      </c>
      <c r="E198" s="19" t="s">
        <v>998</v>
      </c>
      <c r="F198" s="20" t="s">
        <v>42</v>
      </c>
      <c r="G198" s="25" t="s">
        <v>264</v>
      </c>
      <c r="H198" s="19" t="s">
        <v>999</v>
      </c>
      <c r="I198" s="19" t="s">
        <v>75</v>
      </c>
      <c r="J198" s="19" t="s">
        <v>118</v>
      </c>
      <c r="K198" s="19" t="s">
        <v>92</v>
      </c>
      <c r="L198" s="19"/>
      <c r="M198" s="19" t="s">
        <v>266</v>
      </c>
      <c r="N198" s="19" t="s">
        <v>303</v>
      </c>
      <c r="O198" s="19" t="s">
        <v>266</v>
      </c>
      <c r="P198" s="19" t="s">
        <v>1000</v>
      </c>
      <c r="Q198" s="19" t="s">
        <v>207</v>
      </c>
      <c r="R198" s="19" t="s">
        <v>367</v>
      </c>
      <c r="S198" s="19"/>
      <c r="T198" s="19" t="s">
        <v>41</v>
      </c>
      <c r="U198" s="19" t="s">
        <v>135</v>
      </c>
      <c r="V198" s="19" t="s">
        <v>106</v>
      </c>
      <c r="W198" s="19" t="s">
        <v>151</v>
      </c>
      <c r="X198" s="19"/>
      <c r="Y198" s="19"/>
      <c r="Z198" s="19" t="s">
        <v>1001</v>
      </c>
      <c r="AA198" s="19">
        <v>1</v>
      </c>
      <c r="AB198" s="19">
        <v>1</v>
      </c>
      <c r="AC198" s="19" t="s">
        <v>58</v>
      </c>
      <c r="AD198" s="19" t="s">
        <v>1000</v>
      </c>
      <c r="AE198" s="19" t="s">
        <v>1002</v>
      </c>
      <c r="AF198" s="19"/>
    </row>
    <row r="199" spans="1:34">
      <c r="A199" s="19">
        <v>194</v>
      </c>
      <c r="B199" s="19" t="s">
        <v>847</v>
      </c>
      <c r="C199" s="19" t="s">
        <v>765</v>
      </c>
      <c r="D199" s="19" t="str">
        <f>HYPERLINK("http://henontech.com/fieldsafety/harzard/harzard_show.php?rid=3130&amp;url=harzardrecs.php","巡检人员巡检环境除尘时，由于缺少护栏，不慎从8米高处平台跌落至地面，头部着地，当场死亡")</f>
        <v>巡检人员巡检环境除尘时，由于缺少护栏，不慎从8米高处平台跌落至地面，头部着地，当场死亡</v>
      </c>
      <c r="E199" s="19" t="s">
        <v>459</v>
      </c>
      <c r="F199" s="23" t="s">
        <v>187</v>
      </c>
      <c r="G199" s="21" t="s">
        <v>43</v>
      </c>
      <c r="H199" s="19" t="s">
        <v>44</v>
      </c>
      <c r="I199" s="19" t="s">
        <v>45</v>
      </c>
      <c r="J199" s="19" t="s">
        <v>91</v>
      </c>
      <c r="K199" s="19" t="s">
        <v>47</v>
      </c>
      <c r="L199" s="19" t="s">
        <v>48</v>
      </c>
      <c r="M199" s="19" t="s">
        <v>101</v>
      </c>
      <c r="N199" s="19" t="s">
        <v>1003</v>
      </c>
      <c r="O199" s="19" t="s">
        <v>101</v>
      </c>
      <c r="P199" s="19" t="s">
        <v>948</v>
      </c>
      <c r="Q199" s="19" t="s">
        <v>949</v>
      </c>
      <c r="R199" s="19" t="s">
        <v>1004</v>
      </c>
      <c r="S199" s="19" t="s">
        <v>1005</v>
      </c>
      <c r="T199" s="19" t="s">
        <v>41</v>
      </c>
      <c r="U199" s="19" t="s">
        <v>195</v>
      </c>
      <c r="V199" s="19" t="s">
        <v>168</v>
      </c>
      <c r="W199" s="19" t="s">
        <v>196</v>
      </c>
      <c r="X199" s="19" t="s">
        <v>69</v>
      </c>
      <c r="Y199" s="19"/>
      <c r="Z199" s="19" t="s">
        <v>1006</v>
      </c>
      <c r="AA199" s="19">
        <v>1</v>
      </c>
      <c r="AB199" s="19"/>
      <c r="AC199" s="19" t="s">
        <v>162</v>
      </c>
      <c r="AD199" s="19"/>
      <c r="AE199" s="19"/>
      <c r="AF199" s="19"/>
    </row>
    <row r="200" spans="1:34">
      <c r="A200" s="19">
        <v>195</v>
      </c>
      <c r="B200" s="19" t="s">
        <v>520</v>
      </c>
      <c r="C200" s="19" t="s">
        <v>822</v>
      </c>
      <c r="D200" s="19" t="str">
        <f>HYPERLINK("http://henontech.com/fieldsafety/harzard/harzard_show.php?rid=3131&amp;url=harzardrecs.php","5#减温减压无跨越爬梯，一操作人员在跨越减温减压进入西侧调节减温水时，不慎滑跌，造成右脚扭伤，送医救治诊断为右脚踝脱臼，住院治疗3天，回家休息30天。")</f>
        <v>5#减温减压无跨越爬梯，一操作人员在跨越减温减压进入西侧调节减温水时，不慎滑跌，造成右脚扭伤，送医救治诊断为右脚踝脱臼，住院治疗3天，回家休息30天。</v>
      </c>
      <c r="E200" s="19" t="s">
        <v>1007</v>
      </c>
      <c r="F200" s="23" t="s">
        <v>187</v>
      </c>
      <c r="G200" s="21" t="s">
        <v>43</v>
      </c>
      <c r="H200" s="19" t="s">
        <v>44</v>
      </c>
      <c r="I200" s="19" t="s">
        <v>45</v>
      </c>
      <c r="J200" s="19" t="s">
        <v>46</v>
      </c>
      <c r="K200" s="19" t="s">
        <v>129</v>
      </c>
      <c r="L200" s="19" t="s">
        <v>48</v>
      </c>
      <c r="M200" s="19" t="s">
        <v>101</v>
      </c>
      <c r="N200" s="19" t="s">
        <v>1008</v>
      </c>
      <c r="O200" s="19" t="s">
        <v>101</v>
      </c>
      <c r="P200" s="19" t="s">
        <v>948</v>
      </c>
      <c r="Q200" s="19" t="s">
        <v>333</v>
      </c>
      <c r="R200" s="19" t="s">
        <v>1009</v>
      </c>
      <c r="S200" s="19" t="s">
        <v>1010</v>
      </c>
      <c r="T200" s="19" t="s">
        <v>41</v>
      </c>
      <c r="U200" s="19" t="s">
        <v>135</v>
      </c>
      <c r="V200" s="19" t="s">
        <v>168</v>
      </c>
      <c r="W200" s="19" t="s">
        <v>196</v>
      </c>
      <c r="X200" s="19" t="s">
        <v>69</v>
      </c>
      <c r="Y200" s="19"/>
      <c r="Z200" s="19" t="s">
        <v>1011</v>
      </c>
      <c r="AA200" s="19">
        <v>1</v>
      </c>
      <c r="AB200" s="19"/>
      <c r="AC200" s="19" t="s">
        <v>162</v>
      </c>
      <c r="AD200" s="19"/>
      <c r="AE200" s="19"/>
      <c r="AF200" s="19"/>
    </row>
    <row r="201" spans="1:34">
      <c r="A201" s="19">
        <v>196</v>
      </c>
      <c r="B201" s="19" t="s">
        <v>520</v>
      </c>
      <c r="C201" s="19" t="s">
        <v>1012</v>
      </c>
      <c r="D201" s="19" t="str">
        <f>HYPERLINK("http://henontech.com/fieldsafety/harzard/harzard_show.php?rid=3132&amp;url=harzardrecs.php","真空包装机电源线插头下部破损，操作人员使用设备插电时，手指碰触到电源线破损处，发生触电，漏保动作跳闸，人员脱离触电。")</f>
        <v>真空包装机电源线插头下部破损，操作人员使用设备插电时，手指碰触到电源线破损处，发生触电，漏保动作跳闸，人员脱离触电。</v>
      </c>
      <c r="E201" s="19" t="s">
        <v>1013</v>
      </c>
      <c r="F201" s="22" t="s">
        <v>157</v>
      </c>
      <c r="G201" s="21" t="s">
        <v>43</v>
      </c>
      <c r="H201" s="19" t="s">
        <v>44</v>
      </c>
      <c r="I201" s="19"/>
      <c r="J201" s="19" t="s">
        <v>284</v>
      </c>
      <c r="K201" s="19" t="s">
        <v>129</v>
      </c>
      <c r="L201" s="19" t="s">
        <v>48</v>
      </c>
      <c r="M201" s="19" t="s">
        <v>1014</v>
      </c>
      <c r="N201" s="19" t="s">
        <v>358</v>
      </c>
      <c r="O201" s="19"/>
      <c r="P201" s="19"/>
      <c r="Q201" s="19"/>
      <c r="R201" s="19" t="s">
        <v>1015</v>
      </c>
      <c r="S201" s="19" t="s">
        <v>1016</v>
      </c>
      <c r="T201" s="19" t="s">
        <v>41</v>
      </c>
      <c r="U201" s="19" t="s">
        <v>86</v>
      </c>
      <c r="V201" s="19" t="s">
        <v>106</v>
      </c>
      <c r="W201" s="19" t="s">
        <v>56</v>
      </c>
      <c r="X201" s="19"/>
      <c r="Y201" s="19"/>
      <c r="Z201" s="19"/>
      <c r="AA201" s="19">
        <v>0</v>
      </c>
      <c r="AB201" s="19"/>
      <c r="AC201" s="19" t="s">
        <v>162</v>
      </c>
      <c r="AD201" s="19"/>
      <c r="AE201" s="19"/>
      <c r="AF201" s="19"/>
    </row>
    <row r="202" spans="1:34">
      <c r="A202" s="19">
        <v>197</v>
      </c>
      <c r="B202" s="19" t="s">
        <v>847</v>
      </c>
      <c r="C202" s="19" t="s">
        <v>822</v>
      </c>
      <c r="D202" s="19" t="str">
        <f>HYPERLINK("http://henontech.com/fieldsafety/harzard/harzard_show.php?rid=3133&amp;url=harzardrecs.php","5号减温减压蒸汽管道未设巡检通廊，一名员工巡检减温水泵翻越管道时，不慎踩蹭，从管道上当后仰跌落，头枕部碰到阀门，送医治疗，因脑干损伤，抢救无效死亡。")</f>
        <v>5号减温减压蒸汽管道未设巡检通廊，一名员工巡检减温水泵翻越管道时，不慎踩蹭，从管道上当后仰跌落，头枕部碰到阀门，送医治疗，因脑干损伤，抢救无效死亡。</v>
      </c>
      <c r="E202" s="19" t="s">
        <v>1017</v>
      </c>
      <c r="F202" s="23" t="s">
        <v>187</v>
      </c>
      <c r="G202" s="21" t="s">
        <v>43</v>
      </c>
      <c r="H202" s="19" t="s">
        <v>44</v>
      </c>
      <c r="I202" s="19" t="s">
        <v>75</v>
      </c>
      <c r="J202" s="19" t="s">
        <v>46</v>
      </c>
      <c r="K202" s="19" t="s">
        <v>129</v>
      </c>
      <c r="L202" s="19"/>
      <c r="M202" s="19" t="s">
        <v>101</v>
      </c>
      <c r="N202" s="19" t="s">
        <v>1018</v>
      </c>
      <c r="O202" s="19" t="s">
        <v>101</v>
      </c>
      <c r="P202" s="19" t="s">
        <v>959</v>
      </c>
      <c r="Q202" s="19" t="s">
        <v>949</v>
      </c>
      <c r="R202" s="19" t="s">
        <v>1019</v>
      </c>
      <c r="S202" s="19" t="s">
        <v>1020</v>
      </c>
      <c r="T202" s="19" t="s">
        <v>41</v>
      </c>
      <c r="U202" s="19" t="s">
        <v>195</v>
      </c>
      <c r="V202" s="19" t="s">
        <v>68</v>
      </c>
      <c r="W202" s="19" t="s">
        <v>107</v>
      </c>
      <c r="X202" s="19" t="s">
        <v>258</v>
      </c>
      <c r="Y202" s="19"/>
      <c r="Z202" s="19" t="s">
        <v>1021</v>
      </c>
      <c r="AA202" s="19">
        <v>1</v>
      </c>
      <c r="AB202" s="19"/>
      <c r="AC202" s="19" t="s">
        <v>162</v>
      </c>
      <c r="AD202" s="19"/>
      <c r="AE202" s="19"/>
      <c r="AF202" s="19"/>
    </row>
    <row r="203" spans="1:34">
      <c r="A203" s="19">
        <v>198</v>
      </c>
      <c r="B203" s="19" t="s">
        <v>207</v>
      </c>
      <c r="C203" s="19" t="s">
        <v>211</v>
      </c>
      <c r="D203" s="19" t="str">
        <f>HYPERLINK("http://henontech.com/fieldsafety/harzard/harzard_show.php?rid=3134&amp;url=harzardrecs.php","冷渣机安全阀检测超期，且以泄漏。如果安全阀失效冷却水外溢且无人发现，造成冷灰机电机进水连电。")</f>
        <v>冷渣机安全阀检测超期，且以泄漏。如果安全阀失效冷却水外溢且无人发现，造成冷灰机电机进水连电。</v>
      </c>
      <c r="E203" s="19" t="s">
        <v>1022</v>
      </c>
      <c r="F203" s="20" t="s">
        <v>42</v>
      </c>
      <c r="G203" s="25" t="s">
        <v>264</v>
      </c>
      <c r="H203" s="19" t="s">
        <v>44</v>
      </c>
      <c r="I203" s="19"/>
      <c r="J203" s="19" t="s">
        <v>46</v>
      </c>
      <c r="K203" s="19"/>
      <c r="L203" s="19"/>
      <c r="M203" s="19" t="s">
        <v>130</v>
      </c>
      <c r="N203" s="19" t="s">
        <v>132</v>
      </c>
      <c r="O203" s="19" t="s">
        <v>130</v>
      </c>
      <c r="P203" s="19" t="s">
        <v>132</v>
      </c>
      <c r="Q203" s="19" t="s">
        <v>495</v>
      </c>
      <c r="R203" s="19" t="s">
        <v>1023</v>
      </c>
      <c r="S203" s="19"/>
      <c r="T203" s="19" t="s">
        <v>194</v>
      </c>
      <c r="U203" s="19" t="s">
        <v>135</v>
      </c>
      <c r="V203" s="19" t="s">
        <v>55</v>
      </c>
      <c r="W203" s="19" t="s">
        <v>107</v>
      </c>
      <c r="X203" s="19"/>
      <c r="Y203" s="19"/>
      <c r="Z203" s="19" t="s">
        <v>1024</v>
      </c>
      <c r="AA203" s="19">
        <v>1</v>
      </c>
      <c r="AB203" s="19">
        <v>1</v>
      </c>
      <c r="AC203" s="19" t="s">
        <v>58</v>
      </c>
      <c r="AD203" s="19" t="s">
        <v>132</v>
      </c>
      <c r="AE203" s="19" t="s">
        <v>214</v>
      </c>
      <c r="AF203" s="19" t="s">
        <v>1025</v>
      </c>
    </row>
    <row r="204" spans="1:34">
      <c r="A204" s="19">
        <v>199</v>
      </c>
      <c r="B204" s="19" t="s">
        <v>847</v>
      </c>
      <c r="C204" s="19" t="s">
        <v>834</v>
      </c>
      <c r="D204" s="19" t="str">
        <f>HYPERLINK("http://henontech.com/fieldsafety/harzard/harzard_show.php?rid=3135&amp;url=harzardrecs.php","给水泵进口阀未设操作平台，未设悬挂安全带的固定装置，一名员工操作阀门时，不慎跌落，腰椎骨折。")</f>
        <v>给水泵进口阀未设操作平台，未设悬挂安全带的固定装置，一名员工操作阀门时，不慎跌落，腰椎骨折。</v>
      </c>
      <c r="E204" s="19" t="s">
        <v>1026</v>
      </c>
      <c r="F204" s="22" t="s">
        <v>157</v>
      </c>
      <c r="G204" s="21" t="s">
        <v>43</v>
      </c>
      <c r="H204" s="19" t="s">
        <v>44</v>
      </c>
      <c r="I204" s="19" t="s">
        <v>117</v>
      </c>
      <c r="J204" s="19" t="s">
        <v>46</v>
      </c>
      <c r="K204" s="19" t="s">
        <v>47</v>
      </c>
      <c r="L204" s="19" t="s">
        <v>48</v>
      </c>
      <c r="M204" s="19" t="s">
        <v>101</v>
      </c>
      <c r="N204" s="19" t="s">
        <v>1027</v>
      </c>
      <c r="O204" s="19"/>
      <c r="P204" s="19"/>
      <c r="Q204" s="19"/>
      <c r="R204" s="19" t="s">
        <v>1028</v>
      </c>
      <c r="S204" s="19" t="s">
        <v>1029</v>
      </c>
      <c r="T204" s="19" t="s">
        <v>41</v>
      </c>
      <c r="U204" s="19" t="s">
        <v>135</v>
      </c>
      <c r="V204" s="19" t="s">
        <v>68</v>
      </c>
      <c r="W204" s="19" t="s">
        <v>56</v>
      </c>
      <c r="X204" s="19"/>
      <c r="Y204" s="19"/>
      <c r="Z204" s="19"/>
      <c r="AA204" s="19">
        <v>0</v>
      </c>
      <c r="AB204" s="19"/>
      <c r="AC204" s="19" t="s">
        <v>162</v>
      </c>
      <c r="AD204" s="19"/>
      <c r="AE204" s="19"/>
      <c r="AF204" s="19"/>
    </row>
    <row r="205" spans="1:34" customHeight="1" ht="42">
      <c r="A205" s="19">
        <v>200</v>
      </c>
      <c r="B205" s="19" t="s">
        <v>847</v>
      </c>
      <c r="C205" s="19" t="s">
        <v>356</v>
      </c>
      <c r="D205" s="19" t="str">
        <f>HYPERLINK("http://henontech.com/fieldsafety/harzard/harzard_show.php?rid=3136&amp;url=harzardrecs.php","西五通廊包边破损，一人员经过时被掉落的铁皮划伤脸部，送医务室包扎后继续上班")</f>
        <v>西五通廊包边破损，一人员经过时被掉落的铁皮划伤脸部，送医务室包扎后继续上班</v>
      </c>
      <c r="E205" s="19" t="s">
        <v>1030</v>
      </c>
      <c r="F205" s="20" t="s">
        <v>42</v>
      </c>
      <c r="G205" s="25" t="s">
        <v>264</v>
      </c>
      <c r="H205" s="19" t="s">
        <v>44</v>
      </c>
      <c r="I205" s="19" t="s">
        <v>45</v>
      </c>
      <c r="J205" s="19" t="s">
        <v>46</v>
      </c>
      <c r="K205" s="19" t="s">
        <v>47</v>
      </c>
      <c r="L205" s="19"/>
      <c r="M205" s="19" t="s">
        <v>266</v>
      </c>
      <c r="N205" s="19" t="s">
        <v>295</v>
      </c>
      <c r="O205" s="19" t="s">
        <v>266</v>
      </c>
      <c r="P205" s="19" t="s">
        <v>268</v>
      </c>
      <c r="Q205" s="19" t="s">
        <v>949</v>
      </c>
      <c r="R205" s="19" t="s">
        <v>474</v>
      </c>
      <c r="S205" s="19"/>
      <c r="T205" s="19" t="s">
        <v>41</v>
      </c>
      <c r="U205" s="19" t="s">
        <v>54</v>
      </c>
      <c r="V205" s="19" t="s">
        <v>106</v>
      </c>
      <c r="W205" s="19" t="s">
        <v>107</v>
      </c>
      <c r="X205" s="19" t="s">
        <v>197</v>
      </c>
      <c r="Y205" s="19" t="s">
        <v>197</v>
      </c>
      <c r="Z205" s="19" t="s">
        <v>1031</v>
      </c>
      <c r="AA205" s="19">
        <v>2</v>
      </c>
      <c r="AB205" s="19">
        <v>2</v>
      </c>
      <c r="AC205" s="19" t="s">
        <v>58</v>
      </c>
      <c r="AD205" s="19" t="s">
        <v>268</v>
      </c>
      <c r="AE205" s="19" t="s">
        <v>182</v>
      </c>
      <c r="AF205" s="19" t="s">
        <v>1032</v>
      </c>
    </row>
    <row r="206" spans="1:34">
      <c r="A206" s="19">
        <v>201</v>
      </c>
      <c r="B206" s="19" t="s">
        <v>847</v>
      </c>
      <c r="C206" s="19" t="s">
        <v>834</v>
      </c>
      <c r="D206" s="19" t="str">
        <f>HYPERLINK("http://henontech.com/fieldsafety/harzard/harzard_show.php?rid=3137&amp;url=harzardrecs.php","装入装置水封槽处盖板未固定且缝隙大，一名员工挖水封槽时，盖板活动，不慎右脚卡入缝隙内，右脚踝骨折。")</f>
        <v>装入装置水封槽处盖板未固定且缝隙大，一名员工挖水封槽时，盖板活动，不慎右脚卡入缝隙内，右脚踝骨折。</v>
      </c>
      <c r="E206" s="19" t="s">
        <v>1033</v>
      </c>
      <c r="F206" s="23" t="s">
        <v>187</v>
      </c>
      <c r="G206" s="21" t="s">
        <v>43</v>
      </c>
      <c r="H206" s="19" t="s">
        <v>44</v>
      </c>
      <c r="I206" s="19" t="s">
        <v>117</v>
      </c>
      <c r="J206" s="19" t="s">
        <v>46</v>
      </c>
      <c r="K206" s="19"/>
      <c r="L206" s="19"/>
      <c r="M206" s="19" t="s">
        <v>101</v>
      </c>
      <c r="N206" s="19" t="s">
        <v>1000</v>
      </c>
      <c r="O206" s="19" t="s">
        <v>101</v>
      </c>
      <c r="P206" s="19" t="s">
        <v>959</v>
      </c>
      <c r="Q206" s="19" t="s">
        <v>333</v>
      </c>
      <c r="R206" s="19" t="s">
        <v>1034</v>
      </c>
      <c r="S206" s="19" t="s">
        <v>1035</v>
      </c>
      <c r="T206" s="19" t="s">
        <v>41</v>
      </c>
      <c r="U206" s="19" t="s">
        <v>135</v>
      </c>
      <c r="V206" s="19" t="s">
        <v>55</v>
      </c>
      <c r="W206" s="19" t="s">
        <v>107</v>
      </c>
      <c r="X206" s="19" t="s">
        <v>69</v>
      </c>
      <c r="Y206" s="19"/>
      <c r="Z206" s="19" t="s">
        <v>1036</v>
      </c>
      <c r="AA206" s="19">
        <v>1</v>
      </c>
      <c r="AB206" s="19"/>
      <c r="AC206" s="19" t="s">
        <v>162</v>
      </c>
      <c r="AD206" s="19"/>
      <c r="AE206" s="19"/>
      <c r="AF206" s="19"/>
    </row>
    <row r="207" spans="1:34">
      <c r="A207" s="19">
        <v>202</v>
      </c>
      <c r="B207" s="19" t="s">
        <v>847</v>
      </c>
      <c r="C207" s="19" t="s">
        <v>127</v>
      </c>
      <c r="D207" s="19" t="str">
        <f>HYPERLINK("http://henontech.com/fieldsafety/harzard/harzard_show.php?rid=3138&amp;url=harzardrecs.php","过滤器排污管地沟盖板缺失，一名操作工巡检时踩空，右脚掉入地沟内，右脚脚踝扭伤，送医治疗。")</f>
        <v>过滤器排污管地沟盖板缺失，一名操作工巡检时踩空，右脚掉入地沟内，右脚脚踝扭伤，送医治疗。</v>
      </c>
      <c r="E207" s="19" t="s">
        <v>1037</v>
      </c>
      <c r="F207" s="20" t="s">
        <v>42</v>
      </c>
      <c r="G207" s="21" t="s">
        <v>43</v>
      </c>
      <c r="H207" s="19" t="s">
        <v>44</v>
      </c>
      <c r="I207" s="19" t="s">
        <v>75</v>
      </c>
      <c r="J207" s="19" t="s">
        <v>91</v>
      </c>
      <c r="K207" s="19" t="s">
        <v>129</v>
      </c>
      <c r="L207" s="19"/>
      <c r="M207" s="19" t="s">
        <v>130</v>
      </c>
      <c r="N207" s="19" t="s">
        <v>131</v>
      </c>
      <c r="O207" s="19" t="s">
        <v>130</v>
      </c>
      <c r="P207" s="19" t="s">
        <v>132</v>
      </c>
      <c r="Q207" s="19" t="s">
        <v>495</v>
      </c>
      <c r="R207" s="19" t="s">
        <v>1038</v>
      </c>
      <c r="S207" s="19"/>
      <c r="T207" s="19" t="s">
        <v>41</v>
      </c>
      <c r="U207" s="19" t="s">
        <v>135</v>
      </c>
      <c r="V207" s="19" t="s">
        <v>106</v>
      </c>
      <c r="W207" s="19" t="s">
        <v>151</v>
      </c>
      <c r="X207" s="19"/>
      <c r="Y207" s="19"/>
      <c r="Z207" s="19" t="s">
        <v>1039</v>
      </c>
      <c r="AA207" s="19">
        <v>1</v>
      </c>
      <c r="AB207" s="19">
        <v>1</v>
      </c>
      <c r="AC207" s="19" t="s">
        <v>58</v>
      </c>
      <c r="AD207" s="19" t="s">
        <v>132</v>
      </c>
      <c r="AE207" s="19" t="s">
        <v>312</v>
      </c>
      <c r="AF207" s="19" t="s">
        <v>1040</v>
      </c>
    </row>
    <row r="208" spans="1:34">
      <c r="A208" s="19">
        <v>203</v>
      </c>
      <c r="B208" s="19" t="s">
        <v>847</v>
      </c>
      <c r="C208" s="19" t="s">
        <v>227</v>
      </c>
      <c r="D208" s="19" t="str">
        <f>HYPERLINK("http://henontech.com/fieldsafety/harzard/harzard_show.php?rid=3139&amp;url=harzardrecs.php","操作工在启动泵子时开关控制箱盖不慎脱落砸伤脚面")</f>
        <v>操作工在启动泵子时开关控制箱盖不慎脱落砸伤脚面</v>
      </c>
      <c r="E208" s="19" t="s">
        <v>1041</v>
      </c>
      <c r="F208" s="22" t="s">
        <v>157</v>
      </c>
      <c r="G208" s="21" t="s">
        <v>43</v>
      </c>
      <c r="H208" s="19" t="s">
        <v>44</v>
      </c>
      <c r="I208" s="19" t="s">
        <v>117</v>
      </c>
      <c r="J208" s="19" t="s">
        <v>118</v>
      </c>
      <c r="K208" s="19" t="s">
        <v>47</v>
      </c>
      <c r="L208" s="19"/>
      <c r="M208" s="19" t="s">
        <v>63</v>
      </c>
      <c r="N208" s="19" t="s">
        <v>119</v>
      </c>
      <c r="O208" s="19"/>
      <c r="P208" s="19"/>
      <c r="Q208" s="19"/>
      <c r="R208" s="19" t="s">
        <v>1042</v>
      </c>
      <c r="S208" s="19" t="s">
        <v>1043</v>
      </c>
      <c r="T208" s="19" t="s">
        <v>41</v>
      </c>
      <c r="U208" s="19" t="s">
        <v>86</v>
      </c>
      <c r="V208" s="19" t="s">
        <v>55</v>
      </c>
      <c r="W208" s="19" t="s">
        <v>56</v>
      </c>
      <c r="X208" s="19"/>
      <c r="Y208" s="19"/>
      <c r="Z208" s="19"/>
      <c r="AA208" s="19">
        <v>0</v>
      </c>
      <c r="AB208" s="19"/>
      <c r="AC208" s="19" t="s">
        <v>162</v>
      </c>
      <c r="AD208" s="19"/>
      <c r="AE208" s="19"/>
      <c r="AF208" s="19"/>
    </row>
    <row r="209" spans="1:34" customHeight="1" ht="42">
      <c r="A209" s="19">
        <v>204</v>
      </c>
      <c r="B209" s="19" t="s">
        <v>847</v>
      </c>
      <c r="C209" s="19" t="s">
        <v>356</v>
      </c>
      <c r="D209" s="19" t="str">
        <f>HYPERLINK("http://henontech.com/fieldsafety/harzard/harzard_show.php?rid=3140&amp;url=harzardrecs.php","西四走廊钢筋外漏，巡检人员在经过时被固定暖气片的钢筋划伤腿部")</f>
        <v>西四走廊钢筋外漏，巡检人员在经过时被固定暖气片的钢筋划伤腿部</v>
      </c>
      <c r="E209" s="19" t="s">
        <v>1044</v>
      </c>
      <c r="F209" s="20" t="s">
        <v>42</v>
      </c>
      <c r="G209" s="25" t="s">
        <v>264</v>
      </c>
      <c r="H209" s="19" t="s">
        <v>44</v>
      </c>
      <c r="I209" s="19"/>
      <c r="J209" s="19" t="s">
        <v>118</v>
      </c>
      <c r="K209" s="19" t="s">
        <v>92</v>
      </c>
      <c r="L209" s="19" t="s">
        <v>48</v>
      </c>
      <c r="M209" s="19" t="s">
        <v>266</v>
      </c>
      <c r="N209" s="19" t="s">
        <v>324</v>
      </c>
      <c r="O209" s="19" t="s">
        <v>266</v>
      </c>
      <c r="P209" s="19" t="s">
        <v>268</v>
      </c>
      <c r="Q209" s="19" t="s">
        <v>865</v>
      </c>
      <c r="R209" s="19" t="s">
        <v>325</v>
      </c>
      <c r="S209" s="19"/>
      <c r="T209" s="19" t="s">
        <v>41</v>
      </c>
      <c r="U209" s="19" t="s">
        <v>54</v>
      </c>
      <c r="V209" s="19" t="s">
        <v>106</v>
      </c>
      <c r="W209" s="19" t="s">
        <v>107</v>
      </c>
      <c r="X209" s="19" t="s">
        <v>197</v>
      </c>
      <c r="Y209" s="19" t="s">
        <v>197</v>
      </c>
      <c r="Z209" s="19" t="s">
        <v>1045</v>
      </c>
      <c r="AA209" s="19">
        <v>2</v>
      </c>
      <c r="AB209" s="19">
        <v>2</v>
      </c>
      <c r="AC209" s="19" t="s">
        <v>58</v>
      </c>
      <c r="AD209" s="19" t="s">
        <v>268</v>
      </c>
      <c r="AE209" s="19" t="s">
        <v>182</v>
      </c>
      <c r="AF209" s="19" t="s">
        <v>1046</v>
      </c>
    </row>
    <row r="210" spans="1:34" customHeight="1" ht="42">
      <c r="A210" s="19">
        <v>205</v>
      </c>
      <c r="B210" s="19" t="s">
        <v>182</v>
      </c>
      <c r="C210" s="19" t="s">
        <v>293</v>
      </c>
      <c r="D210" s="19" t="str">
        <f>HYPERLINK("http://henontech.com/fieldsafety/harzard/harzard_show.php?rid=3141&amp;url=harzardrecs.php","操作工在清理完1＃入料筒积煤时，未按工具使用规定将用完的工具放到指定位置，随手将钢钎放在钢平台上。在清理下部的出料筒积煤时，钢钎从钢平台上坠落，造成操作工右侧锁骨骨折，住院治疗15天，在家修养三个月。")</f>
        <v>操作工在清理完1＃入料筒积煤时，未按工具使用规定将用完的工具放到指定位置，随手将钢钎放在钢平台上。在清理下部的出料筒积煤时，钢钎从钢平台上坠落，造成操作工右侧锁骨骨折，住院治疗15天，在家修养三个月。</v>
      </c>
      <c r="E210" s="19" t="s">
        <v>1047</v>
      </c>
      <c r="F210" s="20" t="s">
        <v>42</v>
      </c>
      <c r="G210" s="25" t="s">
        <v>264</v>
      </c>
      <c r="H210" s="19" t="s">
        <v>44</v>
      </c>
      <c r="I210" s="19"/>
      <c r="J210" s="19"/>
      <c r="K210" s="19"/>
      <c r="L210" s="19" t="s">
        <v>48</v>
      </c>
      <c r="M210" s="19" t="s">
        <v>266</v>
      </c>
      <c r="N210" s="19" t="s">
        <v>366</v>
      </c>
      <c r="O210" s="19" t="s">
        <v>266</v>
      </c>
      <c r="P210" s="19" t="s">
        <v>268</v>
      </c>
      <c r="Q210" s="19" t="s">
        <v>865</v>
      </c>
      <c r="R210" s="19" t="s">
        <v>367</v>
      </c>
      <c r="S210" s="19"/>
      <c r="T210" s="19" t="s">
        <v>41</v>
      </c>
      <c r="U210" s="19" t="s">
        <v>135</v>
      </c>
      <c r="V210" s="19" t="s">
        <v>168</v>
      </c>
      <c r="W210" s="19" t="s">
        <v>196</v>
      </c>
      <c r="X210" s="19" t="s">
        <v>197</v>
      </c>
      <c r="Y210" s="19" t="s">
        <v>197</v>
      </c>
      <c r="Z210" s="19" t="s">
        <v>1048</v>
      </c>
      <c r="AA210" s="19">
        <v>2</v>
      </c>
      <c r="AB210" s="19">
        <v>2</v>
      </c>
      <c r="AC210" s="19" t="s">
        <v>58</v>
      </c>
      <c r="AD210" s="19" t="s">
        <v>268</v>
      </c>
      <c r="AE210" s="19" t="s">
        <v>182</v>
      </c>
      <c r="AF210" s="19" t="s">
        <v>1049</v>
      </c>
    </row>
    <row r="211" spans="1:34">
      <c r="A211" s="19">
        <v>206</v>
      </c>
      <c r="B211" s="19" t="s">
        <v>182</v>
      </c>
      <c r="C211" s="19" t="s">
        <v>293</v>
      </c>
      <c r="D211" s="19" t="str">
        <f>HYPERLINK("http://henontech.com/fieldsafety/harzard/harzard_show.php?rid=3142&amp;url=harzardrecs.php","1618操作工未按照工具使用要求将用完的工具放到指定位置，随手将用完的钢钎放在了高处的钢平台上，在清理钢平台下方的出料筒时，钢钎坠落造成操作工右侧锁骨骨折，住院15天，在家修养3个月。")</f>
        <v>1618操作工未按照工具使用要求将用完的工具放到指定位置，随手将用完的钢钎放在了高处的钢平台上，在清理钢平台下方的出料筒时，钢钎坠落造成操作工右侧锁骨骨折，住院15天，在家修养3个月。</v>
      </c>
      <c r="E211" s="19" t="s">
        <v>1047</v>
      </c>
      <c r="F211" s="20" t="s">
        <v>42</v>
      </c>
      <c r="G211" s="21" t="s">
        <v>43</v>
      </c>
      <c r="H211" s="19" t="s">
        <v>44</v>
      </c>
      <c r="I211" s="19"/>
      <c r="J211" s="19"/>
      <c r="K211" s="19"/>
      <c r="L211" s="19" t="s">
        <v>48</v>
      </c>
      <c r="M211" s="19" t="s">
        <v>266</v>
      </c>
      <c r="N211" s="19" t="s">
        <v>366</v>
      </c>
      <c r="O211" s="19" t="s">
        <v>266</v>
      </c>
      <c r="P211" s="19" t="s">
        <v>268</v>
      </c>
      <c r="Q211" s="19" t="s">
        <v>1050</v>
      </c>
      <c r="R211" s="19" t="s">
        <v>367</v>
      </c>
      <c r="S211" s="19"/>
      <c r="T211" s="19" t="s">
        <v>41</v>
      </c>
      <c r="U211" s="19" t="s">
        <v>135</v>
      </c>
      <c r="V211" s="19" t="s">
        <v>168</v>
      </c>
      <c r="W211" s="19" t="s">
        <v>196</v>
      </c>
      <c r="X211" s="19"/>
      <c r="Y211" s="19"/>
      <c r="Z211" s="19" t="s">
        <v>1051</v>
      </c>
      <c r="AA211" s="19">
        <v>1</v>
      </c>
      <c r="AB211" s="19">
        <v>1</v>
      </c>
      <c r="AC211" s="19" t="s">
        <v>58</v>
      </c>
      <c r="AD211" s="19" t="s">
        <v>268</v>
      </c>
      <c r="AE211" s="19" t="s">
        <v>1052</v>
      </c>
      <c r="AF211" s="19"/>
    </row>
    <row r="212" spans="1:34">
      <c r="A212" s="19">
        <v>207</v>
      </c>
      <c r="B212" s="19" t="s">
        <v>182</v>
      </c>
      <c r="C212" s="19" t="s">
        <v>530</v>
      </c>
      <c r="D212" s="19" t="str">
        <f>HYPERLINK("http://henontech.com/fieldsafety/harzard/harzard_show.php?rid=3143&amp;url=harzardrecs.php","地沟盖板老化开裂，假如一名巡检工夜晚巡检到此处时，由于光线较暗，右脚踩在老化开裂的地沟盖板上，盖板断裂，右脚踏空陷入地沟内，造成小腿前部肌肉挫伤，去医院简单治疗后回家修养三天。")</f>
        <v>地沟盖板老化开裂，假如一名巡检工夜晚巡检到此处时，由于光线较暗，右脚踩在老化开裂的地沟盖板上，盖板断裂，右脚踏空陷入地沟内，造成小腿前部肌肉挫伤，去医院简单治疗后回家修养三天。</v>
      </c>
      <c r="E212" s="19" t="s">
        <v>1053</v>
      </c>
      <c r="F212" s="20" t="s">
        <v>42</v>
      </c>
      <c r="G212" s="21" t="s">
        <v>43</v>
      </c>
      <c r="H212" s="19" t="s">
        <v>44</v>
      </c>
      <c r="I212" s="19" t="s">
        <v>75</v>
      </c>
      <c r="J212" s="19" t="s">
        <v>46</v>
      </c>
      <c r="K212" s="19" t="s">
        <v>47</v>
      </c>
      <c r="L212" s="19"/>
      <c r="M212" s="19" t="s">
        <v>49</v>
      </c>
      <c r="N212" s="19" t="s">
        <v>1054</v>
      </c>
      <c r="O212" s="19" t="s">
        <v>49</v>
      </c>
      <c r="P212" s="19" t="s">
        <v>51</v>
      </c>
      <c r="Q212" s="19" t="s">
        <v>1055</v>
      </c>
      <c r="R212" s="19" t="s">
        <v>1056</v>
      </c>
      <c r="S212" s="19"/>
      <c r="T212" s="19" t="s">
        <v>41</v>
      </c>
      <c r="U212" s="19" t="s">
        <v>135</v>
      </c>
      <c r="V212" s="19" t="s">
        <v>106</v>
      </c>
      <c r="W212" s="19" t="s">
        <v>151</v>
      </c>
      <c r="X212" s="19"/>
      <c r="Y212" s="19"/>
      <c r="Z212" s="19" t="s">
        <v>1057</v>
      </c>
      <c r="AA212" s="19">
        <v>1</v>
      </c>
      <c r="AB212" s="19">
        <v>1</v>
      </c>
      <c r="AC212" s="19" t="s">
        <v>58</v>
      </c>
      <c r="AD212" s="19" t="s">
        <v>51</v>
      </c>
      <c r="AE212" s="19" t="s">
        <v>890</v>
      </c>
      <c r="AF212" s="19"/>
    </row>
    <row r="213" spans="1:34">
      <c r="A213" s="19">
        <v>208</v>
      </c>
      <c r="B213" s="19" t="s">
        <v>182</v>
      </c>
      <c r="C213" s="19" t="s">
        <v>115</v>
      </c>
      <c r="D213" s="19" t="str">
        <f>HYPERLINK("http://henontech.com/fieldsafety/harzard/harzard_show.php?rid=3145&amp;url=harzardrecs.php","2#站主塔管道腐蚀严重，致使塔内污水泄露，腐蚀地面")</f>
        <v>2#站主塔管道腐蚀严重，致使塔内污水泄露，腐蚀地面</v>
      </c>
      <c r="E213" s="19" t="s">
        <v>1058</v>
      </c>
      <c r="F213" s="20" t="s">
        <v>42</v>
      </c>
      <c r="G213" s="21" t="s">
        <v>43</v>
      </c>
      <c r="H213" s="19" t="s">
        <v>44</v>
      </c>
      <c r="I213" s="19"/>
      <c r="J213" s="19" t="s">
        <v>1059</v>
      </c>
      <c r="K213" s="19" t="s">
        <v>47</v>
      </c>
      <c r="L213" s="19" t="s">
        <v>48</v>
      </c>
      <c r="M213" s="19" t="s">
        <v>63</v>
      </c>
      <c r="N213" s="19" t="s">
        <v>1060</v>
      </c>
      <c r="O213" s="19" t="s">
        <v>63</v>
      </c>
      <c r="P213" s="19" t="s">
        <v>65</v>
      </c>
      <c r="Q213" s="19" t="s">
        <v>333</v>
      </c>
      <c r="R213" s="19" t="s">
        <v>121</v>
      </c>
      <c r="S213" s="19" t="s">
        <v>1061</v>
      </c>
      <c r="T213" s="19" t="s">
        <v>85</v>
      </c>
      <c r="U213" s="19" t="s">
        <v>86</v>
      </c>
      <c r="V213" s="19" t="s">
        <v>168</v>
      </c>
      <c r="W213" s="19" t="s">
        <v>56</v>
      </c>
      <c r="X213" s="19" t="s">
        <v>390</v>
      </c>
      <c r="Y213" s="19" t="s">
        <v>390</v>
      </c>
      <c r="Z213" s="19" t="s">
        <v>1062</v>
      </c>
      <c r="AA213" s="19">
        <v>1</v>
      </c>
      <c r="AB213" s="19">
        <v>1</v>
      </c>
      <c r="AC213" s="19" t="s">
        <v>58</v>
      </c>
      <c r="AD213" s="19" t="s">
        <v>65</v>
      </c>
      <c r="AE213" s="19" t="s">
        <v>1063</v>
      </c>
      <c r="AF213" s="19" t="s">
        <v>1064</v>
      </c>
    </row>
    <row r="214" spans="1:34">
      <c r="A214" s="19">
        <v>209</v>
      </c>
      <c r="B214" s="19" t="s">
        <v>1002</v>
      </c>
      <c r="C214" s="19" t="s">
        <v>664</v>
      </c>
      <c r="D214" s="19" t="str">
        <f>HYPERLINK("http://henontech.com/fieldsafety/harzard/harzard_show.php?rid=3146&amp;url=harzardrecs.php","池面现场混乱，电缆线绊倒操作工")</f>
        <v>池面现场混乱，电缆线绊倒操作工</v>
      </c>
      <c r="E214" s="19" t="s">
        <v>1065</v>
      </c>
      <c r="F214" s="22" t="s">
        <v>157</v>
      </c>
      <c r="G214" s="21" t="s">
        <v>43</v>
      </c>
      <c r="H214" s="19" t="s">
        <v>44</v>
      </c>
      <c r="I214" s="19" t="s">
        <v>75</v>
      </c>
      <c r="J214" s="19" t="s">
        <v>188</v>
      </c>
      <c r="K214" s="19" t="s">
        <v>47</v>
      </c>
      <c r="L214" s="19" t="s">
        <v>48</v>
      </c>
      <c r="M214" s="19" t="s">
        <v>63</v>
      </c>
      <c r="N214" s="19" t="s">
        <v>1066</v>
      </c>
      <c r="O214" s="19"/>
      <c r="P214" s="19"/>
      <c r="Q214" s="19"/>
      <c r="R214" s="19" t="s">
        <v>1067</v>
      </c>
      <c r="S214" s="19" t="s">
        <v>1068</v>
      </c>
      <c r="T214" s="19" t="s">
        <v>41</v>
      </c>
      <c r="U214" s="19" t="s">
        <v>54</v>
      </c>
      <c r="V214" s="19" t="s">
        <v>168</v>
      </c>
      <c r="W214" s="19" t="s">
        <v>151</v>
      </c>
      <c r="X214" s="19"/>
      <c r="Y214" s="19"/>
      <c r="Z214" s="19"/>
      <c r="AA214" s="19">
        <v>0</v>
      </c>
      <c r="AB214" s="19"/>
      <c r="AC214" s="19" t="s">
        <v>162</v>
      </c>
      <c r="AD214" s="19"/>
      <c r="AE214" s="19"/>
      <c r="AF214" s="19"/>
    </row>
    <row r="215" spans="1:34">
      <c r="A215" s="19">
        <v>210</v>
      </c>
      <c r="B215" s="19" t="s">
        <v>520</v>
      </c>
      <c r="C215" s="19" t="s">
        <v>1012</v>
      </c>
      <c r="D215" s="19" t="str">
        <f>HYPERLINK("http://henontech.com/fieldsafety/harzard/harzard_show.php?rid=3147&amp;url=harzardrecs.php","真空包装机电源线插头下部破损，操作人员使用设备插电时，手指碰触到电源线破损处，发生触电，漏保动作跳闸，人员脱离触电。")</f>
        <v>真空包装机电源线插头下部破损，操作人员使用设备插电时，手指碰触到电源线破损处，发生触电，漏保动作跳闸，人员脱离触电。</v>
      </c>
      <c r="E215" s="19" t="s">
        <v>1013</v>
      </c>
      <c r="F215" s="22" t="s">
        <v>157</v>
      </c>
      <c r="G215" s="21" t="s">
        <v>43</v>
      </c>
      <c r="H215" s="19" t="s">
        <v>44</v>
      </c>
      <c r="I215" s="19"/>
      <c r="J215" s="19" t="s">
        <v>284</v>
      </c>
      <c r="K215" s="19" t="s">
        <v>129</v>
      </c>
      <c r="L215" s="19" t="s">
        <v>48</v>
      </c>
      <c r="M215" s="19" t="s">
        <v>1014</v>
      </c>
      <c r="N215" s="19" t="s">
        <v>358</v>
      </c>
      <c r="O215" s="19"/>
      <c r="P215" s="19"/>
      <c r="Q215" s="19"/>
      <c r="R215" s="19" t="s">
        <v>1015</v>
      </c>
      <c r="S215" s="19" t="s">
        <v>1069</v>
      </c>
      <c r="T215" s="19" t="s">
        <v>41</v>
      </c>
      <c r="U215" s="19" t="s">
        <v>86</v>
      </c>
      <c r="V215" s="19" t="s">
        <v>106</v>
      </c>
      <c r="W215" s="19" t="s">
        <v>56</v>
      </c>
      <c r="X215" s="19"/>
      <c r="Y215" s="19"/>
      <c r="Z215" s="19"/>
      <c r="AA215" s="19">
        <v>0</v>
      </c>
      <c r="AB215" s="19"/>
      <c r="AC215" s="19" t="s">
        <v>162</v>
      </c>
      <c r="AD215" s="19"/>
      <c r="AE215" s="19"/>
      <c r="AF215" s="19"/>
    </row>
    <row r="216" spans="1:34">
      <c r="A216" s="19">
        <v>211</v>
      </c>
      <c r="B216" s="19" t="s">
        <v>207</v>
      </c>
      <c r="C216" s="19" t="s">
        <v>127</v>
      </c>
      <c r="D216" s="19" t="str">
        <f>HYPERLINK("http://henontech.com/fieldsafety/harzard/harzard_show.php?rid=3148&amp;url=harzardrecs.php","巡检工从超滤罐中间经过开返洗阀，赤注意焊在H钢上的角钢不慎绊脚石损伤")</f>
        <v>巡检工从超滤罐中间经过开返洗阀，赤注意焊在H钢上的角钢不慎绊脚石损伤</v>
      </c>
      <c r="E216" s="19" t="s">
        <v>1070</v>
      </c>
      <c r="F216" s="20" t="s">
        <v>42</v>
      </c>
      <c r="G216" s="21" t="s">
        <v>43</v>
      </c>
      <c r="H216" s="19" t="s">
        <v>44</v>
      </c>
      <c r="I216" s="19" t="s">
        <v>75</v>
      </c>
      <c r="J216" s="19" t="s">
        <v>46</v>
      </c>
      <c r="K216" s="19" t="s">
        <v>129</v>
      </c>
      <c r="L216" s="19"/>
      <c r="M216" s="19" t="s">
        <v>130</v>
      </c>
      <c r="N216" s="19" t="s">
        <v>1071</v>
      </c>
      <c r="O216" s="19" t="s">
        <v>130</v>
      </c>
      <c r="P216" s="19" t="s">
        <v>132</v>
      </c>
      <c r="Q216" s="19" t="s">
        <v>495</v>
      </c>
      <c r="R216" s="19" t="s">
        <v>1072</v>
      </c>
      <c r="S216" s="19"/>
      <c r="T216" s="19" t="s">
        <v>41</v>
      </c>
      <c r="U216" s="19" t="s">
        <v>135</v>
      </c>
      <c r="V216" s="19" t="s">
        <v>55</v>
      </c>
      <c r="W216" s="19" t="s">
        <v>107</v>
      </c>
      <c r="X216" s="19"/>
      <c r="Y216" s="19"/>
      <c r="Z216" s="19" t="s">
        <v>1073</v>
      </c>
      <c r="AA216" s="19">
        <v>1</v>
      </c>
      <c r="AB216" s="19">
        <v>1</v>
      </c>
      <c r="AC216" s="19" t="s">
        <v>58</v>
      </c>
      <c r="AD216" s="19" t="s">
        <v>132</v>
      </c>
      <c r="AE216" s="19" t="s">
        <v>312</v>
      </c>
      <c r="AF216" s="19" t="s">
        <v>1074</v>
      </c>
    </row>
    <row r="217" spans="1:34">
      <c r="A217" s="19">
        <v>212</v>
      </c>
      <c r="B217" s="19" t="s">
        <v>520</v>
      </c>
      <c r="C217" s="19" t="s">
        <v>73</v>
      </c>
      <c r="D217" s="19" t="str">
        <f>HYPERLINK("http://henontech.com/fieldsafety/harzard/harzard_show.php?rid=3149&amp;url=harzardrecs.php","粗苯富油上脱苯塔管道原固定铁丝锈蚀，起不到固定作用，生产过程中，如果富油含水分高，造成管道晃动，晃动过久容易造成管道开焊漏油，造成环境污染。")</f>
        <v>粗苯富油上脱苯塔管道原固定铁丝锈蚀，起不到固定作用，生产过程中，如果富油含水分高，造成管道晃动，晃动过久容易造成管道开焊漏油，造成环境污染。</v>
      </c>
      <c r="E217" s="19" t="s">
        <v>1075</v>
      </c>
      <c r="F217" s="20" t="s">
        <v>42</v>
      </c>
      <c r="G217" s="21" t="s">
        <v>43</v>
      </c>
      <c r="H217" s="19" t="s">
        <v>44</v>
      </c>
      <c r="I217" s="19" t="s">
        <v>45</v>
      </c>
      <c r="J217" s="19" t="s">
        <v>46</v>
      </c>
      <c r="K217" s="19"/>
      <c r="L217" s="19" t="s">
        <v>48</v>
      </c>
      <c r="M217" s="19" t="s">
        <v>49</v>
      </c>
      <c r="N217" s="19" t="s">
        <v>1076</v>
      </c>
      <c r="O217" s="19" t="s">
        <v>49</v>
      </c>
      <c r="P217" s="19" t="s">
        <v>51</v>
      </c>
      <c r="Q217" s="19" t="s">
        <v>1055</v>
      </c>
      <c r="R217" s="19" t="s">
        <v>1077</v>
      </c>
      <c r="S217" s="19"/>
      <c r="T217" s="19" t="s">
        <v>85</v>
      </c>
      <c r="U217" s="19" t="s">
        <v>86</v>
      </c>
      <c r="V217" s="19" t="s">
        <v>168</v>
      </c>
      <c r="W217" s="19" t="s">
        <v>56</v>
      </c>
      <c r="X217" s="19"/>
      <c r="Y217" s="19"/>
      <c r="Z217" s="19" t="s">
        <v>1078</v>
      </c>
      <c r="AA217" s="19">
        <v>1</v>
      </c>
      <c r="AB217" s="19">
        <v>1</v>
      </c>
      <c r="AC217" s="19" t="s">
        <v>58</v>
      </c>
      <c r="AD217" s="19" t="s">
        <v>51</v>
      </c>
      <c r="AE217" s="19" t="s">
        <v>214</v>
      </c>
      <c r="AF217" s="19"/>
    </row>
    <row r="218" spans="1:34" customHeight="1" ht="42">
      <c r="A218" s="19">
        <v>213</v>
      </c>
      <c r="B218" s="19" t="s">
        <v>520</v>
      </c>
      <c r="C218" s="19" t="s">
        <v>169</v>
      </c>
      <c r="D218" s="19" t="str">
        <f>HYPERLINK("http://henontech.com/fieldsafety/harzard/harzard_show.php?rid=3151&amp;url=harzardrecs.php","操作工在打扫泵房地面时不慎跌入下水道，造成左脚严重扭伤，左小腿骨骨折")</f>
        <v>操作工在打扫泵房地面时不慎跌入下水道，造成左脚严重扭伤，左小腿骨骨折</v>
      </c>
      <c r="E218" s="19" t="s">
        <v>1079</v>
      </c>
      <c r="F218" s="20" t="s">
        <v>42</v>
      </c>
      <c r="G218" s="21" t="s">
        <v>43</v>
      </c>
      <c r="H218" s="19" t="s">
        <v>44</v>
      </c>
      <c r="I218" s="19" t="s">
        <v>75</v>
      </c>
      <c r="J218" s="19" t="s">
        <v>46</v>
      </c>
      <c r="K218" s="19" t="s">
        <v>76</v>
      </c>
      <c r="L218" s="19"/>
      <c r="M218" s="19" t="s">
        <v>130</v>
      </c>
      <c r="N218" s="19" t="s">
        <v>165</v>
      </c>
      <c r="O218" s="19" t="s">
        <v>130</v>
      </c>
      <c r="P218" s="19" t="s">
        <v>132</v>
      </c>
      <c r="Q218" s="19" t="s">
        <v>495</v>
      </c>
      <c r="R218" s="19" t="s">
        <v>1080</v>
      </c>
      <c r="S218" s="19"/>
      <c r="T218" s="19" t="s">
        <v>41</v>
      </c>
      <c r="U218" s="19" t="s">
        <v>54</v>
      </c>
      <c r="V218" s="19" t="s">
        <v>106</v>
      </c>
      <c r="W218" s="19" t="s">
        <v>107</v>
      </c>
      <c r="X218" s="19" t="s">
        <v>1081</v>
      </c>
      <c r="Y218" s="19"/>
      <c r="Z218" s="19" t="s">
        <v>1082</v>
      </c>
      <c r="AA218" s="19">
        <v>2</v>
      </c>
      <c r="AB218" s="19">
        <v>2</v>
      </c>
      <c r="AC218" s="19" t="s">
        <v>58</v>
      </c>
      <c r="AD218" s="19" t="s">
        <v>132</v>
      </c>
      <c r="AE218" s="19" t="s">
        <v>719</v>
      </c>
      <c r="AF218" s="19" t="s">
        <v>1083</v>
      </c>
    </row>
    <row r="219" spans="1:34">
      <c r="A219" s="19">
        <v>214</v>
      </c>
      <c r="B219" s="19" t="s">
        <v>1002</v>
      </c>
      <c r="C219" s="19" t="s">
        <v>834</v>
      </c>
      <c r="D219" s="19" t="str">
        <f>HYPERLINK("http://henontech.com/fieldsafety/harzard/harzard_show.php?rid=3152&amp;url=harzardrecs.php","干熄焦中控楼东侧管架上保温铝皮开裂下垂脱落，一操作工巡检路过，致使面部颈部深度划伤")</f>
        <v>干熄焦中控楼东侧管架上保温铝皮开裂下垂脱落，一操作工巡检路过，致使面部颈部深度划伤</v>
      </c>
      <c r="E219" s="19" t="s">
        <v>1084</v>
      </c>
      <c r="F219" s="20" t="s">
        <v>42</v>
      </c>
      <c r="G219" s="21" t="s">
        <v>43</v>
      </c>
      <c r="H219" s="19" t="s">
        <v>44</v>
      </c>
      <c r="I219" s="19" t="s">
        <v>45</v>
      </c>
      <c r="J219" s="19" t="s">
        <v>118</v>
      </c>
      <c r="K219" s="19" t="s">
        <v>92</v>
      </c>
      <c r="L219" s="19" t="s">
        <v>48</v>
      </c>
      <c r="M219" s="19" t="s">
        <v>101</v>
      </c>
      <c r="N219" s="19" t="s">
        <v>236</v>
      </c>
      <c r="O219" s="19" t="s">
        <v>101</v>
      </c>
      <c r="P219" s="19" t="s">
        <v>206</v>
      </c>
      <c r="Q219" s="19" t="s">
        <v>333</v>
      </c>
      <c r="R219" s="19" t="s">
        <v>1085</v>
      </c>
      <c r="S219" s="19" t="s">
        <v>1086</v>
      </c>
      <c r="T219" s="19" t="s">
        <v>41</v>
      </c>
      <c r="U219" s="19" t="s">
        <v>54</v>
      </c>
      <c r="V219" s="19" t="s">
        <v>55</v>
      </c>
      <c r="W219" s="19" t="s">
        <v>56</v>
      </c>
      <c r="X219" s="19" t="s">
        <v>69</v>
      </c>
      <c r="Y219" s="19"/>
      <c r="Z219" s="19" t="s">
        <v>239</v>
      </c>
      <c r="AA219" s="19">
        <v>1</v>
      </c>
      <c r="AB219" s="19">
        <v>1</v>
      </c>
      <c r="AC219" s="19" t="s">
        <v>58</v>
      </c>
      <c r="AD219" s="19" t="s">
        <v>206</v>
      </c>
      <c r="AE219" s="19" t="s">
        <v>260</v>
      </c>
      <c r="AF219" s="19"/>
    </row>
    <row r="220" spans="1:34" customHeight="1" ht="42">
      <c r="A220" s="19">
        <v>215</v>
      </c>
      <c r="B220" s="19" t="s">
        <v>1002</v>
      </c>
      <c r="C220" s="19" t="s">
        <v>356</v>
      </c>
      <c r="D220" s="19" t="str">
        <f>HYPERLINK("http://henontech.com/fieldsafety/harzard/harzard_show.php?rid=3154&amp;url=harzardrecs.php","西四岗位操作平台，操作人员在操作时不慎绊倒从平台跌落，造成腿部骨折，送医院治疗一个月，在家修养两个月，")</f>
        <v>西四岗位操作平台，操作人员在操作时不慎绊倒从平台跌落，造成腿部骨折，送医院治疗一个月，在家修养两个月，</v>
      </c>
      <c r="E220" s="19" t="s">
        <v>1087</v>
      </c>
      <c r="F220" s="20" t="s">
        <v>42</v>
      </c>
      <c r="G220" s="25" t="s">
        <v>264</v>
      </c>
      <c r="H220" s="19" t="s">
        <v>44</v>
      </c>
      <c r="I220" s="19" t="s">
        <v>45</v>
      </c>
      <c r="J220" s="19" t="s">
        <v>91</v>
      </c>
      <c r="K220" s="19" t="s">
        <v>129</v>
      </c>
      <c r="L220" s="19" t="s">
        <v>48</v>
      </c>
      <c r="M220" s="19" t="s">
        <v>266</v>
      </c>
      <c r="N220" s="19" t="s">
        <v>1088</v>
      </c>
      <c r="O220" s="19" t="s">
        <v>266</v>
      </c>
      <c r="P220" s="19" t="s">
        <v>268</v>
      </c>
      <c r="Q220" s="19" t="s">
        <v>312</v>
      </c>
      <c r="R220" s="19" t="s">
        <v>386</v>
      </c>
      <c r="S220" s="19" t="s">
        <v>1089</v>
      </c>
      <c r="T220" s="19" t="s">
        <v>41</v>
      </c>
      <c r="U220" s="19" t="s">
        <v>135</v>
      </c>
      <c r="V220" s="19" t="s">
        <v>106</v>
      </c>
      <c r="W220" s="19" t="s">
        <v>151</v>
      </c>
      <c r="X220" s="19" t="s">
        <v>197</v>
      </c>
      <c r="Y220" s="19" t="s">
        <v>197</v>
      </c>
      <c r="Z220" s="19" t="s">
        <v>1090</v>
      </c>
      <c r="AA220" s="19">
        <v>2</v>
      </c>
      <c r="AB220" s="19">
        <v>2</v>
      </c>
      <c r="AC220" s="19" t="s">
        <v>58</v>
      </c>
      <c r="AD220" s="19" t="s">
        <v>268</v>
      </c>
      <c r="AE220" s="19" t="s">
        <v>214</v>
      </c>
      <c r="AF220" s="19" t="s">
        <v>1091</v>
      </c>
    </row>
    <row r="221" spans="1:34" customHeight="1" ht="42">
      <c r="A221" s="19">
        <v>216</v>
      </c>
      <c r="B221" s="19" t="s">
        <v>1002</v>
      </c>
      <c r="C221" s="19" t="s">
        <v>1092</v>
      </c>
      <c r="D221" s="19" t="str">
        <f>HYPERLINK("http://henontech.com/fieldsafety/harzard/harzard_show.php?rid=3155&amp;url=harzardrecs.php","除尘设备吊装过程中，未设隔离区且无人监护，一人路过吊装设备底部，设备脱钩坠落，砸中头部")</f>
        <v>除尘设备吊装过程中，未设隔离区且无人监护，一人路过吊装设备底部，设备脱钩坠落，砸中头部</v>
      </c>
      <c r="E221" s="19" t="s">
        <v>1093</v>
      </c>
      <c r="F221" s="23" t="s">
        <v>187</v>
      </c>
      <c r="G221" s="25" t="s">
        <v>264</v>
      </c>
      <c r="H221" s="19" t="s">
        <v>44</v>
      </c>
      <c r="I221" s="19" t="s">
        <v>45</v>
      </c>
      <c r="J221" s="19" t="s">
        <v>46</v>
      </c>
      <c r="K221" s="19" t="s">
        <v>92</v>
      </c>
      <c r="L221" s="19" t="s">
        <v>48</v>
      </c>
      <c r="M221" s="19" t="s">
        <v>101</v>
      </c>
      <c r="N221" s="19" t="s">
        <v>236</v>
      </c>
      <c r="O221" s="19" t="s">
        <v>101</v>
      </c>
      <c r="P221" s="19" t="s">
        <v>513</v>
      </c>
      <c r="Q221" s="19" t="s">
        <v>1094</v>
      </c>
      <c r="R221" s="19" t="s">
        <v>1095</v>
      </c>
      <c r="S221" s="19"/>
      <c r="T221" s="19" t="s">
        <v>41</v>
      </c>
      <c r="U221" s="19" t="s">
        <v>195</v>
      </c>
      <c r="V221" s="19" t="s">
        <v>106</v>
      </c>
      <c r="W221" s="19" t="s">
        <v>196</v>
      </c>
      <c r="X221" s="19" t="s">
        <v>258</v>
      </c>
      <c r="Y221" s="19"/>
      <c r="Z221" s="19" t="s">
        <v>1096</v>
      </c>
      <c r="AA221" s="19">
        <v>2</v>
      </c>
      <c r="AB221" s="19"/>
      <c r="AC221" s="19" t="s">
        <v>162</v>
      </c>
      <c r="AD221" s="19"/>
      <c r="AE221" s="19"/>
      <c r="AF221" s="19"/>
    </row>
    <row r="222" spans="1:34">
      <c r="A222" s="19">
        <v>217</v>
      </c>
      <c r="B222" s="19" t="s">
        <v>207</v>
      </c>
      <c r="C222" s="19" t="s">
        <v>175</v>
      </c>
      <c r="D222" s="19" t="str">
        <f>HYPERLINK("http://henontech.com/fieldsafety/harzard/harzard_show.php?rid=3156&amp;url=harzardrecs.php","一名操作工在电捕水封槽处巡检时，因防雨棚一横梁腐烂滑脱坠落，砸中该操作工左肩，送医救治诊断为肩胛骨骨折，治疗两个月后恢复出院，损工两个月。")</f>
        <v>一名操作工在电捕水封槽处巡检时，因防雨棚一横梁腐烂滑脱坠落，砸中该操作工左肩，送医救治诊断为肩胛骨骨折，治疗两个月后恢复出院，损工两个月。</v>
      </c>
      <c r="E222" s="19" t="s">
        <v>1097</v>
      </c>
      <c r="F222" s="20" t="s">
        <v>42</v>
      </c>
      <c r="G222" s="21" t="s">
        <v>43</v>
      </c>
      <c r="H222" s="19" t="s">
        <v>44</v>
      </c>
      <c r="I222" s="19" t="s">
        <v>45</v>
      </c>
      <c r="J222" s="19" t="s">
        <v>46</v>
      </c>
      <c r="K222" s="19" t="s">
        <v>47</v>
      </c>
      <c r="L222" s="19" t="s">
        <v>48</v>
      </c>
      <c r="M222" s="19" t="s">
        <v>49</v>
      </c>
      <c r="N222" s="19" t="s">
        <v>330</v>
      </c>
      <c r="O222" s="19" t="s">
        <v>49</v>
      </c>
      <c r="P222" s="19" t="s">
        <v>51</v>
      </c>
      <c r="Q222" s="19" t="s">
        <v>1055</v>
      </c>
      <c r="R222" s="19" t="s">
        <v>1098</v>
      </c>
      <c r="S222" s="19"/>
      <c r="T222" s="19" t="s">
        <v>41</v>
      </c>
      <c r="U222" s="19" t="s">
        <v>135</v>
      </c>
      <c r="V222" s="19" t="s">
        <v>168</v>
      </c>
      <c r="W222" s="19" t="s">
        <v>196</v>
      </c>
      <c r="X222" s="19"/>
      <c r="Y222" s="19"/>
      <c r="Z222" s="19" t="s">
        <v>1099</v>
      </c>
      <c r="AA222" s="19">
        <v>1</v>
      </c>
      <c r="AB222" s="19">
        <v>1</v>
      </c>
      <c r="AC222" s="19" t="s">
        <v>58</v>
      </c>
      <c r="AD222" s="19" t="s">
        <v>51</v>
      </c>
      <c r="AE222" s="19" t="s">
        <v>890</v>
      </c>
      <c r="AF222" s="19"/>
    </row>
    <row r="223" spans="1:34">
      <c r="A223" s="19">
        <v>218</v>
      </c>
      <c r="B223" s="19" t="s">
        <v>1002</v>
      </c>
      <c r="C223" s="19" t="s">
        <v>1100</v>
      </c>
      <c r="D223" s="19" t="str">
        <f>HYPERLINK("http://henontech.com/fieldsafety/harzard/harzard_show.php?rid=3157&amp;url=harzardrecs.php","天车进出处没有悬挂警示牌")</f>
        <v>天车进出处没有悬挂警示牌</v>
      </c>
      <c r="E223" s="19" t="s">
        <v>1101</v>
      </c>
      <c r="F223" s="20" t="s">
        <v>42</v>
      </c>
      <c r="G223" s="21" t="s">
        <v>43</v>
      </c>
      <c r="H223" s="19" t="s">
        <v>44</v>
      </c>
      <c r="I223" s="19" t="s">
        <v>1102</v>
      </c>
      <c r="J223" s="19" t="s">
        <v>91</v>
      </c>
      <c r="K223" s="19" t="s">
        <v>47</v>
      </c>
      <c r="L223" s="19"/>
      <c r="M223" s="19" t="s">
        <v>130</v>
      </c>
      <c r="N223" s="19" t="s">
        <v>1103</v>
      </c>
      <c r="O223" s="19" t="s">
        <v>130</v>
      </c>
      <c r="P223" s="19" t="s">
        <v>132</v>
      </c>
      <c r="Q223" s="19" t="s">
        <v>495</v>
      </c>
      <c r="R223" s="19" t="s">
        <v>1104</v>
      </c>
      <c r="S223" s="19"/>
      <c r="T223" s="19" t="s">
        <v>41</v>
      </c>
      <c r="U223" s="19" t="s">
        <v>54</v>
      </c>
      <c r="V223" s="19" t="s">
        <v>168</v>
      </c>
      <c r="W223" s="19" t="s">
        <v>151</v>
      </c>
      <c r="X223" s="19"/>
      <c r="Y223" s="19"/>
      <c r="Z223" s="19" t="s">
        <v>1105</v>
      </c>
      <c r="AA223" s="19">
        <v>1</v>
      </c>
      <c r="AB223" s="19">
        <v>1</v>
      </c>
      <c r="AC223" s="19" t="s">
        <v>58</v>
      </c>
      <c r="AD223" s="19" t="s">
        <v>132</v>
      </c>
      <c r="AE223" s="19" t="s">
        <v>237</v>
      </c>
      <c r="AF223" s="19" t="s">
        <v>1106</v>
      </c>
    </row>
    <row r="224" spans="1:34" customHeight="1" ht="42">
      <c r="A224" s="19">
        <v>219</v>
      </c>
      <c r="B224" s="19" t="s">
        <v>1002</v>
      </c>
      <c r="C224" s="19" t="s">
        <v>1107</v>
      </c>
      <c r="D224" s="19" t="str">
        <f>HYPERLINK("http://henontech.com/fieldsafety/harzard/harzard_show.php?rid=3158&amp;url=harzardrecs.php","5米5焦炉北头爬梯中间小平台缺少踢脚板，雨雪天气，一操作工上下爬梯脚下打滑，从护栏空隙跌落地面")</f>
        <v>5米5焦炉北头爬梯中间小平台缺少踢脚板，雨雪天气，一操作工上下爬梯脚下打滑，从护栏空隙跌落地面</v>
      </c>
      <c r="E224" s="19" t="s">
        <v>1108</v>
      </c>
      <c r="F224" s="20" t="s">
        <v>42</v>
      </c>
      <c r="G224" s="21" t="s">
        <v>43</v>
      </c>
      <c r="H224" s="19" t="s">
        <v>44</v>
      </c>
      <c r="I224" s="19" t="s">
        <v>45</v>
      </c>
      <c r="J224" s="19" t="s">
        <v>46</v>
      </c>
      <c r="K224" s="19" t="s">
        <v>76</v>
      </c>
      <c r="L224" s="19" t="s">
        <v>48</v>
      </c>
      <c r="M224" s="19" t="s">
        <v>101</v>
      </c>
      <c r="N224" s="19" t="s">
        <v>1109</v>
      </c>
      <c r="O224" s="19" t="s">
        <v>101</v>
      </c>
      <c r="P224" s="19" t="s">
        <v>206</v>
      </c>
      <c r="Q224" s="19" t="s">
        <v>1094</v>
      </c>
      <c r="R224" s="19" t="s">
        <v>1110</v>
      </c>
      <c r="S224" s="19"/>
      <c r="T224" s="19" t="s">
        <v>41</v>
      </c>
      <c r="U224" s="19" t="s">
        <v>135</v>
      </c>
      <c r="V224" s="19" t="s">
        <v>106</v>
      </c>
      <c r="W224" s="19" t="s">
        <v>151</v>
      </c>
      <c r="X224" s="19" t="s">
        <v>258</v>
      </c>
      <c r="Y224" s="19"/>
      <c r="Z224" s="19" t="s">
        <v>1111</v>
      </c>
      <c r="AA224" s="19">
        <v>2</v>
      </c>
      <c r="AB224" s="19">
        <v>2</v>
      </c>
      <c r="AC224" s="19" t="s">
        <v>58</v>
      </c>
      <c r="AD224" s="19" t="s">
        <v>206</v>
      </c>
      <c r="AE224" s="19" t="s">
        <v>237</v>
      </c>
      <c r="AF224" s="19"/>
    </row>
    <row r="225" spans="1:34" customHeight="1" ht="42">
      <c r="A225" s="19">
        <v>220</v>
      </c>
      <c r="B225" s="19" t="s">
        <v>1002</v>
      </c>
      <c r="C225" s="19" t="s">
        <v>1112</v>
      </c>
      <c r="D225" s="19" t="str">
        <f>HYPERLINK("http://henontech.com/fieldsafety/harzard/harzard_show.php?rid=3159&amp;url=harzardrecs.php","操作工在清理除尘水箱湿焦末时，将湿焦末洒落在拦焦滑轨上，造成短路，导致滑轨打断，1#站配电室跳闸。")</f>
        <v>操作工在清理除尘水箱湿焦末时，将湿焦末洒落在拦焦滑轨上，造成短路，导致滑轨打断，1#站配电室跳闸。</v>
      </c>
      <c r="E225" s="19" t="s">
        <v>1113</v>
      </c>
      <c r="F225" s="23" t="s">
        <v>187</v>
      </c>
      <c r="G225" s="21" t="s">
        <v>43</v>
      </c>
      <c r="H225" s="19" t="s">
        <v>44</v>
      </c>
      <c r="I225" s="19" t="s">
        <v>1114</v>
      </c>
      <c r="J225" s="19" t="s">
        <v>188</v>
      </c>
      <c r="K225" s="19" t="s">
        <v>92</v>
      </c>
      <c r="L225" s="19" t="s">
        <v>48</v>
      </c>
      <c r="M225" s="19" t="s">
        <v>101</v>
      </c>
      <c r="N225" s="19" t="s">
        <v>1115</v>
      </c>
      <c r="O225" s="19" t="s">
        <v>101</v>
      </c>
      <c r="P225" s="19" t="s">
        <v>432</v>
      </c>
      <c r="Q225" s="19" t="s">
        <v>1094</v>
      </c>
      <c r="R225" s="19" t="s">
        <v>1116</v>
      </c>
      <c r="S225" s="19"/>
      <c r="T225" s="19" t="s">
        <v>194</v>
      </c>
      <c r="U225" s="19" t="s">
        <v>86</v>
      </c>
      <c r="V225" s="19" t="s">
        <v>106</v>
      </c>
      <c r="W225" s="19" t="s">
        <v>56</v>
      </c>
      <c r="X225" s="19" t="s">
        <v>258</v>
      </c>
      <c r="Y225" s="19"/>
      <c r="Z225" s="19" t="s">
        <v>1117</v>
      </c>
      <c r="AA225" s="19">
        <v>2</v>
      </c>
      <c r="AB225" s="19"/>
      <c r="AC225" s="19" t="s">
        <v>162</v>
      </c>
      <c r="AD225" s="19"/>
      <c r="AE225" s="19"/>
      <c r="AF225" s="19"/>
    </row>
    <row r="226" spans="1:34">
      <c r="A226" s="19">
        <v>221</v>
      </c>
      <c r="B226" s="19" t="s">
        <v>1002</v>
      </c>
      <c r="C226" s="19" t="s">
        <v>61</v>
      </c>
      <c r="D226" s="19" t="str">
        <f>HYPERLINK("http://henontech.com/fieldsafety/harzard/harzard_show.php?rid=3161&amp;url=harzardrecs.php","下爬梯未戴安全帽，未扶扶手，踩空掉落导致双手臂骨折，损工半年。")</f>
        <v>下爬梯未戴安全帽，未扶扶手，踩空掉落导致双手臂骨折，损工半年。</v>
      </c>
      <c r="E226" s="19" t="s">
        <v>1118</v>
      </c>
      <c r="F226" s="22" t="s">
        <v>157</v>
      </c>
      <c r="G226" s="21" t="s">
        <v>43</v>
      </c>
      <c r="H226" s="19" t="s">
        <v>44</v>
      </c>
      <c r="I226" s="19" t="s">
        <v>75</v>
      </c>
      <c r="J226" s="19" t="s">
        <v>91</v>
      </c>
      <c r="K226" s="19"/>
      <c r="L226" s="19"/>
      <c r="M226" s="19" t="s">
        <v>63</v>
      </c>
      <c r="N226" s="19" t="s">
        <v>987</v>
      </c>
      <c r="O226" s="19"/>
      <c r="P226" s="19"/>
      <c r="Q226" s="19"/>
      <c r="R226" s="19" t="s">
        <v>1119</v>
      </c>
      <c r="S226" s="19" t="s">
        <v>1120</v>
      </c>
      <c r="T226" s="19" t="s">
        <v>41</v>
      </c>
      <c r="U226" s="19" t="s">
        <v>135</v>
      </c>
      <c r="V226" s="19" t="s">
        <v>106</v>
      </c>
      <c r="W226" s="19" t="s">
        <v>151</v>
      </c>
      <c r="X226" s="19"/>
      <c r="Y226" s="19"/>
      <c r="Z226" s="19"/>
      <c r="AA226" s="19">
        <v>0</v>
      </c>
      <c r="AB226" s="19"/>
      <c r="AC226" s="19" t="s">
        <v>162</v>
      </c>
      <c r="AD226" s="19"/>
      <c r="AE226" s="19"/>
      <c r="AF226" s="19"/>
    </row>
    <row r="227" spans="1:34" customHeight="1" ht="42">
      <c r="A227" s="19">
        <v>222</v>
      </c>
      <c r="B227" s="19" t="s">
        <v>1002</v>
      </c>
      <c r="C227" s="19" t="s">
        <v>169</v>
      </c>
      <c r="D227" s="19" t="str">
        <f>HYPERLINK("http://henontech.com/fieldsafety/harzard/harzard_show.php?rid=3163&amp;url=harzardrecs.php","反渗透浓水排水管处无盖板，一名职工在巡检时，失足右脚掉入地沟造成右脚损伤。")</f>
        <v>反渗透浓水排水管处无盖板，一名职工在巡检时，失足右脚掉入地沟造成右脚损伤。</v>
      </c>
      <c r="E227" s="19" t="s">
        <v>1121</v>
      </c>
      <c r="F227" s="20" t="s">
        <v>42</v>
      </c>
      <c r="G227" s="21" t="s">
        <v>43</v>
      </c>
      <c r="H227" s="19" t="s">
        <v>44</v>
      </c>
      <c r="I227" s="19" t="s">
        <v>117</v>
      </c>
      <c r="J227" s="19" t="s">
        <v>91</v>
      </c>
      <c r="K227" s="19" t="s">
        <v>129</v>
      </c>
      <c r="L227" s="19"/>
      <c r="M227" s="19" t="s">
        <v>130</v>
      </c>
      <c r="N227" s="19" t="s">
        <v>223</v>
      </c>
      <c r="O227" s="19" t="s">
        <v>130</v>
      </c>
      <c r="P227" s="19" t="s">
        <v>132</v>
      </c>
      <c r="Q227" s="19" t="s">
        <v>495</v>
      </c>
      <c r="R227" s="19" t="s">
        <v>1122</v>
      </c>
      <c r="S227" s="19"/>
      <c r="T227" s="19" t="s">
        <v>41</v>
      </c>
      <c r="U227" s="19" t="s">
        <v>54</v>
      </c>
      <c r="V227" s="19" t="s">
        <v>106</v>
      </c>
      <c r="W227" s="19" t="s">
        <v>107</v>
      </c>
      <c r="X227" s="19" t="s">
        <v>197</v>
      </c>
      <c r="Y227" s="19"/>
      <c r="Z227" s="19" t="s">
        <v>1123</v>
      </c>
      <c r="AA227" s="19">
        <v>2</v>
      </c>
      <c r="AB227" s="19">
        <v>1</v>
      </c>
      <c r="AC227" s="19" t="s">
        <v>58</v>
      </c>
      <c r="AD227" s="19" t="s">
        <v>132</v>
      </c>
      <c r="AE227" s="19" t="s">
        <v>214</v>
      </c>
      <c r="AF227" s="19" t="s">
        <v>1124</v>
      </c>
    </row>
    <row r="228" spans="1:34" customHeight="1" ht="42">
      <c r="A228" s="19">
        <v>223</v>
      </c>
      <c r="B228" s="19" t="s">
        <v>1002</v>
      </c>
      <c r="C228" s="19" t="s">
        <v>1107</v>
      </c>
      <c r="D228" s="19" t="str">
        <f>HYPERLINK("http://henontech.com/fieldsafety/harzard/harzard_show.php?rid=3164&amp;url=harzardrecs.php","搅拌机转换开关手抦缺失，用一根铁条代替手抦使用，一操作工在操作时由于开关漏电触电倒地")</f>
        <v>搅拌机转换开关手抦缺失，用一根铁条代替手抦使用，一操作工在操作时由于开关漏电触电倒地</v>
      </c>
      <c r="E228" s="19" t="s">
        <v>1125</v>
      </c>
      <c r="F228" s="20" t="s">
        <v>42</v>
      </c>
      <c r="G228" s="24" t="s">
        <v>254</v>
      </c>
      <c r="H228" s="19" t="s">
        <v>44</v>
      </c>
      <c r="I228" s="19" t="s">
        <v>45</v>
      </c>
      <c r="J228" s="19" t="s">
        <v>46</v>
      </c>
      <c r="K228" s="19" t="s">
        <v>92</v>
      </c>
      <c r="L228" s="19" t="s">
        <v>48</v>
      </c>
      <c r="M228" s="19" t="s">
        <v>101</v>
      </c>
      <c r="N228" s="19" t="s">
        <v>1126</v>
      </c>
      <c r="O228" s="19" t="s">
        <v>101</v>
      </c>
      <c r="P228" s="19" t="s">
        <v>206</v>
      </c>
      <c r="Q228" s="19" t="s">
        <v>1094</v>
      </c>
      <c r="R228" s="19" t="s">
        <v>1127</v>
      </c>
      <c r="S228" s="19"/>
      <c r="T228" s="19" t="s">
        <v>41</v>
      </c>
      <c r="U228" s="19" t="s">
        <v>195</v>
      </c>
      <c r="V228" s="19" t="s">
        <v>168</v>
      </c>
      <c r="W228" s="19" t="s">
        <v>196</v>
      </c>
      <c r="X228" s="19" t="s">
        <v>1081</v>
      </c>
      <c r="Y228" s="19"/>
      <c r="Z228" s="19" t="s">
        <v>1128</v>
      </c>
      <c r="AA228" s="19">
        <v>2</v>
      </c>
      <c r="AB228" s="19">
        <v>2</v>
      </c>
      <c r="AC228" s="19" t="s">
        <v>58</v>
      </c>
      <c r="AD228" s="19" t="s">
        <v>206</v>
      </c>
      <c r="AE228" s="19" t="s">
        <v>260</v>
      </c>
      <c r="AF228" s="19"/>
    </row>
    <row r="229" spans="1:34">
      <c r="A229" s="19">
        <v>224</v>
      </c>
      <c r="B229" s="19" t="s">
        <v>1002</v>
      </c>
      <c r="C229" s="19" t="s">
        <v>765</v>
      </c>
      <c r="D229" s="19" t="str">
        <f>HYPERLINK("http://henontech.com/fieldsafety/harzard/harzard_show.php?rid=3166&amp;url=harzardrecs.php","干熄炉二层地面铁板翘起，一巡检人员夜间巡检时未察觉，被翘起的铁板绊倒，膝盖着地，送医救治，确诊为左侧膝盖骨骨裂，治疗7天，修养3个月后恢复工作。")</f>
        <v>干熄炉二层地面铁板翘起，一巡检人员夜间巡检时未察觉，被翘起的铁板绊倒，膝盖着地，送医救治，确诊为左侧膝盖骨骨裂，治疗7天，修养3个月后恢复工作。</v>
      </c>
      <c r="E229" s="19" t="s">
        <v>1129</v>
      </c>
      <c r="F229" s="23" t="s">
        <v>187</v>
      </c>
      <c r="G229" s="21" t="s">
        <v>43</v>
      </c>
      <c r="H229" s="19" t="s">
        <v>44</v>
      </c>
      <c r="I229" s="19" t="s">
        <v>45</v>
      </c>
      <c r="J229" s="19" t="s">
        <v>46</v>
      </c>
      <c r="K229" s="19" t="s">
        <v>47</v>
      </c>
      <c r="L229" s="19" t="s">
        <v>48</v>
      </c>
      <c r="M229" s="19" t="s">
        <v>101</v>
      </c>
      <c r="N229" s="19" t="s">
        <v>1130</v>
      </c>
      <c r="O229" s="19" t="s">
        <v>101</v>
      </c>
      <c r="P229" s="19" t="s">
        <v>948</v>
      </c>
      <c r="Q229" s="19" t="s">
        <v>1055</v>
      </c>
      <c r="R229" s="19" t="s">
        <v>1131</v>
      </c>
      <c r="S229" s="19" t="s">
        <v>1132</v>
      </c>
      <c r="T229" s="19" t="s">
        <v>41</v>
      </c>
      <c r="U229" s="19" t="s">
        <v>135</v>
      </c>
      <c r="V229" s="19" t="s">
        <v>106</v>
      </c>
      <c r="W229" s="19" t="s">
        <v>151</v>
      </c>
      <c r="X229" s="19" t="s">
        <v>69</v>
      </c>
      <c r="Y229" s="19"/>
      <c r="Z229" s="19" t="s">
        <v>1133</v>
      </c>
      <c r="AA229" s="19">
        <v>1</v>
      </c>
      <c r="AB229" s="19"/>
      <c r="AC229" s="19" t="s">
        <v>162</v>
      </c>
      <c r="AD229" s="19"/>
      <c r="AE229" s="19"/>
      <c r="AF229" s="19"/>
    </row>
    <row r="230" spans="1:34">
      <c r="A230" s="19">
        <v>225</v>
      </c>
      <c r="B230" s="19" t="s">
        <v>207</v>
      </c>
      <c r="C230" s="19" t="s">
        <v>664</v>
      </c>
      <c r="D230" s="19" t="str">
        <f>HYPERLINK("http://henontech.com/fieldsafety/harzard/harzard_show.php?rid=3167&amp;url=harzardrecs.php","清水池池面现场混乱，地面电缆线乱作一团，操作工在取样时被电缆线绊倒，致右腿膝盖软组织挫伤，无损工事故")</f>
        <v>清水池池面现场混乱，地面电缆线乱作一团，操作工在取样时被电缆线绊倒，致右腿膝盖软组织挫伤，无损工事故</v>
      </c>
      <c r="E230" s="19" t="s">
        <v>1134</v>
      </c>
      <c r="F230" s="20" t="s">
        <v>42</v>
      </c>
      <c r="G230" s="21" t="s">
        <v>43</v>
      </c>
      <c r="H230" s="19" t="s">
        <v>44</v>
      </c>
      <c r="I230" s="19" t="s">
        <v>75</v>
      </c>
      <c r="J230" s="19" t="s">
        <v>188</v>
      </c>
      <c r="K230" s="19" t="s">
        <v>47</v>
      </c>
      <c r="L230" s="19" t="s">
        <v>48</v>
      </c>
      <c r="M230" s="19" t="s">
        <v>63</v>
      </c>
      <c r="N230" s="19" t="s">
        <v>1066</v>
      </c>
      <c r="O230" s="19" t="s">
        <v>63</v>
      </c>
      <c r="P230" s="19" t="s">
        <v>65</v>
      </c>
      <c r="Q230" s="19" t="s">
        <v>1135</v>
      </c>
      <c r="R230" s="19" t="s">
        <v>1067</v>
      </c>
      <c r="S230" s="19"/>
      <c r="T230" s="19" t="s">
        <v>41</v>
      </c>
      <c r="U230" s="19" t="s">
        <v>54</v>
      </c>
      <c r="V230" s="19" t="s">
        <v>168</v>
      </c>
      <c r="W230" s="19" t="s">
        <v>151</v>
      </c>
      <c r="X230" s="19" t="s">
        <v>69</v>
      </c>
      <c r="Y230" s="19" t="s">
        <v>69</v>
      </c>
      <c r="Z230" s="19" t="s">
        <v>1136</v>
      </c>
      <c r="AA230" s="19">
        <v>1</v>
      </c>
      <c r="AB230" s="19">
        <v>1</v>
      </c>
      <c r="AC230" s="19" t="s">
        <v>58</v>
      </c>
      <c r="AD230" s="19" t="s">
        <v>65</v>
      </c>
      <c r="AE230" s="19" t="s">
        <v>1063</v>
      </c>
      <c r="AF230" s="19" t="s">
        <v>1137</v>
      </c>
    </row>
    <row r="231" spans="1:34">
      <c r="A231" s="19">
        <v>226</v>
      </c>
      <c r="B231" s="19" t="s">
        <v>207</v>
      </c>
      <c r="C231" s="19" t="s">
        <v>40</v>
      </c>
      <c r="D231" s="19" t="str">
        <f>HYPERLINK("http://henontech.com/fieldsafety/harzard/harzard_show.php?rid=3170&amp;url=harzardrecs.php","爬梯处横放一根3米的铁件，一名操作工巡检时不慎脚下被绊，身体向前倾倒碰到护栏上")</f>
        <v>爬梯处横放一根3米的铁件，一名操作工巡检时不慎脚下被绊，身体向前倾倒碰到护栏上</v>
      </c>
      <c r="E231" s="19" t="s">
        <v>1138</v>
      </c>
      <c r="F231" s="20" t="s">
        <v>42</v>
      </c>
      <c r="G231" s="21" t="s">
        <v>43</v>
      </c>
      <c r="H231" s="19" t="s">
        <v>44</v>
      </c>
      <c r="I231" s="19"/>
      <c r="J231" s="19" t="s">
        <v>46</v>
      </c>
      <c r="K231" s="19" t="s">
        <v>47</v>
      </c>
      <c r="L231" s="19"/>
      <c r="M231" s="19" t="s">
        <v>49</v>
      </c>
      <c r="N231" s="19" t="s">
        <v>50</v>
      </c>
      <c r="O231" s="19" t="s">
        <v>49</v>
      </c>
      <c r="P231" s="19" t="s">
        <v>51</v>
      </c>
      <c r="Q231" s="19" t="s">
        <v>1055</v>
      </c>
      <c r="R231" s="19" t="s">
        <v>1139</v>
      </c>
      <c r="S231" s="19"/>
      <c r="T231" s="19" t="s">
        <v>41</v>
      </c>
      <c r="U231" s="19" t="s">
        <v>135</v>
      </c>
      <c r="V231" s="19" t="s">
        <v>106</v>
      </c>
      <c r="W231" s="19" t="s">
        <v>151</v>
      </c>
      <c r="X231" s="19"/>
      <c r="Y231" s="19"/>
      <c r="Z231" s="19" t="s">
        <v>1140</v>
      </c>
      <c r="AA231" s="19">
        <v>1</v>
      </c>
      <c r="AB231" s="19">
        <v>1</v>
      </c>
      <c r="AC231" s="19" t="s">
        <v>58</v>
      </c>
      <c r="AD231" s="19" t="s">
        <v>51</v>
      </c>
      <c r="AE231" s="19" t="s">
        <v>280</v>
      </c>
      <c r="AF231" s="19"/>
    </row>
    <row r="232" spans="1:34">
      <c r="A232" s="19">
        <v>227</v>
      </c>
      <c r="B232" s="19" t="s">
        <v>207</v>
      </c>
      <c r="C232" s="19" t="s">
        <v>1141</v>
      </c>
      <c r="D232" s="19" t="str">
        <f>HYPERLINK("http://henontech.com/fieldsafety/harzard/harzard_show.php?rid=3175&amp;url=harzardrecs.php","泡沫泵防护罩破损，如果一名操作人员擦拭设备时。右手手指不慎碰触到电机防护罩破损处，造成右手中指骨折，送医院治疗三个月、在家休养二个月，复工")</f>
        <v>泡沫泵防护罩破损，如果一名操作人员擦拭设备时。右手手指不慎碰触到电机防护罩破损处，造成右手中指骨折，送医院治疗三个月、在家休养二个月，复工</v>
      </c>
      <c r="E232" s="19" t="s">
        <v>1142</v>
      </c>
      <c r="F232" s="20" t="s">
        <v>42</v>
      </c>
      <c r="G232" s="21" t="s">
        <v>43</v>
      </c>
      <c r="H232" s="19" t="s">
        <v>44</v>
      </c>
      <c r="I232" s="19" t="s">
        <v>117</v>
      </c>
      <c r="J232" s="19" t="s">
        <v>46</v>
      </c>
      <c r="K232" s="19" t="s">
        <v>47</v>
      </c>
      <c r="L232" s="19" t="s">
        <v>48</v>
      </c>
      <c r="M232" s="19" t="s">
        <v>49</v>
      </c>
      <c r="N232" s="19" t="s">
        <v>1143</v>
      </c>
      <c r="O232" s="19" t="s">
        <v>49</v>
      </c>
      <c r="P232" s="19" t="s">
        <v>51</v>
      </c>
      <c r="Q232" s="19" t="s">
        <v>1144</v>
      </c>
      <c r="R232" s="19" t="s">
        <v>1145</v>
      </c>
      <c r="S232" s="19"/>
      <c r="T232" s="19" t="s">
        <v>41</v>
      </c>
      <c r="U232" s="19" t="s">
        <v>135</v>
      </c>
      <c r="V232" s="19" t="s">
        <v>55</v>
      </c>
      <c r="W232" s="19" t="s">
        <v>107</v>
      </c>
      <c r="X232" s="19"/>
      <c r="Y232" s="19"/>
      <c r="Z232" s="19" t="s">
        <v>1146</v>
      </c>
      <c r="AA232" s="19">
        <v>1</v>
      </c>
      <c r="AB232" s="19">
        <v>1</v>
      </c>
      <c r="AC232" s="19" t="s">
        <v>58</v>
      </c>
      <c r="AD232" s="19" t="s">
        <v>51</v>
      </c>
      <c r="AE232" s="19" t="s">
        <v>501</v>
      </c>
      <c r="AF232" s="19"/>
    </row>
    <row r="233" spans="1:34">
      <c r="A233" s="19">
        <v>228</v>
      </c>
      <c r="B233" s="19" t="s">
        <v>207</v>
      </c>
      <c r="C233" s="19" t="s">
        <v>175</v>
      </c>
      <c r="D233" s="19" t="str">
        <f>HYPERLINK("http://henontech.com/fieldsafety/harzard/harzard_show.php?rid=3178&amp;url=harzardrecs.php","如果一名操作工在巡检时，冒出的蒸汽喷到右手腕上，造成轻微伤害，到医务室治疗后，不影响工作，没有损工。")</f>
        <v>如果一名操作工在巡检时，冒出的蒸汽喷到右手腕上，造成轻微伤害，到医务室治疗后，不影响工作，没有损工。</v>
      </c>
      <c r="E233" s="19" t="s">
        <v>1147</v>
      </c>
      <c r="F233" s="20" t="s">
        <v>42</v>
      </c>
      <c r="G233" s="21" t="s">
        <v>43</v>
      </c>
      <c r="H233" s="19" t="s">
        <v>44</v>
      </c>
      <c r="I233" s="19" t="s">
        <v>117</v>
      </c>
      <c r="J233" s="19" t="s">
        <v>46</v>
      </c>
      <c r="K233" s="19" t="s">
        <v>92</v>
      </c>
      <c r="L233" s="19" t="s">
        <v>48</v>
      </c>
      <c r="M233" s="19" t="s">
        <v>49</v>
      </c>
      <c r="N233" s="19" t="s">
        <v>1148</v>
      </c>
      <c r="O233" s="19" t="s">
        <v>49</v>
      </c>
      <c r="P233" s="19" t="s">
        <v>51</v>
      </c>
      <c r="Q233" s="19" t="s">
        <v>1144</v>
      </c>
      <c r="R233" s="19" t="s">
        <v>1149</v>
      </c>
      <c r="S233" s="19"/>
      <c r="T233" s="19" t="s">
        <v>41</v>
      </c>
      <c r="U233" s="19" t="s">
        <v>54</v>
      </c>
      <c r="V233" s="19" t="s">
        <v>106</v>
      </c>
      <c r="W233" s="19" t="s">
        <v>107</v>
      </c>
      <c r="X233" s="19"/>
      <c r="Y233" s="19"/>
      <c r="Z233" s="19" t="s">
        <v>1150</v>
      </c>
      <c r="AA233" s="19">
        <v>1</v>
      </c>
      <c r="AB233" s="19">
        <v>1</v>
      </c>
      <c r="AC233" s="19" t="s">
        <v>58</v>
      </c>
      <c r="AD233" s="19" t="s">
        <v>51</v>
      </c>
      <c r="AE233" s="19" t="s">
        <v>214</v>
      </c>
      <c r="AF233" s="19"/>
    </row>
    <row r="234" spans="1:34">
      <c r="A234" s="19">
        <v>229</v>
      </c>
      <c r="B234" s="19" t="s">
        <v>207</v>
      </c>
      <c r="C234" s="19" t="s">
        <v>175</v>
      </c>
      <c r="D234" s="19" t="str">
        <f>HYPERLINK("http://henontech.com/fieldsafety/harzard/harzard_show.php?rid=3179&amp;url=harzardrecs.php","南风机风机房一楼南侧东门上方彩钢瓦腐蚀严重悬挂，操作工从门口通行彩钢瓦掉落划伤颈部，送医院室消毒包扎，休息2天后复工。")</f>
        <v>南风机风机房一楼南侧东门上方彩钢瓦腐蚀严重悬挂，操作工从门口通行彩钢瓦掉落划伤颈部，送医院室消毒包扎，休息2天后复工。</v>
      </c>
      <c r="E234" s="19" t="s">
        <v>1151</v>
      </c>
      <c r="F234" s="20" t="s">
        <v>42</v>
      </c>
      <c r="G234" s="21" t="s">
        <v>43</v>
      </c>
      <c r="H234" s="19" t="s">
        <v>44</v>
      </c>
      <c r="I234" s="19" t="s">
        <v>45</v>
      </c>
      <c r="J234" s="19" t="s">
        <v>46</v>
      </c>
      <c r="K234" s="19" t="s">
        <v>47</v>
      </c>
      <c r="L234" s="19" t="s">
        <v>48</v>
      </c>
      <c r="M234" s="19" t="s">
        <v>49</v>
      </c>
      <c r="N234" s="19" t="s">
        <v>219</v>
      </c>
      <c r="O234" s="19" t="s">
        <v>49</v>
      </c>
      <c r="P234" s="19" t="s">
        <v>51</v>
      </c>
      <c r="Q234" s="19" t="s">
        <v>1152</v>
      </c>
      <c r="R234" s="19" t="s">
        <v>146</v>
      </c>
      <c r="S234" s="19"/>
      <c r="T234" s="19" t="s">
        <v>41</v>
      </c>
      <c r="U234" s="19" t="s">
        <v>135</v>
      </c>
      <c r="V234" s="19" t="s">
        <v>68</v>
      </c>
      <c r="W234" s="19" t="s">
        <v>56</v>
      </c>
      <c r="X234" s="19"/>
      <c r="Y234" s="19"/>
      <c r="Z234" s="19" t="s">
        <v>1153</v>
      </c>
      <c r="AA234" s="19">
        <v>1</v>
      </c>
      <c r="AB234" s="19">
        <v>1</v>
      </c>
      <c r="AC234" s="19" t="s">
        <v>58</v>
      </c>
      <c r="AD234" s="19" t="s">
        <v>51</v>
      </c>
      <c r="AE234" s="19" t="s">
        <v>280</v>
      </c>
      <c r="AF234" s="19"/>
    </row>
    <row r="235" spans="1:34">
      <c r="A235" s="19">
        <v>230</v>
      </c>
      <c r="B235" s="19" t="s">
        <v>207</v>
      </c>
      <c r="C235" s="19" t="s">
        <v>738</v>
      </c>
      <c r="D235" s="19" t="str">
        <f>HYPERLINK("http://henontech.com/fieldsafety/harzard/harzard_show.php?rid=3180&amp;url=harzardrecs.php","西硫铵4楼北窗户有一块废铝合金悬挂在墙壁上，一名操作工在地面弯腰打扫卫生，因为刮风导致废铝合金掉下来，掉到操作工后背上，引起后背一地方红肿，无大碍。")</f>
        <v>西硫铵4楼北窗户有一块废铝合金悬挂在墙壁上，一名操作工在地面弯腰打扫卫生，因为刮风导致废铝合金掉下来，掉到操作工后背上，引起后背一地方红肿，无大碍。</v>
      </c>
      <c r="E235" s="19" t="s">
        <v>1154</v>
      </c>
      <c r="F235" s="20" t="s">
        <v>42</v>
      </c>
      <c r="G235" s="21" t="s">
        <v>43</v>
      </c>
      <c r="H235" s="19" t="s">
        <v>44</v>
      </c>
      <c r="I235" s="19" t="s">
        <v>45</v>
      </c>
      <c r="J235" s="19" t="s">
        <v>188</v>
      </c>
      <c r="K235" s="19" t="s">
        <v>92</v>
      </c>
      <c r="L235" s="19" t="s">
        <v>48</v>
      </c>
      <c r="M235" s="19" t="s">
        <v>49</v>
      </c>
      <c r="N235" s="19" t="s">
        <v>1155</v>
      </c>
      <c r="O235" s="19" t="s">
        <v>49</v>
      </c>
      <c r="P235" s="19" t="s">
        <v>51</v>
      </c>
      <c r="Q235" s="19" t="s">
        <v>1144</v>
      </c>
      <c r="R235" s="19" t="s">
        <v>1156</v>
      </c>
      <c r="S235" s="19"/>
      <c r="T235" s="19" t="s">
        <v>41</v>
      </c>
      <c r="U235" s="19" t="s">
        <v>54</v>
      </c>
      <c r="V235" s="19" t="s">
        <v>168</v>
      </c>
      <c r="W235" s="19" t="s">
        <v>151</v>
      </c>
      <c r="X235" s="19"/>
      <c r="Y235" s="19"/>
      <c r="Z235" s="19" t="s">
        <v>1157</v>
      </c>
      <c r="AA235" s="19">
        <v>1</v>
      </c>
      <c r="AB235" s="19">
        <v>1</v>
      </c>
      <c r="AC235" s="19" t="s">
        <v>58</v>
      </c>
      <c r="AD235" s="19" t="s">
        <v>51</v>
      </c>
      <c r="AE235" s="19" t="s">
        <v>214</v>
      </c>
      <c r="AF235" s="19"/>
    </row>
    <row r="236" spans="1:34" customHeight="1" ht="42">
      <c r="A236" s="19">
        <v>231</v>
      </c>
      <c r="B236" s="19" t="s">
        <v>865</v>
      </c>
      <c r="C236" s="19" t="s">
        <v>169</v>
      </c>
      <c r="D236" s="19" t="str">
        <f>HYPERLINK("http://henontech.com/fieldsafety/harzard/harzard_show.php?rid=3181&amp;url=harzardrecs.php","1号过滤器气动阀油窗内油位过低")</f>
        <v>1号过滤器气动阀油窗内油位过低</v>
      </c>
      <c r="E236" s="19" t="s">
        <v>1158</v>
      </c>
      <c r="F236" s="20" t="s">
        <v>42</v>
      </c>
      <c r="G236" s="21" t="s">
        <v>43</v>
      </c>
      <c r="H236" s="19" t="s">
        <v>44</v>
      </c>
      <c r="I236" s="19"/>
      <c r="J236" s="19" t="s">
        <v>46</v>
      </c>
      <c r="K236" s="19" t="s">
        <v>129</v>
      </c>
      <c r="L236" s="19"/>
      <c r="M236" s="19" t="s">
        <v>130</v>
      </c>
      <c r="N236" s="19" t="s">
        <v>1159</v>
      </c>
      <c r="O236" s="19" t="s">
        <v>130</v>
      </c>
      <c r="P236" s="19" t="s">
        <v>132</v>
      </c>
      <c r="Q236" s="19" t="s">
        <v>1160</v>
      </c>
      <c r="R236" s="19" t="s">
        <v>1161</v>
      </c>
      <c r="S236" s="19"/>
      <c r="T236" s="19" t="s">
        <v>194</v>
      </c>
      <c r="U236" s="19" t="s">
        <v>86</v>
      </c>
      <c r="V236" s="19" t="s">
        <v>55</v>
      </c>
      <c r="W236" s="19" t="s">
        <v>56</v>
      </c>
      <c r="X236" s="19" t="s">
        <v>69</v>
      </c>
      <c r="Y236" s="19"/>
      <c r="Z236" s="19" t="s">
        <v>1162</v>
      </c>
      <c r="AA236" s="19">
        <v>2</v>
      </c>
      <c r="AB236" s="19">
        <v>2</v>
      </c>
      <c r="AC236" s="19" t="s">
        <v>58</v>
      </c>
      <c r="AD236" s="19" t="s">
        <v>132</v>
      </c>
      <c r="AE236" s="19" t="s">
        <v>791</v>
      </c>
      <c r="AF236" s="19" t="s">
        <v>1163</v>
      </c>
    </row>
    <row r="237" spans="1:34">
      <c r="A237" s="19">
        <v>232</v>
      </c>
      <c r="B237" s="19" t="s">
        <v>865</v>
      </c>
      <c r="C237" s="19" t="s">
        <v>1164</v>
      </c>
      <c r="D237" s="19" t="str">
        <f>HYPERLINK("http://henontech.com/fieldsafety/harzard/harzard_show.php?rid=3186&amp;url=harzardrecs.php","正在使用的乙炔气瓶气路老化严重，当作业人员经过拉扯气路时，老化处裂开气体冒出，附近有气割火花导致乙炔瓶爆炸，造成一名在现场的施工人员被炸伤，送医治疗，损工六个月。")</f>
        <v>正在使用的乙炔气瓶气路老化严重，当作业人员经过拉扯气路时，老化处裂开气体冒出，附近有气割火花导致乙炔瓶爆炸，造成一名在现场的施工人员被炸伤，送医治疗，损工六个月。</v>
      </c>
      <c r="E237" s="19" t="s">
        <v>1165</v>
      </c>
      <c r="F237" s="20" t="s">
        <v>42</v>
      </c>
      <c r="G237" s="24" t="s">
        <v>254</v>
      </c>
      <c r="H237" s="19" t="s">
        <v>44</v>
      </c>
      <c r="I237" s="19" t="s">
        <v>472</v>
      </c>
      <c r="J237" s="19" t="s">
        <v>46</v>
      </c>
      <c r="K237" s="19" t="s">
        <v>92</v>
      </c>
      <c r="L237" s="19" t="s">
        <v>48</v>
      </c>
      <c r="M237" s="19" t="s">
        <v>278</v>
      </c>
      <c r="N237" s="19" t="s">
        <v>1166</v>
      </c>
      <c r="O237" s="19" t="s">
        <v>1014</v>
      </c>
      <c r="P237" s="19" t="s">
        <v>1167</v>
      </c>
      <c r="Q237" s="19" t="s">
        <v>214</v>
      </c>
      <c r="R237" s="19" t="s">
        <v>1168</v>
      </c>
      <c r="S237" s="19"/>
      <c r="T237" s="19" t="s">
        <v>41</v>
      </c>
      <c r="U237" s="19" t="s">
        <v>135</v>
      </c>
      <c r="V237" s="19" t="s">
        <v>168</v>
      </c>
      <c r="W237" s="19" t="s">
        <v>196</v>
      </c>
      <c r="X237" s="19" t="s">
        <v>390</v>
      </c>
      <c r="Y237" s="19" t="s">
        <v>390</v>
      </c>
      <c r="Z237" s="19" t="s">
        <v>1169</v>
      </c>
      <c r="AA237" s="19">
        <v>1</v>
      </c>
      <c r="AB237" s="19">
        <v>1</v>
      </c>
      <c r="AC237" s="19" t="s">
        <v>58</v>
      </c>
      <c r="AD237" s="19" t="s">
        <v>1167</v>
      </c>
      <c r="AE237" s="19" t="s">
        <v>865</v>
      </c>
      <c r="AF237" s="19" t="s">
        <v>1170</v>
      </c>
    </row>
    <row r="238" spans="1:34">
      <c r="A238" s="19">
        <v>233</v>
      </c>
      <c r="B238" s="19" t="s">
        <v>865</v>
      </c>
      <c r="C238" s="19" t="s">
        <v>1171</v>
      </c>
      <c r="D238" s="19" t="str">
        <f>HYPERLINK("http://henontech.com/fieldsafety/harzard/harzard_show.php?rid=3187&amp;url=harzardrecs.php","浓水处理液碱罐未设置半面罩，假如一名维修工人维修该处管线，管线内的液碱溅出进入维修人员眼内，造成眼睛灼伤送医治疗2个月后复工。")</f>
        <v>浓水处理液碱罐未设置半面罩，假如一名维修工人维修该处管线，管线内的液碱溅出进入维修人员眼内，造成眼睛灼伤送医治疗2个月后复工。</v>
      </c>
      <c r="E238" s="19" t="s">
        <v>1172</v>
      </c>
      <c r="F238" s="20" t="s">
        <v>42</v>
      </c>
      <c r="G238" s="21" t="s">
        <v>43</v>
      </c>
      <c r="H238" s="19" t="s">
        <v>44</v>
      </c>
      <c r="I238" s="19"/>
      <c r="J238" s="19" t="s">
        <v>46</v>
      </c>
      <c r="K238" s="19"/>
      <c r="L238" s="19" t="s">
        <v>48</v>
      </c>
      <c r="M238" s="19" t="s">
        <v>278</v>
      </c>
      <c r="N238" s="19" t="s">
        <v>1173</v>
      </c>
      <c r="O238" s="19" t="s">
        <v>63</v>
      </c>
      <c r="P238" s="19" t="s">
        <v>65</v>
      </c>
      <c r="Q238" s="19" t="s">
        <v>1135</v>
      </c>
      <c r="R238" s="19" t="s">
        <v>63</v>
      </c>
      <c r="S238" s="19"/>
      <c r="T238" s="19" t="s">
        <v>41</v>
      </c>
      <c r="U238" s="19" t="s">
        <v>135</v>
      </c>
      <c r="V238" s="19" t="s">
        <v>106</v>
      </c>
      <c r="W238" s="19" t="s">
        <v>151</v>
      </c>
      <c r="X238" s="19"/>
      <c r="Y238" s="19"/>
      <c r="Z238" s="19" t="s">
        <v>1174</v>
      </c>
      <c r="AA238" s="19">
        <v>1</v>
      </c>
      <c r="AB238" s="19">
        <v>1</v>
      </c>
      <c r="AC238" s="19" t="s">
        <v>58</v>
      </c>
      <c r="AD238" s="19" t="s">
        <v>65</v>
      </c>
      <c r="AE238" s="19" t="s">
        <v>1094</v>
      </c>
      <c r="AF238" s="19"/>
    </row>
    <row r="239" spans="1:34">
      <c r="A239" s="19">
        <v>234</v>
      </c>
      <c r="B239" s="19" t="s">
        <v>865</v>
      </c>
      <c r="C239" s="19" t="s">
        <v>61</v>
      </c>
      <c r="D239" s="19" t="str">
        <f>HYPERLINK("http://henontech.com/fieldsafety/harzard/harzard_show.php?rid=3188&amp;url=harzardrecs.php","深度处理东侧水池临时线路未架空,放置在地上线缆容易磨损漏电,一旦巡检人员不慎踩到磨损线路,造成触电,送医院抢救无效死亡。")</f>
        <v>深度处理东侧水池临时线路未架空,放置在地上线缆容易磨损漏电,一旦巡检人员不慎踩到磨损线路,造成触电,送医院抢救无效死亡。</v>
      </c>
      <c r="E239" s="19" t="s">
        <v>828</v>
      </c>
      <c r="F239" s="20" t="s">
        <v>42</v>
      </c>
      <c r="G239" s="21" t="s">
        <v>43</v>
      </c>
      <c r="H239" s="19" t="s">
        <v>44</v>
      </c>
      <c r="I239" s="19"/>
      <c r="J239" s="19" t="s">
        <v>284</v>
      </c>
      <c r="K239" s="19" t="s">
        <v>47</v>
      </c>
      <c r="L239" s="19"/>
      <c r="M239" s="19" t="s">
        <v>278</v>
      </c>
      <c r="N239" s="19" t="s">
        <v>279</v>
      </c>
      <c r="O239" s="19" t="s">
        <v>63</v>
      </c>
      <c r="P239" s="19" t="s">
        <v>65</v>
      </c>
      <c r="Q239" s="19" t="s">
        <v>1135</v>
      </c>
      <c r="R239" s="19" t="s">
        <v>1175</v>
      </c>
      <c r="S239" s="19"/>
      <c r="T239" s="19" t="s">
        <v>41</v>
      </c>
      <c r="U239" s="19" t="s">
        <v>195</v>
      </c>
      <c r="V239" s="19" t="s">
        <v>55</v>
      </c>
      <c r="W239" s="19" t="s">
        <v>151</v>
      </c>
      <c r="X239" s="19" t="s">
        <v>69</v>
      </c>
      <c r="Y239" s="19" t="s">
        <v>69</v>
      </c>
      <c r="Z239" s="19" t="s">
        <v>1176</v>
      </c>
      <c r="AA239" s="19">
        <v>1</v>
      </c>
      <c r="AB239" s="19">
        <v>1</v>
      </c>
      <c r="AC239" s="19" t="s">
        <v>58</v>
      </c>
      <c r="AD239" s="19" t="s">
        <v>65</v>
      </c>
      <c r="AE239" s="19" t="s">
        <v>1063</v>
      </c>
      <c r="AF239" s="19" t="s">
        <v>1177</v>
      </c>
    </row>
    <row r="240" spans="1:34" customHeight="1" ht="42">
      <c r="A240" s="19">
        <v>235</v>
      </c>
      <c r="B240" s="19" t="s">
        <v>865</v>
      </c>
      <c r="C240" s="19" t="s">
        <v>345</v>
      </c>
      <c r="D240" s="19" t="str">
        <f>HYPERLINK("http://henontech.com/fieldsafety/harzard/harzard_show.php?rid=3189&amp;url=harzardrecs.php","脱硫硫铵稠厚器顶瓦固定不牢，一名巡检工经过此处下方巡检时，顶瓦瓦片一旦掉落，割伤一名巡检工的脖颈处，送医治疗8天后恢复健康上班。")</f>
        <v>脱硫硫铵稠厚器顶瓦固定不牢，一名巡检工经过此处下方巡检时，顶瓦瓦片一旦掉落，割伤一名巡检工的脖颈处，送医治疗8天后恢复健康上班。</v>
      </c>
      <c r="E240" s="19" t="s">
        <v>1178</v>
      </c>
      <c r="F240" s="20" t="s">
        <v>42</v>
      </c>
      <c r="G240" s="25" t="s">
        <v>264</v>
      </c>
      <c r="H240" s="19" t="s">
        <v>44</v>
      </c>
      <c r="I240" s="19"/>
      <c r="J240" s="19" t="s">
        <v>46</v>
      </c>
      <c r="K240" s="19"/>
      <c r="L240" s="19" t="s">
        <v>48</v>
      </c>
      <c r="M240" s="19" t="s">
        <v>278</v>
      </c>
      <c r="N240" s="19" t="s">
        <v>291</v>
      </c>
      <c r="O240" s="19" t="s">
        <v>130</v>
      </c>
      <c r="P240" s="19" t="s">
        <v>132</v>
      </c>
      <c r="Q240" s="19" t="s">
        <v>661</v>
      </c>
      <c r="R240" s="19" t="s">
        <v>292</v>
      </c>
      <c r="S240" s="19"/>
      <c r="T240" s="19" t="s">
        <v>41</v>
      </c>
      <c r="U240" s="19" t="s">
        <v>135</v>
      </c>
      <c r="V240" s="19" t="s">
        <v>106</v>
      </c>
      <c r="W240" s="19" t="s">
        <v>151</v>
      </c>
      <c r="X240" s="19"/>
      <c r="Y240" s="19"/>
      <c r="Z240" s="19" t="s">
        <v>1179</v>
      </c>
      <c r="AA240" s="19">
        <v>2</v>
      </c>
      <c r="AB240" s="19">
        <v>2</v>
      </c>
      <c r="AC240" s="19" t="s">
        <v>58</v>
      </c>
      <c r="AD240" s="19" t="s">
        <v>132</v>
      </c>
      <c r="AE240" s="19" t="s">
        <v>237</v>
      </c>
      <c r="AF240" s="19" t="s">
        <v>1180</v>
      </c>
    </row>
    <row r="241" spans="1:34" customHeight="1" ht="42">
      <c r="A241" s="19">
        <v>236</v>
      </c>
      <c r="B241" s="19" t="s">
        <v>865</v>
      </c>
      <c r="C241" s="19" t="s">
        <v>1181</v>
      </c>
      <c r="D241" s="19" t="str">
        <f>HYPERLINK("http://henontech.com/fieldsafety/harzard/harzard_show.php?rid=3190&amp;url=harzardrecs.php","无栏杆或警示牌在巡检或其它作业活动中可能掉入")</f>
        <v>无栏杆或警示牌在巡检或其它作业活动中可能掉入</v>
      </c>
      <c r="E241" s="19" t="s">
        <v>1182</v>
      </c>
      <c r="F241" s="20" t="s">
        <v>42</v>
      </c>
      <c r="G241" s="21" t="s">
        <v>43</v>
      </c>
      <c r="H241" s="19" t="s">
        <v>44</v>
      </c>
      <c r="I241" s="19" t="s">
        <v>45</v>
      </c>
      <c r="J241" s="19" t="s">
        <v>91</v>
      </c>
      <c r="K241" s="19" t="s">
        <v>100</v>
      </c>
      <c r="L241" s="19" t="s">
        <v>48</v>
      </c>
      <c r="M241" s="19" t="s">
        <v>130</v>
      </c>
      <c r="N241" s="19" t="s">
        <v>248</v>
      </c>
      <c r="O241" s="19" t="s">
        <v>130</v>
      </c>
      <c r="P241" s="19" t="s">
        <v>132</v>
      </c>
      <c r="Q241" s="19" t="s">
        <v>495</v>
      </c>
      <c r="R241" s="19" t="s">
        <v>1183</v>
      </c>
      <c r="S241" s="19"/>
      <c r="T241" s="19" t="s">
        <v>41</v>
      </c>
      <c r="U241" s="19" t="s">
        <v>54</v>
      </c>
      <c r="V241" s="19" t="s">
        <v>168</v>
      </c>
      <c r="W241" s="19" t="s">
        <v>151</v>
      </c>
      <c r="X241" s="19" t="s">
        <v>69</v>
      </c>
      <c r="Y241" s="19" t="s">
        <v>69</v>
      </c>
      <c r="Z241" s="19" t="s">
        <v>1184</v>
      </c>
      <c r="AA241" s="19">
        <v>2</v>
      </c>
      <c r="AB241" s="19">
        <v>1</v>
      </c>
      <c r="AC241" s="19" t="s">
        <v>58</v>
      </c>
      <c r="AD241" s="19" t="s">
        <v>132</v>
      </c>
      <c r="AE241" s="19" t="s">
        <v>214</v>
      </c>
      <c r="AF241" s="19" t="s">
        <v>1185</v>
      </c>
    </row>
    <row r="242" spans="1:34">
      <c r="A242" s="19">
        <v>237</v>
      </c>
      <c r="B242" s="19" t="s">
        <v>865</v>
      </c>
      <c r="C242" s="19" t="s">
        <v>834</v>
      </c>
      <c r="D242" s="19" t="str">
        <f>HYPERLINK("http://henontech.com/fieldsafety/harzard/harzard_show.php?rid=3191&amp;url=harzardrecs.php","干熄焦提升机地板直通向下部二层平台的检修口盖盖板，晚上因光线暗巡检人员经过时踩空从检修口摔至1.8米高差的下层平台，坠落惯性使其又从二层平台护栏40厘米间隙滚落摔到40米高差水泥地面")</f>
        <v>干熄焦提升机地板直通向下部二层平台的检修口盖盖板，晚上因光线暗巡检人员经过时踩空从检修口摔至1.8米高差的下层平台，坠落惯性使其又从二层平台护栏40厘米间隙滚落摔到40米高差水泥地面</v>
      </c>
      <c r="E242" s="19" t="s">
        <v>1186</v>
      </c>
      <c r="F242" s="23" t="s">
        <v>187</v>
      </c>
      <c r="G242" s="21" t="s">
        <v>43</v>
      </c>
      <c r="H242" s="19" t="s">
        <v>44</v>
      </c>
      <c r="I242" s="19" t="s">
        <v>75</v>
      </c>
      <c r="J242" s="19" t="s">
        <v>91</v>
      </c>
      <c r="K242" s="19" t="s">
        <v>129</v>
      </c>
      <c r="L242" s="19" t="s">
        <v>48</v>
      </c>
      <c r="M242" s="19" t="s">
        <v>101</v>
      </c>
      <c r="N242" s="19" t="s">
        <v>1187</v>
      </c>
      <c r="O242" s="19" t="s">
        <v>101</v>
      </c>
      <c r="P242" s="19" t="s">
        <v>794</v>
      </c>
      <c r="Q242" s="19" t="s">
        <v>1144</v>
      </c>
      <c r="R242" s="19" t="s">
        <v>1188</v>
      </c>
      <c r="S242" s="19" t="s">
        <v>1189</v>
      </c>
      <c r="T242" s="19" t="s">
        <v>41</v>
      </c>
      <c r="U242" s="19" t="s">
        <v>195</v>
      </c>
      <c r="V242" s="19" t="s">
        <v>55</v>
      </c>
      <c r="W242" s="19" t="s">
        <v>151</v>
      </c>
      <c r="X242" s="19" t="s">
        <v>69</v>
      </c>
      <c r="Y242" s="19" t="s">
        <v>69</v>
      </c>
      <c r="Z242" s="19" t="s">
        <v>1190</v>
      </c>
      <c r="AA242" s="19">
        <v>1</v>
      </c>
      <c r="AB242" s="19"/>
      <c r="AC242" s="19" t="s">
        <v>162</v>
      </c>
      <c r="AD242" s="19"/>
      <c r="AE242" s="19"/>
      <c r="AF242" s="1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1:M1"/>
    <mergeCell ref="E2:M2"/>
    <mergeCell ref="E3:M3"/>
    <mergeCell ref="A4:F4"/>
    <mergeCell ref="G4:S4"/>
    <mergeCell ref="T4:W4"/>
    <mergeCell ref="X4:Y4"/>
    <mergeCell ref="Z4:AF4"/>
    <mergeCell ref="A6:A6"/>
    <mergeCell ref="B6:B6"/>
    <mergeCell ref="C6:C6"/>
    <mergeCell ref="F6:F6"/>
    <mergeCell ref="G6:G6"/>
    <mergeCell ref="H6:H6"/>
    <mergeCell ref="M6:M6"/>
    <mergeCell ref="N6:N6"/>
    <mergeCell ref="O6:O6"/>
    <mergeCell ref="P6:P6"/>
    <mergeCell ref="Q6:Q6"/>
    <mergeCell ref="R6:R6"/>
    <mergeCell ref="S6:S6"/>
    <mergeCell ref="X6:X6"/>
    <mergeCell ref="Y6:Y6"/>
    <mergeCell ref="Z6:Z6"/>
    <mergeCell ref="AA6:AA6"/>
    <mergeCell ref="AB6:AB6"/>
    <mergeCell ref="AC6:AC6"/>
    <mergeCell ref="AD6:AD6"/>
    <mergeCell ref="AE6:AE6"/>
    <mergeCell ref="AF6:AF6"/>
    <mergeCell ref="A7:A7"/>
    <mergeCell ref="B7:B7"/>
    <mergeCell ref="C7:C7"/>
    <mergeCell ref="F7:F7"/>
    <mergeCell ref="G7:G7"/>
    <mergeCell ref="H7:H7"/>
    <mergeCell ref="M7:M7"/>
    <mergeCell ref="N7:N7"/>
    <mergeCell ref="O7:O7"/>
    <mergeCell ref="P7:P7"/>
    <mergeCell ref="Q7:Q7"/>
    <mergeCell ref="R7:R7"/>
    <mergeCell ref="S7:S7"/>
    <mergeCell ref="X7:X7"/>
    <mergeCell ref="Y7:Y7"/>
    <mergeCell ref="Z7:Z7"/>
    <mergeCell ref="AA7:AA7"/>
    <mergeCell ref="AB7:AB7"/>
    <mergeCell ref="AC7:AC7"/>
    <mergeCell ref="AD7:AD7"/>
    <mergeCell ref="AE7:AE7"/>
    <mergeCell ref="AF7:AF7"/>
    <mergeCell ref="A8:A8"/>
    <mergeCell ref="B8:B8"/>
    <mergeCell ref="C8:C8"/>
    <mergeCell ref="F8:F8"/>
    <mergeCell ref="G8:G8"/>
    <mergeCell ref="H8:H8"/>
    <mergeCell ref="M8:M8"/>
    <mergeCell ref="N8:N8"/>
    <mergeCell ref="O8:O8"/>
    <mergeCell ref="P8:P8"/>
    <mergeCell ref="Q8:Q8"/>
    <mergeCell ref="R8:R8"/>
    <mergeCell ref="S8:S8"/>
    <mergeCell ref="X8:X8"/>
    <mergeCell ref="Y8:Y8"/>
    <mergeCell ref="Z8:Z8"/>
    <mergeCell ref="AA8:AA8"/>
    <mergeCell ref="AB8:AB8"/>
    <mergeCell ref="AC8:AC8"/>
    <mergeCell ref="AD8:AD8"/>
    <mergeCell ref="AE8:AE8"/>
    <mergeCell ref="AF8:AF8"/>
    <mergeCell ref="A9:A9"/>
    <mergeCell ref="B9:B9"/>
    <mergeCell ref="C9:C9"/>
    <mergeCell ref="F9:F9"/>
    <mergeCell ref="G9:G9"/>
    <mergeCell ref="H9:H9"/>
    <mergeCell ref="M9:M9"/>
    <mergeCell ref="N9:N9"/>
    <mergeCell ref="O9:O9"/>
    <mergeCell ref="P9:P9"/>
    <mergeCell ref="Q9:Q9"/>
    <mergeCell ref="R9:R9"/>
    <mergeCell ref="S9:S9"/>
    <mergeCell ref="X9:X9"/>
    <mergeCell ref="Y9:Y9"/>
    <mergeCell ref="Z9:Z9"/>
    <mergeCell ref="AA9:AA9"/>
    <mergeCell ref="AB9:AB9"/>
    <mergeCell ref="AC9:AC9"/>
    <mergeCell ref="AD9:AD9"/>
    <mergeCell ref="AE9:AE9"/>
    <mergeCell ref="AF9:AF9"/>
    <mergeCell ref="A10:A10"/>
    <mergeCell ref="B10:B10"/>
    <mergeCell ref="C10:C10"/>
    <mergeCell ref="F10:F10"/>
    <mergeCell ref="G10:G10"/>
    <mergeCell ref="H10:H10"/>
    <mergeCell ref="M10:M10"/>
    <mergeCell ref="N10:N10"/>
    <mergeCell ref="O10:O10"/>
    <mergeCell ref="P10:P10"/>
    <mergeCell ref="Q10:Q10"/>
    <mergeCell ref="R10:R10"/>
    <mergeCell ref="S10:S10"/>
    <mergeCell ref="X10:X10"/>
    <mergeCell ref="Y10:Y10"/>
    <mergeCell ref="Z10:Z10"/>
    <mergeCell ref="AA10:AA10"/>
    <mergeCell ref="AB10:AB10"/>
    <mergeCell ref="AC10:AC10"/>
    <mergeCell ref="AD10:AD10"/>
    <mergeCell ref="AE10:AE10"/>
    <mergeCell ref="AF10:AF10"/>
    <mergeCell ref="A11:A11"/>
    <mergeCell ref="B11:B11"/>
    <mergeCell ref="C11:C11"/>
    <mergeCell ref="F11:F11"/>
    <mergeCell ref="G11:G11"/>
    <mergeCell ref="H11:H11"/>
    <mergeCell ref="M11:M11"/>
    <mergeCell ref="N11:N11"/>
    <mergeCell ref="O11:O11"/>
    <mergeCell ref="P11:P11"/>
    <mergeCell ref="Q11:Q11"/>
    <mergeCell ref="R11:R11"/>
    <mergeCell ref="S11:S11"/>
    <mergeCell ref="X11:X11"/>
    <mergeCell ref="Y11:Y11"/>
    <mergeCell ref="Z11:Z11"/>
    <mergeCell ref="AA11:AA11"/>
    <mergeCell ref="AB11:AB11"/>
    <mergeCell ref="AC11:AC11"/>
    <mergeCell ref="AD11:AD11"/>
    <mergeCell ref="AE11:AE11"/>
    <mergeCell ref="AF11:AF11"/>
    <mergeCell ref="A12:A12"/>
    <mergeCell ref="B12:B12"/>
    <mergeCell ref="C12:C12"/>
    <mergeCell ref="F12:F12"/>
    <mergeCell ref="G12:G12"/>
    <mergeCell ref="H12:H12"/>
    <mergeCell ref="M12:M12"/>
    <mergeCell ref="N12:N12"/>
    <mergeCell ref="O12:O12"/>
    <mergeCell ref="P12:P12"/>
    <mergeCell ref="Q12:Q12"/>
    <mergeCell ref="R12:R12"/>
    <mergeCell ref="S12:S12"/>
    <mergeCell ref="X12:X12"/>
    <mergeCell ref="Y12:Y12"/>
    <mergeCell ref="Z12:Z12"/>
    <mergeCell ref="AA12:AA12"/>
    <mergeCell ref="AB12:AB12"/>
    <mergeCell ref="AC12:AC12"/>
    <mergeCell ref="AD12:AD12"/>
    <mergeCell ref="AE12:AE12"/>
    <mergeCell ref="AF12:AF12"/>
    <mergeCell ref="A13:A13"/>
    <mergeCell ref="B13:B13"/>
    <mergeCell ref="C13:C13"/>
    <mergeCell ref="F13:F13"/>
    <mergeCell ref="G13:G13"/>
    <mergeCell ref="H13:H13"/>
    <mergeCell ref="M13:M13"/>
    <mergeCell ref="N13:N13"/>
    <mergeCell ref="O13:O13"/>
    <mergeCell ref="P13:P13"/>
    <mergeCell ref="Q13:Q13"/>
    <mergeCell ref="R13:R13"/>
    <mergeCell ref="S13:S13"/>
    <mergeCell ref="X13:X13"/>
    <mergeCell ref="Y13:Y13"/>
    <mergeCell ref="Z13:Z13"/>
    <mergeCell ref="AA13:AA13"/>
    <mergeCell ref="AB13:AB13"/>
    <mergeCell ref="AC13:AC13"/>
    <mergeCell ref="AD13:AD13"/>
    <mergeCell ref="AE13:AE13"/>
    <mergeCell ref="AF13:AF13"/>
    <mergeCell ref="A14:A14"/>
    <mergeCell ref="B14:B14"/>
    <mergeCell ref="C14:C14"/>
    <mergeCell ref="F14:F14"/>
    <mergeCell ref="G14:G14"/>
    <mergeCell ref="H14:H14"/>
    <mergeCell ref="M14:M14"/>
    <mergeCell ref="N14:N14"/>
    <mergeCell ref="O14:O14"/>
    <mergeCell ref="P14:P14"/>
    <mergeCell ref="Q14:Q14"/>
    <mergeCell ref="R14:R14"/>
    <mergeCell ref="S14:S14"/>
    <mergeCell ref="X14:X14"/>
    <mergeCell ref="Y14:Y14"/>
    <mergeCell ref="Z14:Z14"/>
    <mergeCell ref="AA14:AA14"/>
    <mergeCell ref="AB14:AB14"/>
    <mergeCell ref="AC14:AC14"/>
    <mergeCell ref="AD14:AD14"/>
    <mergeCell ref="AE14:AE14"/>
    <mergeCell ref="AF14:AF14"/>
    <mergeCell ref="A15:A15"/>
    <mergeCell ref="B15:B15"/>
    <mergeCell ref="C15:C15"/>
    <mergeCell ref="F15:F15"/>
    <mergeCell ref="G15:G15"/>
    <mergeCell ref="H15:H15"/>
    <mergeCell ref="M15:M15"/>
    <mergeCell ref="N15:N15"/>
    <mergeCell ref="O15:O15"/>
    <mergeCell ref="P15:P15"/>
    <mergeCell ref="Q15:Q15"/>
    <mergeCell ref="R15:R15"/>
    <mergeCell ref="S15:S15"/>
    <mergeCell ref="X15:X15"/>
    <mergeCell ref="Y15:Y15"/>
    <mergeCell ref="Z15:Z15"/>
    <mergeCell ref="AA15:AA15"/>
    <mergeCell ref="AB15:AB15"/>
    <mergeCell ref="AC15:AC15"/>
    <mergeCell ref="AD15:AD15"/>
    <mergeCell ref="AE15:AE15"/>
    <mergeCell ref="AF15:AF15"/>
    <mergeCell ref="A16:A16"/>
    <mergeCell ref="B16:B16"/>
    <mergeCell ref="C16:C16"/>
    <mergeCell ref="F16:F16"/>
    <mergeCell ref="G16:G16"/>
    <mergeCell ref="H16:H16"/>
    <mergeCell ref="M16:M16"/>
    <mergeCell ref="N16:N16"/>
    <mergeCell ref="O16:O16"/>
    <mergeCell ref="P16:P16"/>
    <mergeCell ref="Q16:Q16"/>
    <mergeCell ref="R16:R16"/>
    <mergeCell ref="S16:S16"/>
    <mergeCell ref="X16:X16"/>
    <mergeCell ref="Y16:Y16"/>
    <mergeCell ref="Z16:Z16"/>
    <mergeCell ref="AA16:AA16"/>
    <mergeCell ref="AB16:AB16"/>
    <mergeCell ref="AC16:AC16"/>
    <mergeCell ref="AD16:AD16"/>
    <mergeCell ref="AE16:AE16"/>
    <mergeCell ref="AF16:AF16"/>
    <mergeCell ref="A17:A17"/>
    <mergeCell ref="B17:B17"/>
    <mergeCell ref="C17:C17"/>
    <mergeCell ref="F17:F17"/>
    <mergeCell ref="G17:G17"/>
    <mergeCell ref="H17:H17"/>
    <mergeCell ref="M17:M17"/>
    <mergeCell ref="N17:N17"/>
    <mergeCell ref="O17:O17"/>
    <mergeCell ref="P17:P17"/>
    <mergeCell ref="Q17:Q17"/>
    <mergeCell ref="R17:R17"/>
    <mergeCell ref="S17:S17"/>
    <mergeCell ref="X17:X17"/>
    <mergeCell ref="Y17:Y17"/>
    <mergeCell ref="Z17:Z17"/>
    <mergeCell ref="AA17:AA17"/>
    <mergeCell ref="AB17:AB17"/>
    <mergeCell ref="AC17:AC17"/>
    <mergeCell ref="AD17:AD17"/>
    <mergeCell ref="AE17:AE17"/>
    <mergeCell ref="AF17:AF17"/>
    <mergeCell ref="A18:A18"/>
    <mergeCell ref="B18:B18"/>
    <mergeCell ref="C18:C18"/>
    <mergeCell ref="F18:F18"/>
    <mergeCell ref="G18:G18"/>
    <mergeCell ref="H18:H18"/>
    <mergeCell ref="M18:M18"/>
    <mergeCell ref="N18:N18"/>
    <mergeCell ref="O18:O18"/>
    <mergeCell ref="P18:P18"/>
    <mergeCell ref="Q18:Q18"/>
    <mergeCell ref="R18:R18"/>
    <mergeCell ref="S18:S18"/>
    <mergeCell ref="X18:X18"/>
    <mergeCell ref="Y18:Y18"/>
    <mergeCell ref="Z18:Z18"/>
    <mergeCell ref="AA18:AA18"/>
    <mergeCell ref="AB18:AB18"/>
    <mergeCell ref="AC18:AC18"/>
    <mergeCell ref="AD18:AD18"/>
    <mergeCell ref="AE18:AE18"/>
    <mergeCell ref="AF18:AF18"/>
    <mergeCell ref="A19:A19"/>
    <mergeCell ref="B19:B19"/>
    <mergeCell ref="C19:C19"/>
    <mergeCell ref="F19:F19"/>
    <mergeCell ref="G19:G19"/>
    <mergeCell ref="H19:H19"/>
    <mergeCell ref="M19:M19"/>
    <mergeCell ref="N19:N19"/>
    <mergeCell ref="O19:O19"/>
    <mergeCell ref="P19:P19"/>
    <mergeCell ref="Q19:Q19"/>
    <mergeCell ref="R19:R19"/>
    <mergeCell ref="S19:S19"/>
    <mergeCell ref="X19:X19"/>
    <mergeCell ref="Y19:Y19"/>
    <mergeCell ref="Z19:Z19"/>
    <mergeCell ref="AA19:AA19"/>
    <mergeCell ref="AB19:AB19"/>
    <mergeCell ref="AC19:AC19"/>
    <mergeCell ref="AD19:AD19"/>
    <mergeCell ref="AE19:AE19"/>
    <mergeCell ref="AF19:AF19"/>
    <mergeCell ref="A20:A20"/>
    <mergeCell ref="B20:B20"/>
    <mergeCell ref="C20:C20"/>
    <mergeCell ref="F20:F20"/>
    <mergeCell ref="G20:G20"/>
    <mergeCell ref="H20:H20"/>
    <mergeCell ref="M20:M20"/>
    <mergeCell ref="N20:N20"/>
    <mergeCell ref="O20:O20"/>
    <mergeCell ref="P20:P20"/>
    <mergeCell ref="Q20:Q20"/>
    <mergeCell ref="R20:R20"/>
    <mergeCell ref="S20:S20"/>
    <mergeCell ref="X20:X20"/>
    <mergeCell ref="Y20:Y20"/>
    <mergeCell ref="Z20:Z20"/>
    <mergeCell ref="AA20:AA20"/>
    <mergeCell ref="AB20:AB20"/>
    <mergeCell ref="AC20:AC20"/>
    <mergeCell ref="AD20:AD20"/>
    <mergeCell ref="AE20:AE20"/>
    <mergeCell ref="AF20:AF20"/>
    <mergeCell ref="A21:A21"/>
    <mergeCell ref="B21:B21"/>
    <mergeCell ref="C21:C21"/>
    <mergeCell ref="F21:F21"/>
    <mergeCell ref="G21:G21"/>
    <mergeCell ref="H21:H21"/>
    <mergeCell ref="M21:M21"/>
    <mergeCell ref="N21:N21"/>
    <mergeCell ref="O21:O21"/>
    <mergeCell ref="P21:P21"/>
    <mergeCell ref="Q21:Q21"/>
    <mergeCell ref="R21:R21"/>
    <mergeCell ref="S21:S21"/>
    <mergeCell ref="X21:X21"/>
    <mergeCell ref="Y21:Y21"/>
    <mergeCell ref="Z21:Z21"/>
    <mergeCell ref="AA21:AA21"/>
    <mergeCell ref="AB21:AB21"/>
    <mergeCell ref="AC21:AC21"/>
    <mergeCell ref="AD21:AD21"/>
    <mergeCell ref="AE21:AE21"/>
    <mergeCell ref="AF21:AF21"/>
    <mergeCell ref="A22:A22"/>
    <mergeCell ref="B22:B22"/>
    <mergeCell ref="C22:C22"/>
    <mergeCell ref="F22:F22"/>
    <mergeCell ref="G22:G22"/>
    <mergeCell ref="H22:H22"/>
    <mergeCell ref="M22:M22"/>
    <mergeCell ref="N22:N22"/>
    <mergeCell ref="O22:O22"/>
    <mergeCell ref="P22:P22"/>
    <mergeCell ref="Q22:Q22"/>
    <mergeCell ref="R22:R22"/>
    <mergeCell ref="S22:S22"/>
    <mergeCell ref="X22:X22"/>
    <mergeCell ref="Y22:Y22"/>
    <mergeCell ref="Z22:Z22"/>
    <mergeCell ref="AA22:AA22"/>
    <mergeCell ref="AB22:AB22"/>
    <mergeCell ref="AC22:AC22"/>
    <mergeCell ref="AD22:AD22"/>
    <mergeCell ref="AE22:AE22"/>
    <mergeCell ref="AF22:AF22"/>
    <mergeCell ref="A23:A23"/>
    <mergeCell ref="B23:B23"/>
    <mergeCell ref="C23:C23"/>
    <mergeCell ref="F23:F23"/>
    <mergeCell ref="G23:G23"/>
    <mergeCell ref="H23:H23"/>
    <mergeCell ref="M23:M23"/>
    <mergeCell ref="N23:N23"/>
    <mergeCell ref="O23:O23"/>
    <mergeCell ref="P23:P23"/>
    <mergeCell ref="Q23:Q23"/>
    <mergeCell ref="R23:R23"/>
    <mergeCell ref="S23:S23"/>
    <mergeCell ref="X23:X23"/>
    <mergeCell ref="Y23:Y23"/>
    <mergeCell ref="Z23:Z23"/>
    <mergeCell ref="AA23:AA23"/>
    <mergeCell ref="AB23:AB23"/>
    <mergeCell ref="AC23:AC23"/>
    <mergeCell ref="AD23:AD23"/>
    <mergeCell ref="AE23:AE23"/>
    <mergeCell ref="AF23:AF23"/>
    <mergeCell ref="A24:A24"/>
    <mergeCell ref="B24:B24"/>
    <mergeCell ref="C24:C24"/>
    <mergeCell ref="F24:F24"/>
    <mergeCell ref="G24:G24"/>
    <mergeCell ref="H24:H24"/>
    <mergeCell ref="M24:M24"/>
    <mergeCell ref="N24:N24"/>
    <mergeCell ref="O24:O24"/>
    <mergeCell ref="P24:P24"/>
    <mergeCell ref="Q24:Q24"/>
    <mergeCell ref="R24:R24"/>
    <mergeCell ref="S24:S24"/>
    <mergeCell ref="X24:X24"/>
    <mergeCell ref="Y24:Y24"/>
    <mergeCell ref="Z24:Z24"/>
    <mergeCell ref="AA24:AA24"/>
    <mergeCell ref="AB24:AB24"/>
    <mergeCell ref="AC24:AC24"/>
    <mergeCell ref="AD24:AD24"/>
    <mergeCell ref="AE24:AE24"/>
    <mergeCell ref="AF24:AF24"/>
    <mergeCell ref="A25:A25"/>
    <mergeCell ref="B25:B25"/>
    <mergeCell ref="C25:C25"/>
    <mergeCell ref="F25:F25"/>
    <mergeCell ref="G25:G25"/>
    <mergeCell ref="H25:H25"/>
    <mergeCell ref="M25:M25"/>
    <mergeCell ref="N25:N25"/>
    <mergeCell ref="O25:O25"/>
    <mergeCell ref="P25:P25"/>
    <mergeCell ref="Q25:Q25"/>
    <mergeCell ref="R25:R25"/>
    <mergeCell ref="S25:S25"/>
    <mergeCell ref="X25:X25"/>
    <mergeCell ref="Y25:Y25"/>
    <mergeCell ref="Z25:Z25"/>
    <mergeCell ref="AA25:AA25"/>
    <mergeCell ref="AB25:AB25"/>
    <mergeCell ref="AC25:AC25"/>
    <mergeCell ref="AD25:AD25"/>
    <mergeCell ref="AE25:AE25"/>
    <mergeCell ref="AF25:AF25"/>
    <mergeCell ref="A26:A26"/>
    <mergeCell ref="B26:B26"/>
    <mergeCell ref="C26:C26"/>
    <mergeCell ref="F26:F26"/>
    <mergeCell ref="G26:G26"/>
    <mergeCell ref="H26:H26"/>
    <mergeCell ref="M26:M26"/>
    <mergeCell ref="N26:N26"/>
    <mergeCell ref="O26:O26"/>
    <mergeCell ref="P26:P26"/>
    <mergeCell ref="Q26:Q26"/>
    <mergeCell ref="R26:R26"/>
    <mergeCell ref="S26:S26"/>
    <mergeCell ref="X26:X26"/>
    <mergeCell ref="Y26:Y26"/>
    <mergeCell ref="Z26:Z26"/>
    <mergeCell ref="AA26:AA26"/>
    <mergeCell ref="AB26:AB26"/>
    <mergeCell ref="AC26:AC26"/>
    <mergeCell ref="AD26:AD26"/>
    <mergeCell ref="AE26:AE26"/>
    <mergeCell ref="AF26:AF26"/>
    <mergeCell ref="A27:A27"/>
    <mergeCell ref="B27:B27"/>
    <mergeCell ref="C27:C27"/>
    <mergeCell ref="F27:F27"/>
    <mergeCell ref="G27:G27"/>
    <mergeCell ref="H27:H27"/>
    <mergeCell ref="M27:M27"/>
    <mergeCell ref="N27:N27"/>
    <mergeCell ref="O27:O27"/>
    <mergeCell ref="P27:P27"/>
    <mergeCell ref="Q27:Q27"/>
    <mergeCell ref="R27:R27"/>
    <mergeCell ref="S27:S27"/>
    <mergeCell ref="X27:X27"/>
    <mergeCell ref="Y27:Y27"/>
    <mergeCell ref="Z27:Z27"/>
    <mergeCell ref="AA27:AA27"/>
    <mergeCell ref="AB27:AB27"/>
    <mergeCell ref="AC27:AC27"/>
    <mergeCell ref="AD27:AD27"/>
    <mergeCell ref="AE27:AE27"/>
    <mergeCell ref="AF27:AF27"/>
    <mergeCell ref="A28:A28"/>
    <mergeCell ref="B28:B28"/>
    <mergeCell ref="C28:C28"/>
    <mergeCell ref="F28:F28"/>
    <mergeCell ref="G28:G28"/>
    <mergeCell ref="H28:H28"/>
    <mergeCell ref="M28:M28"/>
    <mergeCell ref="N28:N28"/>
    <mergeCell ref="O28:O28"/>
    <mergeCell ref="P28:P28"/>
    <mergeCell ref="Q28:Q28"/>
    <mergeCell ref="R28:R28"/>
    <mergeCell ref="S28:S28"/>
    <mergeCell ref="X28:X28"/>
    <mergeCell ref="Y28:Y28"/>
    <mergeCell ref="Z28:Z28"/>
    <mergeCell ref="AA28:AA28"/>
    <mergeCell ref="AB28:AB28"/>
    <mergeCell ref="AC28:AC28"/>
    <mergeCell ref="AD28:AD28"/>
    <mergeCell ref="AE28:AE28"/>
    <mergeCell ref="AF28:AF28"/>
    <mergeCell ref="A29:A29"/>
    <mergeCell ref="B29:B29"/>
    <mergeCell ref="C29:C29"/>
    <mergeCell ref="F29:F29"/>
    <mergeCell ref="G29:G29"/>
    <mergeCell ref="H29:H29"/>
    <mergeCell ref="M29:M29"/>
    <mergeCell ref="N29:N29"/>
    <mergeCell ref="O29:O29"/>
    <mergeCell ref="P29:P29"/>
    <mergeCell ref="Q29:Q29"/>
    <mergeCell ref="R29:R29"/>
    <mergeCell ref="S29:S29"/>
    <mergeCell ref="X29:X29"/>
    <mergeCell ref="Y29:Y29"/>
    <mergeCell ref="Z29:Z29"/>
    <mergeCell ref="AA29:AA29"/>
    <mergeCell ref="AB29:AB29"/>
    <mergeCell ref="AC29:AC29"/>
    <mergeCell ref="AD29:AD29"/>
    <mergeCell ref="AE29:AE29"/>
    <mergeCell ref="AF29:AF29"/>
    <mergeCell ref="A30:A30"/>
    <mergeCell ref="B30:B30"/>
    <mergeCell ref="C30:C30"/>
    <mergeCell ref="F30:F30"/>
    <mergeCell ref="G30:G30"/>
    <mergeCell ref="H30:H30"/>
    <mergeCell ref="M30:M30"/>
    <mergeCell ref="N30:N30"/>
    <mergeCell ref="O30:O30"/>
    <mergeCell ref="P30:P30"/>
    <mergeCell ref="Q30:Q30"/>
    <mergeCell ref="R30:R30"/>
    <mergeCell ref="S30:S30"/>
    <mergeCell ref="X30:X30"/>
    <mergeCell ref="Y30:Y30"/>
    <mergeCell ref="Z30:Z30"/>
    <mergeCell ref="AA30:AA30"/>
    <mergeCell ref="AB30:AB30"/>
    <mergeCell ref="AC30:AC30"/>
    <mergeCell ref="AD30:AD30"/>
    <mergeCell ref="AE30:AE30"/>
    <mergeCell ref="AF30:AF30"/>
    <mergeCell ref="A31:A31"/>
    <mergeCell ref="B31:B31"/>
    <mergeCell ref="C31:C31"/>
    <mergeCell ref="F31:F31"/>
    <mergeCell ref="G31:G31"/>
    <mergeCell ref="H31:H31"/>
    <mergeCell ref="M31:M31"/>
    <mergeCell ref="N31:N31"/>
    <mergeCell ref="O31:O31"/>
    <mergeCell ref="P31:P31"/>
    <mergeCell ref="Q31:Q31"/>
    <mergeCell ref="R31:R31"/>
    <mergeCell ref="S31:S31"/>
    <mergeCell ref="X31:X31"/>
    <mergeCell ref="Y31:Y31"/>
    <mergeCell ref="Z31:Z31"/>
    <mergeCell ref="AA31:AA31"/>
    <mergeCell ref="AB31:AB31"/>
    <mergeCell ref="AC31:AC31"/>
    <mergeCell ref="AD31:AD31"/>
    <mergeCell ref="AE31:AE31"/>
    <mergeCell ref="AF31:AF31"/>
    <mergeCell ref="A32:A32"/>
    <mergeCell ref="B32:B32"/>
    <mergeCell ref="C32:C32"/>
    <mergeCell ref="F32:F32"/>
    <mergeCell ref="G32:G32"/>
    <mergeCell ref="H32:H32"/>
    <mergeCell ref="M32:M32"/>
    <mergeCell ref="N32:N32"/>
    <mergeCell ref="O32:O32"/>
    <mergeCell ref="P32:P32"/>
    <mergeCell ref="Q32:Q32"/>
    <mergeCell ref="R32:R32"/>
    <mergeCell ref="S32:S32"/>
    <mergeCell ref="X32:X32"/>
    <mergeCell ref="Y32:Y32"/>
    <mergeCell ref="Z32:Z32"/>
    <mergeCell ref="AA32:AA32"/>
    <mergeCell ref="AB32:AB32"/>
    <mergeCell ref="AC32:AC32"/>
    <mergeCell ref="AD32:AD32"/>
    <mergeCell ref="AE32:AE32"/>
    <mergeCell ref="AF32:AF32"/>
    <mergeCell ref="A33:A33"/>
    <mergeCell ref="B33:B33"/>
    <mergeCell ref="C33:C33"/>
    <mergeCell ref="F33:F33"/>
    <mergeCell ref="G33:G33"/>
    <mergeCell ref="H33:H33"/>
    <mergeCell ref="M33:M33"/>
    <mergeCell ref="N33:N33"/>
    <mergeCell ref="O33:O33"/>
    <mergeCell ref="P33:P33"/>
    <mergeCell ref="Q33:Q33"/>
    <mergeCell ref="R33:R33"/>
    <mergeCell ref="S33:S33"/>
    <mergeCell ref="X33:X33"/>
    <mergeCell ref="Y33:Y33"/>
    <mergeCell ref="Z33:Z33"/>
    <mergeCell ref="AA33:AA33"/>
    <mergeCell ref="AB33:AB33"/>
    <mergeCell ref="AC33:AC33"/>
    <mergeCell ref="AD33:AD33"/>
    <mergeCell ref="AE33:AE33"/>
    <mergeCell ref="AF33:AF33"/>
    <mergeCell ref="A34:A34"/>
    <mergeCell ref="B34:B34"/>
    <mergeCell ref="C34:C34"/>
    <mergeCell ref="F34:F34"/>
    <mergeCell ref="G34:G34"/>
    <mergeCell ref="H34:H34"/>
    <mergeCell ref="M34:M34"/>
    <mergeCell ref="N34:N34"/>
    <mergeCell ref="O34:O34"/>
    <mergeCell ref="P34:P34"/>
    <mergeCell ref="Q34:Q34"/>
    <mergeCell ref="R34:R34"/>
    <mergeCell ref="S34:S34"/>
    <mergeCell ref="X34:X34"/>
    <mergeCell ref="Y34:Y34"/>
    <mergeCell ref="Z34:Z34"/>
    <mergeCell ref="AA34:AA34"/>
    <mergeCell ref="AB34:AB34"/>
    <mergeCell ref="AC34:AC34"/>
    <mergeCell ref="AD34:AD34"/>
    <mergeCell ref="AE34:AE34"/>
    <mergeCell ref="AF34:AF34"/>
    <mergeCell ref="A35:A35"/>
    <mergeCell ref="B35:B35"/>
    <mergeCell ref="C35:C35"/>
    <mergeCell ref="F35:F35"/>
    <mergeCell ref="G35:G35"/>
    <mergeCell ref="H35:H35"/>
    <mergeCell ref="M35:M35"/>
    <mergeCell ref="N35:N35"/>
    <mergeCell ref="O35:O35"/>
    <mergeCell ref="P35:P35"/>
    <mergeCell ref="Q35:Q35"/>
    <mergeCell ref="R35:R35"/>
    <mergeCell ref="S35:S35"/>
    <mergeCell ref="X35:X35"/>
    <mergeCell ref="Y35:Y35"/>
    <mergeCell ref="Z35:Z35"/>
    <mergeCell ref="AA35:AA35"/>
    <mergeCell ref="AB35:AB35"/>
    <mergeCell ref="AC35:AC35"/>
    <mergeCell ref="AD35:AD35"/>
    <mergeCell ref="AE35:AE35"/>
    <mergeCell ref="AF35:AF35"/>
    <mergeCell ref="A36:A36"/>
    <mergeCell ref="B36:B36"/>
    <mergeCell ref="C36:C36"/>
    <mergeCell ref="F36:F36"/>
    <mergeCell ref="G36:G36"/>
    <mergeCell ref="H36:H36"/>
    <mergeCell ref="M36:M36"/>
    <mergeCell ref="N36:N36"/>
    <mergeCell ref="O36:O36"/>
    <mergeCell ref="P36:P36"/>
    <mergeCell ref="Q36:Q36"/>
    <mergeCell ref="R36:R36"/>
    <mergeCell ref="S36:S36"/>
    <mergeCell ref="X36:X36"/>
    <mergeCell ref="Y36:Y36"/>
    <mergeCell ref="Z36:Z36"/>
    <mergeCell ref="AA36:AA36"/>
    <mergeCell ref="AB36:AB36"/>
    <mergeCell ref="AC36:AC36"/>
    <mergeCell ref="AD36:AD36"/>
    <mergeCell ref="AE36:AE36"/>
    <mergeCell ref="AF36:AF36"/>
    <mergeCell ref="A37:A37"/>
    <mergeCell ref="B37:B37"/>
    <mergeCell ref="C37:C37"/>
    <mergeCell ref="F37:F37"/>
    <mergeCell ref="G37:G37"/>
    <mergeCell ref="H37:H37"/>
    <mergeCell ref="M37:M37"/>
    <mergeCell ref="N37:N37"/>
    <mergeCell ref="O37:O37"/>
    <mergeCell ref="P37:P37"/>
    <mergeCell ref="Q37:Q37"/>
    <mergeCell ref="R37:R37"/>
    <mergeCell ref="S37:S37"/>
    <mergeCell ref="X37:X37"/>
    <mergeCell ref="Y37:Y37"/>
    <mergeCell ref="Z37:Z37"/>
    <mergeCell ref="AA37:AA37"/>
    <mergeCell ref="AB37:AB37"/>
    <mergeCell ref="AC37:AC37"/>
    <mergeCell ref="AD37:AD37"/>
    <mergeCell ref="AE37:AE37"/>
    <mergeCell ref="AF37:AF37"/>
    <mergeCell ref="A38:A38"/>
    <mergeCell ref="B38:B38"/>
    <mergeCell ref="C38:C38"/>
    <mergeCell ref="F38:F38"/>
    <mergeCell ref="G38:G38"/>
    <mergeCell ref="H38:H38"/>
    <mergeCell ref="M38:M38"/>
    <mergeCell ref="N38:N38"/>
    <mergeCell ref="O38:O38"/>
    <mergeCell ref="P38:P38"/>
    <mergeCell ref="Q38:Q38"/>
    <mergeCell ref="R38:R38"/>
    <mergeCell ref="S38:S38"/>
    <mergeCell ref="X38:X38"/>
    <mergeCell ref="Y38:Y38"/>
    <mergeCell ref="Z38:Z38"/>
    <mergeCell ref="AA38:AA38"/>
    <mergeCell ref="AB38:AB38"/>
    <mergeCell ref="AC38:AC38"/>
    <mergeCell ref="AD38:AD38"/>
    <mergeCell ref="AE38:AE38"/>
    <mergeCell ref="AF38:AF38"/>
    <mergeCell ref="A39:A39"/>
    <mergeCell ref="B39:B39"/>
    <mergeCell ref="C39:C39"/>
    <mergeCell ref="F39:F39"/>
    <mergeCell ref="G39:G39"/>
    <mergeCell ref="H39:H39"/>
    <mergeCell ref="M39:M39"/>
    <mergeCell ref="N39:N39"/>
    <mergeCell ref="O39:O39"/>
    <mergeCell ref="P39:P39"/>
    <mergeCell ref="Q39:Q39"/>
    <mergeCell ref="R39:R39"/>
    <mergeCell ref="S39:S39"/>
    <mergeCell ref="X39:X39"/>
    <mergeCell ref="Y39:Y39"/>
    <mergeCell ref="Z39:Z39"/>
    <mergeCell ref="AA39:AA39"/>
    <mergeCell ref="AB39:AB39"/>
    <mergeCell ref="AC39:AC39"/>
    <mergeCell ref="AD39:AD39"/>
    <mergeCell ref="AE39:AE39"/>
    <mergeCell ref="AF39:AF39"/>
    <mergeCell ref="A40:A40"/>
    <mergeCell ref="B40:B40"/>
    <mergeCell ref="C40:C40"/>
    <mergeCell ref="F40:F40"/>
    <mergeCell ref="G40:G40"/>
    <mergeCell ref="H40:H40"/>
    <mergeCell ref="M40:M40"/>
    <mergeCell ref="N40:N40"/>
    <mergeCell ref="O40:O40"/>
    <mergeCell ref="P40:P40"/>
    <mergeCell ref="Q40:Q40"/>
    <mergeCell ref="R40:R40"/>
    <mergeCell ref="S40:S40"/>
    <mergeCell ref="X40:X40"/>
    <mergeCell ref="Y40:Y40"/>
    <mergeCell ref="Z40:Z40"/>
    <mergeCell ref="AA40:AA40"/>
    <mergeCell ref="AB40:AB40"/>
    <mergeCell ref="AC40:AC40"/>
    <mergeCell ref="AD40:AD40"/>
    <mergeCell ref="AE40:AE40"/>
    <mergeCell ref="AF40:AF40"/>
    <mergeCell ref="A41:A41"/>
    <mergeCell ref="B41:B41"/>
    <mergeCell ref="C41:C41"/>
    <mergeCell ref="F41:F41"/>
    <mergeCell ref="G41:G41"/>
    <mergeCell ref="H41:H41"/>
    <mergeCell ref="M41:M41"/>
    <mergeCell ref="N41:N41"/>
    <mergeCell ref="O41:O41"/>
    <mergeCell ref="P41:P41"/>
    <mergeCell ref="Q41:Q41"/>
    <mergeCell ref="R41:R41"/>
    <mergeCell ref="S41:S41"/>
    <mergeCell ref="X41:X41"/>
    <mergeCell ref="Y41:Y41"/>
    <mergeCell ref="Z41:Z41"/>
    <mergeCell ref="AA41:AA41"/>
    <mergeCell ref="AB41:AB41"/>
    <mergeCell ref="AC41:AC41"/>
    <mergeCell ref="AD41:AD41"/>
    <mergeCell ref="AE41:AE41"/>
    <mergeCell ref="AF41:AF41"/>
    <mergeCell ref="A42:A42"/>
    <mergeCell ref="B42:B42"/>
    <mergeCell ref="C42:C42"/>
    <mergeCell ref="F42:F42"/>
    <mergeCell ref="G42:G42"/>
    <mergeCell ref="H42:H42"/>
    <mergeCell ref="M42:M42"/>
    <mergeCell ref="N42:N42"/>
    <mergeCell ref="O42:O42"/>
    <mergeCell ref="P42:P42"/>
    <mergeCell ref="Q42:Q42"/>
    <mergeCell ref="R42:R42"/>
    <mergeCell ref="S42:S42"/>
    <mergeCell ref="X42:X42"/>
    <mergeCell ref="Y42:Y42"/>
    <mergeCell ref="Z42:Z42"/>
    <mergeCell ref="AA42:AA42"/>
    <mergeCell ref="AB42:AB42"/>
    <mergeCell ref="AC42:AC42"/>
    <mergeCell ref="AD42:AD42"/>
    <mergeCell ref="AE42:AE42"/>
    <mergeCell ref="AF42:AF42"/>
    <mergeCell ref="A43:A43"/>
    <mergeCell ref="B43:B43"/>
    <mergeCell ref="C43:C43"/>
    <mergeCell ref="F43:F43"/>
    <mergeCell ref="G43:G43"/>
    <mergeCell ref="H43:H43"/>
    <mergeCell ref="M43:M43"/>
    <mergeCell ref="N43:N43"/>
    <mergeCell ref="O43:O43"/>
    <mergeCell ref="P43:P43"/>
    <mergeCell ref="Q43:Q43"/>
    <mergeCell ref="R43:R43"/>
    <mergeCell ref="S43:S43"/>
    <mergeCell ref="X43:X43"/>
    <mergeCell ref="Y43:Y43"/>
    <mergeCell ref="Z43:Z43"/>
    <mergeCell ref="AA43:AA43"/>
    <mergeCell ref="AB43:AB43"/>
    <mergeCell ref="AC43:AC43"/>
    <mergeCell ref="AD43:AD43"/>
    <mergeCell ref="AE43:AE43"/>
    <mergeCell ref="AF43:AF43"/>
    <mergeCell ref="A44:A44"/>
    <mergeCell ref="B44:B44"/>
    <mergeCell ref="C44:C44"/>
    <mergeCell ref="F44:F44"/>
    <mergeCell ref="G44:G44"/>
    <mergeCell ref="H44:H44"/>
    <mergeCell ref="M44:M44"/>
    <mergeCell ref="N44:N44"/>
    <mergeCell ref="O44:O44"/>
    <mergeCell ref="P44:P44"/>
    <mergeCell ref="Q44:Q44"/>
    <mergeCell ref="R44:R44"/>
    <mergeCell ref="S44:S44"/>
    <mergeCell ref="X44:X44"/>
    <mergeCell ref="Y44:Y44"/>
    <mergeCell ref="Z44:Z44"/>
    <mergeCell ref="AA44:AA44"/>
    <mergeCell ref="AB44:AB44"/>
    <mergeCell ref="AC44:AC44"/>
    <mergeCell ref="AD44:AD44"/>
    <mergeCell ref="AE44:AE44"/>
    <mergeCell ref="AF44:AF44"/>
    <mergeCell ref="A45:A45"/>
    <mergeCell ref="B45:B45"/>
    <mergeCell ref="C45:C45"/>
    <mergeCell ref="F45:F45"/>
    <mergeCell ref="G45:G45"/>
    <mergeCell ref="H45:H45"/>
    <mergeCell ref="M45:M45"/>
    <mergeCell ref="N45:N45"/>
    <mergeCell ref="O45:O45"/>
    <mergeCell ref="P45:P45"/>
    <mergeCell ref="Q45:Q45"/>
    <mergeCell ref="R45:R45"/>
    <mergeCell ref="S45:S45"/>
    <mergeCell ref="X45:X45"/>
    <mergeCell ref="Y45:Y45"/>
    <mergeCell ref="Z45:Z45"/>
    <mergeCell ref="AA45:AA45"/>
    <mergeCell ref="AB45:AB45"/>
    <mergeCell ref="AC45:AC45"/>
    <mergeCell ref="AD45:AD45"/>
    <mergeCell ref="AE45:AE45"/>
    <mergeCell ref="AF45:AF45"/>
    <mergeCell ref="A46:A46"/>
    <mergeCell ref="B46:B46"/>
    <mergeCell ref="C46:C46"/>
    <mergeCell ref="F46:F46"/>
    <mergeCell ref="G46:G46"/>
    <mergeCell ref="H46:H46"/>
    <mergeCell ref="M46:M46"/>
    <mergeCell ref="N46:N46"/>
    <mergeCell ref="O46:O46"/>
    <mergeCell ref="P46:P46"/>
    <mergeCell ref="Q46:Q46"/>
    <mergeCell ref="R46:R46"/>
    <mergeCell ref="S46:S46"/>
    <mergeCell ref="X46:X46"/>
    <mergeCell ref="Y46:Y46"/>
    <mergeCell ref="Z46:Z46"/>
    <mergeCell ref="AA46:AA46"/>
    <mergeCell ref="AB46:AB46"/>
    <mergeCell ref="AC46:AC46"/>
    <mergeCell ref="AD46:AD46"/>
    <mergeCell ref="AE46:AE46"/>
    <mergeCell ref="AF46:AF46"/>
    <mergeCell ref="A47:A47"/>
    <mergeCell ref="B47:B47"/>
    <mergeCell ref="C47:C47"/>
    <mergeCell ref="F47:F47"/>
    <mergeCell ref="G47:G47"/>
    <mergeCell ref="H47:H47"/>
    <mergeCell ref="M47:M47"/>
    <mergeCell ref="N47:N47"/>
    <mergeCell ref="O47:O47"/>
    <mergeCell ref="P47:P47"/>
    <mergeCell ref="Q47:Q47"/>
    <mergeCell ref="R47:R47"/>
    <mergeCell ref="S47:S47"/>
    <mergeCell ref="X47:X47"/>
    <mergeCell ref="Y47:Y47"/>
    <mergeCell ref="Z47:Z47"/>
    <mergeCell ref="AA47:AA47"/>
    <mergeCell ref="AB47:AB47"/>
    <mergeCell ref="AC47:AC47"/>
    <mergeCell ref="AD47:AD47"/>
    <mergeCell ref="AE47:AE47"/>
    <mergeCell ref="AF47:AF47"/>
    <mergeCell ref="A48:A48"/>
    <mergeCell ref="B48:B48"/>
    <mergeCell ref="C48:C48"/>
    <mergeCell ref="F48:F48"/>
    <mergeCell ref="G48:G48"/>
    <mergeCell ref="H48:H48"/>
    <mergeCell ref="M48:M48"/>
    <mergeCell ref="N48:N48"/>
    <mergeCell ref="O48:O48"/>
    <mergeCell ref="P48:P48"/>
    <mergeCell ref="Q48:Q48"/>
    <mergeCell ref="R48:R48"/>
    <mergeCell ref="S48:S48"/>
    <mergeCell ref="X48:X48"/>
    <mergeCell ref="Y48:Y48"/>
    <mergeCell ref="Z48:Z48"/>
    <mergeCell ref="AA48:AA48"/>
    <mergeCell ref="AB48:AB48"/>
    <mergeCell ref="AC48:AC48"/>
    <mergeCell ref="AD48:AD48"/>
    <mergeCell ref="AE48:AE48"/>
    <mergeCell ref="AF48:AF48"/>
    <mergeCell ref="A49:A49"/>
    <mergeCell ref="B49:B49"/>
    <mergeCell ref="C49:C49"/>
    <mergeCell ref="F49:F49"/>
    <mergeCell ref="G49:G49"/>
    <mergeCell ref="H49:H49"/>
    <mergeCell ref="M49:M49"/>
    <mergeCell ref="N49:N49"/>
    <mergeCell ref="O49:O49"/>
    <mergeCell ref="P49:P49"/>
    <mergeCell ref="Q49:Q49"/>
    <mergeCell ref="R49:R49"/>
    <mergeCell ref="S49:S49"/>
    <mergeCell ref="X49:X49"/>
    <mergeCell ref="Y49:Y49"/>
    <mergeCell ref="Z49:Z49"/>
    <mergeCell ref="AA49:AA49"/>
    <mergeCell ref="AB49:AB49"/>
    <mergeCell ref="AC49:AC49"/>
    <mergeCell ref="AD49:AD49"/>
    <mergeCell ref="AE49:AE49"/>
    <mergeCell ref="AF49:AF49"/>
    <mergeCell ref="A50:A50"/>
    <mergeCell ref="B50:B50"/>
    <mergeCell ref="C50:C50"/>
    <mergeCell ref="F50:F50"/>
    <mergeCell ref="G50:G50"/>
    <mergeCell ref="H50:H50"/>
    <mergeCell ref="M50:M50"/>
    <mergeCell ref="N50:N50"/>
    <mergeCell ref="O50:O50"/>
    <mergeCell ref="P50:P50"/>
    <mergeCell ref="Q50:Q50"/>
    <mergeCell ref="R50:R50"/>
    <mergeCell ref="S50:S50"/>
    <mergeCell ref="X50:X50"/>
    <mergeCell ref="Y50:Y50"/>
    <mergeCell ref="Z50:Z50"/>
    <mergeCell ref="AA50:AA50"/>
    <mergeCell ref="AB50:AB50"/>
    <mergeCell ref="AC50:AC50"/>
    <mergeCell ref="AD50:AD50"/>
    <mergeCell ref="AE50:AE50"/>
    <mergeCell ref="AF50:AF50"/>
    <mergeCell ref="A51:A51"/>
    <mergeCell ref="B51:B51"/>
    <mergeCell ref="C51:C51"/>
    <mergeCell ref="F51:F51"/>
    <mergeCell ref="G51:G51"/>
    <mergeCell ref="H51:H51"/>
    <mergeCell ref="M51:M51"/>
    <mergeCell ref="N51:N51"/>
    <mergeCell ref="O51:O51"/>
    <mergeCell ref="P51:P51"/>
    <mergeCell ref="Q51:Q51"/>
    <mergeCell ref="R51:R51"/>
    <mergeCell ref="S51:S51"/>
    <mergeCell ref="X51:X51"/>
    <mergeCell ref="Y51:Y51"/>
    <mergeCell ref="Z51:Z51"/>
    <mergeCell ref="AA51:AA51"/>
    <mergeCell ref="AB51:AB51"/>
    <mergeCell ref="AC51:AC51"/>
    <mergeCell ref="AD51:AD51"/>
    <mergeCell ref="AE51:AE51"/>
    <mergeCell ref="AF51:AF51"/>
    <mergeCell ref="A52:A52"/>
    <mergeCell ref="B52:B52"/>
    <mergeCell ref="C52:C52"/>
    <mergeCell ref="F52:F52"/>
    <mergeCell ref="G52:G52"/>
    <mergeCell ref="H52:H52"/>
    <mergeCell ref="M52:M52"/>
    <mergeCell ref="N52:N52"/>
    <mergeCell ref="O52:O52"/>
    <mergeCell ref="P52:P52"/>
    <mergeCell ref="Q52:Q52"/>
    <mergeCell ref="R52:R52"/>
    <mergeCell ref="S52:S52"/>
    <mergeCell ref="X52:X52"/>
    <mergeCell ref="Y52:Y52"/>
    <mergeCell ref="Z52:Z52"/>
    <mergeCell ref="AA52:AA52"/>
    <mergeCell ref="AB52:AB52"/>
    <mergeCell ref="AC52:AC52"/>
    <mergeCell ref="AD52:AD52"/>
    <mergeCell ref="AE52:AE52"/>
    <mergeCell ref="AF52:AF52"/>
    <mergeCell ref="A53:A53"/>
    <mergeCell ref="B53:B53"/>
    <mergeCell ref="C53:C53"/>
    <mergeCell ref="F53:F53"/>
    <mergeCell ref="G53:G53"/>
    <mergeCell ref="H53:H53"/>
    <mergeCell ref="M53:M53"/>
    <mergeCell ref="N53:N53"/>
    <mergeCell ref="O53:O53"/>
    <mergeCell ref="P53:P53"/>
    <mergeCell ref="Q53:Q53"/>
    <mergeCell ref="R53:R53"/>
    <mergeCell ref="S53:S53"/>
    <mergeCell ref="X53:X53"/>
    <mergeCell ref="Y53:Y53"/>
    <mergeCell ref="Z53:Z53"/>
    <mergeCell ref="AA53:AA53"/>
    <mergeCell ref="AB53:AB53"/>
    <mergeCell ref="AC53:AC53"/>
    <mergeCell ref="AD53:AD53"/>
    <mergeCell ref="AE53:AE53"/>
    <mergeCell ref="AF53:AF53"/>
    <mergeCell ref="A54:A54"/>
    <mergeCell ref="B54:B54"/>
    <mergeCell ref="C54:C54"/>
    <mergeCell ref="F54:F54"/>
    <mergeCell ref="G54:G54"/>
    <mergeCell ref="H54:H54"/>
    <mergeCell ref="M54:M54"/>
    <mergeCell ref="N54:N54"/>
    <mergeCell ref="O54:O54"/>
    <mergeCell ref="P54:P54"/>
    <mergeCell ref="Q54:Q54"/>
    <mergeCell ref="R54:R54"/>
    <mergeCell ref="S54:S54"/>
    <mergeCell ref="X54:X54"/>
    <mergeCell ref="Y54:Y54"/>
    <mergeCell ref="Z54:Z54"/>
    <mergeCell ref="AA54:AA54"/>
    <mergeCell ref="AB54:AB54"/>
    <mergeCell ref="AC54:AC54"/>
    <mergeCell ref="AD54:AD54"/>
    <mergeCell ref="AE54:AE54"/>
    <mergeCell ref="AF54:AF54"/>
    <mergeCell ref="A55:A55"/>
    <mergeCell ref="B55:B55"/>
    <mergeCell ref="C55:C55"/>
    <mergeCell ref="F55:F55"/>
    <mergeCell ref="G55:G55"/>
    <mergeCell ref="H55:H55"/>
    <mergeCell ref="M55:M55"/>
    <mergeCell ref="N55:N55"/>
    <mergeCell ref="O55:O55"/>
    <mergeCell ref="P55:P55"/>
    <mergeCell ref="Q55:Q55"/>
    <mergeCell ref="R55:R55"/>
    <mergeCell ref="S55:S55"/>
    <mergeCell ref="X55:X55"/>
    <mergeCell ref="Y55:Y55"/>
    <mergeCell ref="Z55:Z55"/>
    <mergeCell ref="AA55:AA55"/>
    <mergeCell ref="AB55:AB55"/>
    <mergeCell ref="AC55:AC55"/>
    <mergeCell ref="AD55:AD55"/>
    <mergeCell ref="AE55:AE55"/>
    <mergeCell ref="AF55:AF55"/>
    <mergeCell ref="A56:A56"/>
    <mergeCell ref="B56:B56"/>
    <mergeCell ref="C56:C56"/>
    <mergeCell ref="F56:F56"/>
    <mergeCell ref="G56:G56"/>
    <mergeCell ref="H56:H56"/>
    <mergeCell ref="M56:M56"/>
    <mergeCell ref="N56:N56"/>
    <mergeCell ref="O56:O56"/>
    <mergeCell ref="P56:P56"/>
    <mergeCell ref="Q56:Q56"/>
    <mergeCell ref="R56:R56"/>
    <mergeCell ref="S56:S56"/>
    <mergeCell ref="X56:X56"/>
    <mergeCell ref="Y56:Y56"/>
    <mergeCell ref="Z56:Z56"/>
    <mergeCell ref="AA56:AA56"/>
    <mergeCell ref="AB56:AB56"/>
    <mergeCell ref="AC56:AC56"/>
    <mergeCell ref="AD56:AD56"/>
    <mergeCell ref="AE56:AE56"/>
    <mergeCell ref="AF56:AF56"/>
    <mergeCell ref="A57:A57"/>
    <mergeCell ref="B57:B57"/>
    <mergeCell ref="C57:C57"/>
    <mergeCell ref="F57:F57"/>
    <mergeCell ref="G57:G57"/>
    <mergeCell ref="H57:H57"/>
    <mergeCell ref="M57:M57"/>
    <mergeCell ref="N57:N57"/>
    <mergeCell ref="O57:O57"/>
    <mergeCell ref="P57:P57"/>
    <mergeCell ref="Q57:Q57"/>
    <mergeCell ref="R57:R57"/>
    <mergeCell ref="S57:S57"/>
    <mergeCell ref="X57:X57"/>
    <mergeCell ref="Y57:Y57"/>
    <mergeCell ref="Z57:Z57"/>
    <mergeCell ref="AA57:AA57"/>
    <mergeCell ref="AB57:AB57"/>
    <mergeCell ref="AC57:AC57"/>
    <mergeCell ref="AD57:AD57"/>
    <mergeCell ref="AE57:AE57"/>
    <mergeCell ref="AF57:AF57"/>
    <mergeCell ref="A58:A58"/>
    <mergeCell ref="B58:B58"/>
    <mergeCell ref="C58:C58"/>
    <mergeCell ref="F58:F58"/>
    <mergeCell ref="G58:G58"/>
    <mergeCell ref="H58:H58"/>
    <mergeCell ref="M58:M58"/>
    <mergeCell ref="N58:N58"/>
    <mergeCell ref="O58:O58"/>
    <mergeCell ref="P58:P58"/>
    <mergeCell ref="Q58:Q58"/>
    <mergeCell ref="R58:R58"/>
    <mergeCell ref="S58:S58"/>
    <mergeCell ref="X58:X58"/>
    <mergeCell ref="Y58:Y58"/>
    <mergeCell ref="Z58:Z58"/>
    <mergeCell ref="AA58:AA58"/>
    <mergeCell ref="AB58:AB58"/>
    <mergeCell ref="AC58:AC58"/>
    <mergeCell ref="AD58:AD58"/>
    <mergeCell ref="AE58:AE58"/>
    <mergeCell ref="AF58:AF58"/>
    <mergeCell ref="A59:A59"/>
    <mergeCell ref="B59:B59"/>
    <mergeCell ref="C59:C59"/>
    <mergeCell ref="F59:F59"/>
    <mergeCell ref="G59:G59"/>
    <mergeCell ref="H59:H59"/>
    <mergeCell ref="M59:M59"/>
    <mergeCell ref="N59:N59"/>
    <mergeCell ref="O59:O59"/>
    <mergeCell ref="P59:P59"/>
    <mergeCell ref="Q59:Q59"/>
    <mergeCell ref="R59:R59"/>
    <mergeCell ref="S59:S59"/>
    <mergeCell ref="X59:X59"/>
    <mergeCell ref="Y59:Y59"/>
    <mergeCell ref="Z59:Z59"/>
    <mergeCell ref="AA59:AA59"/>
    <mergeCell ref="AB59:AB59"/>
    <mergeCell ref="AC59:AC59"/>
    <mergeCell ref="AD59:AD59"/>
    <mergeCell ref="AE59:AE59"/>
    <mergeCell ref="AF59:AF59"/>
    <mergeCell ref="A60:A60"/>
    <mergeCell ref="B60:B60"/>
    <mergeCell ref="C60:C60"/>
    <mergeCell ref="F60:F60"/>
    <mergeCell ref="G60:G60"/>
    <mergeCell ref="H60:H60"/>
    <mergeCell ref="M60:M60"/>
    <mergeCell ref="N60:N60"/>
    <mergeCell ref="O60:O60"/>
    <mergeCell ref="P60:P60"/>
    <mergeCell ref="Q60:Q60"/>
    <mergeCell ref="R60:R60"/>
    <mergeCell ref="S60:S60"/>
    <mergeCell ref="X60:X60"/>
    <mergeCell ref="Y60:Y60"/>
    <mergeCell ref="Z60:Z60"/>
    <mergeCell ref="AA60:AA60"/>
    <mergeCell ref="AB60:AB60"/>
    <mergeCell ref="AC60:AC60"/>
    <mergeCell ref="AD60:AD60"/>
    <mergeCell ref="AE60:AE60"/>
    <mergeCell ref="AF60:AF60"/>
    <mergeCell ref="A61:A61"/>
    <mergeCell ref="B61:B61"/>
    <mergeCell ref="C61:C61"/>
    <mergeCell ref="F61:F61"/>
    <mergeCell ref="G61:G61"/>
    <mergeCell ref="H61:H61"/>
    <mergeCell ref="M61:M61"/>
    <mergeCell ref="N61:N61"/>
    <mergeCell ref="O61:O61"/>
    <mergeCell ref="P61:P61"/>
    <mergeCell ref="Q61:Q61"/>
    <mergeCell ref="R61:R61"/>
    <mergeCell ref="S61:S61"/>
    <mergeCell ref="X61:X61"/>
    <mergeCell ref="Y61:Y61"/>
    <mergeCell ref="Z61:Z61"/>
    <mergeCell ref="AA61:AA61"/>
    <mergeCell ref="AB61:AB61"/>
    <mergeCell ref="AC61:AC61"/>
    <mergeCell ref="AD61:AD61"/>
    <mergeCell ref="AE61:AE61"/>
    <mergeCell ref="AF61:AF61"/>
    <mergeCell ref="A62:A62"/>
    <mergeCell ref="B62:B62"/>
    <mergeCell ref="C62:C62"/>
    <mergeCell ref="F62:F62"/>
    <mergeCell ref="G62:G62"/>
    <mergeCell ref="H62:H62"/>
    <mergeCell ref="M62:M62"/>
    <mergeCell ref="N62:N62"/>
    <mergeCell ref="O62:O62"/>
    <mergeCell ref="P62:P62"/>
    <mergeCell ref="Q62:Q62"/>
    <mergeCell ref="R62:R62"/>
    <mergeCell ref="S62:S62"/>
    <mergeCell ref="X62:X62"/>
    <mergeCell ref="Y62:Y62"/>
    <mergeCell ref="Z62:Z62"/>
    <mergeCell ref="AA62:AA62"/>
    <mergeCell ref="AB62:AB62"/>
    <mergeCell ref="AC62:AC62"/>
    <mergeCell ref="AD62:AD62"/>
    <mergeCell ref="AE62:AE62"/>
    <mergeCell ref="AF62:AF62"/>
    <mergeCell ref="A63:A63"/>
    <mergeCell ref="B63:B63"/>
    <mergeCell ref="C63:C63"/>
    <mergeCell ref="F63:F63"/>
    <mergeCell ref="G63:G63"/>
    <mergeCell ref="H63:H63"/>
    <mergeCell ref="M63:M63"/>
    <mergeCell ref="N63:N63"/>
    <mergeCell ref="O63:O63"/>
    <mergeCell ref="P63:P63"/>
    <mergeCell ref="Q63:Q63"/>
    <mergeCell ref="R63:R63"/>
    <mergeCell ref="S63:S63"/>
    <mergeCell ref="X63:X63"/>
    <mergeCell ref="Y63:Y63"/>
    <mergeCell ref="Z63:Z63"/>
    <mergeCell ref="AA63:AA63"/>
    <mergeCell ref="AB63:AB63"/>
    <mergeCell ref="AC63:AC63"/>
    <mergeCell ref="AD63:AD63"/>
    <mergeCell ref="AE63:AE63"/>
    <mergeCell ref="AF63:AF63"/>
    <mergeCell ref="A64:A64"/>
    <mergeCell ref="B64:B64"/>
    <mergeCell ref="C64:C64"/>
    <mergeCell ref="F64:F64"/>
    <mergeCell ref="G64:G64"/>
    <mergeCell ref="H64:H64"/>
    <mergeCell ref="M64:M64"/>
    <mergeCell ref="N64:N64"/>
    <mergeCell ref="O64:O64"/>
    <mergeCell ref="P64:P64"/>
    <mergeCell ref="Q64:Q64"/>
    <mergeCell ref="R64:R64"/>
    <mergeCell ref="S64:S64"/>
    <mergeCell ref="X64:X64"/>
    <mergeCell ref="Y64:Y64"/>
    <mergeCell ref="Z64:Z64"/>
    <mergeCell ref="AA64:AA64"/>
    <mergeCell ref="AB64:AB64"/>
    <mergeCell ref="AC64:AC64"/>
    <mergeCell ref="AD64:AD64"/>
    <mergeCell ref="AE64:AE64"/>
    <mergeCell ref="AF64:AF64"/>
    <mergeCell ref="A65:A65"/>
    <mergeCell ref="B65:B65"/>
    <mergeCell ref="C65:C65"/>
    <mergeCell ref="F65:F65"/>
    <mergeCell ref="G65:G65"/>
    <mergeCell ref="H65:H65"/>
    <mergeCell ref="M65:M65"/>
    <mergeCell ref="N65:N65"/>
    <mergeCell ref="O65:O65"/>
    <mergeCell ref="P65:P65"/>
    <mergeCell ref="Q65:Q65"/>
    <mergeCell ref="R65:R65"/>
    <mergeCell ref="S65:S65"/>
    <mergeCell ref="X65:X65"/>
    <mergeCell ref="Y65:Y65"/>
    <mergeCell ref="Z65:Z65"/>
    <mergeCell ref="AA65:AA65"/>
    <mergeCell ref="AB65:AB65"/>
    <mergeCell ref="AC65:AC65"/>
    <mergeCell ref="AD65:AD65"/>
    <mergeCell ref="AE65:AE65"/>
    <mergeCell ref="AF65:AF65"/>
    <mergeCell ref="A66:A66"/>
    <mergeCell ref="B66:B66"/>
    <mergeCell ref="C66:C66"/>
    <mergeCell ref="F66:F66"/>
    <mergeCell ref="G66:G66"/>
    <mergeCell ref="H66:H66"/>
    <mergeCell ref="M66:M66"/>
    <mergeCell ref="N66:N66"/>
    <mergeCell ref="O66:O66"/>
    <mergeCell ref="P66:P66"/>
    <mergeCell ref="Q66:Q66"/>
    <mergeCell ref="R66:R66"/>
    <mergeCell ref="S66:S66"/>
    <mergeCell ref="X66:X66"/>
    <mergeCell ref="Y66:Y66"/>
    <mergeCell ref="Z66:Z66"/>
    <mergeCell ref="AA66:AA66"/>
    <mergeCell ref="AB66:AB66"/>
    <mergeCell ref="AC66:AC66"/>
    <mergeCell ref="AD66:AD66"/>
    <mergeCell ref="AE66:AE66"/>
    <mergeCell ref="AF66:AF66"/>
    <mergeCell ref="A67:A67"/>
    <mergeCell ref="B67:B67"/>
    <mergeCell ref="C67:C67"/>
    <mergeCell ref="F67:F67"/>
    <mergeCell ref="G67:G67"/>
    <mergeCell ref="H67:H67"/>
    <mergeCell ref="M67:M67"/>
    <mergeCell ref="N67:N67"/>
    <mergeCell ref="O67:O67"/>
    <mergeCell ref="P67:P67"/>
    <mergeCell ref="Q67:Q67"/>
    <mergeCell ref="R67:R67"/>
    <mergeCell ref="S67:S67"/>
    <mergeCell ref="X67:X67"/>
    <mergeCell ref="Y67:Y67"/>
    <mergeCell ref="Z67:Z67"/>
    <mergeCell ref="AA67:AA67"/>
    <mergeCell ref="AB67:AB67"/>
    <mergeCell ref="AC67:AC67"/>
    <mergeCell ref="AD67:AD67"/>
    <mergeCell ref="AE67:AE67"/>
    <mergeCell ref="AF67:AF67"/>
    <mergeCell ref="A68:A68"/>
    <mergeCell ref="B68:B68"/>
    <mergeCell ref="C68:C68"/>
    <mergeCell ref="F68:F68"/>
    <mergeCell ref="G68:G68"/>
    <mergeCell ref="H68:H68"/>
    <mergeCell ref="M68:M68"/>
    <mergeCell ref="N68:N68"/>
    <mergeCell ref="O68:O68"/>
    <mergeCell ref="P68:P68"/>
    <mergeCell ref="Q68:Q68"/>
    <mergeCell ref="R68:R68"/>
    <mergeCell ref="S68:S68"/>
    <mergeCell ref="X68:X68"/>
    <mergeCell ref="Y68:Y68"/>
    <mergeCell ref="Z68:Z68"/>
    <mergeCell ref="AA68:AA68"/>
    <mergeCell ref="AB68:AB68"/>
    <mergeCell ref="AC68:AC68"/>
    <mergeCell ref="AD68:AD68"/>
    <mergeCell ref="AE68:AE68"/>
    <mergeCell ref="AF68:AF68"/>
    <mergeCell ref="A69:A69"/>
    <mergeCell ref="B69:B69"/>
    <mergeCell ref="C69:C69"/>
    <mergeCell ref="F69:F69"/>
    <mergeCell ref="G69:G69"/>
    <mergeCell ref="H69:H69"/>
    <mergeCell ref="M69:M69"/>
    <mergeCell ref="N69:N69"/>
    <mergeCell ref="O69:O69"/>
    <mergeCell ref="P69:P69"/>
    <mergeCell ref="Q69:Q69"/>
    <mergeCell ref="R69:R69"/>
    <mergeCell ref="S69:S69"/>
    <mergeCell ref="X69:X69"/>
    <mergeCell ref="Y69:Y69"/>
    <mergeCell ref="Z69:Z69"/>
    <mergeCell ref="AA69:AA69"/>
    <mergeCell ref="AB69:AB69"/>
    <mergeCell ref="AC69:AC69"/>
    <mergeCell ref="AD69:AD69"/>
    <mergeCell ref="AE69:AE69"/>
    <mergeCell ref="AF69:AF69"/>
    <mergeCell ref="A70:A70"/>
    <mergeCell ref="B70:B70"/>
    <mergeCell ref="C70:C70"/>
    <mergeCell ref="F70:F70"/>
    <mergeCell ref="G70:G70"/>
    <mergeCell ref="H70:H70"/>
    <mergeCell ref="M70:M70"/>
    <mergeCell ref="N70:N70"/>
    <mergeCell ref="O70:O70"/>
    <mergeCell ref="P70:P70"/>
    <mergeCell ref="Q70:Q70"/>
    <mergeCell ref="R70:R70"/>
    <mergeCell ref="S70:S70"/>
    <mergeCell ref="X70:X70"/>
    <mergeCell ref="Y70:Y70"/>
    <mergeCell ref="Z70:Z70"/>
    <mergeCell ref="AA70:AA70"/>
    <mergeCell ref="AB70:AB70"/>
    <mergeCell ref="AC70:AC70"/>
    <mergeCell ref="AD70:AD70"/>
    <mergeCell ref="AE70:AE70"/>
    <mergeCell ref="AF70:AF70"/>
    <mergeCell ref="A71:A71"/>
    <mergeCell ref="B71:B71"/>
    <mergeCell ref="C71:C71"/>
    <mergeCell ref="F71:F71"/>
    <mergeCell ref="G71:G71"/>
    <mergeCell ref="H71:H71"/>
    <mergeCell ref="M71:M71"/>
    <mergeCell ref="N71:N71"/>
    <mergeCell ref="O71:O71"/>
    <mergeCell ref="P71:P71"/>
    <mergeCell ref="Q71:Q71"/>
    <mergeCell ref="R71:R71"/>
    <mergeCell ref="S71:S71"/>
    <mergeCell ref="X71:X71"/>
    <mergeCell ref="Y71:Y71"/>
    <mergeCell ref="Z71:Z71"/>
    <mergeCell ref="AA71:AA71"/>
    <mergeCell ref="AB71:AB71"/>
    <mergeCell ref="AC71:AC71"/>
    <mergeCell ref="AD71:AD71"/>
    <mergeCell ref="AE71:AE71"/>
    <mergeCell ref="AF71:AF71"/>
    <mergeCell ref="A72:A72"/>
    <mergeCell ref="B72:B72"/>
    <mergeCell ref="C72:C72"/>
    <mergeCell ref="F72:F72"/>
    <mergeCell ref="G72:G72"/>
    <mergeCell ref="H72:H72"/>
    <mergeCell ref="M72:M72"/>
    <mergeCell ref="N72:N72"/>
    <mergeCell ref="O72:O72"/>
    <mergeCell ref="P72:P72"/>
    <mergeCell ref="Q72:Q72"/>
    <mergeCell ref="R72:R72"/>
    <mergeCell ref="S72:S72"/>
    <mergeCell ref="X72:X72"/>
    <mergeCell ref="Y72:Y72"/>
    <mergeCell ref="Z72:Z72"/>
    <mergeCell ref="AA72:AA72"/>
    <mergeCell ref="AB72:AB72"/>
    <mergeCell ref="AC72:AC72"/>
    <mergeCell ref="AD72:AD72"/>
    <mergeCell ref="AE72:AE72"/>
    <mergeCell ref="AF72:AF72"/>
    <mergeCell ref="A73:A73"/>
    <mergeCell ref="B73:B73"/>
    <mergeCell ref="C73:C73"/>
    <mergeCell ref="F73:F73"/>
    <mergeCell ref="G73:G73"/>
    <mergeCell ref="H73:H73"/>
    <mergeCell ref="M73:M73"/>
    <mergeCell ref="N73:N73"/>
    <mergeCell ref="O73:O73"/>
    <mergeCell ref="P73:P73"/>
    <mergeCell ref="Q73:Q73"/>
    <mergeCell ref="R73:R73"/>
    <mergeCell ref="S73:S73"/>
    <mergeCell ref="X73:X73"/>
    <mergeCell ref="Y73:Y73"/>
    <mergeCell ref="Z73:Z73"/>
    <mergeCell ref="AA73:AA73"/>
    <mergeCell ref="AB73:AB73"/>
    <mergeCell ref="AC73:AC73"/>
    <mergeCell ref="AD73:AD73"/>
    <mergeCell ref="AE73:AE73"/>
    <mergeCell ref="AF73:AF73"/>
    <mergeCell ref="A74:A74"/>
    <mergeCell ref="B74:B74"/>
    <mergeCell ref="C74:C74"/>
    <mergeCell ref="F74:F74"/>
    <mergeCell ref="G74:G74"/>
    <mergeCell ref="H74:H74"/>
    <mergeCell ref="M74:M74"/>
    <mergeCell ref="N74:N74"/>
    <mergeCell ref="O74:O74"/>
    <mergeCell ref="P74:P74"/>
    <mergeCell ref="Q74:Q74"/>
    <mergeCell ref="R74:R74"/>
    <mergeCell ref="S74:S74"/>
    <mergeCell ref="X74:X74"/>
    <mergeCell ref="Y74:Y74"/>
    <mergeCell ref="Z74:Z74"/>
    <mergeCell ref="AA74:AA74"/>
    <mergeCell ref="AB74:AB74"/>
    <mergeCell ref="AC74:AC74"/>
    <mergeCell ref="AD74:AD74"/>
    <mergeCell ref="AE74:AE74"/>
    <mergeCell ref="AF74:AF74"/>
    <mergeCell ref="A75:A75"/>
    <mergeCell ref="B75:B75"/>
    <mergeCell ref="C75:C75"/>
    <mergeCell ref="F75:F75"/>
    <mergeCell ref="G75:G75"/>
    <mergeCell ref="H75:H75"/>
    <mergeCell ref="M75:M75"/>
    <mergeCell ref="N75:N75"/>
    <mergeCell ref="O75:O75"/>
    <mergeCell ref="P75:P75"/>
    <mergeCell ref="Q75:Q75"/>
    <mergeCell ref="R75:R75"/>
    <mergeCell ref="S75:S75"/>
    <mergeCell ref="X75:X75"/>
    <mergeCell ref="Y75:Y75"/>
    <mergeCell ref="Z75:Z75"/>
    <mergeCell ref="AA75:AA75"/>
    <mergeCell ref="AB75:AB75"/>
    <mergeCell ref="AC75:AC75"/>
    <mergeCell ref="AD75:AD75"/>
    <mergeCell ref="AE75:AE75"/>
    <mergeCell ref="AF75:AF75"/>
    <mergeCell ref="A76:A76"/>
    <mergeCell ref="B76:B76"/>
    <mergeCell ref="C76:C76"/>
    <mergeCell ref="F76:F76"/>
    <mergeCell ref="G76:G76"/>
    <mergeCell ref="H76:H76"/>
    <mergeCell ref="M76:M76"/>
    <mergeCell ref="N76:N76"/>
    <mergeCell ref="O76:O76"/>
    <mergeCell ref="P76:P76"/>
    <mergeCell ref="Q76:Q76"/>
    <mergeCell ref="R76:R76"/>
    <mergeCell ref="S76:S76"/>
    <mergeCell ref="X76:X76"/>
    <mergeCell ref="Y76:Y76"/>
    <mergeCell ref="Z76:Z76"/>
    <mergeCell ref="AA76:AA76"/>
    <mergeCell ref="AB76:AB76"/>
    <mergeCell ref="AC76:AC76"/>
    <mergeCell ref="AD76:AD76"/>
    <mergeCell ref="AE76:AE76"/>
    <mergeCell ref="AF76:AF76"/>
    <mergeCell ref="A77:A77"/>
    <mergeCell ref="B77:B77"/>
    <mergeCell ref="C77:C77"/>
    <mergeCell ref="F77:F77"/>
    <mergeCell ref="G77:G77"/>
    <mergeCell ref="H77:H77"/>
    <mergeCell ref="M77:M77"/>
    <mergeCell ref="N77:N77"/>
    <mergeCell ref="O77:O77"/>
    <mergeCell ref="P77:P77"/>
    <mergeCell ref="Q77:Q77"/>
    <mergeCell ref="R77:R77"/>
    <mergeCell ref="S77:S77"/>
    <mergeCell ref="X77:X77"/>
    <mergeCell ref="Y77:Y77"/>
    <mergeCell ref="Z77:Z77"/>
    <mergeCell ref="AA77:AA77"/>
    <mergeCell ref="AB77:AB77"/>
    <mergeCell ref="AC77:AC77"/>
    <mergeCell ref="AD77:AD77"/>
    <mergeCell ref="AE77:AE77"/>
    <mergeCell ref="AF77:AF77"/>
    <mergeCell ref="A78:A78"/>
    <mergeCell ref="B78:B78"/>
    <mergeCell ref="C78:C78"/>
    <mergeCell ref="F78:F78"/>
    <mergeCell ref="G78:G78"/>
    <mergeCell ref="H78:H78"/>
    <mergeCell ref="M78:M78"/>
    <mergeCell ref="N78:N78"/>
    <mergeCell ref="O78:O78"/>
    <mergeCell ref="P78:P78"/>
    <mergeCell ref="Q78:Q78"/>
    <mergeCell ref="R78:R78"/>
    <mergeCell ref="S78:S78"/>
    <mergeCell ref="X78:X78"/>
    <mergeCell ref="Y78:Y78"/>
    <mergeCell ref="Z78:Z78"/>
    <mergeCell ref="AA78:AA78"/>
    <mergeCell ref="AB78:AB78"/>
    <mergeCell ref="AC78:AC78"/>
    <mergeCell ref="AD78:AD78"/>
    <mergeCell ref="AE78:AE78"/>
    <mergeCell ref="AF78:AF78"/>
    <mergeCell ref="A79:A79"/>
    <mergeCell ref="B79:B79"/>
    <mergeCell ref="C79:C79"/>
    <mergeCell ref="F79:F79"/>
    <mergeCell ref="G79:G79"/>
    <mergeCell ref="H79:H79"/>
    <mergeCell ref="M79:M79"/>
    <mergeCell ref="N79:N79"/>
    <mergeCell ref="O79:O79"/>
    <mergeCell ref="P79:P79"/>
    <mergeCell ref="Q79:Q79"/>
    <mergeCell ref="R79:R79"/>
    <mergeCell ref="S79:S79"/>
    <mergeCell ref="X79:X79"/>
    <mergeCell ref="Y79:Y79"/>
    <mergeCell ref="Z79:Z79"/>
    <mergeCell ref="AA79:AA79"/>
    <mergeCell ref="AB79:AB79"/>
    <mergeCell ref="AC79:AC79"/>
    <mergeCell ref="AD79:AD79"/>
    <mergeCell ref="AE79:AE79"/>
    <mergeCell ref="AF79:AF79"/>
    <mergeCell ref="A80:A80"/>
    <mergeCell ref="B80:B80"/>
    <mergeCell ref="C80:C80"/>
    <mergeCell ref="F80:F80"/>
    <mergeCell ref="G80:G80"/>
    <mergeCell ref="H80:H80"/>
    <mergeCell ref="M80:M80"/>
    <mergeCell ref="N80:N80"/>
    <mergeCell ref="O80:O80"/>
    <mergeCell ref="P80:P80"/>
    <mergeCell ref="Q80:Q80"/>
    <mergeCell ref="R80:R80"/>
    <mergeCell ref="S80:S80"/>
    <mergeCell ref="X80:X80"/>
    <mergeCell ref="Y80:Y80"/>
    <mergeCell ref="Z80:Z80"/>
    <mergeCell ref="AA80:AA80"/>
    <mergeCell ref="AB80:AB80"/>
    <mergeCell ref="AC80:AC80"/>
    <mergeCell ref="AD80:AD80"/>
    <mergeCell ref="AE80:AE80"/>
    <mergeCell ref="AF80:AF80"/>
    <mergeCell ref="A81:A81"/>
    <mergeCell ref="B81:B81"/>
    <mergeCell ref="C81:C81"/>
    <mergeCell ref="F81:F81"/>
    <mergeCell ref="G81:G81"/>
    <mergeCell ref="H81:H81"/>
    <mergeCell ref="M81:M81"/>
    <mergeCell ref="N81:N81"/>
    <mergeCell ref="O81:O81"/>
    <mergeCell ref="P81:P81"/>
    <mergeCell ref="Q81:Q81"/>
    <mergeCell ref="R81:R81"/>
    <mergeCell ref="S81:S81"/>
    <mergeCell ref="X81:X81"/>
    <mergeCell ref="Y81:Y81"/>
    <mergeCell ref="Z81:Z81"/>
    <mergeCell ref="AA81:AA81"/>
    <mergeCell ref="AB81:AB81"/>
    <mergeCell ref="AC81:AC81"/>
    <mergeCell ref="AD81:AD81"/>
    <mergeCell ref="AE81:AE81"/>
    <mergeCell ref="AF81:AF81"/>
    <mergeCell ref="A82:A82"/>
    <mergeCell ref="B82:B82"/>
    <mergeCell ref="C82:C82"/>
    <mergeCell ref="F82:F82"/>
    <mergeCell ref="G82:G82"/>
    <mergeCell ref="H82:H82"/>
    <mergeCell ref="M82:M82"/>
    <mergeCell ref="N82:N82"/>
    <mergeCell ref="O82:O82"/>
    <mergeCell ref="P82:P82"/>
    <mergeCell ref="Q82:Q82"/>
    <mergeCell ref="R82:R82"/>
    <mergeCell ref="S82:S82"/>
    <mergeCell ref="X82:X82"/>
    <mergeCell ref="Y82:Y82"/>
    <mergeCell ref="Z82:Z82"/>
    <mergeCell ref="AA82:AA82"/>
    <mergeCell ref="AB82:AB82"/>
    <mergeCell ref="AC82:AC82"/>
    <mergeCell ref="AD82:AD82"/>
    <mergeCell ref="AE82:AE82"/>
    <mergeCell ref="AF82:AF82"/>
    <mergeCell ref="A83:A83"/>
    <mergeCell ref="B83:B83"/>
    <mergeCell ref="C83:C83"/>
    <mergeCell ref="F83:F83"/>
    <mergeCell ref="G83:G83"/>
    <mergeCell ref="H83:H83"/>
    <mergeCell ref="M83:M83"/>
    <mergeCell ref="N83:N83"/>
    <mergeCell ref="O83:O83"/>
    <mergeCell ref="P83:P83"/>
    <mergeCell ref="Q83:Q83"/>
    <mergeCell ref="R83:R83"/>
    <mergeCell ref="S83:S83"/>
    <mergeCell ref="X83:X83"/>
    <mergeCell ref="Y83:Y83"/>
    <mergeCell ref="Z83:Z83"/>
    <mergeCell ref="AA83:AA83"/>
    <mergeCell ref="AB83:AB83"/>
    <mergeCell ref="AC83:AC83"/>
    <mergeCell ref="AD83:AD83"/>
    <mergeCell ref="AE83:AE83"/>
    <mergeCell ref="AF83:AF83"/>
    <mergeCell ref="A84:A84"/>
    <mergeCell ref="B84:B84"/>
    <mergeCell ref="C84:C84"/>
    <mergeCell ref="F84:F84"/>
    <mergeCell ref="G84:G84"/>
    <mergeCell ref="H84:H84"/>
    <mergeCell ref="M84:M84"/>
    <mergeCell ref="N84:N84"/>
    <mergeCell ref="O84:O84"/>
    <mergeCell ref="P84:P84"/>
    <mergeCell ref="Q84:Q84"/>
    <mergeCell ref="R84:R84"/>
    <mergeCell ref="S84:S84"/>
    <mergeCell ref="X84:X84"/>
    <mergeCell ref="Y84:Y84"/>
    <mergeCell ref="Z84:Z84"/>
    <mergeCell ref="AA84:AA84"/>
    <mergeCell ref="AB84:AB84"/>
    <mergeCell ref="AC84:AC84"/>
    <mergeCell ref="AD84:AD84"/>
    <mergeCell ref="AE84:AE84"/>
    <mergeCell ref="AF84:AF84"/>
    <mergeCell ref="A85:A85"/>
    <mergeCell ref="B85:B85"/>
    <mergeCell ref="C85:C85"/>
    <mergeCell ref="F85:F85"/>
    <mergeCell ref="G85:G85"/>
    <mergeCell ref="H85:H85"/>
    <mergeCell ref="M85:M85"/>
    <mergeCell ref="N85:N85"/>
    <mergeCell ref="O85:O85"/>
    <mergeCell ref="P85:P85"/>
    <mergeCell ref="Q85:Q85"/>
    <mergeCell ref="R85:R85"/>
    <mergeCell ref="S85:S85"/>
    <mergeCell ref="X85:X85"/>
    <mergeCell ref="Y85:Y85"/>
    <mergeCell ref="Z85:Z85"/>
    <mergeCell ref="AA85:AA85"/>
    <mergeCell ref="AB85:AB85"/>
    <mergeCell ref="AC85:AC85"/>
    <mergeCell ref="AD85:AD85"/>
    <mergeCell ref="AE85:AE85"/>
    <mergeCell ref="AF85:AF85"/>
    <mergeCell ref="A86:A86"/>
    <mergeCell ref="B86:B86"/>
    <mergeCell ref="C86:C86"/>
    <mergeCell ref="F86:F86"/>
    <mergeCell ref="G86:G86"/>
    <mergeCell ref="H86:H86"/>
    <mergeCell ref="M86:M86"/>
    <mergeCell ref="N86:N86"/>
    <mergeCell ref="O86:O86"/>
    <mergeCell ref="P86:P86"/>
    <mergeCell ref="Q86:Q86"/>
    <mergeCell ref="R86:R86"/>
    <mergeCell ref="S86:S86"/>
    <mergeCell ref="X86:X86"/>
    <mergeCell ref="Y86:Y86"/>
    <mergeCell ref="Z86:Z86"/>
    <mergeCell ref="AA86:AA86"/>
    <mergeCell ref="AB86:AB86"/>
    <mergeCell ref="AC86:AC86"/>
    <mergeCell ref="AD86:AD86"/>
    <mergeCell ref="AE86:AE86"/>
    <mergeCell ref="AF86:AF86"/>
    <mergeCell ref="A87:A87"/>
    <mergeCell ref="B87:B87"/>
    <mergeCell ref="C87:C87"/>
    <mergeCell ref="F87:F87"/>
    <mergeCell ref="G87:G87"/>
    <mergeCell ref="H87:H87"/>
    <mergeCell ref="M87:M87"/>
    <mergeCell ref="N87:N87"/>
    <mergeCell ref="O87:O87"/>
    <mergeCell ref="P87:P87"/>
    <mergeCell ref="Q87:Q87"/>
    <mergeCell ref="R87:R87"/>
    <mergeCell ref="S87:S87"/>
    <mergeCell ref="X87:X87"/>
    <mergeCell ref="Y87:Y87"/>
    <mergeCell ref="Z87:Z87"/>
    <mergeCell ref="AA87:AA87"/>
    <mergeCell ref="AB87:AB87"/>
    <mergeCell ref="AC87:AC87"/>
    <mergeCell ref="AD87:AD87"/>
    <mergeCell ref="AE87:AE87"/>
    <mergeCell ref="AF87:AF87"/>
    <mergeCell ref="A88:A88"/>
    <mergeCell ref="B88:B88"/>
    <mergeCell ref="C88:C88"/>
    <mergeCell ref="F88:F88"/>
    <mergeCell ref="G88:G88"/>
    <mergeCell ref="H88:H88"/>
    <mergeCell ref="M88:M88"/>
    <mergeCell ref="N88:N88"/>
    <mergeCell ref="O88:O88"/>
    <mergeCell ref="P88:P88"/>
    <mergeCell ref="Q88:Q88"/>
    <mergeCell ref="R88:R88"/>
    <mergeCell ref="S88:S88"/>
    <mergeCell ref="X88:X88"/>
    <mergeCell ref="Y88:Y88"/>
    <mergeCell ref="Z88:Z88"/>
    <mergeCell ref="AA88:AA88"/>
    <mergeCell ref="AB88:AB88"/>
    <mergeCell ref="AC88:AC88"/>
    <mergeCell ref="AD88:AD88"/>
    <mergeCell ref="AE88:AE88"/>
    <mergeCell ref="AF88:AF88"/>
    <mergeCell ref="A89:A89"/>
    <mergeCell ref="B89:B89"/>
    <mergeCell ref="C89:C89"/>
    <mergeCell ref="F89:F89"/>
    <mergeCell ref="G89:G89"/>
    <mergeCell ref="H89:H89"/>
    <mergeCell ref="M89:M89"/>
    <mergeCell ref="N89:N89"/>
    <mergeCell ref="O89:O89"/>
    <mergeCell ref="P89:P89"/>
    <mergeCell ref="Q89:Q89"/>
    <mergeCell ref="R89:R89"/>
    <mergeCell ref="S89:S89"/>
    <mergeCell ref="X89:X89"/>
    <mergeCell ref="Y89:Y89"/>
    <mergeCell ref="Z89:Z89"/>
    <mergeCell ref="AA89:AA89"/>
    <mergeCell ref="AB89:AB89"/>
    <mergeCell ref="AC89:AC89"/>
    <mergeCell ref="AD89:AD89"/>
    <mergeCell ref="AE89:AE89"/>
    <mergeCell ref="AF89:AF89"/>
    <mergeCell ref="A90:A90"/>
    <mergeCell ref="B90:B90"/>
    <mergeCell ref="C90:C90"/>
    <mergeCell ref="F90:F90"/>
    <mergeCell ref="G90:G90"/>
    <mergeCell ref="H90:H90"/>
    <mergeCell ref="M90:M90"/>
    <mergeCell ref="N90:N90"/>
    <mergeCell ref="O90:O90"/>
    <mergeCell ref="P90:P90"/>
    <mergeCell ref="Q90:Q90"/>
    <mergeCell ref="R90:R90"/>
    <mergeCell ref="S90:S90"/>
    <mergeCell ref="X90:X90"/>
    <mergeCell ref="Y90:Y90"/>
    <mergeCell ref="Z90:Z90"/>
    <mergeCell ref="AA90:AA90"/>
    <mergeCell ref="AB90:AB90"/>
    <mergeCell ref="AC90:AC90"/>
    <mergeCell ref="AD90:AD90"/>
    <mergeCell ref="AE90:AE90"/>
    <mergeCell ref="AF90:AF90"/>
    <mergeCell ref="A91:A91"/>
    <mergeCell ref="B91:B91"/>
    <mergeCell ref="C91:C91"/>
    <mergeCell ref="F91:F91"/>
    <mergeCell ref="G91:G91"/>
    <mergeCell ref="H91:H91"/>
    <mergeCell ref="M91:M91"/>
    <mergeCell ref="N91:N91"/>
    <mergeCell ref="O91:O91"/>
    <mergeCell ref="P91:P91"/>
    <mergeCell ref="Q91:Q91"/>
    <mergeCell ref="R91:R91"/>
    <mergeCell ref="S91:S91"/>
    <mergeCell ref="X91:X91"/>
    <mergeCell ref="Y91:Y91"/>
    <mergeCell ref="Z91:Z91"/>
    <mergeCell ref="AA91:AA91"/>
    <mergeCell ref="AB91:AB91"/>
    <mergeCell ref="AC91:AC91"/>
    <mergeCell ref="AD91:AD91"/>
    <mergeCell ref="AE91:AE91"/>
    <mergeCell ref="AF91:AF91"/>
    <mergeCell ref="A92:A92"/>
    <mergeCell ref="B92:B92"/>
    <mergeCell ref="C92:C92"/>
    <mergeCell ref="F92:F92"/>
    <mergeCell ref="G92:G92"/>
    <mergeCell ref="H92:H92"/>
    <mergeCell ref="M92:M92"/>
    <mergeCell ref="N92:N92"/>
    <mergeCell ref="O92:O92"/>
    <mergeCell ref="P92:P92"/>
    <mergeCell ref="Q92:Q92"/>
    <mergeCell ref="R92:R92"/>
    <mergeCell ref="S92:S92"/>
    <mergeCell ref="X92:X92"/>
    <mergeCell ref="Y92:Y92"/>
    <mergeCell ref="Z92:Z92"/>
    <mergeCell ref="AA92:AA92"/>
    <mergeCell ref="AB92:AB92"/>
    <mergeCell ref="AC92:AC92"/>
    <mergeCell ref="AD92:AD92"/>
    <mergeCell ref="AE92:AE92"/>
    <mergeCell ref="AF92:AF92"/>
    <mergeCell ref="A93:A93"/>
    <mergeCell ref="B93:B93"/>
    <mergeCell ref="C93:C93"/>
    <mergeCell ref="F93:F93"/>
    <mergeCell ref="G93:G93"/>
    <mergeCell ref="H93:H93"/>
    <mergeCell ref="M93:M93"/>
    <mergeCell ref="N93:N93"/>
    <mergeCell ref="O93:O93"/>
    <mergeCell ref="P93:P93"/>
    <mergeCell ref="Q93:Q93"/>
    <mergeCell ref="R93:R93"/>
    <mergeCell ref="S93:S93"/>
    <mergeCell ref="X93:X93"/>
    <mergeCell ref="Y93:Y93"/>
    <mergeCell ref="Z93:Z93"/>
    <mergeCell ref="AA93:AA93"/>
    <mergeCell ref="AB93:AB93"/>
    <mergeCell ref="AC93:AC93"/>
    <mergeCell ref="AD93:AD93"/>
    <mergeCell ref="AE93:AE93"/>
    <mergeCell ref="AF93:AF93"/>
    <mergeCell ref="A94:A94"/>
    <mergeCell ref="B94:B94"/>
    <mergeCell ref="C94:C94"/>
    <mergeCell ref="F94:F94"/>
    <mergeCell ref="G94:G94"/>
    <mergeCell ref="H94:H94"/>
    <mergeCell ref="M94:M94"/>
    <mergeCell ref="N94:N94"/>
    <mergeCell ref="O94:O94"/>
    <mergeCell ref="P94:P94"/>
    <mergeCell ref="Q94:Q94"/>
    <mergeCell ref="R94:R94"/>
    <mergeCell ref="S94:S94"/>
    <mergeCell ref="X94:X94"/>
    <mergeCell ref="Y94:Y94"/>
    <mergeCell ref="Z94:Z94"/>
    <mergeCell ref="AA94:AA94"/>
    <mergeCell ref="AB94:AB94"/>
    <mergeCell ref="AC94:AC94"/>
    <mergeCell ref="AD94:AD94"/>
    <mergeCell ref="AE94:AE94"/>
    <mergeCell ref="AF94:AF94"/>
    <mergeCell ref="A95:A95"/>
    <mergeCell ref="B95:B95"/>
    <mergeCell ref="C95:C95"/>
    <mergeCell ref="F95:F95"/>
    <mergeCell ref="G95:G95"/>
    <mergeCell ref="H95:H95"/>
    <mergeCell ref="M95:M95"/>
    <mergeCell ref="N95:N95"/>
    <mergeCell ref="O95:O95"/>
    <mergeCell ref="P95:P95"/>
    <mergeCell ref="Q95:Q95"/>
    <mergeCell ref="R95:R95"/>
    <mergeCell ref="S95:S95"/>
    <mergeCell ref="X95:X95"/>
    <mergeCell ref="Y95:Y95"/>
    <mergeCell ref="Z95:Z95"/>
    <mergeCell ref="AA95:AA95"/>
    <mergeCell ref="AB95:AB95"/>
    <mergeCell ref="AC95:AC95"/>
    <mergeCell ref="AD95:AD95"/>
    <mergeCell ref="AE95:AE95"/>
    <mergeCell ref="AF95:AF95"/>
    <mergeCell ref="A96:A96"/>
    <mergeCell ref="B96:B96"/>
    <mergeCell ref="C96:C96"/>
    <mergeCell ref="F96:F96"/>
    <mergeCell ref="G96:G96"/>
    <mergeCell ref="H96:H96"/>
    <mergeCell ref="M96:M96"/>
    <mergeCell ref="N96:N96"/>
    <mergeCell ref="O96:O96"/>
    <mergeCell ref="P96:P96"/>
    <mergeCell ref="Q96:Q96"/>
    <mergeCell ref="R96:R96"/>
    <mergeCell ref="S96:S96"/>
    <mergeCell ref="X96:X96"/>
    <mergeCell ref="Y96:Y96"/>
    <mergeCell ref="Z96:Z96"/>
    <mergeCell ref="AA96:AA96"/>
    <mergeCell ref="AB96:AB96"/>
    <mergeCell ref="AC96:AC96"/>
    <mergeCell ref="AD96:AD96"/>
    <mergeCell ref="AE96:AE96"/>
    <mergeCell ref="AF96:AF96"/>
    <mergeCell ref="A97:A97"/>
    <mergeCell ref="B97:B97"/>
    <mergeCell ref="C97:C97"/>
    <mergeCell ref="F97:F97"/>
    <mergeCell ref="G97:G97"/>
    <mergeCell ref="H97:H97"/>
    <mergeCell ref="M97:M97"/>
    <mergeCell ref="N97:N97"/>
    <mergeCell ref="O97:O97"/>
    <mergeCell ref="P97:P97"/>
    <mergeCell ref="Q97:Q97"/>
    <mergeCell ref="R97:R97"/>
    <mergeCell ref="S97:S97"/>
    <mergeCell ref="X97:X97"/>
    <mergeCell ref="Y97:Y97"/>
    <mergeCell ref="Z97:Z97"/>
    <mergeCell ref="AA97:AA97"/>
    <mergeCell ref="AB97:AB97"/>
    <mergeCell ref="AC97:AC97"/>
    <mergeCell ref="AD97:AD97"/>
    <mergeCell ref="AE97:AE97"/>
    <mergeCell ref="AF97:AF97"/>
    <mergeCell ref="A98:A98"/>
    <mergeCell ref="B98:B98"/>
    <mergeCell ref="C98:C98"/>
    <mergeCell ref="F98:F98"/>
    <mergeCell ref="G98:G98"/>
    <mergeCell ref="H98:H98"/>
    <mergeCell ref="M98:M98"/>
    <mergeCell ref="N98:N98"/>
    <mergeCell ref="O98:O98"/>
    <mergeCell ref="P98:P98"/>
    <mergeCell ref="Q98:Q98"/>
    <mergeCell ref="R98:R98"/>
    <mergeCell ref="S98:S98"/>
    <mergeCell ref="X98:X98"/>
    <mergeCell ref="Y98:Y98"/>
    <mergeCell ref="Z98:Z98"/>
    <mergeCell ref="AA98:AA98"/>
    <mergeCell ref="AB98:AB98"/>
    <mergeCell ref="AC98:AC98"/>
    <mergeCell ref="AD98:AD98"/>
    <mergeCell ref="AE98:AE98"/>
    <mergeCell ref="AF98:AF98"/>
    <mergeCell ref="A99:A99"/>
    <mergeCell ref="B99:B99"/>
    <mergeCell ref="C99:C99"/>
    <mergeCell ref="F99:F99"/>
    <mergeCell ref="G99:G99"/>
    <mergeCell ref="H99:H99"/>
    <mergeCell ref="M99:M99"/>
    <mergeCell ref="N99:N99"/>
    <mergeCell ref="O99:O99"/>
    <mergeCell ref="P99:P99"/>
    <mergeCell ref="Q99:Q99"/>
    <mergeCell ref="R99:R99"/>
    <mergeCell ref="S99:S99"/>
    <mergeCell ref="X99:X99"/>
    <mergeCell ref="Y99:Y99"/>
    <mergeCell ref="Z99:Z99"/>
    <mergeCell ref="AA99:AA99"/>
    <mergeCell ref="AB99:AB99"/>
    <mergeCell ref="AC99:AC99"/>
    <mergeCell ref="AD99:AD99"/>
    <mergeCell ref="AE99:AE99"/>
    <mergeCell ref="AF99:AF99"/>
    <mergeCell ref="A100:A100"/>
    <mergeCell ref="B100:B100"/>
    <mergeCell ref="C100:C100"/>
    <mergeCell ref="F100:F100"/>
    <mergeCell ref="G100:G100"/>
    <mergeCell ref="H100:H100"/>
    <mergeCell ref="M100:M100"/>
    <mergeCell ref="N100:N100"/>
    <mergeCell ref="O100:O100"/>
    <mergeCell ref="P100:P100"/>
    <mergeCell ref="Q100:Q100"/>
    <mergeCell ref="R100:R100"/>
    <mergeCell ref="S100:S100"/>
    <mergeCell ref="X100:X100"/>
    <mergeCell ref="Y100:Y100"/>
    <mergeCell ref="Z100:Z100"/>
    <mergeCell ref="AA100:AA100"/>
    <mergeCell ref="AB100:AB100"/>
    <mergeCell ref="AC100:AC100"/>
    <mergeCell ref="AD100:AD100"/>
    <mergeCell ref="AE100:AE100"/>
    <mergeCell ref="AF100:AF100"/>
    <mergeCell ref="A101:A101"/>
    <mergeCell ref="B101:B101"/>
    <mergeCell ref="C101:C101"/>
    <mergeCell ref="F101:F101"/>
    <mergeCell ref="G101:G101"/>
    <mergeCell ref="H101:H101"/>
    <mergeCell ref="M101:M101"/>
    <mergeCell ref="N101:N101"/>
    <mergeCell ref="O101:O101"/>
    <mergeCell ref="P101:P101"/>
    <mergeCell ref="Q101:Q101"/>
    <mergeCell ref="R101:R101"/>
    <mergeCell ref="S101:S101"/>
    <mergeCell ref="X101:X101"/>
    <mergeCell ref="Y101:Y101"/>
    <mergeCell ref="Z101:Z101"/>
    <mergeCell ref="AA101:AA101"/>
    <mergeCell ref="AB101:AB101"/>
    <mergeCell ref="AC101:AC101"/>
    <mergeCell ref="AD101:AD101"/>
    <mergeCell ref="AE101:AE101"/>
    <mergeCell ref="AF101:AF101"/>
    <mergeCell ref="A102:A102"/>
    <mergeCell ref="B102:B102"/>
    <mergeCell ref="C102:C102"/>
    <mergeCell ref="F102:F102"/>
    <mergeCell ref="G102:G102"/>
    <mergeCell ref="H102:H102"/>
    <mergeCell ref="M102:M102"/>
    <mergeCell ref="N102:N102"/>
    <mergeCell ref="O102:O102"/>
    <mergeCell ref="P102:P102"/>
    <mergeCell ref="Q102:Q102"/>
    <mergeCell ref="R102:R102"/>
    <mergeCell ref="S102:S102"/>
    <mergeCell ref="X102:X102"/>
    <mergeCell ref="Y102:Y102"/>
    <mergeCell ref="Z102:Z102"/>
    <mergeCell ref="AA102:AA102"/>
    <mergeCell ref="AB102:AB102"/>
    <mergeCell ref="AC102:AC102"/>
    <mergeCell ref="AD102:AD102"/>
    <mergeCell ref="AE102:AE102"/>
    <mergeCell ref="AF102:AF102"/>
    <mergeCell ref="A103:A103"/>
    <mergeCell ref="B103:B103"/>
    <mergeCell ref="C103:C103"/>
    <mergeCell ref="F103:F103"/>
    <mergeCell ref="G103:G103"/>
    <mergeCell ref="H103:H103"/>
    <mergeCell ref="M103:M103"/>
    <mergeCell ref="N103:N103"/>
    <mergeCell ref="O103:O103"/>
    <mergeCell ref="P103:P103"/>
    <mergeCell ref="Q103:Q103"/>
    <mergeCell ref="R103:R103"/>
    <mergeCell ref="S103:S103"/>
    <mergeCell ref="X103:X103"/>
    <mergeCell ref="Y103:Y103"/>
    <mergeCell ref="Z103:Z103"/>
    <mergeCell ref="AA103:AA103"/>
    <mergeCell ref="AB103:AB103"/>
    <mergeCell ref="AC103:AC103"/>
    <mergeCell ref="AD103:AD103"/>
    <mergeCell ref="AE103:AE103"/>
    <mergeCell ref="AF103:AF103"/>
    <mergeCell ref="A104:A104"/>
    <mergeCell ref="B104:B104"/>
    <mergeCell ref="C104:C104"/>
    <mergeCell ref="F104:F104"/>
    <mergeCell ref="G104:G104"/>
    <mergeCell ref="H104:H104"/>
    <mergeCell ref="M104:M104"/>
    <mergeCell ref="N104:N104"/>
    <mergeCell ref="O104:O104"/>
    <mergeCell ref="P104:P104"/>
    <mergeCell ref="Q104:Q104"/>
    <mergeCell ref="R104:R104"/>
    <mergeCell ref="S104:S104"/>
    <mergeCell ref="X104:X104"/>
    <mergeCell ref="Y104:Y104"/>
    <mergeCell ref="Z104:Z104"/>
    <mergeCell ref="AA104:AA104"/>
    <mergeCell ref="AB104:AB104"/>
    <mergeCell ref="AC104:AC104"/>
    <mergeCell ref="AD104:AD104"/>
    <mergeCell ref="AE104:AE104"/>
    <mergeCell ref="AF104:AF104"/>
    <mergeCell ref="A105:A105"/>
    <mergeCell ref="B105:B105"/>
    <mergeCell ref="C105:C105"/>
    <mergeCell ref="F105:F105"/>
    <mergeCell ref="G105:G105"/>
    <mergeCell ref="H105:H105"/>
    <mergeCell ref="M105:M105"/>
    <mergeCell ref="N105:N105"/>
    <mergeCell ref="O105:O105"/>
    <mergeCell ref="P105:P105"/>
    <mergeCell ref="Q105:Q105"/>
    <mergeCell ref="R105:R105"/>
    <mergeCell ref="S105:S105"/>
    <mergeCell ref="X105:X105"/>
    <mergeCell ref="Y105:Y105"/>
    <mergeCell ref="Z105:Z105"/>
    <mergeCell ref="AA105:AA105"/>
    <mergeCell ref="AB105:AB105"/>
    <mergeCell ref="AC105:AC105"/>
    <mergeCell ref="AD105:AD105"/>
    <mergeCell ref="AE105:AE105"/>
    <mergeCell ref="AF105:AF105"/>
    <mergeCell ref="A106:A106"/>
    <mergeCell ref="B106:B106"/>
    <mergeCell ref="C106:C106"/>
    <mergeCell ref="F106:F106"/>
    <mergeCell ref="G106:G106"/>
    <mergeCell ref="H106:H106"/>
    <mergeCell ref="M106:M106"/>
    <mergeCell ref="N106:N106"/>
    <mergeCell ref="O106:O106"/>
    <mergeCell ref="P106:P106"/>
    <mergeCell ref="Q106:Q106"/>
    <mergeCell ref="R106:R106"/>
    <mergeCell ref="S106:S106"/>
    <mergeCell ref="X106:X106"/>
    <mergeCell ref="Y106:Y106"/>
    <mergeCell ref="Z106:Z106"/>
    <mergeCell ref="AA106:AA106"/>
    <mergeCell ref="AB106:AB106"/>
    <mergeCell ref="AC106:AC106"/>
    <mergeCell ref="AD106:AD106"/>
    <mergeCell ref="AE106:AE106"/>
    <mergeCell ref="AF106:AF106"/>
    <mergeCell ref="A107:A107"/>
    <mergeCell ref="B107:B107"/>
    <mergeCell ref="C107:C107"/>
    <mergeCell ref="F107:F107"/>
    <mergeCell ref="G107:G107"/>
    <mergeCell ref="H107:H107"/>
    <mergeCell ref="M107:M107"/>
    <mergeCell ref="N107:N107"/>
    <mergeCell ref="O107:O107"/>
    <mergeCell ref="P107:P107"/>
    <mergeCell ref="Q107:Q107"/>
    <mergeCell ref="R107:R107"/>
    <mergeCell ref="S107:S107"/>
    <mergeCell ref="X107:X107"/>
    <mergeCell ref="Y107:Y107"/>
    <mergeCell ref="Z107:Z107"/>
    <mergeCell ref="AA107:AA107"/>
    <mergeCell ref="AB107:AB107"/>
    <mergeCell ref="AC107:AC107"/>
    <mergeCell ref="AD107:AD107"/>
    <mergeCell ref="AE107:AE107"/>
    <mergeCell ref="AF107:AF107"/>
    <mergeCell ref="A108:A108"/>
    <mergeCell ref="B108:B108"/>
    <mergeCell ref="C108:C108"/>
    <mergeCell ref="F108:F108"/>
    <mergeCell ref="G108:G108"/>
    <mergeCell ref="H108:H108"/>
    <mergeCell ref="M108:M108"/>
    <mergeCell ref="N108:N108"/>
    <mergeCell ref="O108:O108"/>
    <mergeCell ref="P108:P108"/>
    <mergeCell ref="Q108:Q108"/>
    <mergeCell ref="R108:R108"/>
    <mergeCell ref="S108:S108"/>
    <mergeCell ref="X108:X108"/>
    <mergeCell ref="Y108:Y108"/>
    <mergeCell ref="Z108:Z108"/>
    <mergeCell ref="AA108:AA108"/>
    <mergeCell ref="AB108:AB108"/>
    <mergeCell ref="AC108:AC108"/>
    <mergeCell ref="AD108:AD108"/>
    <mergeCell ref="AE108:AE108"/>
    <mergeCell ref="AF108:AF108"/>
    <mergeCell ref="A109:A109"/>
    <mergeCell ref="B109:B109"/>
    <mergeCell ref="C109:C109"/>
    <mergeCell ref="F109:F109"/>
    <mergeCell ref="G109:G109"/>
    <mergeCell ref="H109:H109"/>
    <mergeCell ref="M109:M109"/>
    <mergeCell ref="N109:N109"/>
    <mergeCell ref="O109:O109"/>
    <mergeCell ref="P109:P109"/>
    <mergeCell ref="Q109:Q109"/>
    <mergeCell ref="R109:R109"/>
    <mergeCell ref="S109:S109"/>
    <mergeCell ref="X109:X109"/>
    <mergeCell ref="Y109:Y109"/>
    <mergeCell ref="Z109:Z109"/>
    <mergeCell ref="AA109:AA109"/>
    <mergeCell ref="AB109:AB109"/>
    <mergeCell ref="AC109:AC109"/>
    <mergeCell ref="AD109:AD109"/>
    <mergeCell ref="AE109:AE109"/>
    <mergeCell ref="AF109:AF109"/>
    <mergeCell ref="A110:A110"/>
    <mergeCell ref="B110:B110"/>
    <mergeCell ref="C110:C110"/>
    <mergeCell ref="F110:F110"/>
    <mergeCell ref="G110:G110"/>
    <mergeCell ref="H110:H110"/>
    <mergeCell ref="M110:M110"/>
    <mergeCell ref="N110:N110"/>
    <mergeCell ref="O110:O110"/>
    <mergeCell ref="P110:P110"/>
    <mergeCell ref="Q110:Q110"/>
    <mergeCell ref="R110:R110"/>
    <mergeCell ref="S110:S110"/>
    <mergeCell ref="X110:X110"/>
    <mergeCell ref="Y110:Y110"/>
    <mergeCell ref="Z110:Z110"/>
    <mergeCell ref="AA110:AA110"/>
    <mergeCell ref="AB110:AB110"/>
    <mergeCell ref="AC110:AC110"/>
    <mergeCell ref="AD110:AD110"/>
    <mergeCell ref="AE110:AE110"/>
    <mergeCell ref="AF110:AF110"/>
    <mergeCell ref="A111:A111"/>
    <mergeCell ref="B111:B111"/>
    <mergeCell ref="C111:C111"/>
    <mergeCell ref="F111:F111"/>
    <mergeCell ref="G111:G111"/>
    <mergeCell ref="H111:H111"/>
    <mergeCell ref="M111:M111"/>
    <mergeCell ref="N111:N111"/>
    <mergeCell ref="O111:O111"/>
    <mergeCell ref="P111:P111"/>
    <mergeCell ref="Q111:Q111"/>
    <mergeCell ref="R111:R111"/>
    <mergeCell ref="S111:S111"/>
    <mergeCell ref="X111:X111"/>
    <mergeCell ref="Y111:Y111"/>
    <mergeCell ref="Z111:Z111"/>
    <mergeCell ref="AA111:AA111"/>
    <mergeCell ref="AB111:AB111"/>
    <mergeCell ref="AC111:AC111"/>
    <mergeCell ref="AD111:AD111"/>
    <mergeCell ref="AE111:AE111"/>
    <mergeCell ref="AF111:AF111"/>
    <mergeCell ref="A112:A112"/>
    <mergeCell ref="B112:B112"/>
    <mergeCell ref="C112:C112"/>
    <mergeCell ref="F112:F112"/>
    <mergeCell ref="G112:G112"/>
    <mergeCell ref="H112:H112"/>
    <mergeCell ref="M112:M112"/>
    <mergeCell ref="N112:N112"/>
    <mergeCell ref="O112:O112"/>
    <mergeCell ref="P112:P112"/>
    <mergeCell ref="Q112:Q112"/>
    <mergeCell ref="R112:R112"/>
    <mergeCell ref="S112:S112"/>
    <mergeCell ref="X112:X112"/>
    <mergeCell ref="Y112:Y112"/>
    <mergeCell ref="Z112:Z112"/>
    <mergeCell ref="AA112:AA112"/>
    <mergeCell ref="AB112:AB112"/>
    <mergeCell ref="AC112:AC112"/>
    <mergeCell ref="AD112:AD112"/>
    <mergeCell ref="AE112:AE112"/>
    <mergeCell ref="AF112:AF112"/>
    <mergeCell ref="A113:A113"/>
    <mergeCell ref="B113:B113"/>
    <mergeCell ref="C113:C113"/>
    <mergeCell ref="F113:F113"/>
    <mergeCell ref="G113:G113"/>
    <mergeCell ref="H113:H113"/>
    <mergeCell ref="M113:M113"/>
    <mergeCell ref="N113:N113"/>
    <mergeCell ref="O113:O113"/>
    <mergeCell ref="P113:P113"/>
    <mergeCell ref="Q113:Q113"/>
    <mergeCell ref="R113:R113"/>
    <mergeCell ref="S113:S113"/>
    <mergeCell ref="X113:X113"/>
    <mergeCell ref="Y113:Y113"/>
    <mergeCell ref="Z113:Z113"/>
    <mergeCell ref="AA113:AA113"/>
    <mergeCell ref="AB113:AB113"/>
    <mergeCell ref="AC113:AC113"/>
    <mergeCell ref="AD113:AD113"/>
    <mergeCell ref="AE113:AE113"/>
    <mergeCell ref="AF113:AF113"/>
    <mergeCell ref="A114:A114"/>
    <mergeCell ref="B114:B114"/>
    <mergeCell ref="C114:C114"/>
    <mergeCell ref="F114:F114"/>
    <mergeCell ref="G114:G114"/>
    <mergeCell ref="H114:H114"/>
    <mergeCell ref="M114:M114"/>
    <mergeCell ref="N114:N114"/>
    <mergeCell ref="O114:O114"/>
    <mergeCell ref="P114:P114"/>
    <mergeCell ref="Q114:Q114"/>
    <mergeCell ref="R114:R114"/>
    <mergeCell ref="S114:S114"/>
    <mergeCell ref="X114:X114"/>
    <mergeCell ref="Y114:Y114"/>
    <mergeCell ref="Z114:Z114"/>
    <mergeCell ref="AA114:AA114"/>
    <mergeCell ref="AB114:AB114"/>
    <mergeCell ref="AC114:AC114"/>
    <mergeCell ref="AD114:AD114"/>
    <mergeCell ref="AE114:AE114"/>
    <mergeCell ref="AF114:AF114"/>
    <mergeCell ref="A115:A115"/>
    <mergeCell ref="B115:B115"/>
    <mergeCell ref="C115:C115"/>
    <mergeCell ref="F115:F115"/>
    <mergeCell ref="G115:G115"/>
    <mergeCell ref="H115:H115"/>
    <mergeCell ref="M115:M115"/>
    <mergeCell ref="N115:N115"/>
    <mergeCell ref="O115:O115"/>
    <mergeCell ref="P115:P115"/>
    <mergeCell ref="Q115:Q115"/>
    <mergeCell ref="R115:R115"/>
    <mergeCell ref="S115:S115"/>
    <mergeCell ref="X115:X115"/>
    <mergeCell ref="Y115:Y115"/>
    <mergeCell ref="Z115:Z115"/>
    <mergeCell ref="AA115:AA115"/>
    <mergeCell ref="AB115:AB115"/>
    <mergeCell ref="AC115:AC115"/>
    <mergeCell ref="AD115:AD115"/>
    <mergeCell ref="AE115:AE115"/>
    <mergeCell ref="AF115:AF115"/>
    <mergeCell ref="A116:A116"/>
    <mergeCell ref="B116:B116"/>
    <mergeCell ref="C116:C116"/>
    <mergeCell ref="F116:F116"/>
    <mergeCell ref="G116:G116"/>
    <mergeCell ref="H116:H116"/>
    <mergeCell ref="M116:M116"/>
    <mergeCell ref="N116:N116"/>
    <mergeCell ref="O116:O116"/>
    <mergeCell ref="P116:P116"/>
    <mergeCell ref="Q116:Q116"/>
    <mergeCell ref="R116:R116"/>
    <mergeCell ref="S116:S116"/>
    <mergeCell ref="X116:X116"/>
    <mergeCell ref="Y116:Y116"/>
    <mergeCell ref="Z116:Z116"/>
    <mergeCell ref="AA116:AA116"/>
    <mergeCell ref="AB116:AB116"/>
    <mergeCell ref="AC116:AC116"/>
    <mergeCell ref="AD116:AD116"/>
    <mergeCell ref="AE116:AE116"/>
    <mergeCell ref="AF116:AF116"/>
    <mergeCell ref="A117:A117"/>
    <mergeCell ref="B117:B117"/>
    <mergeCell ref="C117:C117"/>
    <mergeCell ref="F117:F117"/>
    <mergeCell ref="G117:G117"/>
    <mergeCell ref="H117:H117"/>
    <mergeCell ref="M117:M117"/>
    <mergeCell ref="N117:N117"/>
    <mergeCell ref="O117:O117"/>
    <mergeCell ref="P117:P117"/>
    <mergeCell ref="Q117:Q117"/>
    <mergeCell ref="R117:R117"/>
    <mergeCell ref="S117:S117"/>
    <mergeCell ref="X117:X117"/>
    <mergeCell ref="Y117:Y117"/>
    <mergeCell ref="Z117:Z117"/>
    <mergeCell ref="AA117:AA117"/>
    <mergeCell ref="AB117:AB117"/>
    <mergeCell ref="AC117:AC117"/>
    <mergeCell ref="AD117:AD117"/>
    <mergeCell ref="AE117:AE117"/>
    <mergeCell ref="AF117:AF117"/>
    <mergeCell ref="A118:A118"/>
    <mergeCell ref="B118:B118"/>
    <mergeCell ref="C118:C118"/>
    <mergeCell ref="F118:F118"/>
    <mergeCell ref="G118:G118"/>
    <mergeCell ref="H118:H118"/>
    <mergeCell ref="M118:M118"/>
    <mergeCell ref="N118:N118"/>
    <mergeCell ref="O118:O118"/>
    <mergeCell ref="P118:P118"/>
    <mergeCell ref="Q118:Q118"/>
    <mergeCell ref="R118:R118"/>
    <mergeCell ref="S118:S118"/>
    <mergeCell ref="X118:X118"/>
    <mergeCell ref="Y118:Y118"/>
    <mergeCell ref="Z118:Z118"/>
    <mergeCell ref="AA118:AA118"/>
    <mergeCell ref="AB118:AB118"/>
    <mergeCell ref="AC118:AC118"/>
    <mergeCell ref="AD118:AD118"/>
    <mergeCell ref="AE118:AE118"/>
    <mergeCell ref="AF118:AF118"/>
    <mergeCell ref="A119:A119"/>
    <mergeCell ref="B119:B119"/>
    <mergeCell ref="C119:C119"/>
    <mergeCell ref="F119:F119"/>
    <mergeCell ref="G119:G119"/>
    <mergeCell ref="H119:H119"/>
    <mergeCell ref="M119:M119"/>
    <mergeCell ref="N119:N119"/>
    <mergeCell ref="O119:O119"/>
    <mergeCell ref="P119:P119"/>
    <mergeCell ref="Q119:Q119"/>
    <mergeCell ref="R119:R119"/>
    <mergeCell ref="S119:S119"/>
    <mergeCell ref="X119:X119"/>
    <mergeCell ref="Y119:Y119"/>
    <mergeCell ref="Z119:Z119"/>
    <mergeCell ref="AA119:AA119"/>
    <mergeCell ref="AB119:AB119"/>
    <mergeCell ref="AC119:AC119"/>
    <mergeCell ref="AD119:AD119"/>
    <mergeCell ref="AE119:AE119"/>
    <mergeCell ref="AF119:AF119"/>
    <mergeCell ref="A120:A120"/>
    <mergeCell ref="B120:B120"/>
    <mergeCell ref="C120:C120"/>
    <mergeCell ref="F120:F120"/>
    <mergeCell ref="G120:G120"/>
    <mergeCell ref="H120:H120"/>
    <mergeCell ref="M120:M120"/>
    <mergeCell ref="N120:N120"/>
    <mergeCell ref="O120:O120"/>
    <mergeCell ref="P120:P120"/>
    <mergeCell ref="Q120:Q120"/>
    <mergeCell ref="R120:R120"/>
    <mergeCell ref="S120:S120"/>
    <mergeCell ref="X120:X120"/>
    <mergeCell ref="Y120:Y120"/>
    <mergeCell ref="Z120:Z120"/>
    <mergeCell ref="AA120:AA120"/>
    <mergeCell ref="AB120:AB120"/>
    <mergeCell ref="AC120:AC120"/>
    <mergeCell ref="AD120:AD120"/>
    <mergeCell ref="AE120:AE120"/>
    <mergeCell ref="AF120:AF120"/>
    <mergeCell ref="A121:A121"/>
    <mergeCell ref="B121:B121"/>
    <mergeCell ref="C121:C121"/>
    <mergeCell ref="F121:F121"/>
    <mergeCell ref="G121:G121"/>
    <mergeCell ref="H121:H121"/>
    <mergeCell ref="M121:M121"/>
    <mergeCell ref="N121:N121"/>
    <mergeCell ref="O121:O121"/>
    <mergeCell ref="P121:P121"/>
    <mergeCell ref="Q121:Q121"/>
    <mergeCell ref="R121:R121"/>
    <mergeCell ref="S121:S121"/>
    <mergeCell ref="X121:X121"/>
    <mergeCell ref="Y121:Y121"/>
    <mergeCell ref="Z121:Z121"/>
    <mergeCell ref="AA121:AA121"/>
    <mergeCell ref="AB121:AB121"/>
    <mergeCell ref="AC121:AC121"/>
    <mergeCell ref="AD121:AD121"/>
    <mergeCell ref="AE121:AE121"/>
    <mergeCell ref="AF121:AF121"/>
    <mergeCell ref="A122:A122"/>
    <mergeCell ref="B122:B122"/>
    <mergeCell ref="C122:C122"/>
    <mergeCell ref="F122:F122"/>
    <mergeCell ref="G122:G122"/>
    <mergeCell ref="H122:H122"/>
    <mergeCell ref="M122:M122"/>
    <mergeCell ref="N122:N122"/>
    <mergeCell ref="O122:O122"/>
    <mergeCell ref="P122:P122"/>
    <mergeCell ref="Q122:Q122"/>
    <mergeCell ref="R122:R122"/>
    <mergeCell ref="S122:S122"/>
    <mergeCell ref="X122:X122"/>
    <mergeCell ref="Y122:Y122"/>
    <mergeCell ref="Z122:Z122"/>
    <mergeCell ref="AA122:AA122"/>
    <mergeCell ref="AB122:AB122"/>
    <mergeCell ref="AC122:AC122"/>
    <mergeCell ref="AD122:AD122"/>
    <mergeCell ref="AE122:AE122"/>
    <mergeCell ref="AF122:AF122"/>
    <mergeCell ref="A123:A123"/>
    <mergeCell ref="B123:B123"/>
    <mergeCell ref="C123:C123"/>
    <mergeCell ref="F123:F123"/>
    <mergeCell ref="G123:G123"/>
    <mergeCell ref="H123:H123"/>
    <mergeCell ref="M123:M123"/>
    <mergeCell ref="N123:N123"/>
    <mergeCell ref="O123:O123"/>
    <mergeCell ref="P123:P123"/>
    <mergeCell ref="Q123:Q123"/>
    <mergeCell ref="R123:R123"/>
    <mergeCell ref="S123:S123"/>
    <mergeCell ref="X123:X123"/>
    <mergeCell ref="Y123:Y123"/>
    <mergeCell ref="Z123:Z123"/>
    <mergeCell ref="AA123:AA123"/>
    <mergeCell ref="AB123:AB123"/>
    <mergeCell ref="AC123:AC123"/>
    <mergeCell ref="AD123:AD123"/>
    <mergeCell ref="AE123:AE123"/>
    <mergeCell ref="AF123:AF123"/>
    <mergeCell ref="A124:A124"/>
    <mergeCell ref="B124:B124"/>
    <mergeCell ref="C124:C124"/>
    <mergeCell ref="F124:F124"/>
    <mergeCell ref="G124:G124"/>
    <mergeCell ref="H124:H124"/>
    <mergeCell ref="M124:M124"/>
    <mergeCell ref="N124:N124"/>
    <mergeCell ref="O124:O124"/>
    <mergeCell ref="P124:P124"/>
    <mergeCell ref="Q124:Q124"/>
    <mergeCell ref="R124:R124"/>
    <mergeCell ref="S124:S124"/>
    <mergeCell ref="X124:X124"/>
    <mergeCell ref="Y124:Y124"/>
    <mergeCell ref="Z124:Z124"/>
    <mergeCell ref="AA124:AA124"/>
    <mergeCell ref="AB124:AB124"/>
    <mergeCell ref="AC124:AC124"/>
    <mergeCell ref="AD124:AD124"/>
    <mergeCell ref="AE124:AE124"/>
    <mergeCell ref="AF124:AF124"/>
    <mergeCell ref="A125:A125"/>
    <mergeCell ref="B125:B125"/>
    <mergeCell ref="C125:C125"/>
    <mergeCell ref="F125:F125"/>
    <mergeCell ref="G125:G125"/>
    <mergeCell ref="H125:H125"/>
    <mergeCell ref="M125:M125"/>
    <mergeCell ref="N125:N125"/>
    <mergeCell ref="O125:O125"/>
    <mergeCell ref="P125:P125"/>
    <mergeCell ref="Q125:Q125"/>
    <mergeCell ref="R125:R125"/>
    <mergeCell ref="S125:S125"/>
    <mergeCell ref="X125:X125"/>
    <mergeCell ref="Y125:Y125"/>
    <mergeCell ref="Z125:Z125"/>
    <mergeCell ref="AA125:AA125"/>
    <mergeCell ref="AB125:AB125"/>
    <mergeCell ref="AC125:AC125"/>
    <mergeCell ref="AD125:AD125"/>
    <mergeCell ref="AE125:AE125"/>
    <mergeCell ref="AF125:AF125"/>
    <mergeCell ref="A126:A126"/>
    <mergeCell ref="B126:B126"/>
    <mergeCell ref="C126:C126"/>
    <mergeCell ref="F126:F126"/>
    <mergeCell ref="G126:G126"/>
    <mergeCell ref="H126:H126"/>
    <mergeCell ref="M126:M126"/>
    <mergeCell ref="N126:N126"/>
    <mergeCell ref="O126:O126"/>
    <mergeCell ref="P126:P126"/>
    <mergeCell ref="Q126:Q126"/>
    <mergeCell ref="R126:R126"/>
    <mergeCell ref="S126:S126"/>
    <mergeCell ref="X126:X126"/>
    <mergeCell ref="Y126:Y126"/>
    <mergeCell ref="Z126:Z126"/>
    <mergeCell ref="AA126:AA126"/>
    <mergeCell ref="AB126:AB126"/>
    <mergeCell ref="AC126:AC126"/>
    <mergeCell ref="AD126:AD126"/>
    <mergeCell ref="AE126:AE126"/>
    <mergeCell ref="AF126:AF126"/>
    <mergeCell ref="A127:A127"/>
    <mergeCell ref="B127:B127"/>
    <mergeCell ref="C127:C127"/>
    <mergeCell ref="F127:F127"/>
    <mergeCell ref="G127:G127"/>
    <mergeCell ref="H127:H127"/>
    <mergeCell ref="M127:M127"/>
    <mergeCell ref="N127:N127"/>
    <mergeCell ref="O127:O127"/>
    <mergeCell ref="P127:P127"/>
    <mergeCell ref="Q127:Q127"/>
    <mergeCell ref="R127:R127"/>
    <mergeCell ref="S127:S127"/>
    <mergeCell ref="X127:X127"/>
    <mergeCell ref="Y127:Y127"/>
    <mergeCell ref="Z127:Z127"/>
    <mergeCell ref="AA127:AA127"/>
    <mergeCell ref="AB127:AB127"/>
    <mergeCell ref="AC127:AC127"/>
    <mergeCell ref="AD127:AD127"/>
    <mergeCell ref="AE127:AE127"/>
    <mergeCell ref="AF127:AF127"/>
    <mergeCell ref="A128:A128"/>
    <mergeCell ref="B128:B128"/>
    <mergeCell ref="C128:C128"/>
    <mergeCell ref="F128:F128"/>
    <mergeCell ref="G128:G128"/>
    <mergeCell ref="H128:H128"/>
    <mergeCell ref="M128:M128"/>
    <mergeCell ref="N128:N128"/>
    <mergeCell ref="O128:O128"/>
    <mergeCell ref="P128:P128"/>
    <mergeCell ref="Q128:Q128"/>
    <mergeCell ref="R128:R128"/>
    <mergeCell ref="S128:S128"/>
    <mergeCell ref="X128:X128"/>
    <mergeCell ref="Y128:Y128"/>
    <mergeCell ref="Z128:Z128"/>
    <mergeCell ref="AA128:AA128"/>
    <mergeCell ref="AB128:AB128"/>
    <mergeCell ref="AC128:AC128"/>
    <mergeCell ref="AD128:AD128"/>
    <mergeCell ref="AE128:AE128"/>
    <mergeCell ref="AF128:AF128"/>
    <mergeCell ref="A129:A129"/>
    <mergeCell ref="B129:B129"/>
    <mergeCell ref="C129:C129"/>
    <mergeCell ref="F129:F129"/>
    <mergeCell ref="G129:G129"/>
    <mergeCell ref="H129:H129"/>
    <mergeCell ref="M129:M129"/>
    <mergeCell ref="N129:N129"/>
    <mergeCell ref="O129:O129"/>
    <mergeCell ref="P129:P129"/>
    <mergeCell ref="Q129:Q129"/>
    <mergeCell ref="R129:R129"/>
    <mergeCell ref="S129:S129"/>
    <mergeCell ref="X129:X129"/>
    <mergeCell ref="Y129:Y129"/>
    <mergeCell ref="Z129:Z129"/>
    <mergeCell ref="AA129:AA129"/>
    <mergeCell ref="AB129:AB129"/>
    <mergeCell ref="AC129:AC129"/>
    <mergeCell ref="AD129:AD129"/>
    <mergeCell ref="AE129:AE129"/>
    <mergeCell ref="AF129:AF129"/>
    <mergeCell ref="A130:A130"/>
    <mergeCell ref="B130:B130"/>
    <mergeCell ref="C130:C130"/>
    <mergeCell ref="F130:F130"/>
    <mergeCell ref="G130:G130"/>
    <mergeCell ref="H130:H130"/>
    <mergeCell ref="M130:M130"/>
    <mergeCell ref="N130:N130"/>
    <mergeCell ref="O130:O130"/>
    <mergeCell ref="P130:P130"/>
    <mergeCell ref="Q130:Q130"/>
    <mergeCell ref="R130:R130"/>
    <mergeCell ref="S130:S130"/>
    <mergeCell ref="X130:X130"/>
    <mergeCell ref="Y130:Y130"/>
    <mergeCell ref="Z130:Z130"/>
    <mergeCell ref="AA130:AA130"/>
    <mergeCell ref="AB130:AB130"/>
    <mergeCell ref="AC130:AC130"/>
    <mergeCell ref="AD130:AD130"/>
    <mergeCell ref="AE130:AE130"/>
    <mergeCell ref="AF130:AF130"/>
    <mergeCell ref="A131:A131"/>
    <mergeCell ref="B131:B131"/>
    <mergeCell ref="C131:C131"/>
    <mergeCell ref="F131:F131"/>
    <mergeCell ref="G131:G131"/>
    <mergeCell ref="H131:H131"/>
    <mergeCell ref="M131:M131"/>
    <mergeCell ref="N131:N131"/>
    <mergeCell ref="O131:O131"/>
    <mergeCell ref="P131:P131"/>
    <mergeCell ref="Q131:Q131"/>
    <mergeCell ref="R131:R131"/>
    <mergeCell ref="S131:S131"/>
    <mergeCell ref="X131:X131"/>
    <mergeCell ref="Y131:Y131"/>
    <mergeCell ref="Z131:Z131"/>
    <mergeCell ref="AA131:AA131"/>
    <mergeCell ref="AB131:AB131"/>
    <mergeCell ref="AC131:AC131"/>
    <mergeCell ref="AD131:AD131"/>
    <mergeCell ref="AE131:AE131"/>
    <mergeCell ref="AF131:AF131"/>
    <mergeCell ref="A132:A132"/>
    <mergeCell ref="B132:B132"/>
    <mergeCell ref="C132:C132"/>
    <mergeCell ref="F132:F132"/>
    <mergeCell ref="G132:G132"/>
    <mergeCell ref="H132:H132"/>
    <mergeCell ref="M132:M132"/>
    <mergeCell ref="N132:N132"/>
    <mergeCell ref="O132:O132"/>
    <mergeCell ref="P132:P132"/>
    <mergeCell ref="Q132:Q132"/>
    <mergeCell ref="R132:R132"/>
    <mergeCell ref="S132:S132"/>
    <mergeCell ref="X132:X132"/>
    <mergeCell ref="Y132:Y132"/>
    <mergeCell ref="Z132:Z132"/>
    <mergeCell ref="AA132:AA132"/>
    <mergeCell ref="AB132:AB132"/>
    <mergeCell ref="AC132:AC132"/>
    <mergeCell ref="AD132:AD132"/>
    <mergeCell ref="AE132:AE132"/>
    <mergeCell ref="AF132:AF132"/>
    <mergeCell ref="A133:A133"/>
    <mergeCell ref="B133:B133"/>
    <mergeCell ref="C133:C133"/>
    <mergeCell ref="F133:F133"/>
    <mergeCell ref="G133:G133"/>
    <mergeCell ref="H133:H133"/>
    <mergeCell ref="M133:M133"/>
    <mergeCell ref="N133:N133"/>
    <mergeCell ref="O133:O133"/>
    <mergeCell ref="P133:P133"/>
    <mergeCell ref="Q133:Q133"/>
    <mergeCell ref="R133:R133"/>
    <mergeCell ref="S133:S133"/>
    <mergeCell ref="X133:X133"/>
    <mergeCell ref="Y133:Y133"/>
    <mergeCell ref="Z133:Z133"/>
    <mergeCell ref="AA133:AA133"/>
    <mergeCell ref="AB133:AB133"/>
    <mergeCell ref="AC133:AC133"/>
    <mergeCell ref="AD133:AD133"/>
    <mergeCell ref="AE133:AE133"/>
    <mergeCell ref="AF133:AF133"/>
    <mergeCell ref="A134:A134"/>
    <mergeCell ref="B134:B134"/>
    <mergeCell ref="C134:C134"/>
    <mergeCell ref="F134:F134"/>
    <mergeCell ref="G134:G134"/>
    <mergeCell ref="H134:H134"/>
    <mergeCell ref="M134:M134"/>
    <mergeCell ref="N134:N134"/>
    <mergeCell ref="O134:O134"/>
    <mergeCell ref="P134:P134"/>
    <mergeCell ref="Q134:Q134"/>
    <mergeCell ref="R134:R134"/>
    <mergeCell ref="S134:S134"/>
    <mergeCell ref="X134:X134"/>
    <mergeCell ref="Y134:Y134"/>
    <mergeCell ref="Z134:Z134"/>
    <mergeCell ref="AA134:AA134"/>
    <mergeCell ref="AB134:AB134"/>
    <mergeCell ref="AC134:AC134"/>
    <mergeCell ref="AD134:AD134"/>
    <mergeCell ref="AE134:AE134"/>
    <mergeCell ref="AF134:AF134"/>
    <mergeCell ref="A135:A135"/>
    <mergeCell ref="B135:B135"/>
    <mergeCell ref="C135:C135"/>
    <mergeCell ref="F135:F135"/>
    <mergeCell ref="G135:G135"/>
    <mergeCell ref="H135:H135"/>
    <mergeCell ref="M135:M135"/>
    <mergeCell ref="N135:N135"/>
    <mergeCell ref="O135:O135"/>
    <mergeCell ref="P135:P135"/>
    <mergeCell ref="Q135:Q135"/>
    <mergeCell ref="R135:R135"/>
    <mergeCell ref="S135:S135"/>
    <mergeCell ref="X135:X135"/>
    <mergeCell ref="Y135:Y135"/>
    <mergeCell ref="Z135:Z135"/>
    <mergeCell ref="AA135:AA135"/>
    <mergeCell ref="AB135:AB135"/>
    <mergeCell ref="AC135:AC135"/>
    <mergeCell ref="AD135:AD135"/>
    <mergeCell ref="AE135:AE135"/>
    <mergeCell ref="AF135:AF135"/>
    <mergeCell ref="A136:A136"/>
    <mergeCell ref="B136:B136"/>
    <mergeCell ref="C136:C136"/>
    <mergeCell ref="F136:F136"/>
    <mergeCell ref="G136:G136"/>
    <mergeCell ref="H136:H136"/>
    <mergeCell ref="M136:M136"/>
    <mergeCell ref="N136:N136"/>
    <mergeCell ref="O136:O136"/>
    <mergeCell ref="P136:P136"/>
    <mergeCell ref="Q136:Q136"/>
    <mergeCell ref="R136:R136"/>
    <mergeCell ref="S136:S136"/>
    <mergeCell ref="X136:X136"/>
    <mergeCell ref="Y136:Y136"/>
    <mergeCell ref="Z136:Z136"/>
    <mergeCell ref="AA136:AA136"/>
    <mergeCell ref="AB136:AB136"/>
    <mergeCell ref="AC136:AC136"/>
    <mergeCell ref="AD136:AD136"/>
    <mergeCell ref="AE136:AE136"/>
    <mergeCell ref="AF136:AF136"/>
    <mergeCell ref="A137:A137"/>
    <mergeCell ref="B137:B137"/>
    <mergeCell ref="C137:C137"/>
    <mergeCell ref="F137:F137"/>
    <mergeCell ref="G137:G137"/>
    <mergeCell ref="H137:H137"/>
    <mergeCell ref="M137:M137"/>
    <mergeCell ref="N137:N137"/>
    <mergeCell ref="O137:O137"/>
    <mergeCell ref="P137:P137"/>
    <mergeCell ref="Q137:Q137"/>
    <mergeCell ref="R137:R137"/>
    <mergeCell ref="S137:S137"/>
    <mergeCell ref="X137:X137"/>
    <mergeCell ref="Y137:Y137"/>
    <mergeCell ref="Z137:Z137"/>
    <mergeCell ref="AA137:AA137"/>
    <mergeCell ref="AB137:AB137"/>
    <mergeCell ref="AC137:AC137"/>
    <mergeCell ref="AD137:AD137"/>
    <mergeCell ref="AE137:AE137"/>
    <mergeCell ref="AF137:AF137"/>
    <mergeCell ref="A138:A138"/>
    <mergeCell ref="B138:B138"/>
    <mergeCell ref="C138:C138"/>
    <mergeCell ref="F138:F138"/>
    <mergeCell ref="G138:G138"/>
    <mergeCell ref="H138:H138"/>
    <mergeCell ref="M138:M138"/>
    <mergeCell ref="N138:N138"/>
    <mergeCell ref="O138:O138"/>
    <mergeCell ref="P138:P138"/>
    <mergeCell ref="Q138:Q138"/>
    <mergeCell ref="R138:R138"/>
    <mergeCell ref="S138:S138"/>
    <mergeCell ref="X138:X138"/>
    <mergeCell ref="Y138:Y138"/>
    <mergeCell ref="Z138:Z138"/>
    <mergeCell ref="AA138:AA138"/>
    <mergeCell ref="AB138:AB138"/>
    <mergeCell ref="AC138:AC138"/>
    <mergeCell ref="AD138:AD138"/>
    <mergeCell ref="AE138:AE138"/>
    <mergeCell ref="AF138:AF138"/>
    <mergeCell ref="A139:A139"/>
    <mergeCell ref="B139:B139"/>
    <mergeCell ref="C139:C139"/>
    <mergeCell ref="F139:F139"/>
    <mergeCell ref="G139:G139"/>
    <mergeCell ref="H139:H139"/>
    <mergeCell ref="M139:M139"/>
    <mergeCell ref="N139:N139"/>
    <mergeCell ref="O139:O139"/>
    <mergeCell ref="P139:P139"/>
    <mergeCell ref="Q139:Q139"/>
    <mergeCell ref="R139:R139"/>
    <mergeCell ref="S139:S139"/>
    <mergeCell ref="X139:X139"/>
    <mergeCell ref="Y139:Y139"/>
    <mergeCell ref="Z139:Z139"/>
    <mergeCell ref="AA139:AA139"/>
    <mergeCell ref="AB139:AB139"/>
    <mergeCell ref="AC139:AC139"/>
    <mergeCell ref="AD139:AD139"/>
    <mergeCell ref="AE139:AE139"/>
    <mergeCell ref="AF139:AF139"/>
    <mergeCell ref="A140:A140"/>
    <mergeCell ref="B140:B140"/>
    <mergeCell ref="C140:C140"/>
    <mergeCell ref="F140:F140"/>
    <mergeCell ref="G140:G140"/>
    <mergeCell ref="H140:H140"/>
    <mergeCell ref="M140:M140"/>
    <mergeCell ref="N140:N140"/>
    <mergeCell ref="O140:O140"/>
    <mergeCell ref="P140:P140"/>
    <mergeCell ref="Q140:Q140"/>
    <mergeCell ref="R140:R140"/>
    <mergeCell ref="S140:S140"/>
    <mergeCell ref="X140:X140"/>
    <mergeCell ref="Y140:Y140"/>
    <mergeCell ref="Z140:Z140"/>
    <mergeCell ref="AA140:AA140"/>
    <mergeCell ref="AB140:AB140"/>
    <mergeCell ref="AC140:AC140"/>
    <mergeCell ref="AD140:AD140"/>
    <mergeCell ref="AE140:AE140"/>
    <mergeCell ref="AF140:AF140"/>
    <mergeCell ref="A141:A141"/>
    <mergeCell ref="B141:B141"/>
    <mergeCell ref="C141:C141"/>
    <mergeCell ref="F141:F141"/>
    <mergeCell ref="G141:G141"/>
    <mergeCell ref="H141:H141"/>
    <mergeCell ref="M141:M141"/>
    <mergeCell ref="N141:N141"/>
    <mergeCell ref="O141:O141"/>
    <mergeCell ref="P141:P141"/>
    <mergeCell ref="Q141:Q141"/>
    <mergeCell ref="R141:R141"/>
    <mergeCell ref="S141:S141"/>
    <mergeCell ref="X141:X141"/>
    <mergeCell ref="Y141:Y141"/>
    <mergeCell ref="Z141:Z141"/>
    <mergeCell ref="AA141:AA141"/>
    <mergeCell ref="AB141:AB141"/>
    <mergeCell ref="AC141:AC141"/>
    <mergeCell ref="AD141:AD141"/>
    <mergeCell ref="AE141:AE141"/>
    <mergeCell ref="AF141:AF141"/>
    <mergeCell ref="A142:A142"/>
    <mergeCell ref="B142:B142"/>
    <mergeCell ref="C142:C142"/>
    <mergeCell ref="F142:F142"/>
    <mergeCell ref="G142:G142"/>
    <mergeCell ref="H142:H142"/>
    <mergeCell ref="M142:M142"/>
    <mergeCell ref="N142:N142"/>
    <mergeCell ref="O142:O142"/>
    <mergeCell ref="P142:P142"/>
    <mergeCell ref="Q142:Q142"/>
    <mergeCell ref="R142:R142"/>
    <mergeCell ref="S142:S142"/>
    <mergeCell ref="X142:X142"/>
    <mergeCell ref="Y142:Y142"/>
    <mergeCell ref="Z142:Z142"/>
    <mergeCell ref="AA142:AA142"/>
    <mergeCell ref="AB142:AB142"/>
    <mergeCell ref="AC142:AC142"/>
    <mergeCell ref="AD142:AD142"/>
    <mergeCell ref="AE142:AE142"/>
    <mergeCell ref="AF142:AF142"/>
    <mergeCell ref="A143:A143"/>
    <mergeCell ref="B143:B143"/>
    <mergeCell ref="C143:C143"/>
    <mergeCell ref="F143:F143"/>
    <mergeCell ref="G143:G143"/>
    <mergeCell ref="H143:H143"/>
    <mergeCell ref="M143:M143"/>
    <mergeCell ref="N143:N143"/>
    <mergeCell ref="O143:O143"/>
    <mergeCell ref="P143:P143"/>
    <mergeCell ref="Q143:Q143"/>
    <mergeCell ref="R143:R143"/>
    <mergeCell ref="S143:S143"/>
    <mergeCell ref="X143:X143"/>
    <mergeCell ref="Y143:Y143"/>
    <mergeCell ref="Z143:Z143"/>
    <mergeCell ref="AA143:AA143"/>
    <mergeCell ref="AB143:AB143"/>
    <mergeCell ref="AC143:AC143"/>
    <mergeCell ref="AD143:AD143"/>
    <mergeCell ref="AE143:AE143"/>
    <mergeCell ref="AF143:AF143"/>
    <mergeCell ref="A144:A144"/>
    <mergeCell ref="B144:B144"/>
    <mergeCell ref="C144:C144"/>
    <mergeCell ref="F144:F144"/>
    <mergeCell ref="G144:G144"/>
    <mergeCell ref="H144:H144"/>
    <mergeCell ref="M144:M144"/>
    <mergeCell ref="N144:N144"/>
    <mergeCell ref="O144:O144"/>
    <mergeCell ref="P144:P144"/>
    <mergeCell ref="Q144:Q144"/>
    <mergeCell ref="R144:R144"/>
    <mergeCell ref="S144:S144"/>
    <mergeCell ref="X144:X144"/>
    <mergeCell ref="Y144:Y144"/>
    <mergeCell ref="Z144:Z144"/>
    <mergeCell ref="AA144:AA144"/>
    <mergeCell ref="AB144:AB144"/>
    <mergeCell ref="AC144:AC144"/>
    <mergeCell ref="AD144:AD144"/>
    <mergeCell ref="AE144:AE144"/>
    <mergeCell ref="AF144:AF144"/>
    <mergeCell ref="A145:A145"/>
    <mergeCell ref="B145:B145"/>
    <mergeCell ref="C145:C145"/>
    <mergeCell ref="F145:F145"/>
    <mergeCell ref="G145:G145"/>
    <mergeCell ref="H145:H145"/>
    <mergeCell ref="M145:M145"/>
    <mergeCell ref="N145:N145"/>
    <mergeCell ref="O145:O145"/>
    <mergeCell ref="P145:P145"/>
    <mergeCell ref="Q145:Q145"/>
    <mergeCell ref="R145:R145"/>
    <mergeCell ref="S145:S145"/>
    <mergeCell ref="X145:X145"/>
    <mergeCell ref="Y145:Y145"/>
    <mergeCell ref="Z145:Z145"/>
    <mergeCell ref="AA145:AA145"/>
    <mergeCell ref="AB145:AB145"/>
    <mergeCell ref="AC145:AC145"/>
    <mergeCell ref="AD145:AD145"/>
    <mergeCell ref="AE145:AE145"/>
    <mergeCell ref="AF145:AF145"/>
    <mergeCell ref="A146:A146"/>
    <mergeCell ref="B146:B146"/>
    <mergeCell ref="C146:C146"/>
    <mergeCell ref="F146:F146"/>
    <mergeCell ref="G146:G146"/>
    <mergeCell ref="H146:H146"/>
    <mergeCell ref="M146:M146"/>
    <mergeCell ref="N146:N146"/>
    <mergeCell ref="O146:O146"/>
    <mergeCell ref="P146:P146"/>
    <mergeCell ref="Q146:Q146"/>
    <mergeCell ref="R146:R146"/>
    <mergeCell ref="S146:S146"/>
    <mergeCell ref="X146:X146"/>
    <mergeCell ref="Y146:Y146"/>
    <mergeCell ref="Z146:Z146"/>
    <mergeCell ref="AA146:AA146"/>
    <mergeCell ref="AB146:AB146"/>
    <mergeCell ref="AC146:AC146"/>
    <mergeCell ref="AD146:AD146"/>
    <mergeCell ref="AE146:AE146"/>
    <mergeCell ref="AF146:AF146"/>
    <mergeCell ref="A147:A147"/>
    <mergeCell ref="B147:B147"/>
    <mergeCell ref="C147:C147"/>
    <mergeCell ref="F147:F147"/>
    <mergeCell ref="G147:G147"/>
    <mergeCell ref="H147:H147"/>
    <mergeCell ref="M147:M147"/>
    <mergeCell ref="N147:N147"/>
    <mergeCell ref="O147:O147"/>
    <mergeCell ref="P147:P147"/>
    <mergeCell ref="Q147:Q147"/>
    <mergeCell ref="R147:R147"/>
    <mergeCell ref="S147:S147"/>
    <mergeCell ref="X147:X147"/>
    <mergeCell ref="Y147:Y147"/>
    <mergeCell ref="Z147:Z147"/>
    <mergeCell ref="AA147:AA147"/>
    <mergeCell ref="AB147:AB147"/>
    <mergeCell ref="AC147:AC147"/>
    <mergeCell ref="AD147:AD147"/>
    <mergeCell ref="AE147:AE147"/>
    <mergeCell ref="AF147:AF147"/>
    <mergeCell ref="A148:A148"/>
    <mergeCell ref="B148:B148"/>
    <mergeCell ref="C148:C148"/>
    <mergeCell ref="F148:F148"/>
    <mergeCell ref="G148:G148"/>
    <mergeCell ref="H148:H148"/>
    <mergeCell ref="M148:M148"/>
    <mergeCell ref="N148:N148"/>
    <mergeCell ref="O148:O148"/>
    <mergeCell ref="P148:P148"/>
    <mergeCell ref="Q148:Q148"/>
    <mergeCell ref="R148:R148"/>
    <mergeCell ref="S148:S148"/>
    <mergeCell ref="X148:X148"/>
    <mergeCell ref="Y148:Y148"/>
    <mergeCell ref="Z148:Z148"/>
    <mergeCell ref="AA148:AA148"/>
    <mergeCell ref="AB148:AB148"/>
    <mergeCell ref="AC148:AC148"/>
    <mergeCell ref="AD148:AD148"/>
    <mergeCell ref="AE148:AE148"/>
    <mergeCell ref="AF148:AF148"/>
    <mergeCell ref="A149:A149"/>
    <mergeCell ref="B149:B149"/>
    <mergeCell ref="C149:C149"/>
    <mergeCell ref="F149:F149"/>
    <mergeCell ref="G149:G149"/>
    <mergeCell ref="H149:H149"/>
    <mergeCell ref="M149:M149"/>
    <mergeCell ref="N149:N149"/>
    <mergeCell ref="O149:O149"/>
    <mergeCell ref="P149:P149"/>
    <mergeCell ref="Q149:Q149"/>
    <mergeCell ref="R149:R149"/>
    <mergeCell ref="S149:S149"/>
    <mergeCell ref="X149:X149"/>
    <mergeCell ref="Y149:Y149"/>
    <mergeCell ref="Z149:Z149"/>
    <mergeCell ref="AA149:AA149"/>
    <mergeCell ref="AB149:AB149"/>
    <mergeCell ref="AC149:AC149"/>
    <mergeCell ref="AD149:AD149"/>
    <mergeCell ref="AE149:AE149"/>
    <mergeCell ref="AF149:AF149"/>
    <mergeCell ref="A150:A150"/>
    <mergeCell ref="B150:B150"/>
    <mergeCell ref="C150:C150"/>
    <mergeCell ref="F150:F150"/>
    <mergeCell ref="G150:G150"/>
    <mergeCell ref="H150:H150"/>
    <mergeCell ref="M150:M150"/>
    <mergeCell ref="N150:N150"/>
    <mergeCell ref="O150:O150"/>
    <mergeCell ref="P150:P150"/>
    <mergeCell ref="Q150:Q150"/>
    <mergeCell ref="R150:R150"/>
    <mergeCell ref="S150:S150"/>
    <mergeCell ref="X150:X150"/>
    <mergeCell ref="Y150:Y150"/>
    <mergeCell ref="Z150:Z150"/>
    <mergeCell ref="AA150:AA150"/>
    <mergeCell ref="AB150:AB150"/>
    <mergeCell ref="AC150:AC150"/>
    <mergeCell ref="AD150:AD150"/>
    <mergeCell ref="AE150:AE150"/>
    <mergeCell ref="AF150:AF150"/>
    <mergeCell ref="A151:A151"/>
    <mergeCell ref="B151:B151"/>
    <mergeCell ref="C151:C151"/>
    <mergeCell ref="F151:F151"/>
    <mergeCell ref="G151:G151"/>
    <mergeCell ref="H151:H151"/>
    <mergeCell ref="M151:M151"/>
    <mergeCell ref="N151:N151"/>
    <mergeCell ref="O151:O151"/>
    <mergeCell ref="P151:P151"/>
    <mergeCell ref="Q151:Q151"/>
    <mergeCell ref="R151:R151"/>
    <mergeCell ref="S151:S151"/>
    <mergeCell ref="X151:X151"/>
    <mergeCell ref="Y151:Y151"/>
    <mergeCell ref="Z151:Z151"/>
    <mergeCell ref="AA151:AA151"/>
    <mergeCell ref="AB151:AB151"/>
    <mergeCell ref="AC151:AC151"/>
    <mergeCell ref="AD151:AD151"/>
    <mergeCell ref="AE151:AE151"/>
    <mergeCell ref="AF151:AF151"/>
    <mergeCell ref="A152:A152"/>
    <mergeCell ref="B152:B152"/>
    <mergeCell ref="C152:C152"/>
    <mergeCell ref="F152:F152"/>
    <mergeCell ref="G152:G152"/>
    <mergeCell ref="H152:H152"/>
    <mergeCell ref="M152:M152"/>
    <mergeCell ref="N152:N152"/>
    <mergeCell ref="O152:O152"/>
    <mergeCell ref="P152:P152"/>
    <mergeCell ref="Q152:Q152"/>
    <mergeCell ref="R152:R152"/>
    <mergeCell ref="S152:S152"/>
    <mergeCell ref="X152:X152"/>
    <mergeCell ref="Y152:Y152"/>
    <mergeCell ref="Z152:Z152"/>
    <mergeCell ref="AA152:AA152"/>
    <mergeCell ref="AB152:AB152"/>
    <mergeCell ref="AC152:AC152"/>
    <mergeCell ref="AD152:AD152"/>
    <mergeCell ref="AE152:AE152"/>
    <mergeCell ref="AF152:AF152"/>
    <mergeCell ref="A153:A153"/>
    <mergeCell ref="B153:B153"/>
    <mergeCell ref="C153:C153"/>
    <mergeCell ref="F153:F153"/>
    <mergeCell ref="G153:G153"/>
    <mergeCell ref="H153:H153"/>
    <mergeCell ref="M153:M153"/>
    <mergeCell ref="N153:N153"/>
    <mergeCell ref="O153:O153"/>
    <mergeCell ref="P153:P153"/>
    <mergeCell ref="Q153:Q153"/>
    <mergeCell ref="R153:R153"/>
    <mergeCell ref="S153:S153"/>
    <mergeCell ref="X153:X153"/>
    <mergeCell ref="Y153:Y153"/>
    <mergeCell ref="Z153:Z153"/>
    <mergeCell ref="AA153:AA153"/>
    <mergeCell ref="AB153:AB153"/>
    <mergeCell ref="AC153:AC153"/>
    <mergeCell ref="AD153:AD153"/>
    <mergeCell ref="AE153:AE153"/>
    <mergeCell ref="AF153:AF153"/>
    <mergeCell ref="A154:A154"/>
    <mergeCell ref="B154:B154"/>
    <mergeCell ref="C154:C154"/>
    <mergeCell ref="F154:F154"/>
    <mergeCell ref="G154:G154"/>
    <mergeCell ref="H154:H154"/>
    <mergeCell ref="M154:M154"/>
    <mergeCell ref="N154:N154"/>
    <mergeCell ref="O154:O154"/>
    <mergeCell ref="P154:P154"/>
    <mergeCell ref="Q154:Q154"/>
    <mergeCell ref="R154:R154"/>
    <mergeCell ref="S154:S154"/>
    <mergeCell ref="X154:X154"/>
    <mergeCell ref="Y154:Y154"/>
    <mergeCell ref="Z154:Z154"/>
    <mergeCell ref="AA154:AA154"/>
    <mergeCell ref="AB154:AB154"/>
    <mergeCell ref="AC154:AC154"/>
    <mergeCell ref="AD154:AD154"/>
    <mergeCell ref="AE154:AE154"/>
    <mergeCell ref="AF154:AF154"/>
    <mergeCell ref="A155:A155"/>
    <mergeCell ref="B155:B155"/>
    <mergeCell ref="C155:C155"/>
    <mergeCell ref="F155:F155"/>
    <mergeCell ref="G155:G155"/>
    <mergeCell ref="H155:H155"/>
    <mergeCell ref="M155:M155"/>
    <mergeCell ref="N155:N155"/>
    <mergeCell ref="O155:O155"/>
    <mergeCell ref="P155:P155"/>
    <mergeCell ref="Q155:Q155"/>
    <mergeCell ref="R155:R155"/>
    <mergeCell ref="S155:S155"/>
    <mergeCell ref="X155:X155"/>
    <mergeCell ref="Y155:Y155"/>
    <mergeCell ref="Z155:Z155"/>
    <mergeCell ref="AA155:AA155"/>
    <mergeCell ref="AB155:AB155"/>
    <mergeCell ref="AC155:AC155"/>
    <mergeCell ref="AD155:AD155"/>
    <mergeCell ref="AE155:AE155"/>
    <mergeCell ref="AF155:AF155"/>
    <mergeCell ref="A156:A156"/>
    <mergeCell ref="B156:B156"/>
    <mergeCell ref="C156:C156"/>
    <mergeCell ref="F156:F156"/>
    <mergeCell ref="G156:G156"/>
    <mergeCell ref="H156:H156"/>
    <mergeCell ref="M156:M156"/>
    <mergeCell ref="N156:N156"/>
    <mergeCell ref="O156:O156"/>
    <mergeCell ref="P156:P156"/>
    <mergeCell ref="Q156:Q156"/>
    <mergeCell ref="R156:R156"/>
    <mergeCell ref="S156:S156"/>
    <mergeCell ref="X156:X156"/>
    <mergeCell ref="Y156:Y156"/>
    <mergeCell ref="Z156:Z156"/>
    <mergeCell ref="AA156:AA156"/>
    <mergeCell ref="AB156:AB156"/>
    <mergeCell ref="AC156:AC156"/>
    <mergeCell ref="AD156:AD156"/>
    <mergeCell ref="AE156:AE156"/>
    <mergeCell ref="AF156:AF156"/>
    <mergeCell ref="A157:A157"/>
    <mergeCell ref="B157:B157"/>
    <mergeCell ref="C157:C157"/>
    <mergeCell ref="F157:F157"/>
    <mergeCell ref="G157:G157"/>
    <mergeCell ref="H157:H157"/>
    <mergeCell ref="M157:M157"/>
    <mergeCell ref="N157:N157"/>
    <mergeCell ref="O157:O157"/>
    <mergeCell ref="P157:P157"/>
    <mergeCell ref="Q157:Q157"/>
    <mergeCell ref="R157:R157"/>
    <mergeCell ref="S157:S157"/>
    <mergeCell ref="X157:X157"/>
    <mergeCell ref="Y157:Y157"/>
    <mergeCell ref="Z157:Z157"/>
    <mergeCell ref="AA157:AA157"/>
    <mergeCell ref="AB157:AB157"/>
    <mergeCell ref="AC157:AC157"/>
    <mergeCell ref="AD157:AD157"/>
    <mergeCell ref="AE157:AE157"/>
    <mergeCell ref="AF157:AF157"/>
    <mergeCell ref="A158:A158"/>
    <mergeCell ref="B158:B158"/>
    <mergeCell ref="C158:C158"/>
    <mergeCell ref="F158:F158"/>
    <mergeCell ref="G158:G158"/>
    <mergeCell ref="H158:H158"/>
    <mergeCell ref="M158:M158"/>
    <mergeCell ref="N158:N158"/>
    <mergeCell ref="O158:O158"/>
    <mergeCell ref="P158:P158"/>
    <mergeCell ref="Q158:Q158"/>
    <mergeCell ref="R158:R158"/>
    <mergeCell ref="S158:S158"/>
    <mergeCell ref="X158:X158"/>
    <mergeCell ref="Y158:Y158"/>
    <mergeCell ref="Z158:Z158"/>
    <mergeCell ref="AA158:AA158"/>
    <mergeCell ref="AB158:AB158"/>
    <mergeCell ref="AC158:AC158"/>
    <mergeCell ref="AD158:AD158"/>
    <mergeCell ref="AE158:AE158"/>
    <mergeCell ref="AF158:AF158"/>
    <mergeCell ref="A159:A159"/>
    <mergeCell ref="B159:B159"/>
    <mergeCell ref="C159:C159"/>
    <mergeCell ref="F159:F159"/>
    <mergeCell ref="G159:G159"/>
    <mergeCell ref="H159:H159"/>
    <mergeCell ref="M159:M159"/>
    <mergeCell ref="N159:N159"/>
    <mergeCell ref="O159:O159"/>
    <mergeCell ref="P159:P159"/>
    <mergeCell ref="Q159:Q159"/>
    <mergeCell ref="R159:R159"/>
    <mergeCell ref="S159:S159"/>
    <mergeCell ref="X159:X159"/>
    <mergeCell ref="Y159:Y159"/>
    <mergeCell ref="Z159:Z159"/>
    <mergeCell ref="AA159:AA159"/>
    <mergeCell ref="AB159:AB159"/>
    <mergeCell ref="AC159:AC159"/>
    <mergeCell ref="AD159:AD159"/>
    <mergeCell ref="AE159:AE159"/>
    <mergeCell ref="AF159:AF159"/>
    <mergeCell ref="A160:A160"/>
    <mergeCell ref="B160:B160"/>
    <mergeCell ref="C160:C160"/>
    <mergeCell ref="F160:F160"/>
    <mergeCell ref="G160:G160"/>
    <mergeCell ref="H160:H160"/>
    <mergeCell ref="M160:M160"/>
    <mergeCell ref="N160:N160"/>
    <mergeCell ref="O160:O160"/>
    <mergeCell ref="P160:P160"/>
    <mergeCell ref="Q160:Q160"/>
    <mergeCell ref="R160:R160"/>
    <mergeCell ref="S160:S160"/>
    <mergeCell ref="X160:X160"/>
    <mergeCell ref="Y160:Y160"/>
    <mergeCell ref="Z160:Z160"/>
    <mergeCell ref="AA160:AA160"/>
    <mergeCell ref="AB160:AB160"/>
    <mergeCell ref="AC160:AC160"/>
    <mergeCell ref="AD160:AD160"/>
    <mergeCell ref="AE160:AE160"/>
    <mergeCell ref="AF160:AF160"/>
    <mergeCell ref="A161:A161"/>
    <mergeCell ref="B161:B161"/>
    <mergeCell ref="C161:C161"/>
    <mergeCell ref="F161:F161"/>
    <mergeCell ref="G161:G161"/>
    <mergeCell ref="H161:H161"/>
    <mergeCell ref="M161:M161"/>
    <mergeCell ref="N161:N161"/>
    <mergeCell ref="O161:O161"/>
    <mergeCell ref="P161:P161"/>
    <mergeCell ref="Q161:Q161"/>
    <mergeCell ref="R161:R161"/>
    <mergeCell ref="S161:S161"/>
    <mergeCell ref="X161:X161"/>
    <mergeCell ref="Y161:Y161"/>
    <mergeCell ref="Z161:Z161"/>
    <mergeCell ref="AA161:AA161"/>
    <mergeCell ref="AB161:AB161"/>
    <mergeCell ref="AC161:AC161"/>
    <mergeCell ref="AD161:AD161"/>
    <mergeCell ref="AE161:AE161"/>
    <mergeCell ref="AF161:AF161"/>
    <mergeCell ref="A162:A162"/>
    <mergeCell ref="B162:B162"/>
    <mergeCell ref="C162:C162"/>
    <mergeCell ref="F162:F162"/>
    <mergeCell ref="G162:G162"/>
    <mergeCell ref="H162:H162"/>
    <mergeCell ref="M162:M162"/>
    <mergeCell ref="N162:N162"/>
    <mergeCell ref="O162:O162"/>
    <mergeCell ref="P162:P162"/>
    <mergeCell ref="Q162:Q162"/>
    <mergeCell ref="R162:R162"/>
    <mergeCell ref="S162:S162"/>
    <mergeCell ref="X162:X162"/>
    <mergeCell ref="Y162:Y162"/>
    <mergeCell ref="Z162:Z162"/>
    <mergeCell ref="AA162:AA162"/>
    <mergeCell ref="AB162:AB162"/>
    <mergeCell ref="AC162:AC162"/>
    <mergeCell ref="AD162:AD162"/>
    <mergeCell ref="AE162:AE162"/>
    <mergeCell ref="AF162:AF162"/>
    <mergeCell ref="A163:A163"/>
    <mergeCell ref="B163:B163"/>
    <mergeCell ref="C163:C163"/>
    <mergeCell ref="F163:F163"/>
    <mergeCell ref="G163:G163"/>
    <mergeCell ref="H163:H163"/>
    <mergeCell ref="M163:M163"/>
    <mergeCell ref="N163:N163"/>
    <mergeCell ref="O163:O163"/>
    <mergeCell ref="P163:P163"/>
    <mergeCell ref="Q163:Q163"/>
    <mergeCell ref="R163:R163"/>
    <mergeCell ref="S163:S163"/>
    <mergeCell ref="X163:X163"/>
    <mergeCell ref="Y163:Y163"/>
    <mergeCell ref="Z163:Z163"/>
    <mergeCell ref="AA163:AA163"/>
    <mergeCell ref="AB163:AB163"/>
    <mergeCell ref="AC163:AC163"/>
    <mergeCell ref="AD163:AD163"/>
    <mergeCell ref="AE163:AE163"/>
    <mergeCell ref="AF163:AF163"/>
    <mergeCell ref="A164:A164"/>
    <mergeCell ref="B164:B164"/>
    <mergeCell ref="C164:C164"/>
    <mergeCell ref="F164:F164"/>
    <mergeCell ref="G164:G164"/>
    <mergeCell ref="H164:H164"/>
    <mergeCell ref="M164:M164"/>
    <mergeCell ref="N164:N164"/>
    <mergeCell ref="O164:O164"/>
    <mergeCell ref="P164:P164"/>
    <mergeCell ref="Q164:Q164"/>
    <mergeCell ref="R164:R164"/>
    <mergeCell ref="S164:S164"/>
    <mergeCell ref="X164:X164"/>
    <mergeCell ref="Y164:Y164"/>
    <mergeCell ref="Z164:Z164"/>
    <mergeCell ref="AA164:AA164"/>
    <mergeCell ref="AB164:AB164"/>
    <mergeCell ref="AC164:AC164"/>
    <mergeCell ref="AD164:AD164"/>
    <mergeCell ref="AE164:AE164"/>
    <mergeCell ref="AF164:AF164"/>
    <mergeCell ref="A165:A165"/>
    <mergeCell ref="B165:B165"/>
    <mergeCell ref="C165:C165"/>
    <mergeCell ref="F165:F165"/>
    <mergeCell ref="G165:G165"/>
    <mergeCell ref="H165:H165"/>
    <mergeCell ref="M165:M165"/>
    <mergeCell ref="N165:N165"/>
    <mergeCell ref="O165:O165"/>
    <mergeCell ref="P165:P165"/>
    <mergeCell ref="Q165:Q165"/>
    <mergeCell ref="R165:R165"/>
    <mergeCell ref="S165:S165"/>
    <mergeCell ref="X165:X165"/>
    <mergeCell ref="Y165:Y165"/>
    <mergeCell ref="Z165:Z165"/>
    <mergeCell ref="AA165:AA165"/>
    <mergeCell ref="AB165:AB165"/>
    <mergeCell ref="AC165:AC165"/>
    <mergeCell ref="AD165:AD165"/>
    <mergeCell ref="AE165:AE165"/>
    <mergeCell ref="AF165:AF165"/>
    <mergeCell ref="A166:A166"/>
    <mergeCell ref="B166:B166"/>
    <mergeCell ref="C166:C166"/>
    <mergeCell ref="F166:F166"/>
    <mergeCell ref="G166:G166"/>
    <mergeCell ref="H166:H166"/>
    <mergeCell ref="M166:M166"/>
    <mergeCell ref="N166:N166"/>
    <mergeCell ref="O166:O166"/>
    <mergeCell ref="P166:P166"/>
    <mergeCell ref="Q166:Q166"/>
    <mergeCell ref="R166:R166"/>
    <mergeCell ref="S166:S166"/>
    <mergeCell ref="X166:X166"/>
    <mergeCell ref="Y166:Y166"/>
    <mergeCell ref="Z166:Z166"/>
    <mergeCell ref="AA166:AA166"/>
    <mergeCell ref="AB166:AB166"/>
    <mergeCell ref="AC166:AC166"/>
    <mergeCell ref="AD166:AD166"/>
    <mergeCell ref="AE166:AE166"/>
    <mergeCell ref="AF166:AF166"/>
    <mergeCell ref="A167:A167"/>
    <mergeCell ref="B167:B167"/>
    <mergeCell ref="C167:C167"/>
    <mergeCell ref="F167:F167"/>
    <mergeCell ref="G167:G167"/>
    <mergeCell ref="H167:H167"/>
    <mergeCell ref="M167:M167"/>
    <mergeCell ref="N167:N167"/>
    <mergeCell ref="O167:O167"/>
    <mergeCell ref="P167:P167"/>
    <mergeCell ref="Q167:Q167"/>
    <mergeCell ref="R167:R167"/>
    <mergeCell ref="S167:S167"/>
    <mergeCell ref="X167:X167"/>
    <mergeCell ref="Y167:Y167"/>
    <mergeCell ref="Z167:Z167"/>
    <mergeCell ref="AA167:AA167"/>
    <mergeCell ref="AB167:AB167"/>
    <mergeCell ref="AC167:AC167"/>
    <mergeCell ref="AD167:AD167"/>
    <mergeCell ref="AE167:AE167"/>
    <mergeCell ref="AF167:AF167"/>
    <mergeCell ref="A168:A168"/>
    <mergeCell ref="B168:B168"/>
    <mergeCell ref="C168:C168"/>
    <mergeCell ref="F168:F168"/>
    <mergeCell ref="G168:G168"/>
    <mergeCell ref="H168:H168"/>
    <mergeCell ref="M168:M168"/>
    <mergeCell ref="N168:N168"/>
    <mergeCell ref="O168:O168"/>
    <mergeCell ref="P168:P168"/>
    <mergeCell ref="Q168:Q168"/>
    <mergeCell ref="R168:R168"/>
    <mergeCell ref="S168:S168"/>
    <mergeCell ref="X168:X168"/>
    <mergeCell ref="Y168:Y168"/>
    <mergeCell ref="Z168:Z168"/>
    <mergeCell ref="AA168:AA168"/>
    <mergeCell ref="AB168:AB168"/>
    <mergeCell ref="AC168:AC168"/>
    <mergeCell ref="AD168:AD168"/>
    <mergeCell ref="AE168:AE168"/>
    <mergeCell ref="AF168:AF168"/>
    <mergeCell ref="A169:A169"/>
    <mergeCell ref="B169:B169"/>
    <mergeCell ref="C169:C169"/>
    <mergeCell ref="F169:F169"/>
    <mergeCell ref="G169:G169"/>
    <mergeCell ref="H169:H169"/>
    <mergeCell ref="M169:M169"/>
    <mergeCell ref="N169:N169"/>
    <mergeCell ref="O169:O169"/>
    <mergeCell ref="P169:P169"/>
    <mergeCell ref="Q169:Q169"/>
    <mergeCell ref="R169:R169"/>
    <mergeCell ref="S169:S169"/>
    <mergeCell ref="X169:X169"/>
    <mergeCell ref="Y169:Y169"/>
    <mergeCell ref="Z169:Z169"/>
    <mergeCell ref="AA169:AA169"/>
    <mergeCell ref="AB169:AB169"/>
    <mergeCell ref="AC169:AC169"/>
    <mergeCell ref="AD169:AD169"/>
    <mergeCell ref="AE169:AE169"/>
    <mergeCell ref="AF169:AF169"/>
    <mergeCell ref="A170:A170"/>
    <mergeCell ref="B170:B170"/>
    <mergeCell ref="C170:C170"/>
    <mergeCell ref="F170:F170"/>
    <mergeCell ref="G170:G170"/>
    <mergeCell ref="H170:H170"/>
    <mergeCell ref="M170:M170"/>
    <mergeCell ref="N170:N170"/>
    <mergeCell ref="O170:O170"/>
    <mergeCell ref="P170:P170"/>
    <mergeCell ref="Q170:Q170"/>
    <mergeCell ref="R170:R170"/>
    <mergeCell ref="S170:S170"/>
    <mergeCell ref="X170:X170"/>
    <mergeCell ref="Y170:Y170"/>
    <mergeCell ref="Z170:Z170"/>
    <mergeCell ref="AA170:AA170"/>
    <mergeCell ref="AB170:AB170"/>
    <mergeCell ref="AC170:AC170"/>
    <mergeCell ref="AD170:AD170"/>
    <mergeCell ref="AE170:AE170"/>
    <mergeCell ref="AF170:AF170"/>
    <mergeCell ref="A171:A171"/>
    <mergeCell ref="B171:B171"/>
    <mergeCell ref="C171:C171"/>
    <mergeCell ref="F171:F171"/>
    <mergeCell ref="G171:G171"/>
    <mergeCell ref="H171:H171"/>
    <mergeCell ref="M171:M171"/>
    <mergeCell ref="N171:N171"/>
    <mergeCell ref="O171:O171"/>
    <mergeCell ref="P171:P171"/>
    <mergeCell ref="Q171:Q171"/>
    <mergeCell ref="R171:R171"/>
    <mergeCell ref="S171:S171"/>
    <mergeCell ref="X171:X171"/>
    <mergeCell ref="Y171:Y171"/>
    <mergeCell ref="Z171:Z171"/>
    <mergeCell ref="AA171:AA171"/>
    <mergeCell ref="AB171:AB171"/>
    <mergeCell ref="AC171:AC171"/>
    <mergeCell ref="AD171:AD171"/>
    <mergeCell ref="AE171:AE171"/>
    <mergeCell ref="AF171:AF171"/>
    <mergeCell ref="A172:A172"/>
    <mergeCell ref="B172:B172"/>
    <mergeCell ref="C172:C172"/>
    <mergeCell ref="F172:F172"/>
    <mergeCell ref="G172:G172"/>
    <mergeCell ref="H172:H172"/>
    <mergeCell ref="M172:M172"/>
    <mergeCell ref="N172:N172"/>
    <mergeCell ref="O172:O172"/>
    <mergeCell ref="P172:P172"/>
    <mergeCell ref="Q172:Q172"/>
    <mergeCell ref="R172:R172"/>
    <mergeCell ref="S172:S172"/>
    <mergeCell ref="X172:X172"/>
    <mergeCell ref="Y172:Y172"/>
    <mergeCell ref="Z172:Z172"/>
    <mergeCell ref="AA172:AA172"/>
    <mergeCell ref="AB172:AB172"/>
    <mergeCell ref="AC172:AC172"/>
    <mergeCell ref="AD172:AD172"/>
    <mergeCell ref="AE172:AE172"/>
    <mergeCell ref="AF172:AF172"/>
    <mergeCell ref="A173:A173"/>
    <mergeCell ref="B173:B173"/>
    <mergeCell ref="C173:C173"/>
    <mergeCell ref="F173:F173"/>
    <mergeCell ref="G173:G173"/>
    <mergeCell ref="H173:H173"/>
    <mergeCell ref="M173:M173"/>
    <mergeCell ref="N173:N173"/>
    <mergeCell ref="O173:O173"/>
    <mergeCell ref="P173:P173"/>
    <mergeCell ref="Q173:Q173"/>
    <mergeCell ref="R173:R173"/>
    <mergeCell ref="S173:S173"/>
    <mergeCell ref="X173:X173"/>
    <mergeCell ref="Y173:Y173"/>
    <mergeCell ref="Z173:Z173"/>
    <mergeCell ref="AA173:AA173"/>
    <mergeCell ref="AB173:AB173"/>
    <mergeCell ref="AC173:AC173"/>
    <mergeCell ref="AD173:AD173"/>
    <mergeCell ref="AE173:AE173"/>
    <mergeCell ref="AF173:AF173"/>
    <mergeCell ref="A174:A174"/>
    <mergeCell ref="B174:B174"/>
    <mergeCell ref="C174:C174"/>
    <mergeCell ref="F174:F174"/>
    <mergeCell ref="G174:G174"/>
    <mergeCell ref="H174:H174"/>
    <mergeCell ref="M174:M174"/>
    <mergeCell ref="N174:N174"/>
    <mergeCell ref="O174:O174"/>
    <mergeCell ref="P174:P174"/>
    <mergeCell ref="Q174:Q174"/>
    <mergeCell ref="R174:R174"/>
    <mergeCell ref="S174:S174"/>
    <mergeCell ref="X174:X174"/>
    <mergeCell ref="Y174:Y174"/>
    <mergeCell ref="Z174:Z174"/>
    <mergeCell ref="AA174:AA174"/>
    <mergeCell ref="AB174:AB174"/>
    <mergeCell ref="AC174:AC174"/>
    <mergeCell ref="AD174:AD174"/>
    <mergeCell ref="AE174:AE174"/>
    <mergeCell ref="AF174:AF174"/>
    <mergeCell ref="A175:A175"/>
    <mergeCell ref="B175:B175"/>
    <mergeCell ref="C175:C175"/>
    <mergeCell ref="F175:F175"/>
    <mergeCell ref="G175:G175"/>
    <mergeCell ref="H175:H175"/>
    <mergeCell ref="M175:M175"/>
    <mergeCell ref="N175:N175"/>
    <mergeCell ref="O175:O175"/>
    <mergeCell ref="P175:P175"/>
    <mergeCell ref="Q175:Q175"/>
    <mergeCell ref="R175:R175"/>
    <mergeCell ref="S175:S175"/>
    <mergeCell ref="X175:X175"/>
    <mergeCell ref="Y175:Y175"/>
    <mergeCell ref="Z175:Z175"/>
    <mergeCell ref="AA175:AA175"/>
    <mergeCell ref="AB175:AB175"/>
    <mergeCell ref="AC175:AC175"/>
    <mergeCell ref="AD175:AD175"/>
    <mergeCell ref="AE175:AE175"/>
    <mergeCell ref="AF175:AF175"/>
    <mergeCell ref="A176:A176"/>
    <mergeCell ref="B176:B176"/>
    <mergeCell ref="C176:C176"/>
    <mergeCell ref="F176:F176"/>
    <mergeCell ref="G176:G176"/>
    <mergeCell ref="H176:H176"/>
    <mergeCell ref="M176:M176"/>
    <mergeCell ref="N176:N176"/>
    <mergeCell ref="O176:O176"/>
    <mergeCell ref="P176:P176"/>
    <mergeCell ref="Q176:Q176"/>
    <mergeCell ref="R176:R176"/>
    <mergeCell ref="S176:S176"/>
    <mergeCell ref="X176:X176"/>
    <mergeCell ref="Y176:Y176"/>
    <mergeCell ref="Z176:Z176"/>
    <mergeCell ref="AA176:AA176"/>
    <mergeCell ref="AB176:AB176"/>
    <mergeCell ref="AC176:AC176"/>
    <mergeCell ref="AD176:AD176"/>
    <mergeCell ref="AE176:AE176"/>
    <mergeCell ref="AF176:AF176"/>
    <mergeCell ref="A177:A177"/>
    <mergeCell ref="B177:B177"/>
    <mergeCell ref="C177:C177"/>
    <mergeCell ref="F177:F177"/>
    <mergeCell ref="G177:G177"/>
    <mergeCell ref="H177:H177"/>
    <mergeCell ref="M177:M177"/>
    <mergeCell ref="N177:N177"/>
    <mergeCell ref="O177:O177"/>
    <mergeCell ref="P177:P177"/>
    <mergeCell ref="Q177:Q177"/>
    <mergeCell ref="R177:R177"/>
    <mergeCell ref="S177:S177"/>
    <mergeCell ref="X177:X177"/>
    <mergeCell ref="Y177:Y177"/>
    <mergeCell ref="Z177:Z177"/>
    <mergeCell ref="AA177:AA177"/>
    <mergeCell ref="AB177:AB177"/>
    <mergeCell ref="AC177:AC177"/>
    <mergeCell ref="AD177:AD177"/>
    <mergeCell ref="AE177:AE177"/>
    <mergeCell ref="AF177:AF177"/>
    <mergeCell ref="A178:A178"/>
    <mergeCell ref="B178:B178"/>
    <mergeCell ref="C178:C178"/>
    <mergeCell ref="F178:F178"/>
    <mergeCell ref="G178:G178"/>
    <mergeCell ref="H178:H178"/>
    <mergeCell ref="M178:M178"/>
    <mergeCell ref="N178:N178"/>
    <mergeCell ref="O178:O178"/>
    <mergeCell ref="P178:P178"/>
    <mergeCell ref="Q178:Q178"/>
    <mergeCell ref="R178:R178"/>
    <mergeCell ref="S178:S178"/>
    <mergeCell ref="X178:X178"/>
    <mergeCell ref="Y178:Y178"/>
    <mergeCell ref="Z178:Z178"/>
    <mergeCell ref="AA178:AA178"/>
    <mergeCell ref="AB178:AB178"/>
    <mergeCell ref="AC178:AC178"/>
    <mergeCell ref="AD178:AD178"/>
    <mergeCell ref="AE178:AE178"/>
    <mergeCell ref="AF178:AF178"/>
    <mergeCell ref="A179:A179"/>
    <mergeCell ref="B179:B179"/>
    <mergeCell ref="C179:C179"/>
    <mergeCell ref="F179:F179"/>
    <mergeCell ref="G179:G179"/>
    <mergeCell ref="H179:H179"/>
    <mergeCell ref="M179:M179"/>
    <mergeCell ref="N179:N179"/>
    <mergeCell ref="O179:O179"/>
    <mergeCell ref="P179:P179"/>
    <mergeCell ref="Q179:Q179"/>
    <mergeCell ref="R179:R179"/>
    <mergeCell ref="S179:S179"/>
    <mergeCell ref="X179:X179"/>
    <mergeCell ref="Y179:Y179"/>
    <mergeCell ref="Z179:Z179"/>
    <mergeCell ref="AA179:AA179"/>
    <mergeCell ref="AB179:AB179"/>
    <mergeCell ref="AC179:AC179"/>
    <mergeCell ref="AD179:AD179"/>
    <mergeCell ref="AE179:AE179"/>
    <mergeCell ref="AF179:AF179"/>
    <mergeCell ref="A180:A180"/>
    <mergeCell ref="B180:B180"/>
    <mergeCell ref="C180:C180"/>
    <mergeCell ref="F180:F180"/>
    <mergeCell ref="G180:G180"/>
    <mergeCell ref="H180:H180"/>
    <mergeCell ref="M180:M180"/>
    <mergeCell ref="N180:N180"/>
    <mergeCell ref="O180:O180"/>
    <mergeCell ref="P180:P180"/>
    <mergeCell ref="Q180:Q180"/>
    <mergeCell ref="R180:R180"/>
    <mergeCell ref="S180:S180"/>
    <mergeCell ref="X180:X180"/>
    <mergeCell ref="Y180:Y180"/>
    <mergeCell ref="Z180:Z180"/>
    <mergeCell ref="AA180:AA180"/>
    <mergeCell ref="AB180:AB180"/>
    <mergeCell ref="AC180:AC180"/>
    <mergeCell ref="AD180:AD180"/>
    <mergeCell ref="AE180:AE180"/>
    <mergeCell ref="AF180:AF180"/>
    <mergeCell ref="A181:A181"/>
    <mergeCell ref="B181:B181"/>
    <mergeCell ref="C181:C181"/>
    <mergeCell ref="F181:F181"/>
    <mergeCell ref="G181:G181"/>
    <mergeCell ref="H181:H181"/>
    <mergeCell ref="M181:M181"/>
    <mergeCell ref="N181:N181"/>
    <mergeCell ref="O181:O181"/>
    <mergeCell ref="P181:P181"/>
    <mergeCell ref="Q181:Q181"/>
    <mergeCell ref="R181:R181"/>
    <mergeCell ref="S181:S181"/>
    <mergeCell ref="X181:X181"/>
    <mergeCell ref="Y181:Y181"/>
    <mergeCell ref="Z181:Z181"/>
    <mergeCell ref="AA181:AA181"/>
    <mergeCell ref="AB181:AB181"/>
    <mergeCell ref="AC181:AC181"/>
    <mergeCell ref="AD181:AD181"/>
    <mergeCell ref="AE181:AE181"/>
    <mergeCell ref="AF181:AF181"/>
    <mergeCell ref="A182:A182"/>
    <mergeCell ref="B182:B182"/>
    <mergeCell ref="C182:C182"/>
    <mergeCell ref="F182:F182"/>
    <mergeCell ref="G182:G182"/>
    <mergeCell ref="H182:H182"/>
    <mergeCell ref="M182:M182"/>
    <mergeCell ref="N182:N182"/>
    <mergeCell ref="O182:O182"/>
    <mergeCell ref="P182:P182"/>
    <mergeCell ref="Q182:Q182"/>
    <mergeCell ref="R182:R182"/>
    <mergeCell ref="S182:S182"/>
    <mergeCell ref="X182:X182"/>
    <mergeCell ref="Y182:Y182"/>
    <mergeCell ref="Z182:Z182"/>
    <mergeCell ref="AA182:AA182"/>
    <mergeCell ref="AB182:AB182"/>
    <mergeCell ref="AC182:AC182"/>
    <mergeCell ref="AD182:AD182"/>
    <mergeCell ref="AE182:AE182"/>
    <mergeCell ref="AF182:AF182"/>
    <mergeCell ref="A183:A183"/>
    <mergeCell ref="B183:B183"/>
    <mergeCell ref="C183:C183"/>
    <mergeCell ref="F183:F183"/>
    <mergeCell ref="G183:G183"/>
    <mergeCell ref="H183:H183"/>
    <mergeCell ref="M183:M183"/>
    <mergeCell ref="N183:N183"/>
    <mergeCell ref="O183:O183"/>
    <mergeCell ref="P183:P183"/>
    <mergeCell ref="Q183:Q183"/>
    <mergeCell ref="R183:R183"/>
    <mergeCell ref="S183:S183"/>
    <mergeCell ref="X183:X183"/>
    <mergeCell ref="Y183:Y183"/>
    <mergeCell ref="Z183:Z183"/>
    <mergeCell ref="AA183:AA183"/>
    <mergeCell ref="AB183:AB183"/>
    <mergeCell ref="AC183:AC183"/>
    <mergeCell ref="AD183:AD183"/>
    <mergeCell ref="AE183:AE183"/>
    <mergeCell ref="AF183:AF183"/>
    <mergeCell ref="A184:A184"/>
    <mergeCell ref="B184:B184"/>
    <mergeCell ref="C184:C184"/>
    <mergeCell ref="F184:F184"/>
    <mergeCell ref="G184:G184"/>
    <mergeCell ref="H184:H184"/>
    <mergeCell ref="M184:M184"/>
    <mergeCell ref="N184:N184"/>
    <mergeCell ref="O184:O184"/>
    <mergeCell ref="P184:P184"/>
    <mergeCell ref="Q184:Q184"/>
    <mergeCell ref="R184:R184"/>
    <mergeCell ref="S184:S184"/>
    <mergeCell ref="X184:X184"/>
    <mergeCell ref="Y184:Y184"/>
    <mergeCell ref="Z184:Z184"/>
    <mergeCell ref="AA184:AA184"/>
    <mergeCell ref="AB184:AB184"/>
    <mergeCell ref="AC184:AC184"/>
    <mergeCell ref="AD184:AD184"/>
    <mergeCell ref="AE184:AE184"/>
    <mergeCell ref="AF184:AF184"/>
    <mergeCell ref="A185:A185"/>
    <mergeCell ref="B185:B185"/>
    <mergeCell ref="C185:C185"/>
    <mergeCell ref="F185:F185"/>
    <mergeCell ref="G185:G185"/>
    <mergeCell ref="H185:H185"/>
    <mergeCell ref="M185:M185"/>
    <mergeCell ref="N185:N185"/>
    <mergeCell ref="O185:O185"/>
    <mergeCell ref="P185:P185"/>
    <mergeCell ref="Q185:Q185"/>
    <mergeCell ref="R185:R185"/>
    <mergeCell ref="S185:S185"/>
    <mergeCell ref="X185:X185"/>
    <mergeCell ref="Y185:Y185"/>
    <mergeCell ref="Z185:Z185"/>
    <mergeCell ref="AA185:AA185"/>
    <mergeCell ref="AB185:AB185"/>
    <mergeCell ref="AC185:AC185"/>
    <mergeCell ref="AD185:AD185"/>
    <mergeCell ref="AE185:AE185"/>
    <mergeCell ref="AF185:AF185"/>
    <mergeCell ref="A186:A186"/>
    <mergeCell ref="B186:B186"/>
    <mergeCell ref="C186:C186"/>
    <mergeCell ref="F186:F186"/>
    <mergeCell ref="G186:G186"/>
    <mergeCell ref="H186:H186"/>
    <mergeCell ref="M186:M186"/>
    <mergeCell ref="N186:N186"/>
    <mergeCell ref="O186:O186"/>
    <mergeCell ref="P186:P186"/>
    <mergeCell ref="Q186:Q186"/>
    <mergeCell ref="R186:R186"/>
    <mergeCell ref="S186:S186"/>
    <mergeCell ref="X186:X186"/>
    <mergeCell ref="Y186:Y186"/>
    <mergeCell ref="Z186:Z186"/>
    <mergeCell ref="AA186:AA186"/>
    <mergeCell ref="AB186:AB186"/>
    <mergeCell ref="AC186:AC186"/>
    <mergeCell ref="AD186:AD186"/>
    <mergeCell ref="AE186:AE186"/>
    <mergeCell ref="AF186:AF186"/>
    <mergeCell ref="A187:A187"/>
    <mergeCell ref="B187:B187"/>
    <mergeCell ref="C187:C187"/>
    <mergeCell ref="F187:F187"/>
    <mergeCell ref="G187:G187"/>
    <mergeCell ref="H187:H187"/>
    <mergeCell ref="M187:M187"/>
    <mergeCell ref="N187:N187"/>
    <mergeCell ref="O187:O187"/>
    <mergeCell ref="P187:P187"/>
    <mergeCell ref="Q187:Q187"/>
    <mergeCell ref="R187:R187"/>
    <mergeCell ref="S187:S187"/>
    <mergeCell ref="X187:X187"/>
    <mergeCell ref="Y187:Y187"/>
    <mergeCell ref="Z187:Z187"/>
    <mergeCell ref="AA187:AA187"/>
    <mergeCell ref="AB187:AB187"/>
    <mergeCell ref="AC187:AC187"/>
    <mergeCell ref="AD187:AD187"/>
    <mergeCell ref="AE187:AE187"/>
    <mergeCell ref="AF187:AF187"/>
    <mergeCell ref="A188:A188"/>
    <mergeCell ref="B188:B188"/>
    <mergeCell ref="C188:C188"/>
    <mergeCell ref="F188:F188"/>
    <mergeCell ref="G188:G188"/>
    <mergeCell ref="H188:H188"/>
    <mergeCell ref="M188:M188"/>
    <mergeCell ref="N188:N188"/>
    <mergeCell ref="O188:O188"/>
    <mergeCell ref="P188:P188"/>
    <mergeCell ref="Q188:Q188"/>
    <mergeCell ref="R188:R188"/>
    <mergeCell ref="S188:S188"/>
    <mergeCell ref="X188:X188"/>
    <mergeCell ref="Y188:Y188"/>
    <mergeCell ref="Z188:Z188"/>
    <mergeCell ref="AA188:AA188"/>
    <mergeCell ref="AB188:AB188"/>
    <mergeCell ref="AC188:AC188"/>
    <mergeCell ref="AD188:AD188"/>
    <mergeCell ref="AE188:AE188"/>
    <mergeCell ref="AF188:AF188"/>
    <mergeCell ref="A189:A189"/>
    <mergeCell ref="B189:B189"/>
    <mergeCell ref="C189:C189"/>
    <mergeCell ref="F189:F189"/>
    <mergeCell ref="G189:G189"/>
    <mergeCell ref="H189:H189"/>
    <mergeCell ref="M189:M189"/>
    <mergeCell ref="N189:N189"/>
    <mergeCell ref="O189:O189"/>
    <mergeCell ref="P189:P189"/>
    <mergeCell ref="Q189:Q189"/>
    <mergeCell ref="R189:R189"/>
    <mergeCell ref="S189:S189"/>
    <mergeCell ref="X189:X189"/>
    <mergeCell ref="Y189:Y189"/>
    <mergeCell ref="Z189:Z189"/>
    <mergeCell ref="AA189:AA189"/>
    <mergeCell ref="AB189:AB189"/>
    <mergeCell ref="AC189:AC189"/>
    <mergeCell ref="AD189:AD189"/>
    <mergeCell ref="AE189:AE189"/>
    <mergeCell ref="AF189:AF189"/>
    <mergeCell ref="A190:A190"/>
    <mergeCell ref="B190:B190"/>
    <mergeCell ref="C190:C190"/>
    <mergeCell ref="F190:F190"/>
    <mergeCell ref="G190:G190"/>
    <mergeCell ref="H190:H190"/>
    <mergeCell ref="M190:M190"/>
    <mergeCell ref="N190:N190"/>
    <mergeCell ref="O190:O190"/>
    <mergeCell ref="P190:P190"/>
    <mergeCell ref="Q190:Q190"/>
    <mergeCell ref="R190:R190"/>
    <mergeCell ref="S190:S190"/>
    <mergeCell ref="X190:X190"/>
    <mergeCell ref="Y190:Y190"/>
    <mergeCell ref="Z190:Z190"/>
    <mergeCell ref="AA190:AA190"/>
    <mergeCell ref="AB190:AB190"/>
    <mergeCell ref="AC190:AC190"/>
    <mergeCell ref="AD190:AD190"/>
    <mergeCell ref="AE190:AE190"/>
    <mergeCell ref="AF190:AF190"/>
    <mergeCell ref="A191:A191"/>
    <mergeCell ref="B191:B191"/>
    <mergeCell ref="C191:C191"/>
    <mergeCell ref="F191:F191"/>
    <mergeCell ref="G191:G191"/>
    <mergeCell ref="H191:H191"/>
    <mergeCell ref="M191:M191"/>
    <mergeCell ref="N191:N191"/>
    <mergeCell ref="O191:O191"/>
    <mergeCell ref="P191:P191"/>
    <mergeCell ref="Q191:Q191"/>
    <mergeCell ref="R191:R191"/>
    <mergeCell ref="S191:S191"/>
    <mergeCell ref="X191:X191"/>
    <mergeCell ref="Y191:Y191"/>
    <mergeCell ref="Z191:Z191"/>
    <mergeCell ref="AA191:AA191"/>
    <mergeCell ref="AB191:AB191"/>
    <mergeCell ref="AC191:AC191"/>
    <mergeCell ref="AD191:AD191"/>
    <mergeCell ref="AE191:AE191"/>
    <mergeCell ref="AF191:AF191"/>
    <mergeCell ref="A192:A192"/>
    <mergeCell ref="B192:B192"/>
    <mergeCell ref="C192:C192"/>
    <mergeCell ref="F192:F192"/>
    <mergeCell ref="G192:G192"/>
    <mergeCell ref="H192:H192"/>
    <mergeCell ref="M192:M192"/>
    <mergeCell ref="N192:N192"/>
    <mergeCell ref="O192:O192"/>
    <mergeCell ref="P192:P192"/>
    <mergeCell ref="Q192:Q192"/>
    <mergeCell ref="R192:R192"/>
    <mergeCell ref="S192:S192"/>
    <mergeCell ref="X192:X192"/>
    <mergeCell ref="Y192:Y192"/>
    <mergeCell ref="Z192:Z192"/>
    <mergeCell ref="AA192:AA192"/>
    <mergeCell ref="AB192:AB192"/>
    <mergeCell ref="AC192:AC192"/>
    <mergeCell ref="AD192:AD192"/>
    <mergeCell ref="AE192:AE192"/>
    <mergeCell ref="AF192:AF192"/>
    <mergeCell ref="A193:A193"/>
    <mergeCell ref="B193:B193"/>
    <mergeCell ref="C193:C193"/>
    <mergeCell ref="F193:F193"/>
    <mergeCell ref="G193:G193"/>
    <mergeCell ref="H193:H193"/>
    <mergeCell ref="M193:M193"/>
    <mergeCell ref="N193:N193"/>
    <mergeCell ref="O193:O193"/>
    <mergeCell ref="P193:P193"/>
    <mergeCell ref="Q193:Q193"/>
    <mergeCell ref="R193:R193"/>
    <mergeCell ref="S193:S193"/>
    <mergeCell ref="X193:X193"/>
    <mergeCell ref="Y193:Y193"/>
    <mergeCell ref="Z193:Z193"/>
    <mergeCell ref="AA193:AA193"/>
    <mergeCell ref="AB193:AB193"/>
    <mergeCell ref="AC193:AC193"/>
    <mergeCell ref="AD193:AD193"/>
    <mergeCell ref="AE193:AE193"/>
    <mergeCell ref="AF193:AF193"/>
    <mergeCell ref="A194:A194"/>
    <mergeCell ref="B194:B194"/>
    <mergeCell ref="C194:C194"/>
    <mergeCell ref="F194:F194"/>
    <mergeCell ref="G194:G194"/>
    <mergeCell ref="H194:H194"/>
    <mergeCell ref="M194:M194"/>
    <mergeCell ref="N194:N194"/>
    <mergeCell ref="O194:O194"/>
    <mergeCell ref="P194:P194"/>
    <mergeCell ref="Q194:Q194"/>
    <mergeCell ref="R194:R194"/>
    <mergeCell ref="S194:S194"/>
    <mergeCell ref="X194:X194"/>
    <mergeCell ref="Y194:Y194"/>
    <mergeCell ref="Z194:Z194"/>
    <mergeCell ref="AA194:AA194"/>
    <mergeCell ref="AB194:AB194"/>
    <mergeCell ref="AC194:AC194"/>
    <mergeCell ref="AD194:AD194"/>
    <mergeCell ref="AE194:AE194"/>
    <mergeCell ref="AF194:AF194"/>
    <mergeCell ref="A195:A195"/>
    <mergeCell ref="B195:B195"/>
    <mergeCell ref="C195:C195"/>
    <mergeCell ref="F195:F195"/>
    <mergeCell ref="G195:G195"/>
    <mergeCell ref="H195:H195"/>
    <mergeCell ref="M195:M195"/>
    <mergeCell ref="N195:N195"/>
    <mergeCell ref="O195:O195"/>
    <mergeCell ref="P195:P195"/>
    <mergeCell ref="Q195:Q195"/>
    <mergeCell ref="R195:R195"/>
    <mergeCell ref="S195:S195"/>
    <mergeCell ref="X195:X195"/>
    <mergeCell ref="Y195:Y195"/>
    <mergeCell ref="Z195:Z195"/>
    <mergeCell ref="AA195:AA195"/>
    <mergeCell ref="AB195:AB195"/>
    <mergeCell ref="AC195:AC195"/>
    <mergeCell ref="AD195:AD195"/>
    <mergeCell ref="AE195:AE195"/>
    <mergeCell ref="AF195:AF195"/>
    <mergeCell ref="A196:A196"/>
    <mergeCell ref="B196:B196"/>
    <mergeCell ref="C196:C196"/>
    <mergeCell ref="F196:F196"/>
    <mergeCell ref="G196:G196"/>
    <mergeCell ref="H196:H196"/>
    <mergeCell ref="M196:M196"/>
    <mergeCell ref="N196:N196"/>
    <mergeCell ref="O196:O196"/>
    <mergeCell ref="P196:P196"/>
    <mergeCell ref="Q196:Q196"/>
    <mergeCell ref="R196:R196"/>
    <mergeCell ref="S196:S196"/>
    <mergeCell ref="X196:X196"/>
    <mergeCell ref="Y196:Y196"/>
    <mergeCell ref="Z196:Z196"/>
    <mergeCell ref="AA196:AA196"/>
    <mergeCell ref="AB196:AB196"/>
    <mergeCell ref="AC196:AC196"/>
    <mergeCell ref="AD196:AD196"/>
    <mergeCell ref="AE196:AE196"/>
    <mergeCell ref="AF196:AF196"/>
    <mergeCell ref="A197:A197"/>
    <mergeCell ref="B197:B197"/>
    <mergeCell ref="C197:C197"/>
    <mergeCell ref="F197:F197"/>
    <mergeCell ref="G197:G197"/>
    <mergeCell ref="H197:H197"/>
    <mergeCell ref="M197:M197"/>
    <mergeCell ref="N197:N197"/>
    <mergeCell ref="O197:O197"/>
    <mergeCell ref="P197:P197"/>
    <mergeCell ref="Q197:Q197"/>
    <mergeCell ref="R197:R197"/>
    <mergeCell ref="S197:S197"/>
    <mergeCell ref="X197:X197"/>
    <mergeCell ref="Y197:Y197"/>
    <mergeCell ref="Z197:Z197"/>
    <mergeCell ref="AA197:AA197"/>
    <mergeCell ref="AB197:AB197"/>
    <mergeCell ref="AC197:AC197"/>
    <mergeCell ref="AD197:AD197"/>
    <mergeCell ref="AE197:AE197"/>
    <mergeCell ref="AF197:AF197"/>
    <mergeCell ref="A198:A198"/>
    <mergeCell ref="B198:B198"/>
    <mergeCell ref="C198:C198"/>
    <mergeCell ref="F198:F198"/>
    <mergeCell ref="G198:G198"/>
    <mergeCell ref="H198:H198"/>
    <mergeCell ref="M198:M198"/>
    <mergeCell ref="N198:N198"/>
    <mergeCell ref="O198:O198"/>
    <mergeCell ref="P198:P198"/>
    <mergeCell ref="Q198:Q198"/>
    <mergeCell ref="R198:R198"/>
    <mergeCell ref="S198:S198"/>
    <mergeCell ref="X198:X198"/>
    <mergeCell ref="Y198:Y198"/>
    <mergeCell ref="Z198:Z198"/>
    <mergeCell ref="AA198:AA198"/>
    <mergeCell ref="AB198:AB198"/>
    <mergeCell ref="AC198:AC198"/>
    <mergeCell ref="AD198:AD198"/>
    <mergeCell ref="AE198:AE198"/>
    <mergeCell ref="AF198:AF198"/>
    <mergeCell ref="A199:A199"/>
    <mergeCell ref="B199:B199"/>
    <mergeCell ref="C199:C199"/>
    <mergeCell ref="F199:F199"/>
    <mergeCell ref="G199:G199"/>
    <mergeCell ref="H199:H199"/>
    <mergeCell ref="M199:M199"/>
    <mergeCell ref="N199:N199"/>
    <mergeCell ref="O199:O199"/>
    <mergeCell ref="P199:P199"/>
    <mergeCell ref="Q199:Q199"/>
    <mergeCell ref="R199:R199"/>
    <mergeCell ref="S199:S199"/>
    <mergeCell ref="X199:X199"/>
    <mergeCell ref="Y199:Y199"/>
    <mergeCell ref="Z199:Z199"/>
    <mergeCell ref="AA199:AA199"/>
    <mergeCell ref="AB199:AB199"/>
    <mergeCell ref="AC199:AC199"/>
    <mergeCell ref="AD199:AD199"/>
    <mergeCell ref="AE199:AE199"/>
    <mergeCell ref="AF199:AF199"/>
    <mergeCell ref="A200:A200"/>
    <mergeCell ref="B200:B200"/>
    <mergeCell ref="C200:C200"/>
    <mergeCell ref="F200:F200"/>
    <mergeCell ref="G200:G200"/>
    <mergeCell ref="H200:H200"/>
    <mergeCell ref="M200:M200"/>
    <mergeCell ref="N200:N200"/>
    <mergeCell ref="O200:O200"/>
    <mergeCell ref="P200:P200"/>
    <mergeCell ref="Q200:Q200"/>
    <mergeCell ref="R200:R200"/>
    <mergeCell ref="S200:S200"/>
    <mergeCell ref="X200:X200"/>
    <mergeCell ref="Y200:Y200"/>
    <mergeCell ref="Z200:Z200"/>
    <mergeCell ref="AA200:AA200"/>
    <mergeCell ref="AB200:AB200"/>
    <mergeCell ref="AC200:AC200"/>
    <mergeCell ref="AD200:AD200"/>
    <mergeCell ref="AE200:AE200"/>
    <mergeCell ref="AF200:AF200"/>
    <mergeCell ref="A201:A201"/>
    <mergeCell ref="B201:B201"/>
    <mergeCell ref="C201:C201"/>
    <mergeCell ref="F201:F201"/>
    <mergeCell ref="G201:G201"/>
    <mergeCell ref="H201:H201"/>
    <mergeCell ref="M201:M201"/>
    <mergeCell ref="N201:N201"/>
    <mergeCell ref="O201:O201"/>
    <mergeCell ref="P201:P201"/>
    <mergeCell ref="Q201:Q201"/>
    <mergeCell ref="R201:R201"/>
    <mergeCell ref="S201:S201"/>
    <mergeCell ref="X201:X201"/>
    <mergeCell ref="Y201:Y201"/>
    <mergeCell ref="Z201:Z201"/>
    <mergeCell ref="AA201:AA201"/>
    <mergeCell ref="AB201:AB201"/>
    <mergeCell ref="AC201:AC201"/>
    <mergeCell ref="AD201:AD201"/>
    <mergeCell ref="AE201:AE201"/>
    <mergeCell ref="AF201:AF201"/>
    <mergeCell ref="A202:A202"/>
    <mergeCell ref="B202:B202"/>
    <mergeCell ref="C202:C202"/>
    <mergeCell ref="F202:F202"/>
    <mergeCell ref="G202:G202"/>
    <mergeCell ref="H202:H202"/>
    <mergeCell ref="M202:M202"/>
    <mergeCell ref="N202:N202"/>
    <mergeCell ref="O202:O202"/>
    <mergeCell ref="P202:P202"/>
    <mergeCell ref="Q202:Q202"/>
    <mergeCell ref="R202:R202"/>
    <mergeCell ref="S202:S202"/>
    <mergeCell ref="X202:X202"/>
    <mergeCell ref="Y202:Y202"/>
    <mergeCell ref="Z202:Z202"/>
    <mergeCell ref="AA202:AA202"/>
    <mergeCell ref="AB202:AB202"/>
    <mergeCell ref="AC202:AC202"/>
    <mergeCell ref="AD202:AD202"/>
    <mergeCell ref="AE202:AE202"/>
    <mergeCell ref="AF202:AF202"/>
    <mergeCell ref="A203:A203"/>
    <mergeCell ref="B203:B203"/>
    <mergeCell ref="C203:C203"/>
    <mergeCell ref="F203:F203"/>
    <mergeCell ref="G203:G203"/>
    <mergeCell ref="H203:H203"/>
    <mergeCell ref="M203:M203"/>
    <mergeCell ref="N203:N203"/>
    <mergeCell ref="O203:O203"/>
    <mergeCell ref="P203:P203"/>
    <mergeCell ref="Q203:Q203"/>
    <mergeCell ref="R203:R203"/>
    <mergeCell ref="S203:S203"/>
    <mergeCell ref="X203:X203"/>
    <mergeCell ref="Y203:Y203"/>
    <mergeCell ref="Z203:Z203"/>
    <mergeCell ref="AA203:AA203"/>
    <mergeCell ref="AB203:AB203"/>
    <mergeCell ref="AC203:AC203"/>
    <mergeCell ref="AD203:AD203"/>
    <mergeCell ref="AE203:AE203"/>
    <mergeCell ref="AF203:AF203"/>
    <mergeCell ref="A204:A204"/>
    <mergeCell ref="B204:B204"/>
    <mergeCell ref="C204:C204"/>
    <mergeCell ref="F204:F204"/>
    <mergeCell ref="G204:G204"/>
    <mergeCell ref="H204:H204"/>
    <mergeCell ref="M204:M204"/>
    <mergeCell ref="N204:N204"/>
    <mergeCell ref="O204:O204"/>
    <mergeCell ref="P204:P204"/>
    <mergeCell ref="Q204:Q204"/>
    <mergeCell ref="R204:R204"/>
    <mergeCell ref="S204:S204"/>
    <mergeCell ref="X204:X204"/>
    <mergeCell ref="Y204:Y204"/>
    <mergeCell ref="Z204:Z204"/>
    <mergeCell ref="AA204:AA204"/>
    <mergeCell ref="AB204:AB204"/>
    <mergeCell ref="AC204:AC204"/>
    <mergeCell ref="AD204:AD204"/>
    <mergeCell ref="AE204:AE204"/>
    <mergeCell ref="AF204:AF204"/>
    <mergeCell ref="A205:A205"/>
    <mergeCell ref="B205:B205"/>
    <mergeCell ref="C205:C205"/>
    <mergeCell ref="F205:F205"/>
    <mergeCell ref="G205:G205"/>
    <mergeCell ref="H205:H205"/>
    <mergeCell ref="M205:M205"/>
    <mergeCell ref="N205:N205"/>
    <mergeCell ref="O205:O205"/>
    <mergeCell ref="P205:P205"/>
    <mergeCell ref="Q205:Q205"/>
    <mergeCell ref="R205:R205"/>
    <mergeCell ref="S205:S205"/>
    <mergeCell ref="X205:X205"/>
    <mergeCell ref="Y205:Y205"/>
    <mergeCell ref="Z205:Z205"/>
    <mergeCell ref="AA205:AA205"/>
    <mergeCell ref="AB205:AB205"/>
    <mergeCell ref="AC205:AC205"/>
    <mergeCell ref="AD205:AD205"/>
    <mergeCell ref="AE205:AE205"/>
    <mergeCell ref="AF205:AF205"/>
    <mergeCell ref="A206:A206"/>
    <mergeCell ref="B206:B206"/>
    <mergeCell ref="C206:C206"/>
    <mergeCell ref="F206:F206"/>
    <mergeCell ref="G206:G206"/>
    <mergeCell ref="H206:H206"/>
    <mergeCell ref="M206:M206"/>
    <mergeCell ref="N206:N206"/>
    <mergeCell ref="O206:O206"/>
    <mergeCell ref="P206:P206"/>
    <mergeCell ref="Q206:Q206"/>
    <mergeCell ref="R206:R206"/>
    <mergeCell ref="S206:S206"/>
    <mergeCell ref="X206:X206"/>
    <mergeCell ref="Y206:Y206"/>
    <mergeCell ref="Z206:Z206"/>
    <mergeCell ref="AA206:AA206"/>
    <mergeCell ref="AB206:AB206"/>
    <mergeCell ref="AC206:AC206"/>
    <mergeCell ref="AD206:AD206"/>
    <mergeCell ref="AE206:AE206"/>
    <mergeCell ref="AF206:AF206"/>
    <mergeCell ref="A207:A207"/>
    <mergeCell ref="B207:B207"/>
    <mergeCell ref="C207:C207"/>
    <mergeCell ref="F207:F207"/>
    <mergeCell ref="G207:G207"/>
    <mergeCell ref="H207:H207"/>
    <mergeCell ref="M207:M207"/>
    <mergeCell ref="N207:N207"/>
    <mergeCell ref="O207:O207"/>
    <mergeCell ref="P207:P207"/>
    <mergeCell ref="Q207:Q207"/>
    <mergeCell ref="R207:R207"/>
    <mergeCell ref="S207:S207"/>
    <mergeCell ref="X207:X207"/>
    <mergeCell ref="Y207:Y207"/>
    <mergeCell ref="Z207:Z207"/>
    <mergeCell ref="AA207:AA207"/>
    <mergeCell ref="AB207:AB207"/>
    <mergeCell ref="AC207:AC207"/>
    <mergeCell ref="AD207:AD207"/>
    <mergeCell ref="AE207:AE207"/>
    <mergeCell ref="AF207:AF207"/>
    <mergeCell ref="A208:A208"/>
    <mergeCell ref="B208:B208"/>
    <mergeCell ref="C208:C208"/>
    <mergeCell ref="F208:F208"/>
    <mergeCell ref="G208:G208"/>
    <mergeCell ref="H208:H208"/>
    <mergeCell ref="M208:M208"/>
    <mergeCell ref="N208:N208"/>
    <mergeCell ref="O208:O208"/>
    <mergeCell ref="P208:P208"/>
    <mergeCell ref="Q208:Q208"/>
    <mergeCell ref="R208:R208"/>
    <mergeCell ref="S208:S208"/>
    <mergeCell ref="X208:X208"/>
    <mergeCell ref="Y208:Y208"/>
    <mergeCell ref="Z208:Z208"/>
    <mergeCell ref="AA208:AA208"/>
    <mergeCell ref="AB208:AB208"/>
    <mergeCell ref="AC208:AC208"/>
    <mergeCell ref="AD208:AD208"/>
    <mergeCell ref="AE208:AE208"/>
    <mergeCell ref="AF208:AF208"/>
    <mergeCell ref="A209:A209"/>
    <mergeCell ref="B209:B209"/>
    <mergeCell ref="C209:C209"/>
    <mergeCell ref="F209:F209"/>
    <mergeCell ref="G209:G209"/>
    <mergeCell ref="H209:H209"/>
    <mergeCell ref="M209:M209"/>
    <mergeCell ref="N209:N209"/>
    <mergeCell ref="O209:O209"/>
    <mergeCell ref="P209:P209"/>
    <mergeCell ref="Q209:Q209"/>
    <mergeCell ref="R209:R209"/>
    <mergeCell ref="S209:S209"/>
    <mergeCell ref="X209:X209"/>
    <mergeCell ref="Y209:Y209"/>
    <mergeCell ref="Z209:Z209"/>
    <mergeCell ref="AA209:AA209"/>
    <mergeCell ref="AB209:AB209"/>
    <mergeCell ref="AC209:AC209"/>
    <mergeCell ref="AD209:AD209"/>
    <mergeCell ref="AE209:AE209"/>
    <mergeCell ref="AF209:AF209"/>
    <mergeCell ref="A210:A210"/>
    <mergeCell ref="B210:B210"/>
    <mergeCell ref="C210:C210"/>
    <mergeCell ref="F210:F210"/>
    <mergeCell ref="G210:G210"/>
    <mergeCell ref="H210:H210"/>
    <mergeCell ref="M210:M210"/>
    <mergeCell ref="N210:N210"/>
    <mergeCell ref="O210:O210"/>
    <mergeCell ref="P210:P210"/>
    <mergeCell ref="Q210:Q210"/>
    <mergeCell ref="R210:R210"/>
    <mergeCell ref="S210:S210"/>
    <mergeCell ref="X210:X210"/>
    <mergeCell ref="Y210:Y210"/>
    <mergeCell ref="Z210:Z210"/>
    <mergeCell ref="AA210:AA210"/>
    <mergeCell ref="AB210:AB210"/>
    <mergeCell ref="AC210:AC210"/>
    <mergeCell ref="AD210:AD210"/>
    <mergeCell ref="AE210:AE210"/>
    <mergeCell ref="AF210:AF210"/>
    <mergeCell ref="A211:A211"/>
    <mergeCell ref="B211:B211"/>
    <mergeCell ref="C211:C211"/>
    <mergeCell ref="F211:F211"/>
    <mergeCell ref="G211:G211"/>
    <mergeCell ref="H211:H211"/>
    <mergeCell ref="M211:M211"/>
    <mergeCell ref="N211:N211"/>
    <mergeCell ref="O211:O211"/>
    <mergeCell ref="P211:P211"/>
    <mergeCell ref="Q211:Q211"/>
    <mergeCell ref="R211:R211"/>
    <mergeCell ref="S211:S211"/>
    <mergeCell ref="X211:X211"/>
    <mergeCell ref="Y211:Y211"/>
    <mergeCell ref="Z211:Z211"/>
    <mergeCell ref="AA211:AA211"/>
    <mergeCell ref="AB211:AB211"/>
    <mergeCell ref="AC211:AC211"/>
    <mergeCell ref="AD211:AD211"/>
    <mergeCell ref="AE211:AE211"/>
    <mergeCell ref="AF211:AF211"/>
    <mergeCell ref="A212:A212"/>
    <mergeCell ref="B212:B212"/>
    <mergeCell ref="C212:C212"/>
    <mergeCell ref="F212:F212"/>
    <mergeCell ref="G212:G212"/>
    <mergeCell ref="H212:H212"/>
    <mergeCell ref="M212:M212"/>
    <mergeCell ref="N212:N212"/>
    <mergeCell ref="O212:O212"/>
    <mergeCell ref="P212:P212"/>
    <mergeCell ref="Q212:Q212"/>
    <mergeCell ref="R212:R212"/>
    <mergeCell ref="S212:S212"/>
    <mergeCell ref="X212:X212"/>
    <mergeCell ref="Y212:Y212"/>
    <mergeCell ref="Z212:Z212"/>
    <mergeCell ref="AA212:AA212"/>
    <mergeCell ref="AB212:AB212"/>
    <mergeCell ref="AC212:AC212"/>
    <mergeCell ref="AD212:AD212"/>
    <mergeCell ref="AE212:AE212"/>
    <mergeCell ref="AF212:AF212"/>
    <mergeCell ref="A213:A213"/>
    <mergeCell ref="B213:B213"/>
    <mergeCell ref="C213:C213"/>
    <mergeCell ref="F213:F213"/>
    <mergeCell ref="G213:G213"/>
    <mergeCell ref="H213:H213"/>
    <mergeCell ref="M213:M213"/>
    <mergeCell ref="N213:N213"/>
    <mergeCell ref="O213:O213"/>
    <mergeCell ref="P213:P213"/>
    <mergeCell ref="Q213:Q213"/>
    <mergeCell ref="R213:R213"/>
    <mergeCell ref="S213:S213"/>
    <mergeCell ref="X213:X213"/>
    <mergeCell ref="Y213:Y213"/>
    <mergeCell ref="Z213:Z213"/>
    <mergeCell ref="AA213:AA213"/>
    <mergeCell ref="AB213:AB213"/>
    <mergeCell ref="AC213:AC213"/>
    <mergeCell ref="AD213:AD213"/>
    <mergeCell ref="AE213:AE213"/>
    <mergeCell ref="AF213:AF213"/>
    <mergeCell ref="A214:A214"/>
    <mergeCell ref="B214:B214"/>
    <mergeCell ref="C214:C214"/>
    <mergeCell ref="F214:F214"/>
    <mergeCell ref="G214:G214"/>
    <mergeCell ref="H214:H214"/>
    <mergeCell ref="M214:M214"/>
    <mergeCell ref="N214:N214"/>
    <mergeCell ref="O214:O214"/>
    <mergeCell ref="P214:P214"/>
    <mergeCell ref="Q214:Q214"/>
    <mergeCell ref="R214:R214"/>
    <mergeCell ref="S214:S214"/>
    <mergeCell ref="X214:X214"/>
    <mergeCell ref="Y214:Y214"/>
    <mergeCell ref="Z214:Z214"/>
    <mergeCell ref="AA214:AA214"/>
    <mergeCell ref="AB214:AB214"/>
    <mergeCell ref="AC214:AC214"/>
    <mergeCell ref="AD214:AD214"/>
    <mergeCell ref="AE214:AE214"/>
    <mergeCell ref="AF214:AF214"/>
    <mergeCell ref="A215:A215"/>
    <mergeCell ref="B215:B215"/>
    <mergeCell ref="C215:C215"/>
    <mergeCell ref="F215:F215"/>
    <mergeCell ref="G215:G215"/>
    <mergeCell ref="H215:H215"/>
    <mergeCell ref="M215:M215"/>
    <mergeCell ref="N215:N215"/>
    <mergeCell ref="O215:O215"/>
    <mergeCell ref="P215:P215"/>
    <mergeCell ref="Q215:Q215"/>
    <mergeCell ref="R215:R215"/>
    <mergeCell ref="S215:S215"/>
    <mergeCell ref="X215:X215"/>
    <mergeCell ref="Y215:Y215"/>
    <mergeCell ref="Z215:Z215"/>
    <mergeCell ref="AA215:AA215"/>
    <mergeCell ref="AB215:AB215"/>
    <mergeCell ref="AC215:AC215"/>
    <mergeCell ref="AD215:AD215"/>
    <mergeCell ref="AE215:AE215"/>
    <mergeCell ref="AF215:AF215"/>
    <mergeCell ref="A216:A216"/>
    <mergeCell ref="B216:B216"/>
    <mergeCell ref="C216:C216"/>
    <mergeCell ref="F216:F216"/>
    <mergeCell ref="G216:G216"/>
    <mergeCell ref="H216:H216"/>
    <mergeCell ref="M216:M216"/>
    <mergeCell ref="N216:N216"/>
    <mergeCell ref="O216:O216"/>
    <mergeCell ref="P216:P216"/>
    <mergeCell ref="Q216:Q216"/>
    <mergeCell ref="R216:R216"/>
    <mergeCell ref="S216:S216"/>
    <mergeCell ref="X216:X216"/>
    <mergeCell ref="Y216:Y216"/>
    <mergeCell ref="Z216:Z216"/>
    <mergeCell ref="AA216:AA216"/>
    <mergeCell ref="AB216:AB216"/>
    <mergeCell ref="AC216:AC216"/>
    <mergeCell ref="AD216:AD216"/>
    <mergeCell ref="AE216:AE216"/>
    <mergeCell ref="AF216:AF216"/>
    <mergeCell ref="A217:A217"/>
    <mergeCell ref="B217:B217"/>
    <mergeCell ref="C217:C217"/>
    <mergeCell ref="F217:F217"/>
    <mergeCell ref="G217:G217"/>
    <mergeCell ref="H217:H217"/>
    <mergeCell ref="M217:M217"/>
    <mergeCell ref="N217:N217"/>
    <mergeCell ref="O217:O217"/>
    <mergeCell ref="P217:P217"/>
    <mergeCell ref="Q217:Q217"/>
    <mergeCell ref="R217:R217"/>
    <mergeCell ref="S217:S217"/>
    <mergeCell ref="X217:X217"/>
    <mergeCell ref="Y217:Y217"/>
    <mergeCell ref="Z217:Z217"/>
    <mergeCell ref="AA217:AA217"/>
    <mergeCell ref="AB217:AB217"/>
    <mergeCell ref="AC217:AC217"/>
    <mergeCell ref="AD217:AD217"/>
    <mergeCell ref="AE217:AE217"/>
    <mergeCell ref="AF217:AF217"/>
    <mergeCell ref="A218:A218"/>
    <mergeCell ref="B218:B218"/>
    <mergeCell ref="C218:C218"/>
    <mergeCell ref="F218:F218"/>
    <mergeCell ref="G218:G218"/>
    <mergeCell ref="H218:H218"/>
    <mergeCell ref="M218:M218"/>
    <mergeCell ref="N218:N218"/>
    <mergeCell ref="O218:O218"/>
    <mergeCell ref="P218:P218"/>
    <mergeCell ref="Q218:Q218"/>
    <mergeCell ref="R218:R218"/>
    <mergeCell ref="S218:S218"/>
    <mergeCell ref="X218:X218"/>
    <mergeCell ref="Y218:Y218"/>
    <mergeCell ref="Z218:Z218"/>
    <mergeCell ref="AA218:AA218"/>
    <mergeCell ref="AB218:AB218"/>
    <mergeCell ref="AC218:AC218"/>
    <mergeCell ref="AD218:AD218"/>
    <mergeCell ref="AE218:AE218"/>
    <mergeCell ref="AF218:AF218"/>
    <mergeCell ref="A219:A219"/>
    <mergeCell ref="B219:B219"/>
    <mergeCell ref="C219:C219"/>
    <mergeCell ref="F219:F219"/>
    <mergeCell ref="G219:G219"/>
    <mergeCell ref="H219:H219"/>
    <mergeCell ref="M219:M219"/>
    <mergeCell ref="N219:N219"/>
    <mergeCell ref="O219:O219"/>
    <mergeCell ref="P219:P219"/>
    <mergeCell ref="Q219:Q219"/>
    <mergeCell ref="R219:R219"/>
    <mergeCell ref="S219:S219"/>
    <mergeCell ref="X219:X219"/>
    <mergeCell ref="Y219:Y219"/>
    <mergeCell ref="Z219:Z219"/>
    <mergeCell ref="AA219:AA219"/>
    <mergeCell ref="AB219:AB219"/>
    <mergeCell ref="AC219:AC219"/>
    <mergeCell ref="AD219:AD219"/>
    <mergeCell ref="AE219:AE219"/>
    <mergeCell ref="AF219:AF219"/>
    <mergeCell ref="A220:A220"/>
    <mergeCell ref="B220:B220"/>
    <mergeCell ref="C220:C220"/>
    <mergeCell ref="F220:F220"/>
    <mergeCell ref="G220:G220"/>
    <mergeCell ref="H220:H220"/>
    <mergeCell ref="M220:M220"/>
    <mergeCell ref="N220:N220"/>
    <mergeCell ref="O220:O220"/>
    <mergeCell ref="P220:P220"/>
    <mergeCell ref="Q220:Q220"/>
    <mergeCell ref="R220:R220"/>
    <mergeCell ref="S220:S220"/>
    <mergeCell ref="X220:X220"/>
    <mergeCell ref="Y220:Y220"/>
    <mergeCell ref="Z220:Z220"/>
    <mergeCell ref="AA220:AA220"/>
    <mergeCell ref="AB220:AB220"/>
    <mergeCell ref="AC220:AC220"/>
    <mergeCell ref="AD220:AD220"/>
    <mergeCell ref="AE220:AE220"/>
    <mergeCell ref="AF220:AF220"/>
    <mergeCell ref="A221:A221"/>
    <mergeCell ref="B221:B221"/>
    <mergeCell ref="C221:C221"/>
    <mergeCell ref="F221:F221"/>
    <mergeCell ref="G221:G221"/>
    <mergeCell ref="H221:H221"/>
    <mergeCell ref="M221:M221"/>
    <mergeCell ref="N221:N221"/>
    <mergeCell ref="O221:O221"/>
    <mergeCell ref="P221:P221"/>
    <mergeCell ref="Q221:Q221"/>
    <mergeCell ref="R221:R221"/>
    <mergeCell ref="S221:S221"/>
    <mergeCell ref="X221:X221"/>
    <mergeCell ref="Y221:Y221"/>
    <mergeCell ref="Z221:Z221"/>
    <mergeCell ref="AA221:AA221"/>
    <mergeCell ref="AB221:AB221"/>
    <mergeCell ref="AC221:AC221"/>
    <mergeCell ref="AD221:AD221"/>
    <mergeCell ref="AE221:AE221"/>
    <mergeCell ref="AF221:AF221"/>
    <mergeCell ref="A222:A222"/>
    <mergeCell ref="B222:B222"/>
    <mergeCell ref="C222:C222"/>
    <mergeCell ref="F222:F222"/>
    <mergeCell ref="G222:G222"/>
    <mergeCell ref="H222:H222"/>
    <mergeCell ref="M222:M222"/>
    <mergeCell ref="N222:N222"/>
    <mergeCell ref="O222:O222"/>
    <mergeCell ref="P222:P222"/>
    <mergeCell ref="Q222:Q222"/>
    <mergeCell ref="R222:R222"/>
    <mergeCell ref="S222:S222"/>
    <mergeCell ref="X222:X222"/>
    <mergeCell ref="Y222:Y222"/>
    <mergeCell ref="Z222:Z222"/>
    <mergeCell ref="AA222:AA222"/>
    <mergeCell ref="AB222:AB222"/>
    <mergeCell ref="AC222:AC222"/>
    <mergeCell ref="AD222:AD222"/>
    <mergeCell ref="AE222:AE222"/>
    <mergeCell ref="AF222:AF222"/>
    <mergeCell ref="A223:A223"/>
    <mergeCell ref="B223:B223"/>
    <mergeCell ref="C223:C223"/>
    <mergeCell ref="F223:F223"/>
    <mergeCell ref="G223:G223"/>
    <mergeCell ref="H223:H223"/>
    <mergeCell ref="M223:M223"/>
    <mergeCell ref="N223:N223"/>
    <mergeCell ref="O223:O223"/>
    <mergeCell ref="P223:P223"/>
    <mergeCell ref="Q223:Q223"/>
    <mergeCell ref="R223:R223"/>
    <mergeCell ref="S223:S223"/>
    <mergeCell ref="X223:X223"/>
    <mergeCell ref="Y223:Y223"/>
    <mergeCell ref="Z223:Z223"/>
    <mergeCell ref="AA223:AA223"/>
    <mergeCell ref="AB223:AB223"/>
    <mergeCell ref="AC223:AC223"/>
    <mergeCell ref="AD223:AD223"/>
    <mergeCell ref="AE223:AE223"/>
    <mergeCell ref="AF223:AF223"/>
    <mergeCell ref="A224:A224"/>
    <mergeCell ref="B224:B224"/>
    <mergeCell ref="C224:C224"/>
    <mergeCell ref="F224:F224"/>
    <mergeCell ref="G224:G224"/>
    <mergeCell ref="H224:H224"/>
    <mergeCell ref="M224:M224"/>
    <mergeCell ref="N224:N224"/>
    <mergeCell ref="O224:O224"/>
    <mergeCell ref="P224:P224"/>
    <mergeCell ref="Q224:Q224"/>
    <mergeCell ref="R224:R224"/>
    <mergeCell ref="S224:S224"/>
    <mergeCell ref="X224:X224"/>
    <mergeCell ref="Y224:Y224"/>
    <mergeCell ref="Z224:Z224"/>
    <mergeCell ref="AA224:AA224"/>
    <mergeCell ref="AB224:AB224"/>
    <mergeCell ref="AC224:AC224"/>
    <mergeCell ref="AD224:AD224"/>
    <mergeCell ref="AE224:AE224"/>
    <mergeCell ref="AF224:AF224"/>
    <mergeCell ref="A225:A225"/>
    <mergeCell ref="B225:B225"/>
    <mergeCell ref="C225:C225"/>
    <mergeCell ref="F225:F225"/>
    <mergeCell ref="G225:G225"/>
    <mergeCell ref="H225:H225"/>
    <mergeCell ref="M225:M225"/>
    <mergeCell ref="N225:N225"/>
    <mergeCell ref="O225:O225"/>
    <mergeCell ref="P225:P225"/>
    <mergeCell ref="Q225:Q225"/>
    <mergeCell ref="R225:R225"/>
    <mergeCell ref="S225:S225"/>
    <mergeCell ref="X225:X225"/>
    <mergeCell ref="Y225:Y225"/>
    <mergeCell ref="Z225:Z225"/>
    <mergeCell ref="AA225:AA225"/>
    <mergeCell ref="AB225:AB225"/>
    <mergeCell ref="AC225:AC225"/>
    <mergeCell ref="AD225:AD225"/>
    <mergeCell ref="AE225:AE225"/>
    <mergeCell ref="AF225:AF225"/>
    <mergeCell ref="A226:A226"/>
    <mergeCell ref="B226:B226"/>
    <mergeCell ref="C226:C226"/>
    <mergeCell ref="F226:F226"/>
    <mergeCell ref="G226:G226"/>
    <mergeCell ref="H226:H226"/>
    <mergeCell ref="M226:M226"/>
    <mergeCell ref="N226:N226"/>
    <mergeCell ref="O226:O226"/>
    <mergeCell ref="P226:P226"/>
    <mergeCell ref="Q226:Q226"/>
    <mergeCell ref="R226:R226"/>
    <mergeCell ref="S226:S226"/>
    <mergeCell ref="X226:X226"/>
    <mergeCell ref="Y226:Y226"/>
    <mergeCell ref="Z226:Z226"/>
    <mergeCell ref="AA226:AA226"/>
    <mergeCell ref="AB226:AB226"/>
    <mergeCell ref="AC226:AC226"/>
    <mergeCell ref="AD226:AD226"/>
    <mergeCell ref="AE226:AE226"/>
    <mergeCell ref="AF226:AF226"/>
    <mergeCell ref="A227:A227"/>
    <mergeCell ref="B227:B227"/>
    <mergeCell ref="C227:C227"/>
    <mergeCell ref="F227:F227"/>
    <mergeCell ref="G227:G227"/>
    <mergeCell ref="H227:H227"/>
    <mergeCell ref="M227:M227"/>
    <mergeCell ref="N227:N227"/>
    <mergeCell ref="O227:O227"/>
    <mergeCell ref="P227:P227"/>
    <mergeCell ref="Q227:Q227"/>
    <mergeCell ref="R227:R227"/>
    <mergeCell ref="S227:S227"/>
    <mergeCell ref="X227:X227"/>
    <mergeCell ref="Y227:Y227"/>
    <mergeCell ref="Z227:Z227"/>
    <mergeCell ref="AA227:AA227"/>
    <mergeCell ref="AB227:AB227"/>
    <mergeCell ref="AC227:AC227"/>
    <mergeCell ref="AD227:AD227"/>
    <mergeCell ref="AE227:AE227"/>
    <mergeCell ref="AF227:AF227"/>
    <mergeCell ref="A228:A228"/>
    <mergeCell ref="B228:B228"/>
    <mergeCell ref="C228:C228"/>
    <mergeCell ref="F228:F228"/>
    <mergeCell ref="G228:G228"/>
    <mergeCell ref="H228:H228"/>
    <mergeCell ref="M228:M228"/>
    <mergeCell ref="N228:N228"/>
    <mergeCell ref="O228:O228"/>
    <mergeCell ref="P228:P228"/>
    <mergeCell ref="Q228:Q228"/>
    <mergeCell ref="R228:R228"/>
    <mergeCell ref="S228:S228"/>
    <mergeCell ref="X228:X228"/>
    <mergeCell ref="Y228:Y228"/>
    <mergeCell ref="Z228:Z228"/>
    <mergeCell ref="AA228:AA228"/>
    <mergeCell ref="AB228:AB228"/>
    <mergeCell ref="AC228:AC228"/>
    <mergeCell ref="AD228:AD228"/>
    <mergeCell ref="AE228:AE228"/>
    <mergeCell ref="AF228:AF228"/>
    <mergeCell ref="A229:A229"/>
    <mergeCell ref="B229:B229"/>
    <mergeCell ref="C229:C229"/>
    <mergeCell ref="F229:F229"/>
    <mergeCell ref="G229:G229"/>
    <mergeCell ref="H229:H229"/>
    <mergeCell ref="M229:M229"/>
    <mergeCell ref="N229:N229"/>
    <mergeCell ref="O229:O229"/>
    <mergeCell ref="P229:P229"/>
    <mergeCell ref="Q229:Q229"/>
    <mergeCell ref="R229:R229"/>
    <mergeCell ref="S229:S229"/>
    <mergeCell ref="X229:X229"/>
    <mergeCell ref="Y229:Y229"/>
    <mergeCell ref="Z229:Z229"/>
    <mergeCell ref="AA229:AA229"/>
    <mergeCell ref="AB229:AB229"/>
    <mergeCell ref="AC229:AC229"/>
    <mergeCell ref="AD229:AD229"/>
    <mergeCell ref="AE229:AE229"/>
    <mergeCell ref="AF229:AF229"/>
    <mergeCell ref="A230:A230"/>
    <mergeCell ref="B230:B230"/>
    <mergeCell ref="C230:C230"/>
    <mergeCell ref="F230:F230"/>
    <mergeCell ref="G230:G230"/>
    <mergeCell ref="H230:H230"/>
    <mergeCell ref="M230:M230"/>
    <mergeCell ref="N230:N230"/>
    <mergeCell ref="O230:O230"/>
    <mergeCell ref="P230:P230"/>
    <mergeCell ref="Q230:Q230"/>
    <mergeCell ref="R230:R230"/>
    <mergeCell ref="S230:S230"/>
    <mergeCell ref="X230:X230"/>
    <mergeCell ref="Y230:Y230"/>
    <mergeCell ref="Z230:Z230"/>
    <mergeCell ref="AA230:AA230"/>
    <mergeCell ref="AB230:AB230"/>
    <mergeCell ref="AC230:AC230"/>
    <mergeCell ref="AD230:AD230"/>
    <mergeCell ref="AE230:AE230"/>
    <mergeCell ref="AF230:AF230"/>
    <mergeCell ref="A231:A231"/>
    <mergeCell ref="B231:B231"/>
    <mergeCell ref="C231:C231"/>
    <mergeCell ref="F231:F231"/>
    <mergeCell ref="G231:G231"/>
    <mergeCell ref="H231:H231"/>
    <mergeCell ref="M231:M231"/>
    <mergeCell ref="N231:N231"/>
    <mergeCell ref="O231:O231"/>
    <mergeCell ref="P231:P231"/>
    <mergeCell ref="Q231:Q231"/>
    <mergeCell ref="R231:R231"/>
    <mergeCell ref="S231:S231"/>
    <mergeCell ref="X231:X231"/>
    <mergeCell ref="Y231:Y231"/>
    <mergeCell ref="Z231:Z231"/>
    <mergeCell ref="AA231:AA231"/>
    <mergeCell ref="AB231:AB231"/>
    <mergeCell ref="AC231:AC231"/>
    <mergeCell ref="AD231:AD231"/>
    <mergeCell ref="AE231:AE231"/>
    <mergeCell ref="AF231:AF231"/>
    <mergeCell ref="A232:A232"/>
    <mergeCell ref="B232:B232"/>
    <mergeCell ref="C232:C232"/>
    <mergeCell ref="F232:F232"/>
    <mergeCell ref="G232:G232"/>
    <mergeCell ref="H232:H232"/>
    <mergeCell ref="M232:M232"/>
    <mergeCell ref="N232:N232"/>
    <mergeCell ref="O232:O232"/>
    <mergeCell ref="P232:P232"/>
    <mergeCell ref="Q232:Q232"/>
    <mergeCell ref="R232:R232"/>
    <mergeCell ref="S232:S232"/>
    <mergeCell ref="X232:X232"/>
    <mergeCell ref="Y232:Y232"/>
    <mergeCell ref="Z232:Z232"/>
    <mergeCell ref="AA232:AA232"/>
    <mergeCell ref="AB232:AB232"/>
    <mergeCell ref="AC232:AC232"/>
    <mergeCell ref="AD232:AD232"/>
    <mergeCell ref="AE232:AE232"/>
    <mergeCell ref="AF232:AF232"/>
    <mergeCell ref="A233:A233"/>
    <mergeCell ref="B233:B233"/>
    <mergeCell ref="C233:C233"/>
    <mergeCell ref="F233:F233"/>
    <mergeCell ref="G233:G233"/>
    <mergeCell ref="H233:H233"/>
    <mergeCell ref="M233:M233"/>
    <mergeCell ref="N233:N233"/>
    <mergeCell ref="O233:O233"/>
    <mergeCell ref="P233:P233"/>
    <mergeCell ref="Q233:Q233"/>
    <mergeCell ref="R233:R233"/>
    <mergeCell ref="S233:S233"/>
    <mergeCell ref="X233:X233"/>
    <mergeCell ref="Y233:Y233"/>
    <mergeCell ref="Z233:Z233"/>
    <mergeCell ref="AA233:AA233"/>
    <mergeCell ref="AB233:AB233"/>
    <mergeCell ref="AC233:AC233"/>
    <mergeCell ref="AD233:AD233"/>
    <mergeCell ref="AE233:AE233"/>
    <mergeCell ref="AF233:AF233"/>
    <mergeCell ref="A234:A234"/>
    <mergeCell ref="B234:B234"/>
    <mergeCell ref="C234:C234"/>
    <mergeCell ref="F234:F234"/>
    <mergeCell ref="G234:G234"/>
    <mergeCell ref="H234:H234"/>
    <mergeCell ref="M234:M234"/>
    <mergeCell ref="N234:N234"/>
    <mergeCell ref="O234:O234"/>
    <mergeCell ref="P234:P234"/>
    <mergeCell ref="Q234:Q234"/>
    <mergeCell ref="R234:R234"/>
    <mergeCell ref="S234:S234"/>
    <mergeCell ref="X234:X234"/>
    <mergeCell ref="Y234:Y234"/>
    <mergeCell ref="Z234:Z234"/>
    <mergeCell ref="AA234:AA234"/>
    <mergeCell ref="AB234:AB234"/>
    <mergeCell ref="AC234:AC234"/>
    <mergeCell ref="AD234:AD234"/>
    <mergeCell ref="AE234:AE234"/>
    <mergeCell ref="AF234:AF234"/>
    <mergeCell ref="A235:A235"/>
    <mergeCell ref="B235:B235"/>
    <mergeCell ref="C235:C235"/>
    <mergeCell ref="F235:F235"/>
    <mergeCell ref="G235:G235"/>
    <mergeCell ref="H235:H235"/>
    <mergeCell ref="M235:M235"/>
    <mergeCell ref="N235:N235"/>
    <mergeCell ref="O235:O235"/>
    <mergeCell ref="P235:P235"/>
    <mergeCell ref="Q235:Q235"/>
    <mergeCell ref="R235:R235"/>
    <mergeCell ref="S235:S235"/>
    <mergeCell ref="X235:X235"/>
    <mergeCell ref="Y235:Y235"/>
    <mergeCell ref="Z235:Z235"/>
    <mergeCell ref="AA235:AA235"/>
    <mergeCell ref="AB235:AB235"/>
    <mergeCell ref="AC235:AC235"/>
    <mergeCell ref="AD235:AD235"/>
    <mergeCell ref="AE235:AE235"/>
    <mergeCell ref="AF235:AF235"/>
    <mergeCell ref="A236:A236"/>
    <mergeCell ref="B236:B236"/>
    <mergeCell ref="C236:C236"/>
    <mergeCell ref="F236:F236"/>
    <mergeCell ref="G236:G236"/>
    <mergeCell ref="H236:H236"/>
    <mergeCell ref="M236:M236"/>
    <mergeCell ref="N236:N236"/>
    <mergeCell ref="O236:O236"/>
    <mergeCell ref="P236:P236"/>
    <mergeCell ref="Q236:Q236"/>
    <mergeCell ref="R236:R236"/>
    <mergeCell ref="S236:S236"/>
    <mergeCell ref="X236:X236"/>
    <mergeCell ref="Y236:Y236"/>
    <mergeCell ref="Z236:Z236"/>
    <mergeCell ref="AA236:AA236"/>
    <mergeCell ref="AB236:AB236"/>
    <mergeCell ref="AC236:AC236"/>
    <mergeCell ref="AD236:AD236"/>
    <mergeCell ref="AE236:AE236"/>
    <mergeCell ref="AF236:AF236"/>
    <mergeCell ref="A237:A237"/>
    <mergeCell ref="B237:B237"/>
    <mergeCell ref="C237:C237"/>
    <mergeCell ref="F237:F237"/>
    <mergeCell ref="G237:G237"/>
    <mergeCell ref="H237:H237"/>
    <mergeCell ref="M237:M237"/>
    <mergeCell ref="N237:N237"/>
    <mergeCell ref="O237:O237"/>
    <mergeCell ref="P237:P237"/>
    <mergeCell ref="Q237:Q237"/>
    <mergeCell ref="R237:R237"/>
    <mergeCell ref="S237:S237"/>
    <mergeCell ref="X237:X237"/>
    <mergeCell ref="Y237:Y237"/>
    <mergeCell ref="Z237:Z237"/>
    <mergeCell ref="AA237:AA237"/>
    <mergeCell ref="AB237:AB237"/>
    <mergeCell ref="AC237:AC237"/>
    <mergeCell ref="AD237:AD237"/>
    <mergeCell ref="AE237:AE237"/>
    <mergeCell ref="AF237:AF237"/>
    <mergeCell ref="A238:A238"/>
    <mergeCell ref="B238:B238"/>
    <mergeCell ref="C238:C238"/>
    <mergeCell ref="F238:F238"/>
    <mergeCell ref="G238:G238"/>
    <mergeCell ref="H238:H238"/>
    <mergeCell ref="M238:M238"/>
    <mergeCell ref="N238:N238"/>
    <mergeCell ref="O238:O238"/>
    <mergeCell ref="P238:P238"/>
    <mergeCell ref="Q238:Q238"/>
    <mergeCell ref="R238:R238"/>
    <mergeCell ref="S238:S238"/>
    <mergeCell ref="X238:X238"/>
    <mergeCell ref="Y238:Y238"/>
    <mergeCell ref="Z238:Z238"/>
    <mergeCell ref="AA238:AA238"/>
    <mergeCell ref="AB238:AB238"/>
    <mergeCell ref="AC238:AC238"/>
    <mergeCell ref="AD238:AD238"/>
    <mergeCell ref="AE238:AE238"/>
    <mergeCell ref="AF238:AF238"/>
    <mergeCell ref="A239:A239"/>
    <mergeCell ref="B239:B239"/>
    <mergeCell ref="C239:C239"/>
    <mergeCell ref="F239:F239"/>
    <mergeCell ref="G239:G239"/>
    <mergeCell ref="H239:H239"/>
    <mergeCell ref="M239:M239"/>
    <mergeCell ref="N239:N239"/>
    <mergeCell ref="O239:O239"/>
    <mergeCell ref="P239:P239"/>
    <mergeCell ref="Q239:Q239"/>
    <mergeCell ref="R239:R239"/>
    <mergeCell ref="S239:S239"/>
    <mergeCell ref="X239:X239"/>
    <mergeCell ref="Y239:Y239"/>
    <mergeCell ref="Z239:Z239"/>
    <mergeCell ref="AA239:AA239"/>
    <mergeCell ref="AB239:AB239"/>
    <mergeCell ref="AC239:AC239"/>
    <mergeCell ref="AD239:AD239"/>
    <mergeCell ref="AE239:AE239"/>
    <mergeCell ref="AF239:AF239"/>
    <mergeCell ref="A240:A240"/>
    <mergeCell ref="B240:B240"/>
    <mergeCell ref="C240:C240"/>
    <mergeCell ref="F240:F240"/>
    <mergeCell ref="G240:G240"/>
    <mergeCell ref="H240:H240"/>
    <mergeCell ref="M240:M240"/>
    <mergeCell ref="N240:N240"/>
    <mergeCell ref="O240:O240"/>
    <mergeCell ref="P240:P240"/>
    <mergeCell ref="Q240:Q240"/>
    <mergeCell ref="R240:R240"/>
    <mergeCell ref="S240:S240"/>
    <mergeCell ref="X240:X240"/>
    <mergeCell ref="Y240:Y240"/>
    <mergeCell ref="Z240:Z240"/>
    <mergeCell ref="AA240:AA240"/>
    <mergeCell ref="AB240:AB240"/>
    <mergeCell ref="AC240:AC240"/>
    <mergeCell ref="AD240:AD240"/>
    <mergeCell ref="AE240:AE240"/>
    <mergeCell ref="AF240:AF240"/>
    <mergeCell ref="A241:A241"/>
    <mergeCell ref="B241:B241"/>
    <mergeCell ref="C241:C241"/>
    <mergeCell ref="F241:F241"/>
    <mergeCell ref="G241:G241"/>
    <mergeCell ref="H241:H241"/>
    <mergeCell ref="M241:M241"/>
    <mergeCell ref="N241:N241"/>
    <mergeCell ref="O241:O241"/>
    <mergeCell ref="P241:P241"/>
    <mergeCell ref="Q241:Q241"/>
    <mergeCell ref="R241:R241"/>
    <mergeCell ref="S241:S241"/>
    <mergeCell ref="X241:X241"/>
    <mergeCell ref="Y241:Y241"/>
    <mergeCell ref="Z241:Z241"/>
    <mergeCell ref="AA241:AA241"/>
    <mergeCell ref="AB241:AB241"/>
    <mergeCell ref="AC241:AC241"/>
    <mergeCell ref="AD241:AD241"/>
    <mergeCell ref="AE241:AE241"/>
    <mergeCell ref="AF241:AF241"/>
    <mergeCell ref="A242:A242"/>
    <mergeCell ref="B242:B242"/>
    <mergeCell ref="C242:C242"/>
    <mergeCell ref="F242:F242"/>
    <mergeCell ref="G242:G242"/>
    <mergeCell ref="H242:H242"/>
    <mergeCell ref="M242:M242"/>
    <mergeCell ref="N242:N242"/>
    <mergeCell ref="O242:O242"/>
    <mergeCell ref="P242:P242"/>
    <mergeCell ref="Q242:Q242"/>
    <mergeCell ref="R242:R242"/>
    <mergeCell ref="S242:S242"/>
    <mergeCell ref="X242:X242"/>
    <mergeCell ref="Y242:Y242"/>
    <mergeCell ref="Z242:Z242"/>
    <mergeCell ref="AA242:AA242"/>
    <mergeCell ref="AB242:AB242"/>
    <mergeCell ref="AC242:AC242"/>
    <mergeCell ref="AD242:AD242"/>
    <mergeCell ref="AE242:AE242"/>
    <mergeCell ref="AF242:AF242"/>
  </mergeCells>
  <hyperlinks>
    <hyperlink ref="D6" r:id="rId_hyperlink_1" tooltip="一名职工在冲洗初冷器上下爬梯时被管线上的角铁轻微划伤腰部，去医疗室简单处理后返回岗位继续上班班"/>
    <hyperlink ref="D7" r:id="rId_hyperlink_2" tooltip="氧化剂加药管道活节漏液，支架腐蚀断裂，如一人经过此处被断裂支架砸到安全帽上并蹭伤手臂，损工半天。"/>
    <hyperlink ref="D8" r:id="rId_hyperlink_3" tooltip="粗苯再生器一层平台处悬挂一根铁管，巡检人员经常经过，夜间视线不清，假如安全帽未佩戴规范，可能造成人员被钢筋划伤面部。"/>
    <hyperlink ref="D9" r:id="rId_hyperlink_4" tooltip="2#再生塔回液管漏，由于脱硫液长期腐蚀，造成管道渗漏，如果长时间未发现，会脱硫液大面积喷出，造成重大环保事故。"/>
    <hyperlink ref="D10" r:id="rId_hyperlink_5" tooltip="脱硫南下水道盖板损坏严重，一操作工夜间巡检作业时未发现盖板损坏可能造成腿部绊倒擦伤，送医护室简单包扎不影响工作。"/>
    <hyperlink ref="D11" r:id="rId_hyperlink_6" tooltip="汽轮机房地沟盖板缺失松动，操作工巡检经过时腿脚滑落至地沟内，导致腿部划伤,送医治疗。"/>
    <hyperlink ref="D12" r:id="rId_hyperlink_7" tooltip="北班长室东侧管架，管道保温铝皮脱落，如果在大风天气一名操作工在巡检时经过此处可能被掉落的铝皮轻微划伤手臂，简单包扎后能正常工作"/>
    <hyperlink ref="D13" r:id="rId_hyperlink_8" tooltip="污水车在卸车时未放泊车木，导致溜车操作人员在对接管道时并压伤脚面。"/>
    <hyperlink ref="D14" r:id="rId_hyperlink_9" tooltip="老超滤设备东南侧地沟石板盖板断裂，巡检人员巡检时右脚掉入地沟内，右小腿擦伤"/>
    <hyperlink ref="D15" r:id="rId_hyperlink_10" tooltip="南风机初冷器东北角高处电缆桥架上有一块废弃线路板，如果一名操作人员在大风天气中巡检时，废弃线路板被大风吹落划伤右手部，经包扎后不影响工作。"/>
    <hyperlink ref="D16" r:id="rId_hyperlink_11" tooltip="一名风机操作工在巡检过程中发现风机房内东北角支撑柱上方有旧复合板悬挂，一旦有人经过，旧复合板掉落，造成操作工右臂砸伤，住院治疗5天，出院后返工，损工5天。"/>
    <hyperlink ref="D17" r:id="rId_hyperlink_12" tooltip="给水泵处漏气，如果一维修工在维修流量计会造成右手臂烫伤，在家休养3天，损工三天"/>
    <hyperlink ref="D18" r:id="rId_hyperlink_13" tooltip="操作室配点盘附近地板砖破裂，地板砖下是电缆通道，地板砖下有大量电缆电线，操作工在路过时不慎踩到破裂地板砖，掉入电缆通道"/>
    <hyperlink ref="D19" r:id="rId_hyperlink_14" tooltip="一操作工巡检，二层玻璃破裂掉碎玻璃扎到脖子上，造成大面积出血，送医院就治"/>
    <hyperlink ref="D20" r:id="rId_hyperlink_15" tooltip="一名操作工用蒸汽吹扫风机下液管时，阀门垫子破损，喷出蒸汽，操作工手臂被轻微烫伤，及时用清水冲洗，返回工作岗位，无损工。"/>
    <hyperlink ref="D21" r:id="rId_hyperlink_16" tooltip="北脱硫浮油器爬梯开焊，一名操作工巡检浮油器时。安全意识不强，下爬梯时踩到开焊部位，滑倒落地，立即就医"/>
    <hyperlink ref="D22" r:id="rId_hyperlink_17" tooltip="东侧空压机油滤器超时保养未及时修复报警停机，且西侧备用空压机故障无法开启，造成干熄焦系统仪表风压力低于0.4Mpa使气动阀无法远程控制，停炉检修五天，造成经济损失140万元。"/>
    <hyperlink ref="D23" r:id="rId_hyperlink_18" tooltip="脱硫泡沫板顶部盖板遮盖不严,一旦巡检人员经过时,一只脚踩蹭被铁板划伤腿部,经医院包扎,在家休养7天后康复,造成一人损工事故"/>
    <hyperlink ref="D24" r:id="rId_hyperlink_19" tooltip="一楼加药间地面水泥盖板破损，还有铁质盖板，两种盖板高低不平，一员工巡检至此时一脚踏空，摔倒，送医确诊胳膊骨裂，误工3天。"/>
    <hyperlink ref="D25" r:id="rId_hyperlink_20" tooltip="75t减温减压管线电动阀填料螺丝松动，如果一巡检工巡检到此处时，突然发生蒸汽泄露，可能导致左手臂烫伤，用清水冲洗后送往医院就医，在家修养3天，损工3天"/>
    <hyperlink ref="D26" r:id="rId_hyperlink_21" tooltip="南风机初冷器一层一盏照明灯罩破损，阴雨天气雨水一旦流进灯罩内，夜间开启电源，灯罩内的水与热灯泡交替造成灯泡爆炸停电，影响生产。"/>
    <hyperlink ref="D27" r:id="rId_hyperlink_22" tooltip="一名化学水操作工在巡检时不慎从爬梯上滑倒摔到地面，造成左手前臂骨折。住"/>
    <hyperlink ref="D28" r:id="rId_hyperlink_23" tooltip="深度处理工段DEC过滤罐上人孔处漏水，检修人员爬上脚手架查看漏点时没有系安全带，致使人员跌落造成脊椎骨断裂，损工一年。"/>
    <hyperlink ref="D29" r:id="rId_hyperlink_24" tooltip="4.3焦炉捣固塔西侧铁皮锈蚀坠落，一操作工巡检路过被砸中"/>
    <hyperlink ref="D30" r:id="rId_hyperlink_25" tooltip="热力东区污水地沟一块盖板老化，一操作工夜班巡检时，右脚踩在盖板上盖板断裂，造成右脚脱臼。"/>
    <hyperlink ref="D31" r:id="rId_hyperlink_26" tooltip="巡检人员在巡查过程中因无警示牌造成巡查人员头部碰伤。"/>
    <hyperlink ref="D32" r:id="rId_hyperlink_27" tooltip="5.5米推焦车平台竖梯子，推焦车行走过程中梯子倾倒"/>
    <hyperlink ref="D33" r:id="rId_hyperlink_28" tooltip="煤八机头护栏拆除后未及时按装，正在巡查人员未发现地面障碍物(护栏)被拌倒造成右臂骨折，住院治疗1个月，在家休养2个月。"/>
    <hyperlink ref="D34" r:id="rId_hyperlink_29" tooltip="3号站洗眼器上方一3米长桥架板被风吹起,挂在桥架上方摇摇欲坠,巡检人员察看洗眼器情况时，被坠落下来的桥架板击中胳膊，造成胳膊脱臼，经送医院恢复后在家休息两天康复。"/>
    <hyperlink ref="D35" r:id="rId_hyperlink_30" tooltip="75T锅炉顶电动葫芦电源线损坏，维修人员在现场施工时，易发生触电事故，造成事故人员住院，住院5天，损工5天"/>
    <hyperlink ref="D36" r:id="rId_hyperlink_31" tooltip="化学水二楼南侧玻璃破损，一员工擦拭玻璃时，右手手掌不慎被破损的玻璃割伤，送往医院包扎，在家休息7天后恢复健康上班。"/>
    <hyperlink ref="D37" r:id="rId_hyperlink_32" tooltip="煤六机头电机护罩螺丝缺失，护罩磨损，人员擦拭电机时，被磨损的电机护罩擦伤手部，经送医务室简单包扎后，继续上班，造成损工三天。"/>
    <hyperlink ref="D38" r:id="rId_hyperlink_33" tooltip="料仓篦子开焊，一员工右脚不慎滑入，造成小腿划伤，送医确诊为轻度皮外伤，敷药包扎后，回岗位继续工作。"/>
    <hyperlink ref="D39" r:id="rId_hyperlink_34" tooltip="一名锅炉操作工在巡检到35T锅炉东侧时不幸被二层掉落的墙皮砸伤，造成在手前小臂骨折。"/>
    <hyperlink ref="D40" r:id="rId_hyperlink_35" tooltip="锅炉操作人员在放灰时电缆突然漏电造成一名操作工右手臂电击灼伤，活动受限。"/>
    <hyperlink ref="D41" r:id="rId_hyperlink_36" tooltip="一员工在巡检时，不慎脸撞在卸料车的钎子上，及时送医诊断，轻度划伤，在家休养五天康复"/>
    <hyperlink ref="D42" r:id="rId_hyperlink_37" tooltip="巡检人员在检查设备时不慎触摸到裸露的电线，造成触电，送医救治后抢救无效死亡。"/>
    <hyperlink ref="D43" r:id="rId_hyperlink_38" tooltip="一名操作工在攀爬初冷器东侧爬梯时，因爬梯无护笼及抓扶不牢致使该操作工坠落到地面，导致右小腿骨折，送医救治后出院回家修养三个月，损工三个月。"/>
    <hyperlink ref="D44" r:id="rId_hyperlink_39" tooltip="一操作工上爬梯检查因未安装护笼，导致从爬梯掉落"/>
    <hyperlink ref="D45" r:id="rId_hyperlink_40" tooltip="化学水一名职工在开停冷却水泵过程中右腿掉入水沟内"/>
    <hyperlink ref="D46" r:id="rId_hyperlink_41" tooltip="硫铵离心机电机皮带无防护罩，电机运转时，皮带突然断裂，造成一操作工头部受伤，住院治疗，损工二月。造成人身伤害。"/>
    <hyperlink ref="D47" r:id="rId_hyperlink_42" tooltip="化水一名职工在开阀门时左腿掉入水沟"/>
    <hyperlink ref="D48" r:id="rId_hyperlink_43" tooltip="一员工经过煤棚西侧小屋时，被屋顶掉落的砖块砸伤右肩，送医确珍为右索骨骨折，住院治疗十五天，回家休养三个月后复工。"/>
    <hyperlink ref="D49" r:id="rId_hyperlink_44" tooltip="操作工站在辊筒上关闭吊装门时，因辊筒未固定向一侧滚动，操作工反应不及从辊筒上坠落，导致左手臂骨折，送医救治，住院5天，在家休养90天后复工。"/>
    <hyperlink ref="D50" r:id="rId_hyperlink_45" tooltip="1618破碎机行灯线使用完后，未按使用规定用完后及时复位，人员在巡检时被灯线拌倒，致使右手手腕骨折，住院治疗15天，在家修养3个月。"/>
    <hyperlink ref="D51" r:id="rId_hyperlink_46" tooltip="固定铁链的铁丝腐蚀严重，一职工途经时铁丝突然断裂，铁链瞬间散落，职工躲闪不及，铁链击中面部受伤，送医院检查为鼻梁骨折，住院治疗15天，在家休养30天后复工。"/>
    <hyperlink ref="D52" r:id="rId_hyperlink_47" tooltip="一职工在用钎子清理下料筒时，因未使用防护栏，导致人员不慎掉入筒子内，送医不治身亡。"/>
    <hyperlink ref="D53" r:id="rId_hyperlink_48" tooltip="煤五电机接地线脱落  操作工清理卫生时 不慎触电摔倒 右前臂骨折 送医治疗 住院一个月 在家休养91天"/>
    <hyperlink ref="D54" r:id="rId_hyperlink_49" tooltip="西四水泵电源线套管脱落  被门挤压线皮破损 操作工清理卫生时 不慎右脚触电摔倒 右脚脚踝扭伤 休息一会不影响工作"/>
    <hyperlink ref="D55" r:id="rId_hyperlink_50" tooltip="深度处理南侧外墙保温铁皮，因长期腐蚀风化，铁皮脱落。将正在巡查的操作人员砸伤，送医经诊断左前臂皮肤挫伤。在家休养两日复工。"/>
    <hyperlink ref="D56" r:id="rId_hyperlink_51" tooltip="预处理水解池池面盖板腐蚀严重，如果一名操作人员在巡检过程中经过此处，不慎踩到腐蚀严重的铁板上致使右小腿陷落，造成右小腿多处轻微划伤，送医处理后在家休息3天后复工。"/>
    <hyperlink ref="D57" r:id="rId_hyperlink_52" tooltip="35t/h锅炉给水泵房南侧地沟盖板缺失，1人巡检至此，不慎跌落，造成左侧小腿胫骨骨折，送医就治。"/>
    <hyperlink ref="D58" r:id="rId_hyperlink_53" tooltip="西一后尾通道爬梯腐蚀损坏，未及时更换，操作工在上爬梯时腐蚀的爬梯承受不了工人的重力，导致操作工身体后倾跌倒造成左手臂骨折！送医院包扎固定！住院15天回家休养三个月！"/>
    <hyperlink ref="D59" r:id="rId_hyperlink_54" tooltip="煤棚西北角水沟盖板破损，未及时更换，夜间操作工在巡检时时不慎踩在破损的盖板上导致左腿划伤，送医务室包扎，在家休养七天！"/>
    <hyperlink ref="D60" r:id="rId_hyperlink_55" tooltip="西一滚筒手动刮煤板损坏缺失，未及时更换，由于滚筒积煤过多操作工用工具清理滚筒积煤时皮带机将工具及操作工右手带入皮带机挤伤，送医院检查右手骨折，在医院治疗15天，回家休养三个月！"/>
    <hyperlink ref="D61" r:id="rId_hyperlink_56" tooltip="维修工在检修拦焦导焦栓时，由于检修平台未加护栏，维修工不惧一脚踩空将安全戴挣断导致人员掉落在3米高的平台摔伤，及时送医治疗，诊断为腰部三节肋骨骨折。"/>
    <hyperlink ref="D62" r:id="rId_hyperlink_57" tooltip="5.5米焦炉扒焦平台铁板锈蚀严重，一操作工工作时不慎跌落左腿、摔倒"/>
    <hyperlink ref="D63" r:id="rId_hyperlink_58" tooltip="皮带托辊断裂掉落，皮带下陷，焦炭侧溢，伤到在此清理卫生的一操作工，致使操作工左臂骨折"/>
    <hyperlink ref="D64" r:id="rId_hyperlink_59" tooltip="小平台护栏立柱，下端腐烂断，一操作工在往下扒焦炭时，不慎跌落摔伤，致使一人全身多处骨折"/>
    <hyperlink ref="D65" r:id="rId_hyperlink_60" tooltip="4.3米焦炉煤仓外部，彩钢瓦有两块固定不牢，假如遇大风有一名职工路过时，彩钢瓦坠落砍到手臂划伤，到医院进行缝合，在家休养十五天的损工事件。"/>
    <hyperlink ref="D66" r:id="rId_hyperlink_61" tooltip="5.5焦炉焦侧平台底部一处承重铁板腐蚀开裂，对上部工作平台失去承重作用，因工作人员无法观察到下面，一人在此处工作时平台坍塌人员坠落，送医检查全身多处骨折。"/>
    <hyperlink ref="D67" r:id="rId_hyperlink_62" tooltip="二层平台护拦中间开焊，一操作工在搬运物品时上下楼梯，不慎跌落头部着地，送医院抢救无效死亡。"/>
    <hyperlink ref="D68" r:id="rId_hyperlink_63" tooltip="通风管道开裂，一职工在通风管道下方打扫卫生时，被掉落的通风道砸伤，送医检查后肩胛骨骨折，住院10天，在家休养3个月。"/>
    <hyperlink ref="D69" r:id="rId_hyperlink_64" tooltip="一人在拦焦除尘水槽底部清理卫生时，被掉落的脚手架砸到头部，经送医抢救无效死亡"/>
    <hyperlink ref="D70" r:id="rId_hyperlink_65" tooltip="初冷器东煤气管道框架上有施工遗留的塑料桶盖，在大风天气极易被风吹落，吹落的桶盖正好砸在路上行人的头上，送医务室简单治疗，休息一天"/>
    <hyperlink ref="D71" r:id="rId_hyperlink_66" tooltip="一人员在光线较暗不良在下楼过程中脚底踩蹭失足，从高5米的楼梯滚下，头部着地送往医院抢救无效死亡"/>
    <hyperlink ref="D72" r:id="rId_hyperlink_67" tooltip="终冷塔蒸汽吹扫管漏点处泄漏蒸汽，一名操作工在冲终冷塔开蒸汽阀门时，突然蒸汽漏点压力高，大量蒸汽泄漏。由于阀门离漏点较远，造成操作工轻度烫伤。"/>
    <hyperlink ref="D73" r:id="rId_hyperlink_68" tooltip="值班室西侧污水泵处有一铁盖板腐烂，夜间一操作工在巡检时不慎掉入水沟，导致腿部骨折，住院半个月，在家休养两个月。"/>
    <hyperlink ref="D74" r:id="rId_hyperlink_69" tooltip="3#煤场4#料口水泥平台外漏钢筋，一名操作工作业过程中不慎被绊倒，导致双手手腕骨折。住院治疗1个月，在家休养2个月。"/>
    <hyperlink ref="D75" r:id="rId_hyperlink_70" tooltip="一名操作人员在巡检过程中因安全意识不强，未注意到轴流风扇电缆线、经过时被电缆线绊倒致使膝盖淤青去医务室处理后继续工作。"/>
    <hyperlink ref="D76" r:id="rId_hyperlink_71" tooltip="化产车间南风机一名操作人员在初冷器下面巡检时，二层平台有杂物，如果平台杂物掉落，砸到操作人员身上，造成操作人员肩部受伤，送医诊断，肩部轻微伤，误工两天。"/>
    <hyperlink ref="D77" r:id="rId_hyperlink_72" tooltip="扒焦小屋西侧的护栏下端腐蚀严重，一操作工在靠近栏杆干活时不慎跌落摔伤"/>
    <hyperlink ref="D78" r:id="rId_hyperlink_73" tooltip="15#炉门衡栓不到位，炉门意外掉落，砸伤一名在此干活的员工，随即送医抢救无效死亡"/>
    <hyperlink ref="D79" r:id="rId_hyperlink_74" tooltip="33#水封处踏步不规范，如果操作工站在上面进行开关阀门作业时，站立不稳，从其上部跌落，可能造成脚踝受伤，送医院治疗"/>
    <hyperlink ref="D80" r:id="rId_hyperlink_75" tooltip="因工具未按定置摆放，一名操作工在巡检时被放置在槽钢上的钎子绊倒受伤，送医检查，手腕脱臼，在家休息两天后复工"/>
    <hyperlink ref="D81" r:id="rId_hyperlink_76" tooltip="行车底部无遮栏，如果一巡检工训练至此，有异物发生坠落，将右脚面砸伤，送医院就医，住院7天，在家修养一月，损工38天"/>
    <hyperlink ref="D82" r:id="rId_hyperlink_77" tooltip="行车底部无遮栏，如果一巡检工训练至此，有异物发生坠落，将右脚面砸伤，送医院就医，住院7天，在家修养一月，损工38天"/>
    <hyperlink ref="D83" r:id="rId_hyperlink_78" tooltip="一名操作工在巡检时，管道支架脱落砸伤手臂，医院治疗五天，后正常工作，损工五天。"/>
    <hyperlink ref="D84" r:id="rId_hyperlink_79" tooltip="两盐冷凝液泵连轴器防护罩缺失，可能会造成一操作工因安全风险辨识不足，用棉纱擦拭该转到设备时手部造成缠绕挤伤"/>
    <hyperlink ref="D85" r:id="rId_hyperlink_80" tooltip="南脱硫溶液循环槽顶北侧高6米护栏腐蚀掉落，假如一操作工在靠近护栏操作时不慎坠落，可能会造成头部着地，身体多处损伤。"/>
    <hyperlink ref="D86" r:id="rId_hyperlink_81" tooltip="东一地沟水沟篦子覆盖不到位，人员巡检经过时，不慎掉入水沟，造成腿部骨折，住院治疗一个月，在家休养两个月"/>
    <hyperlink ref="D87" r:id="rId_hyperlink_82" tooltip="北脱硫溶液槽安全警示牌悬挂不规范，一名操作工夜间巡检溶液槽时，视线不好，下爬梯时，碰到警示牌一角，滑倒在地，立即送医院。"/>
    <hyperlink ref="D88" r:id="rId_hyperlink_83" tooltip="粗苯计量槽爬梯接近顶部处有铁皮，由于气候原因春天风大，操作工在日常巡检过程中途经此处，铁皮被大风刮落，容易导致操作工面部划伤"/>
    <hyperlink ref="D89" r:id="rId_hyperlink_84" tooltip="因工具室内电源插排用电过载，导致电源线路烧毁，引发火灾，在扑救过程中造成一人头部烧伤，送医治疗20天，在家休养10天复工。"/>
    <hyperlink ref="D90" r:id="rId_hyperlink_85" tooltip="因工具室内电源插排用电过载，导致电源线路烧毁，引发火灾，在扑救过程中造成一人头部烧伤，送医治疗20天，在家休养10天后复工。"/>
    <hyperlink ref="D91" r:id="rId_hyperlink_86" tooltip="西硫铵西饱和器爬梯腐蚀严重，一名操作工夜间巡检时，照明设施不良，未抓牢扶手，踏空踏板滑落，造成右脚韧带扭伤，就医后在家休息半月！"/>
    <hyperlink ref="D92" r:id="rId_hyperlink_87" tooltip="一替班人员在清理西五后尾卫生时，头部不慎碰到横梁，感觉颈部不适，送医确诊为颈椎轻微损伤，回家修养3天后，复工。"/>
    <hyperlink ref="D93" r:id="rId_hyperlink_88" tooltip="初冷器顶部平台处有铝皮，由于天气原因风大，操作工在日常巡检经过初冷器时，铁皮被大风刮落，导致操作工面部划伤。"/>
    <hyperlink ref="D94" r:id="rId_hyperlink_89" tooltip="两盐西侧排水沟盖板破损，如果一名巡检人员经过此处不小心踩到此盖板上面，有可能会因踩空造成腿部骨折，住院治疗15天后回家休养2个月。"/>
    <hyperlink ref="D95" r:id="rId_hyperlink_90" tooltip="一操作工，在投煤作业时手扶护栏，由于护栏开焊 操作人员不小心坠落地面 当场死亡， 造成一人员死亡事故"/>
    <hyperlink ref="D96" r:id="rId_hyperlink_91" tooltip="粗苯操作室北上方管架上有掉落的铝皮，大风天气，铝皮掉落，造成操作工面部划伤，不影响正常工作。"/>
    <hyperlink ref="D97" r:id="rId_hyperlink_92" tooltip="南凉水架平顶紧固螺栓腐蚀脱落，假如一名操作工巡检到此处时，不小心绊倒，左胳膊擦伤，到医务室简单处理，无损工，正常上班。"/>
    <hyperlink ref="D98" r:id="rId_hyperlink_93" tooltip="一操作工在巡检过程中，发现皮带托辊脱落。如果发现不及时，皮带运转时操作工从下面行走，托辊掉落砸伤头部，休息两个小时继续上班。"/>
    <hyperlink ref="D99" r:id="rId_hyperlink_94" tooltip="南脱硫脱硫塔爬梯护栏开焊，如果一名操作工巡检到此未发现护栏开焊，可能会抓空跌落，造成脚部扭伤，请假治疗3天，损工3天。"/>
    <hyperlink ref="D100" r:id="rId_hyperlink_95" tooltip="南脱硫电动阀头视窗破裂，容易进水，加入进水后引起线路短路，导致阀门损坏。"/>
    <hyperlink ref="D101" r:id="rId_hyperlink_96" tooltip="化产深度脱硫现场彩钢瓦松动，大风吹落彩钢瓦，砸伤下方作业人员肩部，致使肩部脱臼，损工五天"/>
    <hyperlink ref="D102" r:id="rId_hyperlink_97" tooltip="风机房内直梯上距地面1.6m处有一30cm长的三角铁，如果一名操作工巡检时从此经过被三角铁划伤左脸，住院治疗一周，休息一周，损工两周。"/>
    <hyperlink ref="D103" r:id="rId_hyperlink_98" tooltip="东冷凝澄清槽北框架上面氨水管道因腐蚀泄漏氨水，一名操作工在夜间巡检时，照明设施不良，风险辨识不清，劳保着装不齐全，造成手被氨水灼伤，清水冲洗后复工。"/>
    <hyperlink ref="D104" r:id="rId_hyperlink_99" tooltip="一名操作工开煤气管道阀门时，突然蒸汽管道泄露，造成操作工轻微烫伤，医务室治疗后正常工作"/>
    <hyperlink ref="D105" r:id="rId_hyperlink_100" tooltip="二层平台护栏中间开焊，一操作工在搬运物品上下楼梯时，不慎滑倒，从开焊处坠落地面，头部着地，经医院抢救无效死亡。"/>
    <hyperlink ref="D106" r:id="rId_hyperlink_101" tooltip="西一皮带支架腐蚀严重 操作工清理底下卫生时 支架断开 皮带架砸到操作工胳膊上 造成右前臂骨折 送医治疗住院一个月在家休养90天"/>
    <hyperlink ref="D107" r:id="rId_hyperlink_102" tooltip="破碎机下料筒铁板开裂  操作工巡检时 铁板掉落砸到 操作工头上 送医治疗抢救无效死亡"/>
    <hyperlink ref="D108" r:id="rId_hyperlink_103" tooltip="南风机初冷器东部草坪上方离地面三米管架缝隙间有一块脚手架扣件，如果一名操作人员在清理管架下方草坪杂物时，扣件松动从管架上掉落砸中操作人员右手手背，造成一人右手手背骨裂，送医治疗七天在家修养一个月后复工"/>
    <hyperlink ref="D109" r:id="rId_hyperlink_104" tooltip="北班长室南安全宣传栏顶部有一废弃电缆盖板，如果大风天气将废弃盖板吹落一操作工从宣传栏前经过，盖板砸中操作人员左脚，送医院检查左脚骨裂，住院一周，损工三个月。"/>
    <hyperlink ref="D110" r:id="rId_hyperlink_105" tooltip="煤八后尾东门玻璃破损未及时清理更换，操作工在出入门口时破损的玻璃脱落划伤操作工脖颈处！造成动脉割伤送医院包扎住院治疗7天回家休养30天！"/>
    <hyperlink ref="D111" r:id="rId_hyperlink_106" tooltip="东一操作工在巡检至1#给料机时偏心盘螺栓突然断裂，被甩出的螺栓击中面部，送医院检查鼻梁骨断裂，住院15天在家休养30天"/>
    <hyperlink ref="D112" r:id="rId_hyperlink_107" tooltip="粗苯北再生器东侧有一根废弃铁管，操作人员在巡检过程中废弃铁管坠落造成一名操作人员头部砸伤，送医院治疗10天后正常上班。"/>
    <hyperlink ref="D113" r:id="rId_hyperlink_108" tooltip="西硫铵工段预热器管道铝皮脱落，掉落在预热器平台上，如果在大风天气一名操作工在巡检时经过此处可能被掉落的铝皮轻微划伤右手简单包扎后能正常工作"/>
    <hyperlink ref="D114" r:id="rId_hyperlink_109" tooltip="南风机2#初冷器西侧一施工人员在距离二层平台地面2米处吊笼中施工时，安全带单挂，如果施工过程中吊笼突然脱落，使1名施工人员的安全带断裂从吊笼中跌落，造成右前臂骨折送医治疗15天，损工3个月。"/>
    <hyperlink ref="D115" r:id="rId_hyperlink_110" tooltip="东区蒸汽管线改造对接，万盛施工人员安全带挂在低处，作业时脚下踩空 跌落脚手架，造成小腿骨折"/>
    <hyperlink ref="D116" r:id="rId_hyperlink_111" tooltip="西硫铵东小母液泵进口法兰垫片因长时间使用被母液侵蚀并破损，造成母液大量泄露。从而造成环境污染"/>
    <hyperlink ref="D117" r:id="rId_hyperlink_112" tooltip="三号站废料库棚顶玻璃钢瓦脱落，如果在大风天气一名操作人员在巡检过程中经过此处被掉落的玻璃钢瓦砸中背部，造成背部多处划伤，送医处理后在家休息三天后复工。"/>
    <hyperlink ref="D118" r:id="rId_hyperlink_113" tooltip="北脱硫操作室南墙外管架上有一弃用管道存在坠落危险，假如有人从下面经过时管道突然坠落，有可能会造成右臂擦伤，去医务室包扎后休养五天后复工。"/>
    <hyperlink ref="D119" r:id="rId_hyperlink_114" tooltip="检修2号初冷器施工队吊笼升降器吊钩锁舌损坏，如果吊笼在升降的过程中脱钩会造成吊笼倾斜或者直接坠落 造成人员伤亡或致残"/>
    <hyperlink ref="D120" r:id="rId_hyperlink_115" tooltip="西硫铵四楼西后窗户因长年使用，窗户内挂件被腐蚀坏，如果大风天气一名操作工在四楼屋内擦拭玻璃时，人员可能会被大风刮落的窗户勾住衣服，造成人员跟窗户一并坠落，事故造成一人死亡"/>
    <hyperlink ref="D121" r:id="rId_hyperlink_116" tooltip="硫酸储槽顶部，打酸管线排气罐底部放空阀因长年使用腐蚀严重并泄露，如果一名操作工在夜间灯照不好的条件下进入硫酸储槽巡检可能会被喷溅出来的硫酸溅到脸部跟手部用抹布跟大量清水冲洗后送医治疗一月后复工损工一月"/>
    <hyperlink ref="D122" r:id="rId_hyperlink_117" tooltip="车库铁门未关闭，铁门随风而动，职工途经时，头部被铁门门框外侧撞伤，经送医缝合5针，住院治疗3天，在家休养七天后复工。"/>
    <hyperlink ref="D123" r:id="rId_hyperlink_118" tooltip="焦侧地面除尘器防爆板破损，拦焦开启除尘后吸力降低，除尘效果差。"/>
    <hyperlink ref="D124" r:id="rId_hyperlink_119" tooltip="5.5米焦炉炉顶北端台爬梯护栏开焊翘起，操作工下行不小心挂住衣服摔倒，滚落爬梯，至摔伤，肋骨骨折。"/>
    <hyperlink ref="D125" r:id="rId_hyperlink_120" tooltip="西四岗位一名员工在巡检时，因工具乱摆乱放，被绊倒，经医院检查，造成腿部骨折，住院治疗半个月，在家休养三个月。"/>
    <hyperlink ref="D126" r:id="rId_hyperlink_121" tooltip="机侧地面除尘管道上方防爆板破损，送煤车送煤时开启除尘吸力降低，消烟效果差。"/>
    <hyperlink ref="D127" r:id="rId_hyperlink_122" tooltip="一名操作工检查设备不慎将脚部卷入三角带中造成脚部骨折"/>
    <hyperlink ref="D128" r:id="rId_hyperlink_123" tooltip="焦侧除尘管道腐蚀破损，拦焦开启除尘时吸力降低，消烟除尘效果差"/>
    <hyperlink ref="D129" r:id="rId_hyperlink_124" tooltip="东七南北胶带机西侧彩钢包边腐蚀脱落外挂在彩钢瓦上，一行人走至东七斜桥低部时腐蚀的包边被风吹落砸在行人头部造成颈部划伤送医院治疗一星期，回家休养一个月！"/>
    <hyperlink ref="D130" r:id="rId_hyperlink_125" tooltip="脚手架架设倾斜未固定，作业人员攀爬过程中脚手架侧倒，作业人员从脚手架上坠落，腿部受伤，送医确诊左小腿骨折，住院治疗10天，在家休养60天后复工。"/>
    <hyperlink ref="D131" r:id="rId_hyperlink_126" tooltip="因操作工未发现内回流泵电机防雨罩不在正确位置，下雨时进入雨水，烧毁电机一台，价值五千元"/>
    <hyperlink ref="D132" r:id="rId_hyperlink_127" tooltip="一名操作工在进行中水项目加药泵启动时因未发现出口压力表指针缺失，而管道加药口处结晶导致加药泵憋压，无法观察加药泵出口压力，导致泵膜片破损，操作工发现后及时停泵，仅造成经济损失500元。"/>
    <hyperlink ref="D133" r:id="rId_hyperlink_128" tooltip="北班长室南侧框架上保温铝皮因铆钉脱落，悬挂在4.5米高空管道上，如果有人途径此处，铝皮被大风刮落，就会造成过往人员右肩砸伤，送医院检查，诊断为右肩轻微骨折，损工10天"/>
    <hyperlink ref="D134" r:id="rId_hyperlink_129" tooltip="焦油发货室西侧爬梯无警示牌，假如操作人员在上下爬梯时爬梯无警示牌操作人员危险辨识不清造成一名操作人员左脚脚踝扭伤，送医院治疗7天在家休息7天后正常上班，损工14天"/>
    <hyperlink ref="D135" r:id="rId_hyperlink_130" tooltip="北班长室南侧管架高4.5米处阀门保温铝皮脱落，如果在刮大风时有操作工路过，铝皮掉落砸中操作工颈部，造成颈部轻微擦伤，医务室简单治疗，正常上班。"/>
    <hyperlink ref="D136" r:id="rId_hyperlink_131" tooltip="MVR屋后4米管架处有废弃电缆盖板，当大风天气，电缆盖板被吹落，砸伤正在此处巡检的操作工，造成操作工右胳膊砸伤，去医院拍片检查为局部软组织挫伤，擦药包扎后回家休养7天，损工7天。"/>
    <hyperlink ref="D137" r:id="rId_hyperlink_132" tooltip="北脱硫南草坪上方管道架上有一废弃铝皮，假如操作工在清理草坪时，铝皮被大风吹落，砸中操作工后背，送往医务室检查，诊断为轻微擦伤，消毒上药后复工，无损工。"/>
    <hyperlink ref="D138" r:id="rId_hyperlink_133" tooltip="西二机头下水管道因固定螺栓腐烂造成水管坠落一职工未戴安全帽经过时砸中头部送医院后经抢救无效死亡。"/>
    <hyperlink ref="D139" r:id="rId_hyperlink_134" tooltip="电动葫芦手柄电缆老化，一维修工在维修吊装移动设备时不慎触电，同事紧急断电做心肺复苏，后送医院抢救无效死亡。"/>
    <hyperlink ref="D140" r:id="rId_hyperlink_135" tooltip="焦渣掺配铰刀电机电源线未套管  造成线皮磨损 露出电源线铁架子接触 操作工工作碰触到架子 触电倒地 送医治疗抢救无效死亡"/>
    <hyperlink ref="D141" r:id="rId_hyperlink_136" tooltip="煤八后尾照明灯损坏 夜班操作工巡检时 脚下看不清被绊倒 造成右脚脚踝扭伤 休息一会不影响工作"/>
    <hyperlink ref="D142" r:id="rId_hyperlink_137" tooltip="1蒸汽阀门局部保温缺失，若1名职工上管廊巡查操作时，手部不慎触碰到内部蒸汽280℃的该阀门裸露铁件，会造成手部烫伤。"/>
    <hyperlink ref="D143" r:id="rId_hyperlink_138" tooltip="新化水盐酸罐处排水口无盖板，化水一名职工在巡检时右脚掉入水口，造成右脚脚踝骨折。"/>
    <hyperlink ref="D144" r:id="rId_hyperlink_139" tooltip="一名职工在巡检电解水处理器的过程中，由于电解水处理配电箱端子老化造成漏电职工触电后摔倒，造成脚部擦伤经医务室处理后继续上班后。"/>
    <hyperlink ref="D145" r:id="rId_hyperlink_140" tooltip="检修2号初冷器用的氧气瓶没有采取防倾倒措  如果气瓶歪倒可能会造成气瓶爆炸影响右侧设备运转"/>
    <hyperlink ref="D146" r:id="rId_hyperlink_141" tooltip="检修2号初冷器用的乙炔气瓶缺少防护帽  如果气瓶歪倒气瓶阀门损坏  造成可燃气体泄露有着火爆炸的可能"/>
    <hyperlink ref="D147" r:id="rId_hyperlink_142" tooltip="一名员工，在开启倒淋水阀门时，因操作不规范，导致倒淋水溅到脸部，送医确诊为脸部过敏，住院治疗3天后复工。"/>
    <hyperlink ref="D148" r:id="rId_hyperlink_143" tooltip="进硫铵工段蒸汽压力表阀门垫子出现老化，导致阀门处蒸汽发生泄漏，一旦巡检人员经过，查看蒸汽压力时，脸部被泄漏的蒸汽轻微烫伤，简单处理后正常上班"/>
    <hyperlink ref="D149" r:id="rId_hyperlink_144" tooltip="循环风机降温风扇电缆接头未安装防护套管，巡检人员清理降温风扇积灰时，手臂碰到电缆接头造成人员触电，经抢救无效死亡。"/>
    <hyperlink ref="D150" r:id="rId_hyperlink_145" tooltip="煤六机头台阶地面损坏，操作工在上下台阶时被损坏的地面绊倒，导致左小臂骨折，送医院治疗15天，回家休养三个月康复！"/>
    <hyperlink ref="D151" r:id="rId_hyperlink_146" tooltip="北脱硫循环槽顶部有一废弃铁管，一操作工巡检作业时废弃铁管突然坠落，可能造成操作工头部砸伤，送医院治疗15天后复工。"/>
    <hyperlink ref="D152" r:id="rId_hyperlink_147" tooltip="西饱和器顶部有一根废弃槽钢，一操作工巡检作业时废弃槽钢突然坠落，可能造成操作工头部砸伤，送医院治疗15天后复工。"/>
    <hyperlink ref="D153" r:id="rId_hyperlink_148" tooltip="操作人员巡检到液碱罐区洗眼器时，未发现上方电缆桥架盖板掉落，砸到操作人员头部，因佩戴安全帽，人员未受伤，休息一会，正常工作。"/>
    <hyperlink ref="D154" r:id="rId_hyperlink_149" tooltip="2#站污泥棚门合页开焊，操作人员在开闭门时突然掉落，操作人员可能被门绊倒，造成腕部皮肤擦伤，简单处理后，正常工作。"/>
    <hyperlink ref="D155" r:id="rId_hyperlink_150" tooltip="粗苯南管式炉蒸汽管道保温铝皮脱落，如果大风天气时有操作工从下部经过，铝皮掉落砸中操作工面部，造成面部轻微擦伤，到医务室处理后，正常工作。"/>
    <hyperlink ref="D156" r:id="rId_hyperlink_151" tooltip="粗苯南管式炉蒸汽管道保温铝皮脱落，如果大风天气时有操作工从下部经过，铝皮掉落砸中操作工面部，造成面部轻微擦伤，到医务室处理后，正常工作。"/>
    <hyperlink ref="D157" r:id="rId_hyperlink_152" tooltip="主控楼楼顶门杆漏汽管道支撑架脱出，长时间运行管道蠕变、造成管道破裂。一操作工巡检至此处时被蒸汽烫伤左小腿，送医治疗。"/>
    <hyperlink ref="D158" r:id="rId_hyperlink_153" tooltip="排地沟潜水泵电缆部分未加保护套，破损漏电，导致铁板连电，一巡检工经过此处时，踩踏铁板触电倒地死亡。"/>
    <hyperlink ref="D159" r:id="rId_hyperlink_154" tooltip="5.5米提升井四层西侧护栏多处腐蚀开焊，遇大风天气护栏掉落，砸伤一名巡检工，送医治疗后宣布死亡"/>
    <hyperlink ref="D160" r:id="rId_hyperlink_155" tooltip="中间水池液位计电缆未固定悬空，一员工巡检至中间水池不慎被电缆绊倒，导致膝盖及手臂皮肤破损，送医治疗无损工"/>
    <hyperlink ref="D161" r:id="rId_hyperlink_156" tooltip="一名汽轮机工在汽机一楼巡检时，由于盖板缺失，不慎掉入排水沟内，造成左腿小腿骨折"/>
    <hyperlink ref="D162" r:id="rId_hyperlink_157" tooltip="因东四南门外爬梯处照明灯不亮，操作工在经过爬梯处时，不慎摔倒，造成腿部受伤，送医院经医生检查为左小腿擦伤，住院治疗3天后复工。"/>
    <hyperlink ref="D163" r:id="rId_hyperlink_158" tooltip="西一地沟4#给料机西侧水沟篦子缺失，一操作工巡检至此处时，右脚不慎踩空，坠入水沟，及时送医治疗，右腿小腿骨折，住院治疗30天，回家休养61天后复工。"/>
    <hyperlink ref="D164" r:id="rId_hyperlink_159" tooltip="南风机2#初冷器检修时，一名外来施工人员安全带使用不规范未使用腿带，如果检修过程中不慎脚下踩空掉落，安全带起到保护作用，但因未使用腿带安全带受到冲击时腰带上移造成腰腹部多处勒伤，送医治疗后在家休养3天"/>
    <hyperlink ref="D165" r:id="rId_hyperlink_160" tooltip="因爬梯无警示标志汽轮机一名操作工巡检时不慎从爬梯滑倒摔落到地面造成左胳膊骨折需住院治疗。"/>
    <hyperlink ref="D166" r:id="rId_hyperlink_161" tooltip="西硫铵二楼东侧南窗外蒸汽放散管阀门腐蚀并关不严，导致蒸汽压力高时从放散管喷溅大量蒸汽冷凝水。一名操作工在巡检经过此处时被喷溅出的大量蒸汽冷凝水烫伤后背，送医治疗一周，回家休养一周后复工，损工两周。"/>
    <hyperlink ref="D167" r:id="rId_hyperlink_162" tooltip="东五清扫器开焊，人员在清理时，手臂被落下的清扫器刮伤，送医院治疗，手臂皮肉刮伤，住院治疗7七天，在家休养一个月"/>
    <hyperlink ref="D168" r:id="rId_hyperlink_163" tooltip="一名化学水操作工在开关阀门时，不慎将脚踩入空隙内，造成左腿小腿骨折，多处软组织损伤。"/>
    <hyperlink ref="D169" r:id="rId_hyperlink_164" tooltip="初冷器平台爬梯处一临时照明灯电线杂乱，操作人员上下爬梯时不慎被杂乱的电线绊倒，造成小腿擦伤，送医治疗包扎，即可复工。"/>
    <hyperlink ref="D170" r:id="rId_hyperlink_165" tooltip="南化产循环水凉水塔顶照明灯损坏，夜间现场光线昏暗，当操作工巡检时被电机底座槽钢划伤右腿，去医务室止血包扎后，回家休息3天后复工，损工3天。"/>
    <hyperlink ref="D171" r:id="rId_hyperlink_166" tooltip="南脱硫熔硫釜西侧蒸汽泄漏，操作人员在巡检时被上部滴落的蒸汽冷凝水，轻微烫伤颈部，送医务室简单处理，无防碍工作，正常上班。"/>
    <hyperlink ref="D172" r:id="rId_hyperlink_167" tooltip="往两盐调脱硫液管线法兰处开焊，该管线离地面3米，如果发现不及时，会造成脱硫液从此处大量溢出，造成重大环保事故。"/>
    <hyperlink ref="D173" r:id="rId_hyperlink_168" tooltip="深度脱硫打液泵电机罩破损，当操作工巡检经过打液泵时，不小心右腿裤脚被电机风扇叶轮卷入，造成右腿划伤，经去医务室包扎后，回家休息2天后复工，损工2天。"/>
    <hyperlink ref="D174" r:id="rId_hyperlink_169" tooltip="粗苯北泵房房顶铁管未清理，如果一名巡检工从下部经过，铁管掉落砸中巡检工肩部，经送医诊断，巡检工肩部轻微伤。"/>
    <hyperlink ref="D175" r:id="rId_hyperlink_170" tooltip="粗苯南管式炉管道保温铝皮破损，巡检工经过时，如遇大风天气铝皮掉落砸中巡检工颈部，造成颈部轻微划伤，医务室简单处理后正常上班。"/>
    <hyperlink ref="D176" r:id="rId_hyperlink_171" tooltip="煤十仓窗台有铁钎，一职工经过，掉下铁钎砸伤脚面，送医院确珍为脚面皮肤损伤，在医院治疗两天回家休养三天复工。"/>
    <hyperlink ref="D177" r:id="rId_hyperlink_172" tooltip="一名操作工从煤场上经过，不慎被地面上露出的钢筋划伤右小腿，送医敷药包扎，回家休养5天后复工。"/>
    <hyperlink ref="D178" r:id="rId_hyperlink_173" tooltip="北脱硫南侧地沟盖板未盖捞翘起，一名操作工在巡检经过此处时，可能会被翘起的盖板绊倒，造成手部轻微擦伤，膝盖淤青送医务室简单包扎后复工。"/>
    <hyperlink ref="D179" r:id="rId_hyperlink_174" tooltip="地面残留一高约20cm竖立铁件，若1名巡检人员夜间巡查时不慎脚下被绊，身体向前倾倒右肩部磕碰至混凝土基础台上。"/>
    <hyperlink ref="D180" r:id="rId_hyperlink_175" tooltip="两盐岗位切片机东侧出料泵电机护罩腐蚀严重无法起到防护作用，当操作人员巡检时不慎碰到，被转动的风扇划伤腿部，包扎后回家休息3天后复工，损工3天"/>
    <hyperlink ref="D181" r:id="rId_hyperlink_176" tooltip="一名操作工在夜间巡检时，被地面碎石子滑倒造成髌骨骨折，住院30天，修养70天。"/>
    <hyperlink ref="D182" r:id="rId_hyperlink_177" tooltip="北化产综合供水配电室配电盘后电缆沟盖板缺失，当一名电工巡检时，不慎左腿掉入电缆沟，造成左腿脚踝扭伤，去医务室上药包扎后回家休养7天，恢复后复工，损工七天。"/>
    <hyperlink ref="D183" r:id="rId_hyperlink_178" tooltip="一名操作工在雨天巡检经过操作室北边爬梯时，因爬梯踏板有水可能摔倒在爬梯上，手臂磕碰到爬梯踏板，造成手臂骨折，住院治疗3个月。"/>
    <hyperlink ref="D184" r:id="rId_hyperlink_179" tooltip="2#换热器脱硫液管道开焊漏液严重，污染环境卫生，一名操作工擦拭设备时，脱硫液有可能溅到手上灼伤皮肤，简单处理，不影响工作，继续上班。"/>
    <hyperlink ref="D185" r:id="rId_hyperlink_180" tooltip="五号减温减压分汽缸处阀门保温缺失，一员工在作业过程中，右手臂被约300℃蒸汽阀体烫伤，送医救治，经医院诊断为浅二度烫伤，治疗两天，回家休养五天。"/>
    <hyperlink ref="D186" r:id="rId_hyperlink_181" tooltip="风机房西侧爬梯，无警示标志，假设一操作工，爬上爬梯关阀门，因马虎大意，危险意识不强，从爬梯摔落。"/>
    <hyperlink ref="D187" r:id="rId_hyperlink_182" tooltip="巡检通廊高度2米，台阶踏板宽度5厘米，一名员工巡检至主控楼楼顶时，踩踏台阶踏板，踏板过窄，重心不稳，人员跌落，尾椎处与地面发生碰撞"/>
    <hyperlink ref="D188" r:id="rId_hyperlink_183" tooltip="干熄炉四层平台铁板翘起，一名员工巡检至此时，被铁板绊倒，造成右脚脚踝扭伤"/>
    <hyperlink ref="D189" r:id="rId_hyperlink_184" tooltip="切片机变频柜柜门下部活页脱落，一名操作工打开柜门调节变频器时，柜门掉落砸伤右脚脚踝！，"/>
    <hyperlink ref="D190" r:id="rId_hyperlink_185" tooltip="院墙上方遗留砖块，一职工途径时砖块突然掉落砸伤肩部，送医确诊为肩部皮外伤，经医敷药包扎，回家休养三天后复工"/>
    <hyperlink ref="D191" r:id="rId_hyperlink_186" tooltip="一员工在开五号减温减压东侧管道阀门时，因缺少必要的踩踏物，脚底打滑不甚从6米管道处跌落，头部着地，送医治疗抢救无效死亡"/>
    <hyperlink ref="D192" r:id="rId_hyperlink_187" tooltip="深度处理中水回用纳滤装置段间增压泵未接地线，如段间增压泵绝缘损坏，外壳带电，一操作工清理卫生时，触电身亡。"/>
    <hyperlink ref="D193" r:id="rId_hyperlink_188" tooltip="1618外墙下水管道脱落 有人员经过砸到头上头部受伤送医治疗住院一个月在家休养一个月"/>
    <hyperlink ref="D194" r:id="rId_hyperlink_189" tooltip="三号站配电箱开关松动，易造成配电开关连电短路，造成离心泵电机烧毁，财产损失2000元。"/>
    <hyperlink ref="D195" r:id="rId_hyperlink_190" tooltip="西煤厂篦子口处钢筋外露 人员经过被绊倒 右脚脚踝扭伤 休息一会不影响工作"/>
    <hyperlink ref="D196" r:id="rId_hyperlink_191" tooltip="煤八斜桥照明灯暗，操作工在下台阶巡检时，因看不清不慎踩歪摔倒，扭伤脚踝关节送院治疗3天，在家休养7天后复工。"/>
    <hyperlink ref="D197" r:id="rId_hyperlink_192" tooltip="西三岗位，行灯线裸露。一名操作人员，在清理卫生中，手不慎触碰在带电裸露的线头上，造成触电，送医抢救，无效死亡"/>
    <hyperlink ref="D198" r:id="rId_hyperlink_193" tooltip="在关闭破碎机时，操作人员重叠作业，上方人员的扳手不慎从手中滑落时，砸中下方人员右手食指，送医确诊为食指轻微骨折，送医治疗三天，回家休养四天后复工。"/>
    <hyperlink ref="D199" r:id="rId_hyperlink_194" tooltip="巡检人员巡检环境除尘时，由于缺少护栏，不慎从8米高处平台跌落至地面，头部着地，当场死亡"/>
    <hyperlink ref="D200" r:id="rId_hyperlink_195" tooltip="5#减温减压无跨越爬梯，一操作人员在跨越减温减压进入西侧调节减温水时，不慎滑跌，造成右脚扭伤，送医救治诊断为右脚踝脱臼，住院治疗3天，回家休息30天。"/>
    <hyperlink ref="D201" r:id="rId_hyperlink_196" tooltip="真空包装机电源线插头下部破损，操作人员使用设备插电时，手指碰触到电源线破损处，发生触电，漏保动作跳闸，人员脱离触电。"/>
    <hyperlink ref="D202" r:id="rId_hyperlink_197" tooltip="5号减温减压蒸汽管道未设巡检通廊，一名员工巡检减温水泵翻越管道时，不慎踩蹭，从管道上当后仰跌落，头枕部碰到阀门，送医治疗，因脑干损伤，抢救无效死亡。"/>
    <hyperlink ref="D203" r:id="rId_hyperlink_198" tooltip="冷渣机安全阀检测超期，且以泄漏。如果安全阀失效冷却水外溢且无人发现，造成冷灰机电机进水连电。"/>
    <hyperlink ref="D204" r:id="rId_hyperlink_199" tooltip="给水泵进口阀未设操作平台，未设悬挂安全带的固定装置，一名员工操作阀门时，不慎跌落，腰椎骨折。"/>
    <hyperlink ref="D205" r:id="rId_hyperlink_200" tooltip="西五通廊包边破损，一人员经过时被掉落的铁皮划伤脸部，送医务室包扎后继续上班"/>
    <hyperlink ref="D206" r:id="rId_hyperlink_201" tooltip="装入装置水封槽处盖板未固定且缝隙大，一名员工挖水封槽时，盖板活动，不慎右脚卡入缝隙内，右脚踝骨折。"/>
    <hyperlink ref="D207" r:id="rId_hyperlink_202" tooltip="过滤器排污管地沟盖板缺失，一名操作工巡检时踩空，右脚掉入地沟内，右脚脚踝扭伤，送医治疗。"/>
    <hyperlink ref="D208" r:id="rId_hyperlink_203" tooltip="操作工在启动泵子时开关控制箱盖不慎脱落砸伤脚面"/>
    <hyperlink ref="D209" r:id="rId_hyperlink_204" tooltip="西四走廊钢筋外漏，巡检人员在经过时被固定暖气片的钢筋划伤腿部"/>
    <hyperlink ref="D210" r:id="rId_hyperlink_205" tooltip="操作工在清理完1＃入料筒积煤时，未按工具使用规定将用完的工具放到指定位置，随手将钢钎放在钢平台上。在清理下部的出料筒积煤时，钢钎从钢平台上坠落，造成操作工右侧锁骨骨折，住院治疗15天，在家修养三个月。"/>
    <hyperlink ref="D211" r:id="rId_hyperlink_206" tooltip="1618操作工未按照工具使用要求将用完的工具放到指定位置，随手将用完的钢钎放在了高处的钢平台上，在清理钢平台下方的出料筒时，钢钎坠落造成操作工右侧锁骨骨折，住院15天，在家修养3个月。"/>
    <hyperlink ref="D212" r:id="rId_hyperlink_207" tooltip="地沟盖板老化开裂，假如一名巡检工夜晚巡检到此处时，由于光线较暗，右脚踩在老化开裂的地沟盖板上，盖板断裂，右脚踏空陷入地沟内，造成小腿前部肌肉挫伤，去医院简单治疗后回家修养三天。"/>
    <hyperlink ref="D213" r:id="rId_hyperlink_208" tooltip="2#站主塔管道腐蚀严重，致使塔内污水泄露，腐蚀地面"/>
    <hyperlink ref="D214" r:id="rId_hyperlink_209" tooltip="池面现场混乱，电缆线绊倒操作工"/>
    <hyperlink ref="D215" r:id="rId_hyperlink_210" tooltip="真空包装机电源线插头下部破损，操作人员使用设备插电时，手指碰触到电源线破损处，发生触电，漏保动作跳闸，人员脱离触电。"/>
    <hyperlink ref="D216" r:id="rId_hyperlink_211" tooltip="巡检工从超滤罐中间经过开返洗阀，赤注意焊在H钢上的角钢不慎绊脚石损伤"/>
    <hyperlink ref="D217" r:id="rId_hyperlink_212" tooltip="粗苯富油上脱苯塔管道原固定铁丝锈蚀，起不到固定作用，生产过程中，如果富油含水分高，造成管道晃动，晃动过久容易造成管道开焊漏油，造成环境污染。"/>
    <hyperlink ref="D218" r:id="rId_hyperlink_213" tooltip="操作工在打扫泵房地面时不慎跌入下水道，造成左脚严重扭伤，左小腿骨骨折"/>
    <hyperlink ref="D219" r:id="rId_hyperlink_214" tooltip="干熄焦中控楼东侧管架上保温铝皮开裂下垂脱落，一操作工巡检路过，致使面部颈部深度划伤"/>
    <hyperlink ref="D220" r:id="rId_hyperlink_215" tooltip="西四岗位操作平台，操作人员在操作时不慎绊倒从平台跌落，造成腿部骨折，送医院治疗一个月，在家修养两个月，"/>
    <hyperlink ref="D221" r:id="rId_hyperlink_216" tooltip="除尘设备吊装过程中，未设隔离区且无人监护，一人路过吊装设备底部，设备脱钩坠落，砸中头部"/>
    <hyperlink ref="D222" r:id="rId_hyperlink_217" tooltip="一名操作工在电捕水封槽处巡检时，因防雨棚一横梁腐烂滑脱坠落，砸中该操作工左肩，送医救治诊断为肩胛骨骨折，治疗两个月后恢复出院，损工两个月。"/>
    <hyperlink ref="D223" r:id="rId_hyperlink_218" tooltip="天车进出处没有悬挂警示牌"/>
    <hyperlink ref="D224" r:id="rId_hyperlink_219" tooltip="5米5焦炉北头爬梯中间小平台缺少踢脚板，雨雪天气，一操作工上下爬梯脚下打滑，从护栏空隙跌落地面"/>
    <hyperlink ref="D225" r:id="rId_hyperlink_220" tooltip="操作工在清理除尘水箱湿焦末时，将湿焦末洒落在拦焦滑轨上，造成短路，导致滑轨打断，1#站配电室跳闸。"/>
    <hyperlink ref="D226" r:id="rId_hyperlink_221" tooltip="下爬梯未戴安全帽，未扶扶手，踩空掉落导致双手臂骨折，损工半年。"/>
    <hyperlink ref="D227" r:id="rId_hyperlink_222" tooltip="反渗透浓水排水管处无盖板，一名职工在巡检时，失足右脚掉入地沟造成右脚损伤。"/>
    <hyperlink ref="D228" r:id="rId_hyperlink_223" tooltip="搅拌机转换开关手抦缺失，用一根铁条代替手抦使用，一操作工在操作时由于开关漏电触电倒地"/>
    <hyperlink ref="D229" r:id="rId_hyperlink_224" tooltip="干熄炉二层地面铁板翘起，一巡检人员夜间巡检时未察觉，被翘起的铁板绊倒，膝盖着地，送医救治，确诊为左侧膝盖骨骨裂，治疗7天，修养3个月后恢复工作。"/>
    <hyperlink ref="D230" r:id="rId_hyperlink_225" tooltip="清水池池面现场混乱，地面电缆线乱作一团，操作工在取样时被电缆线绊倒，致右腿膝盖软组织挫伤，无损工事故"/>
    <hyperlink ref="D231" r:id="rId_hyperlink_226" tooltip="爬梯处横放一根3米的铁件，一名操作工巡检时不慎脚下被绊，身体向前倾倒碰到护栏上"/>
    <hyperlink ref="D232" r:id="rId_hyperlink_227" tooltip="泡沫泵防护罩破损，如果一名操作人员擦拭设备时。右手手指不慎碰触到电机防护罩破损处，造成右手中指骨折，送医院治疗三个月、在家休养二个月，复工"/>
    <hyperlink ref="D233" r:id="rId_hyperlink_228" tooltip="如果一名操作工在巡检时，冒出的蒸汽喷到右手腕上，造成轻微伤害，到医务室治疗后，不影响工作，没有损工。"/>
    <hyperlink ref="D234" r:id="rId_hyperlink_229" tooltip="南风机风机房一楼南侧东门上方彩钢瓦腐蚀严重悬挂，操作工从门口通行彩钢瓦掉落划伤颈部，送医院室消毒包扎，休息2天后复工。"/>
    <hyperlink ref="D235" r:id="rId_hyperlink_230" tooltip="西硫铵4楼北窗户有一块废铝合金悬挂在墙壁上，一名操作工在地面弯腰打扫卫生，因为刮风导致废铝合金掉下来，掉到操作工后背上，引起后背一地方红肿，无大碍。"/>
    <hyperlink ref="D236" r:id="rId_hyperlink_231" tooltip="1号过滤器气动阀油窗内油位过低"/>
    <hyperlink ref="D237" r:id="rId_hyperlink_232" tooltip="正在使用的乙炔气瓶气路老化严重，当作业人员经过拉扯气路时，老化处裂开气体冒出，附近有气割火花导致乙炔瓶爆炸，造成一名在现场的施工人员被炸伤，送医治疗，损工六个月。"/>
    <hyperlink ref="D238" r:id="rId_hyperlink_233" tooltip="浓水处理液碱罐未设置半面罩，假如一名维修工人维修该处管线，管线内的液碱溅出进入维修人员眼内，造成眼睛灼伤送医治疗2个月后复工。"/>
    <hyperlink ref="D239" r:id="rId_hyperlink_234" tooltip="深度处理东侧水池临时线路未架空,放置在地上线缆容易磨损漏电,一旦巡检人员不慎踩到磨损线路,造成触电,送医院抢救无效死亡。"/>
    <hyperlink ref="D240" r:id="rId_hyperlink_235" tooltip="脱硫硫铵稠厚器顶瓦固定不牢，一名巡检工经过此处下方巡检时，顶瓦瓦片一旦掉落，割伤一名巡检工的脖颈处，送医治疗8天后恢复健康上班。"/>
    <hyperlink ref="D241" r:id="rId_hyperlink_236" tooltip="无栏杆或警示牌在巡检或其它作业活动中可能掉入"/>
    <hyperlink ref="D242" r:id="rId_hyperlink_237" tooltip="干熄焦提升机地板直通向下部二层平台的检修口盖盖板，晚上因光线暗巡检人员经过时踩空从检修口摔至1.8米高差的下层平台，坠落惯性使其又从二层平台护栏40厘米间隙滚落摔到40米高差水泥地面"/>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隐患动态跟踪表</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刘永鹏</dc:creator>
  <cp:lastModifiedBy>刘永鹏</cp:lastModifiedBy>
  <dcterms:created xsi:type="dcterms:W3CDTF">2020-06-29T15:52:55+08:00</dcterms:created>
  <dcterms:modified xsi:type="dcterms:W3CDTF">2020-06-29T15:52:55+08:00</dcterms:modified>
  <dc:title>潍坊振兴焦化有限公司隐患动态跟踪</dc:title>
  <dc:description>file generated using system</dc:description>
  <dc:subject>2020年4月报告</dc:subject>
  <cp:keywords>隐患排查</cp:keywords>
  <cp:category/>
</cp:coreProperties>
</file>