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<sst xmlns="http://schemas.openxmlformats.org/spreadsheetml/2006/main" uniqueCount="1262">
  <si>
    <t>潍坊振兴焦化有限公司安全生产KPI指标报表（隐患动态跟踪表）</t>
  </si>
  <si>
    <t>2020年5月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</si>
  <si>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</si>
  <si>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</si>
  <si>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</si>
  <si>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</si>
  <si>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</si>
  <si>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</si>
  <si>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</si>
  <si>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</si>
  <si>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</si>
  <si>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</si>
  <si>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</si>
  <si>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</si>
  <si>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</si>
  <si>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</si>
  <si>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</si>
  <si>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</si>
  <si>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</si>
  <si>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</si>
  <si>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</si>
  <si>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</si>
  <si>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</si>
  <si>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</si>
  <si>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</si>
  <si>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</si>
  <si>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</si>
  <si>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</si>
  <si>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</si>
  <si>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</si>
  <si>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</si>
  <si>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</si>
  <si>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</si>
  <si>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</si>
  <si>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</si>
  <si>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</si>
  <si>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</si>
  <si>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</si>
  <si>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</si>
  <si>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20-2-7</t>
  </si>
  <si>
    <t>5.5.炼焦车间</t>
  </si>
  <si>
    <t>造成直接经济损失五十万</t>
  </si>
  <si>
    <t>已整改</t>
  </si>
  <si>
    <t>中等</t>
  </si>
  <si>
    <t>隐患排查</t>
  </si>
  <si>
    <t>其他行为性危险和有害因素</t>
  </si>
  <si>
    <t>其他管理因素缺陷</t>
  </si>
  <si>
    <t>炼焦车间</t>
  </si>
  <si>
    <t>董黎明</t>
  </si>
  <si>
    <t>于观彦</t>
  </si>
  <si>
    <t>20-3-7</t>
  </si>
  <si>
    <t>焦炉地下室南端</t>
  </si>
  <si>
    <t>财产损失</t>
  </si>
  <si>
    <t>C1</t>
  </si>
  <si>
    <t>F4</t>
  </si>
  <si>
    <t>IV</t>
  </si>
  <si>
    <t>工艺安全信息</t>
  </si>
  <si>
    <t>√ 维修加固
√ 加强巡检巡查</t>
  </si>
  <si>
    <t>100%</t>
  </si>
  <si>
    <t>20-5-7</t>
  </si>
  <si>
    <t>已由维修加固</t>
  </si>
  <si>
    <t>20-2-8</t>
  </si>
  <si>
    <t>一人轻伤</t>
  </si>
  <si>
    <t>设备、设施、工具、附件缺陷</t>
  </si>
  <si>
    <t>室内作业环境不良</t>
  </si>
  <si>
    <t>李夕良</t>
  </si>
  <si>
    <t>20-3-9</t>
  </si>
  <si>
    <t>焦炉地下室</t>
  </si>
  <si>
    <t>人员伤害</t>
  </si>
  <si>
    <t>C2</t>
  </si>
  <si>
    <t>F2</t>
  </si>
  <si>
    <t>√ 清除钢筋
× 加强防范</t>
  </si>
  <si>
    <t>20-5-4</t>
  </si>
  <si>
    <t>已由岗位操作工拆除</t>
  </si>
  <si>
    <t>20-3-11</t>
  </si>
  <si>
    <t>化产车间</t>
  </si>
  <si>
    <t>腐蚀、环境污染</t>
  </si>
  <si>
    <t>一般</t>
  </si>
  <si>
    <t>物理性危险和有害因素</t>
  </si>
  <si>
    <t>李栋</t>
  </si>
  <si>
    <t>刘永鹏</t>
  </si>
  <si>
    <t>20-4-13</t>
  </si>
  <si>
    <t>两盐屋内</t>
  </si>
  <si>
    <t>环境污染</t>
  </si>
  <si>
    <t>F1</t>
  </si>
  <si>
    <t>√ 更换管线泄露点</t>
  </si>
  <si>
    <t>20-5-21</t>
  </si>
  <si>
    <t>20-3-15</t>
  </si>
  <si>
    <t>热力，汽轮机</t>
  </si>
  <si>
    <t>腿部受伤，损工三天。</t>
  </si>
  <si>
    <t>辨识功能缺陷</t>
  </si>
  <si>
    <t>热力车间</t>
  </si>
  <si>
    <t>赵坤</t>
  </si>
  <si>
    <t>赵建军</t>
  </si>
  <si>
    <t>20-4-17</t>
  </si>
  <si>
    <t>二号减温减压西侧</t>
  </si>
  <si>
    <t>C3</t>
  </si>
  <si>
    <t>III</t>
  </si>
  <si>
    <t>机械完整性</t>
  </si>
  <si>
    <t>√ 重新盖好铁质盖板
√ 教育职工注意提高防范意识</t>
  </si>
  <si>
    <t>20-5-22</t>
  </si>
  <si>
    <t>已用铁制盖板覆盖</t>
  </si>
  <si>
    <t>20-3-17</t>
  </si>
  <si>
    <t>除盐水站</t>
  </si>
  <si>
    <t>药品灼伤皮肤</t>
  </si>
  <si>
    <t>防护缺陷</t>
  </si>
  <si>
    <t>钱江红</t>
  </si>
  <si>
    <t>于连成</t>
  </si>
  <si>
    <t>20-4-19</t>
  </si>
  <si>
    <t>二楼加药间</t>
  </si>
  <si>
    <t>√ 固定计量泵
√ 教育职工注意提高防范意识</t>
  </si>
  <si>
    <t>零新钻孔固定。</t>
  </si>
  <si>
    <t>20-3-23</t>
  </si>
  <si>
    <t>南风机</t>
  </si>
  <si>
    <t>小腿骨折，损工三个月。</t>
  </si>
  <si>
    <t>行为性危险有害因素</t>
  </si>
  <si>
    <t>脚手架、阶梯或活动梯架缺陷</t>
  </si>
  <si>
    <t>张迎华</t>
  </si>
  <si>
    <t>20-4-24</t>
  </si>
  <si>
    <t>初冷器东侧</t>
  </si>
  <si>
    <t>I</t>
  </si>
  <si>
    <t>√ 增加爬梯护笼</t>
  </si>
  <si>
    <t>20-5-28</t>
  </si>
  <si>
    <t>20-3-25</t>
  </si>
  <si>
    <t>汽轮机</t>
  </si>
  <si>
    <t>一名员工被绊倒未造成伤害</t>
  </si>
  <si>
    <t>胡西荣</t>
  </si>
  <si>
    <t>郭峰祥</t>
  </si>
  <si>
    <t>20-4-26</t>
  </si>
  <si>
    <t>干熄焦主控室</t>
  </si>
  <si>
    <t>不可忽视小问题，及时消除隐患</t>
  </si>
  <si>
    <t>√ 修整防静电地板，防止人员绊倒摔伤</t>
  </si>
  <si>
    <t>20-5-27</t>
  </si>
  <si>
    <t>防静电地板已修整复位。</t>
  </si>
  <si>
    <t>20-4-14</t>
  </si>
  <si>
    <t>5.5米焦炉推焦车</t>
  </si>
  <si>
    <t>梯子倾倒砸中头部送医，经医院检查为中度脑震荡，损工7天</t>
  </si>
  <si>
    <t>紧急</t>
  </si>
  <si>
    <t>室外作业场地环境不良</t>
  </si>
  <si>
    <t>刘鑫</t>
  </si>
  <si>
    <t>王安博</t>
  </si>
  <si>
    <t>20-5-14</t>
  </si>
  <si>
    <t>推焦车平台</t>
  </si>
  <si>
    <t>√ 清理现场梯子
√ 加强巡检巡查</t>
  </si>
  <si>
    <t>20-5-6</t>
  </si>
  <si>
    <t>20-3-31</t>
  </si>
  <si>
    <t>锅炉</t>
  </si>
  <si>
    <t>人员电伤害，造成住院5天，损工5天</t>
  </si>
  <si>
    <t>电伤害</t>
  </si>
  <si>
    <t>建设项目“三同时”制度未落实</t>
  </si>
  <si>
    <t>李光进</t>
  </si>
  <si>
    <t>刘新才</t>
  </si>
  <si>
    <t>20-5-1</t>
  </si>
  <si>
    <t>75T锅炉顶</t>
  </si>
  <si>
    <t>√ 更换完好的线缆
√ 注意做好接头防护</t>
  </si>
  <si>
    <t>20-4-5</t>
  </si>
  <si>
    <t>电动葫芦电源线破皮裸露，易造成人员触电需更换新电源</t>
  </si>
  <si>
    <t>20-4-1</t>
  </si>
  <si>
    <t>住院治疗3天后康复，损工3天</t>
  </si>
  <si>
    <t>张建华</t>
  </si>
  <si>
    <t>20-5-2</t>
  </si>
  <si>
    <t>75t/h锅炉</t>
  </si>
  <si>
    <t>II</t>
  </si>
  <si>
    <t>√ 电工做好电缆防护
√ 人员注意安全</t>
  </si>
  <si>
    <t>20-4-10</t>
  </si>
  <si>
    <t>冷灰机电缆破损，易造成人员触电事故，需抓紧对电缆进行防护</t>
  </si>
  <si>
    <t>南化产</t>
  </si>
  <si>
    <t>坠落，小腿骨折</t>
  </si>
  <si>
    <t>√ 添加护笼</t>
  </si>
  <si>
    <t>20-4-6</t>
  </si>
  <si>
    <t>在医院治疗一个月后回家休养5个月康复，损工6个月。</t>
  </si>
  <si>
    <t>姚兴军</t>
  </si>
  <si>
    <t>20-5-9</t>
  </si>
  <si>
    <t>5.5米焦侧炉门架</t>
  </si>
  <si>
    <t>不可使用无防护措施的平台做为检修平台</t>
  </si>
  <si>
    <t>√ 对此处检修时利用拦焦车现有宽阔平台进行检修</t>
  </si>
  <si>
    <t>5.5米焦炉</t>
  </si>
  <si>
    <t>造成一人全身多处骨折，治疗、休养，共计损工6个月</t>
  </si>
  <si>
    <t>耿金鹏</t>
  </si>
  <si>
    <t>20-5-10</t>
  </si>
  <si>
    <t>晾焦台操作小平台</t>
  </si>
  <si>
    <t>扒焦处水汽多，易腐蚀，需及时加固腐蚀处</t>
  </si>
  <si>
    <t>F3</t>
  </si>
  <si>
    <t>√ 护栏下部腐蚀处进行加固，确保护栏的防护有效性</t>
  </si>
  <si>
    <t>4.3米焦炉通廊</t>
  </si>
  <si>
    <t>人员伤害，损工十五天。</t>
  </si>
  <si>
    <t>建筑物和其他结构缺陷</t>
  </si>
  <si>
    <t>煤仓</t>
  </si>
  <si>
    <t>高处易坠物需清除，防止掉落伤人</t>
  </si>
  <si>
    <t>× 请除高处易坠铝皮，防止掉落伤人</t>
  </si>
  <si>
    <t>20-5-19</t>
  </si>
  <si>
    <t>已由维修人员清除</t>
  </si>
  <si>
    <t>一人重伤</t>
  </si>
  <si>
    <t>秦国平</t>
  </si>
  <si>
    <t>5.5焦炉焦侧平台</t>
  </si>
  <si>
    <t>√ 焊接加固
√ 加强巡检</t>
  </si>
  <si>
    <t>5.5米焦炉拦焦</t>
  </si>
  <si>
    <t>一人死亡</t>
  </si>
  <si>
    <t>其他物理性危险和有害因素</t>
  </si>
  <si>
    <t>其他作业环境不良</t>
  </si>
  <si>
    <t>孙希昱</t>
  </si>
  <si>
    <t>拦焦除尘水槽南端</t>
  </si>
  <si>
    <t>清除高处易坠物，防掉落伤人</t>
  </si>
  <si>
    <t>C4</t>
  </si>
  <si>
    <t>标准、流程</t>
  </si>
  <si>
    <t>√ 清除高处放置的架子易坠物，防掉落伤人</t>
  </si>
  <si>
    <t>已由操作工将架子清走</t>
  </si>
  <si>
    <t>20-4-7</t>
  </si>
  <si>
    <t>煤场</t>
  </si>
  <si>
    <t>人员手腕骨折，损工90天</t>
  </si>
  <si>
    <t>备煤车间</t>
  </si>
  <si>
    <t>邢志鹏</t>
  </si>
  <si>
    <t>刘冲</t>
  </si>
  <si>
    <t>20-4-20</t>
  </si>
  <si>
    <t>3#煤场</t>
  </si>
  <si>
    <t>煤厂料口钢筋外露，人员经过较频繁，发生事故几率大，及时整改</t>
  </si>
  <si>
    <t>√ 维修切除
√ 人员操作时注意脚下安全</t>
  </si>
  <si>
    <t>20-5-31</t>
  </si>
  <si>
    <t>两盐岗位</t>
  </si>
  <si>
    <t>碰伤、去医务室处理后继续工作无损工。</t>
  </si>
  <si>
    <t>20-5-8</t>
  </si>
  <si>
    <t>两盐室内</t>
  </si>
  <si>
    <t>√ 风扇电缆线沿地面铺及时拆除</t>
  </si>
  <si>
    <t>造成一人多处骨折及外伤，就医治疗、休养，共计损工6个月。</t>
  </si>
  <si>
    <t>李艳秋</t>
  </si>
  <si>
    <t>扒焦小屋西侧</t>
  </si>
  <si>
    <t>护栏需保持完好，确保防护作用</t>
  </si>
  <si>
    <t>√ 加固护栏腐蚀处，防止人员受伤</t>
  </si>
  <si>
    <t>20-4-8</t>
  </si>
  <si>
    <t>化产车间，粗苯岗位</t>
  </si>
  <si>
    <t>该操作工因缠绕挤伤手部轻伤休工一周</t>
  </si>
  <si>
    <t>任成华</t>
  </si>
  <si>
    <t>两盐冷凝罐</t>
  </si>
  <si>
    <t>√ 安装防护罩</t>
  </si>
  <si>
    <t>20-4-9</t>
  </si>
  <si>
    <t>化产车间粗苯</t>
  </si>
  <si>
    <t>铁皮高空坠落，导致操作人员面部轻微划伤</t>
  </si>
  <si>
    <t>王璇</t>
  </si>
  <si>
    <t>粗苯计量槽</t>
  </si>
  <si>
    <t>√ 清除爬梯上部铝皮</t>
  </si>
  <si>
    <t>20-4-11</t>
  </si>
  <si>
    <t>造成人员死亡</t>
  </si>
  <si>
    <t>范树超</t>
  </si>
  <si>
    <t>20-5-11</t>
  </si>
  <si>
    <t>√ 焊补护栏
√ 及时修复处理</t>
  </si>
  <si>
    <t>化产车间西硫铵</t>
  </si>
  <si>
    <t>铝皮高空坠落，砸伤，右肩骨折，损工10天</t>
  </si>
  <si>
    <t>刘国强</t>
  </si>
  <si>
    <t>20-5-15</t>
  </si>
  <si>
    <t>北班长室南侧框架</t>
  </si>
  <si>
    <t>√ 清除管架上部杂物，加固保温层</t>
  </si>
  <si>
    <t>备煤煤线岗位及配电室</t>
  </si>
  <si>
    <t>人员拌倒，损工105天</t>
  </si>
  <si>
    <t>张立德</t>
  </si>
  <si>
    <t>赵明</t>
  </si>
  <si>
    <t>20-6-7</t>
  </si>
  <si>
    <t>煤六</t>
  </si>
  <si>
    <t>√ 组织岗位人员进行整改</t>
  </si>
  <si>
    <t>20-4-25</t>
  </si>
  <si>
    <t>干熄焦区域</t>
  </si>
  <si>
    <t>待整改</t>
  </si>
  <si>
    <t>李刚</t>
  </si>
  <si>
    <t>20-6-9</t>
  </si>
  <si>
    <t>五号减温减压东侧管道</t>
  </si>
  <si>
    <t>设计安装时就存在的缺陷，只考虑当时的安装不考虑以后的操作，应进行改造，方便日常操作</t>
  </si>
  <si>
    <t>× 加装平台，平台边加装1.2米高的防护护栏，方便人员安全操作</t>
  </si>
  <si>
    <t>0%</t>
  </si>
  <si>
    <t>右脚踝关节扭伤，损工10天。</t>
  </si>
  <si>
    <t>马丛芳</t>
  </si>
  <si>
    <t>20-4-30</t>
  </si>
  <si>
    <t>煤八</t>
  </si>
  <si>
    <t>√ 电工更换照明灯泡
√ 人员在光线不清的情况下注意做好防护</t>
  </si>
  <si>
    <t>20-4-29</t>
  </si>
  <si>
    <t>冷灰机电机报废，财产损友7千元。</t>
  </si>
  <si>
    <t>75T锅炉零米冷渣机</t>
  </si>
  <si>
    <t>√ 更换安全阀</t>
  </si>
  <si>
    <t>更换新安全阀。</t>
  </si>
  <si>
    <t>干熄焦</t>
  </si>
  <si>
    <t>一名员工腰椎骨折，休养6个月的损工事故</t>
  </si>
  <si>
    <t>关闭</t>
  </si>
  <si>
    <t>刘建明</t>
  </si>
  <si>
    <t>锅炉二层</t>
  </si>
  <si>
    <t>经对生产系统人员调查，此阀门几乎处于闲置不用状态，不必设置永久性操作平台</t>
  </si>
  <si>
    <t>化学水超滤室</t>
  </si>
  <si>
    <t>一名操作工右脚脚踝扭伤，送医治疗，损工五天。</t>
  </si>
  <si>
    <t>崔艳艳</t>
  </si>
  <si>
    <t>超滤1号过滤器</t>
  </si>
  <si>
    <t>√ 制作按装盖板</t>
  </si>
  <si>
    <t>用铁板制作放空管盖板。</t>
  </si>
  <si>
    <t>巡检工手臂骨折，入院治疗损工2月</t>
  </si>
  <si>
    <t>田怀成</t>
  </si>
  <si>
    <t>起滤罐中间过道</t>
  </si>
  <si>
    <t>√ 清除角钢</t>
  </si>
  <si>
    <t>直立角钢割除。</t>
  </si>
  <si>
    <t>20-4-27</t>
  </si>
  <si>
    <t>管道开焊漏油，造成环境污染。</t>
  </si>
  <si>
    <t>马卫东</t>
  </si>
  <si>
    <t>20-5-29</t>
  </si>
  <si>
    <t>脱苯塔富油管道</t>
  </si>
  <si>
    <t>√ 加固管道支撑</t>
  </si>
  <si>
    <t>化水</t>
  </si>
  <si>
    <t>住院治疗一月，误工4个月</t>
  </si>
  <si>
    <t>董丽霞</t>
  </si>
  <si>
    <t>化学水北区泵房</t>
  </si>
  <si>
    <t>工艺安全分析</t>
  </si>
  <si>
    <t>√ 制作盖板
√ 刷漆防腐</t>
  </si>
  <si>
    <t>20-5-16</t>
  </si>
  <si>
    <t>水泥盖板覆盖。</t>
  </si>
  <si>
    <t>20-4-28</t>
  </si>
  <si>
    <t>造成住院7天，损工15天</t>
  </si>
  <si>
    <t>刘连刚</t>
  </si>
  <si>
    <t>干熄焦中控楼东侧管架</t>
  </si>
  <si>
    <t>能发现高处不易发现的隐患，虽然重量轻，但也会造成人员伤害</t>
  </si>
  <si>
    <t>√ 请除高处易坠物品并保持</t>
  </si>
  <si>
    <t>备煤西线岗位及配电室</t>
  </si>
  <si>
    <t>人员腿部骨折，造成损工90天</t>
  </si>
  <si>
    <t>刘丽霞</t>
  </si>
  <si>
    <t>西四</t>
  </si>
  <si>
    <t>操作平台有铁丝，人员容易绊倒，出现人身伤害事故，及时整改，防止发生事故</t>
  </si>
  <si>
    <t>√ 安排人员将铁丝清理掉
√ 人员在操作平台作业时，注意做好安全措施</t>
  </si>
  <si>
    <t>及时拆除铁丝，防防止人员跌落</t>
  </si>
  <si>
    <t>热力车间煤场</t>
  </si>
  <si>
    <t>造成人员伤寂</t>
  </si>
  <si>
    <t>指挥错误</t>
  </si>
  <si>
    <t>刘成林</t>
  </si>
  <si>
    <t>天车</t>
  </si>
  <si>
    <t>√ 挂警示牌</t>
  </si>
  <si>
    <t>挂警示牌</t>
  </si>
  <si>
    <t>5米5焦炉</t>
  </si>
  <si>
    <t>操作工多处骨折，损工三个月</t>
  </si>
  <si>
    <t>董建秋</t>
  </si>
  <si>
    <t>20-5-30</t>
  </si>
  <si>
    <t>5米5焦炉北头爬梯</t>
  </si>
  <si>
    <t>√ 增设踢脚板
√ 上下爬梯，抓牢扶手</t>
  </si>
  <si>
    <t>住院诊治15天，在家休养20天，共损工35天。</t>
  </si>
  <si>
    <t>姜宁</t>
  </si>
  <si>
    <t>化学水北区加药间内</t>
  </si>
  <si>
    <t>√ 制作盖板
× 刷漆防腐</t>
  </si>
  <si>
    <t>履盖水泥盖板。</t>
  </si>
  <si>
    <t>现场抢救后送医抢救无效死亡</t>
  </si>
  <si>
    <t>姜永奎</t>
  </si>
  <si>
    <t>机侧道轨西</t>
  </si>
  <si>
    <t>√ 设备立即断电停运
√ 更换新的开关</t>
  </si>
  <si>
    <t>3#站工段</t>
  </si>
  <si>
    <t>右腿膝盖软组织挫伤，无损工事故</t>
  </si>
  <si>
    <t>污水处理车间</t>
  </si>
  <si>
    <t>张娜</t>
  </si>
  <si>
    <t>张林蕾</t>
  </si>
  <si>
    <t>20-6-4</t>
  </si>
  <si>
    <t>清水池</t>
  </si>
  <si>
    <t>√ 清理现场</t>
  </si>
  <si>
    <t>20-6-25</t>
  </si>
  <si>
    <t>现场杂物清理干净</t>
  </si>
  <si>
    <t>风机初冷器</t>
  </si>
  <si>
    <t>1人左小臂骨折，就医休养4个月</t>
  </si>
  <si>
    <t>于松江</t>
  </si>
  <si>
    <t>初冷器三层平台</t>
  </si>
  <si>
    <t>√ 清除横管</t>
  </si>
  <si>
    <t>20-5-5</t>
  </si>
  <si>
    <t>化产车间深度脱硫</t>
  </si>
  <si>
    <t>造成右手中指骨折，送医院治疗三个月、在家休养二个月</t>
  </si>
  <si>
    <t>王海国</t>
  </si>
  <si>
    <t>20-6-1</t>
  </si>
  <si>
    <t>泡沫泵</t>
  </si>
  <si>
    <t>√ 更换电机防护罩</t>
  </si>
  <si>
    <t>蒸汽喷到右手腕上，治疗后不影响工作，无损工</t>
  </si>
  <si>
    <t>杨爱富</t>
  </si>
  <si>
    <t>2号电捕顶部</t>
  </si>
  <si>
    <t>√ 更换腐蚀的蒸汽盘管</t>
  </si>
  <si>
    <t>彩钢瓦划伤颈部，送医院室消毒包扎，休息2天后复工。</t>
  </si>
  <si>
    <t>刘善华</t>
  </si>
  <si>
    <t>20-6-5</t>
  </si>
  <si>
    <t>√ 清理彩钢瓦</t>
  </si>
  <si>
    <t>化产车间，北班长室</t>
  </si>
  <si>
    <t>后背一地方红肿</t>
  </si>
  <si>
    <t>张广顺</t>
  </si>
  <si>
    <t>西硫铵4楼</t>
  </si>
  <si>
    <t>√ 拆除后，更换新窗框</t>
  </si>
  <si>
    <t>油窗液位过低造成气动阀损坏影响设备安全运行</t>
  </si>
  <si>
    <t>付艳</t>
  </si>
  <si>
    <t>20-6-12</t>
  </si>
  <si>
    <t>北区过滤器</t>
  </si>
  <si>
    <t>√ 根据要求添加润滑油
√ 加强设备日常维护保养</t>
  </si>
  <si>
    <t>所有汽动阀油杯检查加油。</t>
  </si>
  <si>
    <t>浓水处理装置</t>
  </si>
  <si>
    <t>一人损工事件</t>
  </si>
  <si>
    <t>安全环保处</t>
  </si>
  <si>
    <t>王玉辉</t>
  </si>
  <si>
    <t>√ 添加防护半面罩</t>
  </si>
  <si>
    <t>污水处理车间深度处理</t>
  </si>
  <si>
    <t>一人触电死亡</t>
  </si>
  <si>
    <t>丁杰</t>
  </si>
  <si>
    <t>深度处理东侧水池</t>
  </si>
  <si>
    <t>√ 按规定要求架设电缆线</t>
  </si>
  <si>
    <t>电缆线已经撤除</t>
  </si>
  <si>
    <t>热力车间硫铵工段</t>
  </si>
  <si>
    <t>掉落瓦片割伤一名巡检工的脖颈处，损工8天</t>
  </si>
  <si>
    <t>田震</t>
  </si>
  <si>
    <t>热力西区</t>
  </si>
  <si>
    <t>√ 更换新彩瓦
√ 原彩瓦检查固定</t>
  </si>
  <si>
    <t>更换新彩钢瓦并对其他彩瓦进行加圆</t>
  </si>
  <si>
    <t>35吨锅炉</t>
  </si>
  <si>
    <t>在巡查时不惧掉入造成摔伤及骨折筹历害</t>
  </si>
  <si>
    <t>胡汉东</t>
  </si>
  <si>
    <t>一楼35吨</t>
  </si>
  <si>
    <t>√ 焊护栏
× 挂警示牌</t>
  </si>
  <si>
    <t>制作按装护栏。</t>
  </si>
  <si>
    <t>多处骨折，内脏多脏器损伤，失血过多经抢救无效死亡</t>
  </si>
  <si>
    <t>刘青松</t>
  </si>
  <si>
    <t>潘增辉</t>
  </si>
  <si>
    <t>干熄焦2#提升机</t>
  </si>
  <si>
    <t>能及时潜在安全隐患！</t>
  </si>
  <si>
    <t>× 盖板及时归位！防止人员伤害！</t>
  </si>
  <si>
    <t>备煤东线岗位及配电室</t>
  </si>
  <si>
    <t>一员工右手骨折，损工115天。</t>
  </si>
  <si>
    <t>赵伟</t>
  </si>
  <si>
    <t>刘锡玉</t>
  </si>
  <si>
    <t>东四</t>
  </si>
  <si>
    <t>√ 尽快安装护栏</t>
  </si>
  <si>
    <t>一名人员左脚踝受伤</t>
  </si>
  <si>
    <t>刘兴业</t>
  </si>
  <si>
    <t>7#地磅</t>
  </si>
  <si>
    <t>√ 增设台阶，设立警示标识。</t>
  </si>
  <si>
    <t>一人右脚脚踝扭伤  休息一会不影响工作</t>
  </si>
  <si>
    <t>郭焕雷</t>
  </si>
  <si>
    <t>张永生</t>
  </si>
  <si>
    <t>20-6-2</t>
  </si>
  <si>
    <t>1618破碎机</t>
  </si>
  <si>
    <t>√ 加强巡查
√ 维修注意安全</t>
  </si>
  <si>
    <t>一人送医治疗抢救无效死亡</t>
  </si>
  <si>
    <t>煤厂西南</t>
  </si>
  <si>
    <t>√ 加强巡查
√ 抓紧整改</t>
  </si>
  <si>
    <t>一名员工腿部骨折，损工／IIo天。</t>
  </si>
  <si>
    <t>标志缺陷</t>
  </si>
  <si>
    <t>李建伟</t>
  </si>
  <si>
    <t>西三卸料车</t>
  </si>
  <si>
    <t>√ 提高意识、做好安全辨识、设警示标识。</t>
  </si>
  <si>
    <t>人员死亡</t>
  </si>
  <si>
    <t>张勇</t>
  </si>
  <si>
    <t>二号煤场</t>
  </si>
  <si>
    <t>√ 设立警戒区域，严禁人员靠近煤垛。</t>
  </si>
  <si>
    <t>李述芳</t>
  </si>
  <si>
    <t>东五岗位</t>
  </si>
  <si>
    <t>√ 积水井盖板及时盖好
√ 人员巡检时注意脚下安全</t>
  </si>
  <si>
    <t>人员触电，造成一人死亡。</t>
  </si>
  <si>
    <t>刘伟伟</t>
  </si>
  <si>
    <t>20-5-3</t>
  </si>
  <si>
    <t>废料堆</t>
  </si>
  <si>
    <t>√ 拆除铺设的电缆
√ 教育施工人员不安全不生产，必须做好各项安全措施才能施工</t>
  </si>
  <si>
    <t>外来施工队已经拆除铺设在地面的电缆</t>
  </si>
  <si>
    <t>炼焦车间除盐水</t>
  </si>
  <si>
    <t>送医住院治疗半个月，修养一个月，损工45天</t>
  </si>
  <si>
    <t>张琴</t>
  </si>
  <si>
    <t>浓水设备</t>
  </si>
  <si>
    <t>能发现司空见惯的问题，应及时处理防止绊倒人</t>
  </si>
  <si>
    <t>× 将信号线缆规范固定，不能高于通行路面高度，防止绊倒伤人</t>
  </si>
  <si>
    <t>人员触电      造成一人死亡</t>
  </si>
  <si>
    <t>刘明源</t>
  </si>
  <si>
    <t>20-6-20</t>
  </si>
  <si>
    <t>西三工具室</t>
  </si>
  <si>
    <t>√ 电缆桥架边杂物清理
√ 人员注意定置摆放物品</t>
  </si>
  <si>
    <t>人员伤害，损工90天</t>
  </si>
  <si>
    <t>刘春建</t>
  </si>
  <si>
    <t>东四机头</t>
  </si>
  <si>
    <t>√ 护栏安装到位
√ 使用或检修完设备后，附属安全设施必须安装到位</t>
  </si>
  <si>
    <t>南风机岗位及配电室</t>
  </si>
  <si>
    <t>一名施工人员撞伤头部损工七天</t>
  </si>
  <si>
    <t>王军</t>
  </si>
  <si>
    <t>2#初冷器</t>
  </si>
  <si>
    <t>√ 立即停止作业，进行安全培训，安全帽挂绳安全佩戴</t>
  </si>
  <si>
    <t>造成人员伤害，损工</t>
  </si>
  <si>
    <t>郝效蓉</t>
  </si>
  <si>
    <t>√ 维修人员割除多余部分
√ 人员经过时注意划伤出现人员伤害事故</t>
  </si>
  <si>
    <t>操作工巡检时不小心滑倒休息后不影响上班</t>
  </si>
  <si>
    <t>√ 固定地沟盖板</t>
  </si>
  <si>
    <t>地沟盖板焊接固定</t>
  </si>
  <si>
    <t>5.5米筛焦楼</t>
  </si>
  <si>
    <t>操作工腿部砸伤骨折，造成损工6个月。</t>
  </si>
  <si>
    <t>赵培刚</t>
  </si>
  <si>
    <t>筛焦楼振动筛北侧</t>
  </si>
  <si>
    <t>√ 材料规范放置
√ 人员通行保持距离</t>
  </si>
  <si>
    <t>20-6-8</t>
  </si>
  <si>
    <t>已由热修人员整理完成</t>
  </si>
  <si>
    <t>腰椎受损住院治疗2个月，在家修养一年后痊愈复工</t>
  </si>
  <si>
    <t>职业安全卫生责任制未落实</t>
  </si>
  <si>
    <t>刘经洪</t>
  </si>
  <si>
    <t>脱硫脱硝</t>
  </si>
  <si>
    <t>× 加装护栏
× 进入平台按高处作业采取相关措施</t>
  </si>
  <si>
    <t>一人右肩部多处轻微擦伤不影响工作</t>
  </si>
  <si>
    <t>刘建平</t>
  </si>
  <si>
    <t>20-6-11</t>
  </si>
  <si>
    <t>初冷器二层</t>
  </si>
  <si>
    <t>√ 加固捆绑脚手板</t>
  </si>
  <si>
    <t>化产车间南冷凝</t>
  </si>
  <si>
    <t>住院治疗10天后复工，损工10天</t>
  </si>
  <si>
    <t>秦绪利</t>
  </si>
  <si>
    <t>澄清槽南爬梯</t>
  </si>
  <si>
    <t>提报人员账号错误</t>
  </si>
  <si>
    <t>两盐</t>
  </si>
  <si>
    <t>小腿骨折，住院治疗3个月，损工3个月</t>
  </si>
  <si>
    <t>于明新</t>
  </si>
  <si>
    <t>两盐操作室南侧</t>
  </si>
  <si>
    <t>√ 水坑盖好盖板</t>
  </si>
  <si>
    <t>化产车间北脱硫</t>
  </si>
  <si>
    <t>管道坠落人员右臂擦伤</t>
  </si>
  <si>
    <t>杨光伟</t>
  </si>
  <si>
    <t>20-6-15</t>
  </si>
  <si>
    <t>空压站东管架</t>
  </si>
  <si>
    <t>√ 拆除</t>
  </si>
  <si>
    <t>住院治疗10天后复工，损工10天。</t>
  </si>
  <si>
    <t>王秀莲</t>
  </si>
  <si>
    <t>√ 上下爬梯，抓牢扶手</t>
  </si>
  <si>
    <t>化产车间南脱硫</t>
  </si>
  <si>
    <t>一人触电，住院一个月，休养一个月，损工61天。</t>
  </si>
  <si>
    <t>高联名</t>
  </si>
  <si>
    <t>南脱硫溶液缓冲槽</t>
  </si>
  <si>
    <t>√ 规范接线，重新加固穿线管</t>
  </si>
  <si>
    <t>20-6-19</t>
  </si>
  <si>
    <t>腿部骨折，住院治疗一个月，在家休养2个月后复工，损工3个月</t>
  </si>
  <si>
    <t>刘少勇</t>
  </si>
  <si>
    <t>两盐西马路路口</t>
  </si>
  <si>
    <t>√ 更换盖板</t>
  </si>
  <si>
    <t>制氮机组</t>
  </si>
  <si>
    <t>腿部轻微擦伤，简单处理后复工不影响生产</t>
  </si>
  <si>
    <t>高卫东</t>
  </si>
  <si>
    <t>制氮机组南侧</t>
  </si>
  <si>
    <t>√ 清理废旧管道</t>
  </si>
  <si>
    <t>小腿骨折，住院治疗3个月，在家休养2个月，损工150天。</t>
  </si>
  <si>
    <t>事故分析</t>
  </si>
  <si>
    <t>201配电室</t>
  </si>
  <si>
    <t>√ 更换盖板
√ 人员经过时注意脚下安全</t>
  </si>
  <si>
    <t>人员电伤，损工五天！</t>
  </si>
  <si>
    <t>西一</t>
  </si>
  <si>
    <t>√ 联系电工加装套管</t>
  </si>
  <si>
    <t>右手骨折！损工105天</t>
  </si>
  <si>
    <t>√ 组织岗位人员，加装安全套管</t>
  </si>
  <si>
    <t>造成环保事故，被环保部门罚款5万元。</t>
  </si>
  <si>
    <t>赵林忠</t>
  </si>
  <si>
    <t>集气管</t>
  </si>
  <si>
    <t>× 恢复电缆覆盖保护
× 加强巡检巡查</t>
  </si>
  <si>
    <t>一名职工脸部划伤，医务室包扎在家休息3天。</t>
  </si>
  <si>
    <t>房军</t>
  </si>
  <si>
    <t>熄焦塔</t>
  </si>
  <si>
    <t>× 清理脱落墙皮
× 人员注意通行安全</t>
  </si>
  <si>
    <t>一职工头部受伤，损工15天。</t>
  </si>
  <si>
    <t>郭才喜</t>
  </si>
  <si>
    <t>20-5-12</t>
  </si>
  <si>
    <t>煤场院墙</t>
  </si>
  <si>
    <t>√ 对高处易坠物进行排查、加固、清除。</t>
  </si>
  <si>
    <t>西风机</t>
  </si>
  <si>
    <t>操作工右手臂烫伤，送医务室上药、消毒，不影响工作，正常上班。</t>
  </si>
  <si>
    <t>风机房东侧</t>
  </si>
  <si>
    <t>× 家挂警示牌，或者修理阀门</t>
  </si>
  <si>
    <t>作废</t>
  </si>
  <si>
    <t>待核查</t>
  </si>
  <si>
    <t>付喜洋</t>
  </si>
  <si>
    <t>西</t>
  </si>
  <si>
    <t>备煤中控室</t>
  </si>
  <si>
    <t>造成设备隐患</t>
  </si>
  <si>
    <t>王琳</t>
  </si>
  <si>
    <t>√ 及时清理磁铁上杂物
√ 按操作规程操作</t>
  </si>
  <si>
    <t>设备损坏，装置停工。</t>
  </si>
  <si>
    <t>王克明</t>
  </si>
  <si>
    <t>东五</t>
  </si>
  <si>
    <t>√ 更换站辊
√ 人员操作时注意皮带调整</t>
  </si>
  <si>
    <t>一人轻微受害</t>
  </si>
  <si>
    <t>西五</t>
  </si>
  <si>
    <t>√ 更换照明灯泡
√ 人员上下爬梯，注意安全</t>
  </si>
  <si>
    <t>入院治疗5天，在家休养20天，共损工25天。</t>
  </si>
  <si>
    <t>刘欢</t>
  </si>
  <si>
    <t>新化水加药间内</t>
  </si>
  <si>
    <t>√ 按装排气管</t>
  </si>
  <si>
    <t>20-5-23</t>
  </si>
  <si>
    <t>按装排气管接至碱罐内。</t>
  </si>
  <si>
    <t>5.5米炉顶</t>
  </si>
  <si>
    <t>右腿骨折，经医院包扎后在家修养三个月的损工事件</t>
  </si>
  <si>
    <t>王胜</t>
  </si>
  <si>
    <t>炉顶</t>
  </si>
  <si>
    <t>经医院包扎治疗后在家休养三个月的损工事件</t>
  </si>
  <si>
    <t>× 焊接安装护栏
× 人员作业落实高处作业相关措施</t>
  </si>
  <si>
    <t>4.3米炉顶区域</t>
  </si>
  <si>
    <t>1人肩部骨折，就医休养4个月。</t>
  </si>
  <si>
    <t>张国行</t>
  </si>
  <si>
    <t>炉顶南端西侧护栏</t>
  </si>
  <si>
    <t>× 现场警示，人员绕行。
× 标语牌摘除，暂规整放置至4.3m班长室。</t>
  </si>
  <si>
    <t>20-5-18</t>
  </si>
  <si>
    <t>已经用铁丝重新固定牢固，车间安全验收合格。</t>
  </si>
  <si>
    <t>人员脸部轻微划伤</t>
  </si>
  <si>
    <t>刘良永</t>
  </si>
  <si>
    <t>两盐大屋北原料储罐</t>
  </si>
  <si>
    <t>√ 清除旧管道</t>
  </si>
  <si>
    <t>20-5-25</t>
  </si>
  <si>
    <t>5.5米干熄车</t>
  </si>
  <si>
    <t>电器设备损坏干熄车不能工作影响生产</t>
  </si>
  <si>
    <t>干熄车局部漏水</t>
  </si>
  <si>
    <t>头部磕伤，损工两天。</t>
  </si>
  <si>
    <t>张志军</t>
  </si>
  <si>
    <t>西四操作室</t>
  </si>
  <si>
    <t>√ 加强辨识，提高安全意识，对电器隐患及时整改，杜绝侥幸心理。</t>
  </si>
  <si>
    <t>一人头部受伤 损工61天</t>
  </si>
  <si>
    <t>20-6-10</t>
  </si>
  <si>
    <t>西四挡风墙</t>
  </si>
  <si>
    <t>√ 登高注意安全</t>
  </si>
  <si>
    <t>一人右腿大腿骨折 损工122天</t>
  </si>
  <si>
    <t>√ 加强巡查
√ 抓紧修复</t>
  </si>
  <si>
    <t>左手部骨折送医院治疗半月，在家休养3月的陨工事件。</t>
  </si>
  <si>
    <t>装煤车</t>
  </si>
  <si>
    <t>× 焊补缺口
× 人员行走注意绕行</t>
  </si>
  <si>
    <t>造成1人死亡</t>
  </si>
  <si>
    <t>宋华秀</t>
  </si>
  <si>
    <t>水熄车平台</t>
  </si>
  <si>
    <t>× 加固护栏
× 加强巡查</t>
  </si>
  <si>
    <t>设备停产损失3万无。</t>
  </si>
  <si>
    <t>超滤罐中间</t>
  </si>
  <si>
    <t>√ 维修加衬胶固定。</t>
  </si>
  <si>
    <t>管道卡衬胶带重新固定管道</t>
  </si>
  <si>
    <t>一人右肩骨折，就医休养100天的损工事件</t>
  </si>
  <si>
    <t>周方宾</t>
  </si>
  <si>
    <t>炉顶上升管</t>
  </si>
  <si>
    <t>× 清理上方杂物
× 加强巡检巡查</t>
  </si>
  <si>
    <t>下液管放空断裂，煤气冒出，一人中毒送医，限工3个月</t>
  </si>
  <si>
    <t>邢玉坤</t>
  </si>
  <si>
    <t>西硫铵</t>
  </si>
  <si>
    <t>√ 安装支撑</t>
  </si>
  <si>
    <t>该员工腰椎错位，住院20天在家休养2个月康复，造成一人损工事</t>
  </si>
  <si>
    <t>郎需波</t>
  </si>
  <si>
    <t>焦4通廊</t>
  </si>
  <si>
    <t>人员手臂脱臼，损工7天。</t>
  </si>
  <si>
    <t>杨小军</t>
  </si>
  <si>
    <t>√ 严格按照相关安全用电规定进行整改。</t>
  </si>
  <si>
    <t>一职工脚部受伤，损工十三天。</t>
  </si>
  <si>
    <t>牟小花</t>
  </si>
  <si>
    <t>√ 严格按照工具存放规定进行存放。</t>
  </si>
  <si>
    <t>75吨灰库</t>
  </si>
  <si>
    <t>造成人员入院三天在家休养一月损工一月</t>
  </si>
  <si>
    <t>张传宝</t>
  </si>
  <si>
    <t>热电厂西北角污水池</t>
  </si>
  <si>
    <t>√ 重新制作盖板
√ 盖好，保持盖板齐全</t>
  </si>
  <si>
    <t>制作新盖板覆盖。</t>
  </si>
  <si>
    <t>头部轻微脑震荡，回家休养10天后复工，损工10天</t>
  </si>
  <si>
    <t>李振英</t>
  </si>
  <si>
    <t>制氮机房南侧上部管架</t>
  </si>
  <si>
    <t>√ 清除悬挂的盖板</t>
  </si>
  <si>
    <t>巡检人员肩部轻微擦伤，简单处理后复工，不影响生产</t>
  </si>
  <si>
    <t>党传清</t>
  </si>
  <si>
    <t>水封槽顶部</t>
  </si>
  <si>
    <t>√ 加固腐蚀支架</t>
  </si>
  <si>
    <t>20-6-13</t>
  </si>
  <si>
    <t>操作工被大风刮落的铁皮擦伤面部，未影响正常工作。</t>
  </si>
  <si>
    <t>王彩红</t>
  </si>
  <si>
    <t>北大门</t>
  </si>
  <si>
    <t>√ 更换挡雨板</t>
  </si>
  <si>
    <t>20-6-27</t>
  </si>
  <si>
    <t>一名职工右小臂骨折，住院治疗，损工75天。</t>
  </si>
  <si>
    <t>李爱华</t>
  </si>
  <si>
    <t>换向室机侧通廊</t>
  </si>
  <si>
    <t>热力东区</t>
  </si>
  <si>
    <t>如果发生漏电易产生跨步电压使人员发生间接触电</t>
  </si>
  <si>
    <t>监护失误</t>
  </si>
  <si>
    <t>张冠群</t>
  </si>
  <si>
    <t>√ 由外协施工方做好防护，防止人员误接触
√ 待厂房拆除后重新规范敷设电缆</t>
  </si>
  <si>
    <t>电缆未防护，易受伤短路，漏电伤人，已架空处理</t>
  </si>
  <si>
    <t>设备损坏</t>
  </si>
  <si>
    <t>马金梅</t>
  </si>
  <si>
    <t>两盐区域及配电室</t>
  </si>
  <si>
    <t>配电室设备损坏影响生产2小时损失2000元</t>
  </si>
  <si>
    <t>赵延林</t>
  </si>
  <si>
    <t>配电室空调外机处</t>
  </si>
  <si>
    <t>√ 维修空调</t>
  </si>
  <si>
    <t>住院20天，在家休息2月。损工一人。</t>
  </si>
  <si>
    <t>刘明壮</t>
  </si>
  <si>
    <t>北脱硫溶液循环槽</t>
  </si>
  <si>
    <t>√ 悬挂警示牌</t>
  </si>
  <si>
    <t>硫铵</t>
  </si>
  <si>
    <t>右臂骨折损工治疗2个月</t>
  </si>
  <si>
    <t>赵高青</t>
  </si>
  <si>
    <t>× 拆除木板</t>
  </si>
  <si>
    <t>住院治疗7天，损工7天</t>
  </si>
  <si>
    <t>回转筛</t>
  </si>
  <si>
    <t>√ 查明原因，修复漏点
√ 注意做好防护</t>
  </si>
  <si>
    <t>20-5-20</t>
  </si>
  <si>
    <t>电机进油容易引起电机内部短路，设备损坏和电机漏电伤人</t>
  </si>
  <si>
    <t>右小腿划伤，损工五天。</t>
  </si>
  <si>
    <t>刘顺</t>
  </si>
  <si>
    <t>西系统煤场</t>
  </si>
  <si>
    <t>√ 受料斗篦子上方严禁站人，杂物清理要按规定进行。</t>
  </si>
  <si>
    <t>脚踝轻微扭伤，冷敷后可继续工作</t>
  </si>
  <si>
    <t>秦顺东</t>
  </si>
  <si>
    <t>南脱硫</t>
  </si>
  <si>
    <t>× 更换爬梯踏板或加固踏板</t>
  </si>
  <si>
    <t>施工人员腿部骨折，住院治疗半个月。</t>
  </si>
  <si>
    <t>张昆</t>
  </si>
  <si>
    <t>2号初冷器</t>
  </si>
  <si>
    <t>√ 悬挂安全带，规范使用</t>
  </si>
  <si>
    <t>造成脚面骨折，住院半个月，在家休养两个月，损工74天。</t>
  </si>
  <si>
    <t>李晓楠</t>
  </si>
  <si>
    <t>东四岗位</t>
  </si>
  <si>
    <t>√ 维修及时焊补配重装置
√ 人员操作时注意安全</t>
  </si>
  <si>
    <t>脸部胳膊多处轻微划伤，简单处理后能正常工作</t>
  </si>
  <si>
    <t>潘曰山</t>
  </si>
  <si>
    <t>西风机配电室</t>
  </si>
  <si>
    <t>√ 加固彩钢瓦</t>
  </si>
  <si>
    <t>2名化验人员煤气取样时造成煤气中毒，送医院治疗2天后正常上班</t>
  </si>
  <si>
    <t>夏海美</t>
  </si>
  <si>
    <t>粗苯区域</t>
  </si>
  <si>
    <t>× 加固支撑</t>
  </si>
  <si>
    <t>身体中度烧伤住院治疗45天，休养15天恢复健康。损工60天</t>
  </si>
  <si>
    <t>付晓寺</t>
  </si>
  <si>
    <t>20-6-21</t>
  </si>
  <si>
    <t>√ 装阻火冒</t>
  </si>
  <si>
    <t>送医院救治，抢救无效死亡</t>
  </si>
  <si>
    <t>心理生理性危险有害因素</t>
  </si>
  <si>
    <t>田广</t>
  </si>
  <si>
    <t>炉顶南端</t>
  </si>
  <si>
    <t>触电抢救无效死亡。</t>
  </si>
  <si>
    <t>职业安全卫生管理规章制度不完善</t>
  </si>
  <si>
    <t>马同波</t>
  </si>
  <si>
    <t>拦焦</t>
  </si>
  <si>
    <t>小腿骨折，休养半年</t>
  </si>
  <si>
    <t>烟囱西端</t>
  </si>
  <si>
    <t>20-5-13</t>
  </si>
  <si>
    <t>人员头部受击，造成轻微脑震荡，损工一周康复</t>
  </si>
  <si>
    <t>赵兴家</t>
  </si>
  <si>
    <t>√ 清除木板</t>
  </si>
  <si>
    <t>汽轮机一楼</t>
  </si>
  <si>
    <t>躲闪不及时造成蒸汽泄露 致使员工高温灼烫事故</t>
  </si>
  <si>
    <t>高温物质</t>
  </si>
  <si>
    <t>陶明涛</t>
  </si>
  <si>
    <t>背压排气阀门</t>
  </si>
  <si>
    <t>√ 更换金属缠绕垫
√ 恢复保温防烫伤</t>
  </si>
  <si>
    <t>法兰垫损坏更换高压金属垫</t>
  </si>
  <si>
    <t>负荷超限</t>
  </si>
  <si>
    <t>振动危害</t>
  </si>
  <si>
    <t>东一</t>
  </si>
  <si>
    <t>√ 维修加固焊补
√ 人员操作时注意及时发现设备隐患，杜绝设备事故</t>
  </si>
  <si>
    <t>入院治疗，损工一周</t>
  </si>
  <si>
    <t>孙洪涛</t>
  </si>
  <si>
    <t>机侧现场</t>
  </si>
  <si>
    <t>入院治疗损工三月</t>
  </si>
  <si>
    <t>伤者立即送医院治疗，伤者肋骨骨折，面部多处受伤，损工六个月。</t>
  </si>
  <si>
    <t>陈德增</t>
  </si>
  <si>
    <t>5.5米焦炉机侧</t>
  </si>
  <si>
    <t>职工右脚踝扭伤，损工32天</t>
  </si>
  <si>
    <t>外部检查</t>
  </si>
  <si>
    <t>魏晓贞</t>
  </si>
  <si>
    <t>东区</t>
  </si>
  <si>
    <t>√ 制作盖板覆盖</t>
  </si>
  <si>
    <t>设施拆除临时覆盖</t>
  </si>
  <si>
    <t>20-5-17</t>
  </si>
  <si>
    <t>小腿部擦伤</t>
  </si>
  <si>
    <t>杨春鹏</t>
  </si>
  <si>
    <t>西侧水沟</t>
  </si>
  <si>
    <t>× 更换盖板
× 人员经过时注意脚底安全</t>
  </si>
  <si>
    <t>右腿和右胸肋骨骨折，损工3个月</t>
  </si>
  <si>
    <t>乔玉杰</t>
  </si>
  <si>
    <t>东饱和器三层北平台</t>
  </si>
  <si>
    <t>√ 封堵平台缺口</t>
  </si>
  <si>
    <t>误工25天</t>
  </si>
  <si>
    <t>胡红梅</t>
  </si>
  <si>
    <t>煤九岗位</t>
  </si>
  <si>
    <t>一人右脚脚踝扭伤休息一会不影响工作</t>
  </si>
  <si>
    <t>20-6-16</t>
  </si>
  <si>
    <t>东三楼道</t>
  </si>
  <si>
    <t>一人右手电伤 损工41天</t>
  </si>
  <si>
    <t>√ 尽快修复</t>
  </si>
  <si>
    <t>放灰工人嘴唇碰伤门牙掉两颗，入院珍治披工1月。</t>
  </si>
  <si>
    <t>秦运利</t>
  </si>
  <si>
    <t>75T锅炉除尘器</t>
  </si>
  <si>
    <t>× 割除横梁抬高80cm焊接</t>
  </si>
  <si>
    <t>割除横梁提高至2m重焊接。</t>
  </si>
  <si>
    <t>热力车间25t锅炉</t>
  </si>
  <si>
    <t>巡巡检工入院珍治右小腿骨折，损工三个月。</t>
  </si>
  <si>
    <t>20-6-18</t>
  </si>
  <si>
    <t>25T锅循环水泵房北</t>
  </si>
  <si>
    <t>√ 重新制作盖板
√ 规范盖好盖板</t>
  </si>
  <si>
    <t>拆除断裂盖板用花纹板制作铁制盖板</t>
  </si>
  <si>
    <t>精神受到惊吓，小腿骨折，在家休养3个月</t>
  </si>
  <si>
    <t>胡福颖</t>
  </si>
  <si>
    <t>× 规范使用安全带，双钩高挂低用</t>
  </si>
  <si>
    <t>面部轻微擦伤，无损工</t>
  </si>
  <si>
    <t>孙国莉</t>
  </si>
  <si>
    <t>空压机过道</t>
  </si>
  <si>
    <t>提报人非本单位职工</t>
  </si>
  <si>
    <t>一操作工面部轻微擦伤，无损工</t>
  </si>
  <si>
    <t>吴轲</t>
  </si>
  <si>
    <t>√ 清楚过道铁板</t>
  </si>
  <si>
    <t>腿部皮肤剐蹭，造成人员轻微伤害，简单处理后，正常工作。</t>
  </si>
  <si>
    <t>20-6-30</t>
  </si>
  <si>
    <t>西五南侧水沟</t>
  </si>
  <si>
    <t>√ 恢复篦子正确按放
√ 人员经过时注意安全</t>
  </si>
  <si>
    <t>风机中控室</t>
  </si>
  <si>
    <t>肩部擦伤，损工7天</t>
  </si>
  <si>
    <t>张冬梅</t>
  </si>
  <si>
    <t>√ 加固玻璃框架压条</t>
  </si>
  <si>
    <t>污水2#站</t>
  </si>
  <si>
    <t>脚踝扭伤，修养三天。</t>
  </si>
  <si>
    <t>梁占平</t>
  </si>
  <si>
    <t>压滤机房</t>
  </si>
  <si>
    <t>√ 添加盖板</t>
  </si>
  <si>
    <t>化学水</t>
  </si>
  <si>
    <t>就医后复工，无损工</t>
  </si>
  <si>
    <t>郝德志</t>
  </si>
  <si>
    <t>空压机房东</t>
  </si>
  <si>
    <t>√ 恢复盖板
√ 固定好盖板</t>
  </si>
  <si>
    <t>电缆桥架盖板脱落，易造成人员伤害，需检查固定好</t>
  </si>
  <si>
    <t>肩部轻微伤，损工3天。</t>
  </si>
  <si>
    <t>李金芳</t>
  </si>
  <si>
    <t>粗苯南管式炉</t>
  </si>
  <si>
    <t>√ 清理框架铝皮</t>
  </si>
  <si>
    <t>面部轻微擦伤，       无损工</t>
  </si>
  <si>
    <t>刘帅</t>
  </si>
  <si>
    <t>砲合器东侧</t>
  </si>
  <si>
    <t>√ 清理现场铁板杂物</t>
  </si>
  <si>
    <t>中控室</t>
  </si>
  <si>
    <t>送医捡查，无损工</t>
  </si>
  <si>
    <t>杨兰</t>
  </si>
  <si>
    <t>粗苯东管架</t>
  </si>
  <si>
    <t>√ 清除框架上部杂物</t>
  </si>
  <si>
    <t>人员触电伤害，住院一周，损工一周</t>
  </si>
  <si>
    <t>逯洪帅</t>
  </si>
  <si>
    <t>1#EDI配电盘</t>
  </si>
  <si>
    <t>一人背部划伤送医处理后休息两天复工。</t>
  </si>
  <si>
    <t>高德钦</t>
  </si>
  <si>
    <t>卸酸碱槽棚顶</t>
  </si>
  <si>
    <t>√ 加固脱落的彩钢瓦</t>
  </si>
  <si>
    <t>20-6-24</t>
  </si>
  <si>
    <t>右侧小腿骨折，损工三个月。</t>
  </si>
  <si>
    <t>5号减温减压一层平台</t>
  </si>
  <si>
    <t>护栏腐蚀起不到防护作用，造成事故，应立即整改</t>
  </si>
  <si>
    <t>× 对根部腐蚀部分进行焊接加固，同时检查其它部位腐蚀情况，确保达到防护强度</t>
  </si>
  <si>
    <t>污水处理预处理</t>
  </si>
  <si>
    <t>右手臂骨折，右脚踝脱臼，送至医院救治住院20天在家修养3个月</t>
  </si>
  <si>
    <t>吴玉才</t>
  </si>
  <si>
    <t>20-6-22</t>
  </si>
  <si>
    <t>预处理混合池</t>
  </si>
  <si>
    <t>√ 维修护栏</t>
  </si>
  <si>
    <t>操作工腿部被母液灼伤送医院治疗，休养三天。</t>
  </si>
  <si>
    <t>刘洪光</t>
  </si>
  <si>
    <t>饱和器大母液泵反冲管</t>
  </si>
  <si>
    <t>√ 粘补腐蚀漏点</t>
  </si>
  <si>
    <t>一人颈部受伤</t>
  </si>
  <si>
    <t>专项检查</t>
  </si>
  <si>
    <t>西二岗位外部平</t>
  </si>
  <si>
    <t>√ 严禁在户外平台处存放物品。
√ 严格按照工具存规定进行存放。
√ 以此为案例，加强安全教育培训，提高员工安全意识，杜绝此类违章行为发生。</t>
  </si>
  <si>
    <t>左脚踝扭伤，损工三天。</t>
  </si>
  <si>
    <t>祝国杰</t>
  </si>
  <si>
    <t>主控楼南二楼爬梯</t>
  </si>
  <si>
    <t>护栏完好能起到防止事故的作用，护栏达不到强度会成为事故的诱因，需及时处理</t>
  </si>
  <si>
    <t>× 加固护栏腐蚀处，防止人员受伤</t>
  </si>
  <si>
    <t>南化产风机岗位</t>
  </si>
  <si>
    <t>一人轻微皮肤烫伤</t>
  </si>
  <si>
    <t>刘朋</t>
  </si>
  <si>
    <t>风机后蒸汽倒淋</t>
  </si>
  <si>
    <t>√ 更换下液管管道
√ 处理泄漏点</t>
  </si>
  <si>
    <t>人员坠落右侧小腿骨折，损工4个月</t>
  </si>
  <si>
    <t>二楼二级反渗透进水管</t>
  </si>
  <si>
    <t>防护孔洞处失足伤人，及时加装盖板</t>
  </si>
  <si>
    <t>× 及时加装盖板，使孔洞处间隙达到安全要求</t>
  </si>
  <si>
    <t>灼伤左脚，损工18天。</t>
  </si>
  <si>
    <t>戴立军</t>
  </si>
  <si>
    <t>吸附间</t>
  </si>
  <si>
    <t>× 紧固加药泵</t>
  </si>
  <si>
    <t>一人头部受伤损工三天</t>
  </si>
  <si>
    <t>韩雪</t>
  </si>
  <si>
    <t>√ 将电缆槽沟覆盖盖板。</t>
  </si>
  <si>
    <t>电焊机电焊线损坏</t>
  </si>
  <si>
    <t>张伟波</t>
  </si>
  <si>
    <t>√ 更换电焊机线路</t>
  </si>
  <si>
    <t>一职工受伤，损工105天。</t>
  </si>
  <si>
    <t>污水池北侧</t>
  </si>
  <si>
    <t>√ 将铁板翘起部分做整平处理。</t>
  </si>
  <si>
    <t>右手腕骨折住院治疗三个月</t>
  </si>
  <si>
    <t>于刚华</t>
  </si>
  <si>
    <t>生化</t>
  </si>
  <si>
    <t>√ 恢复盖板</t>
  </si>
  <si>
    <t>玻璃破损，未伤到人。</t>
  </si>
  <si>
    <t>√ 更换成铝皮代替玻璃
√ 风大时注意门窗关严</t>
  </si>
  <si>
    <t>一人右肩部轻微擦伤不影响正常工作</t>
  </si>
  <si>
    <t>张晓雷</t>
  </si>
  <si>
    <t>南风机2#电捕焦油器</t>
  </si>
  <si>
    <t>√ 清除铝皮杂物</t>
  </si>
  <si>
    <t>75T锅炉二楼平台</t>
  </si>
  <si>
    <t>人员伤亡，财产损失</t>
  </si>
  <si>
    <t>于海兹</t>
  </si>
  <si>
    <t>√ 维修焊接加固
√ 注意规范放灰操作，严禁放红灰</t>
  </si>
  <si>
    <t>运行其间无法更新做加焊筋板监护运行。</t>
  </si>
  <si>
    <t>余热锅炉</t>
  </si>
  <si>
    <t>轻微医疗事件</t>
  </si>
  <si>
    <t>刘锦涛</t>
  </si>
  <si>
    <t>一次除尘顶部西侧</t>
  </si>
  <si>
    <t>管路安装位置高，醒目度低，易绊倒伤人</t>
  </si>
  <si>
    <t>× 对管道用油漆刷红黑间隔的警戒色，提高醒目度，防止绊倒伤人</t>
  </si>
  <si>
    <t>人员触电伤亡</t>
  </si>
  <si>
    <t>宋祥芝</t>
  </si>
  <si>
    <t>一次除尘</t>
  </si>
  <si>
    <t>现场环境腐蚀应及时处理引起的防护缺陷</t>
  </si>
  <si>
    <t>× 对配电箱门进行焊接回固，保持良好防护性能</t>
  </si>
  <si>
    <t>身体多处骨折，损工60天</t>
  </si>
  <si>
    <t>辛子成</t>
  </si>
  <si>
    <t>主副塔</t>
  </si>
  <si>
    <t>× 添加护栏</t>
  </si>
  <si>
    <t>35锅炉一楼</t>
  </si>
  <si>
    <t>巡检过程中扭伤脚踝，误工半个月。</t>
  </si>
  <si>
    <t>35吨锅炉一楼</t>
  </si>
  <si>
    <t>制作铁制盖板。</t>
  </si>
  <si>
    <t>一名操作工手部擦伤，不影响工作。</t>
  </si>
  <si>
    <t>刘桂亮</t>
  </si>
  <si>
    <t>好氧池</t>
  </si>
  <si>
    <t>× 添加过道踏板
× 整改管道</t>
  </si>
  <si>
    <t>皮带机岗位</t>
  </si>
  <si>
    <t>一操作右腿擦伤，损工三天</t>
  </si>
  <si>
    <t>东二钎子</t>
  </si>
  <si>
    <t>盐酸阻尼器腐蚀外漏喷溅，导致巡检人员左脸轻度灼伤</t>
  </si>
  <si>
    <t>滕秀河</t>
  </si>
  <si>
    <t>中水加药装置</t>
  </si>
  <si>
    <t>√ 更换阻尼器</t>
  </si>
  <si>
    <t>右手灼伤，医院就医后出院，在家休养5天，损工5天</t>
  </si>
  <si>
    <t>于健</t>
  </si>
  <si>
    <t>配电室</t>
  </si>
  <si>
    <t>√ 规范整改插座
√ 加强培训教育，提高职工防范意识</t>
  </si>
  <si>
    <t>插座固定不劳，易造成人员触电和线路短路，需检查，固定好</t>
  </si>
  <si>
    <t>住院七天，在家休养七天，损工14天</t>
  </si>
  <si>
    <t>檀钰</t>
  </si>
  <si>
    <t>过滤器</t>
  </si>
  <si>
    <t>更换新地沟盖板</t>
  </si>
  <si>
    <t>右脚踝扭伤肿大，小腿多处肌肉挫伤，休班3天后上班，恢复良好</t>
  </si>
  <si>
    <t>马芝平</t>
  </si>
  <si>
    <t>上行爬梯顶部</t>
  </si>
  <si>
    <t>√ 维修焊接
√ 巡检注意加强防范</t>
  </si>
  <si>
    <t>楼梯踏板焊补加固。</t>
  </si>
  <si>
    <t>汽机循环水泵南</t>
  </si>
  <si>
    <t>造成右手骨折，在医院治疗三个月，限工三个月。</t>
  </si>
  <si>
    <t>王帅</t>
  </si>
  <si>
    <t>20-7-4</t>
  </si>
  <si>
    <t>循环水泵南</t>
  </si>
  <si>
    <t>× 按装过桥
× 警示提示</t>
  </si>
  <si>
    <t>颈部挫伤，损工3天</t>
  </si>
  <si>
    <t>高彦兵</t>
  </si>
  <si>
    <t>20-5-24</t>
  </si>
  <si>
    <t>东一过桥</t>
  </si>
  <si>
    <t>√ 在此处设警示牌。</t>
  </si>
  <si>
    <t>一人右前臂骨折 损工122天</t>
  </si>
  <si>
    <t>√ 尽快更换油管</t>
  </si>
  <si>
    <t>一人员死亡</t>
  </si>
  <si>
    <t>煤十</t>
  </si>
  <si>
    <t>√ 尽快修复
√ 注意安全</t>
  </si>
  <si>
    <t>财产损失，装置停工</t>
  </si>
  <si>
    <t>赵红</t>
  </si>
  <si>
    <t>煤七</t>
  </si>
  <si>
    <t>√ 维修焊补更换腐烂开焊部分
√ 人员操作时注意设备使用情况</t>
  </si>
  <si>
    <t>一员工右侧锁骨骨折，损工105天。</t>
  </si>
  <si>
    <t>李祥村</t>
  </si>
  <si>
    <t>煤九通廊</t>
  </si>
  <si>
    <t>√ 维修固定彩钢瓦
√ 报计划更换</t>
  </si>
  <si>
    <t>维修</t>
  </si>
  <si>
    <t>易发生漏气，造成着火事故，造成人员烧伤，入院治疗二个月</t>
  </si>
  <si>
    <t>王福庆</t>
  </si>
  <si>
    <t>操作室</t>
  </si>
  <si>
    <t>√ 按装气路管卡</t>
  </si>
  <si>
    <t>轻微医疗伤害</t>
  </si>
  <si>
    <t>一操工手部擦伤，损工三天</t>
  </si>
  <si>
    <t>东三</t>
  </si>
  <si>
    <t>√ 工具用完后放到安全位置
√ 安照岗位定置摆放制度处理</t>
  </si>
  <si>
    <t>装置损坏，设备停工</t>
  </si>
  <si>
    <t>刘建东</t>
  </si>
  <si>
    <t>20-7-10</t>
  </si>
  <si>
    <t>√ 维修固定焊补开焊部分
√ 人员经过时注意高空坠落物</t>
  </si>
  <si>
    <t>设备损坏，装置停工</t>
  </si>
  <si>
    <t>西一岗位</t>
  </si>
  <si>
    <t>√ 立即更换托辊</t>
  </si>
  <si>
    <t>一人腿部受伤</t>
  </si>
  <si>
    <t>煤五岗位北侧</t>
  </si>
  <si>
    <t>√ 将裸露出地面钢筋割除。</t>
  </si>
  <si>
    <t>桥架盖板掉砸到操作工头部安全帽，操作工受到惊吓，未造成损工。</t>
  </si>
  <si>
    <t>张建民</t>
  </si>
  <si>
    <t>维修大屋后电缆桥架</t>
  </si>
  <si>
    <t>√ 更换加固盖板</t>
  </si>
  <si>
    <t>造成重大经济损失</t>
  </si>
  <si>
    <t>地下（含水下）作业环境不良</t>
  </si>
  <si>
    <t>化学水二号超滤进气管</t>
  </si>
  <si>
    <t>√ 更换气路</t>
  </si>
  <si>
    <t>更换反洗设备破裂气路。</t>
  </si>
  <si>
    <t>一名操作工被坠落的电缆桥架盖板砸伤头部，未影响正常工作。</t>
  </si>
  <si>
    <t>粗苯管式炉东侧</t>
  </si>
  <si>
    <t>√ 加固线缆桥架盖板</t>
  </si>
  <si>
    <t>20-6-6</t>
  </si>
  <si>
    <t>操作工在巡检的过程中被大风刮落的彩钢板砸伤，未影响工作。</t>
  </si>
  <si>
    <t>粗苯北区地下放空槽</t>
  </si>
  <si>
    <t>√ 加固遮雨棚玻璃钢瓦</t>
  </si>
  <si>
    <t>左脚脚踝骨折，住院治疗15天，在家休养2个月</t>
  </si>
  <si>
    <t>刘永</t>
  </si>
  <si>
    <t>孙文鹏</t>
  </si>
  <si>
    <t>20-6-26</t>
  </si>
  <si>
    <t>锅炉除氧器平台</t>
  </si>
  <si>
    <t>安全意识强，巡查认真</t>
  </si>
  <si>
    <t>× 联系维修对平台进行加固，部分铁板更换</t>
  </si>
  <si>
    <t>一人员面部擦伤，鼻骨骨折，住院治疗10天，休养一个月</t>
  </si>
  <si>
    <t>干熄炉三层</t>
  </si>
  <si>
    <t>巡查认真安全意识强</t>
  </si>
  <si>
    <t>× 联系维修对翘起踏板进行焊接固定</t>
  </si>
  <si>
    <t>汽轮机系统</t>
  </si>
  <si>
    <t>一名员工左脚脚踝扭伤，送医治疗，休养15天。</t>
  </si>
  <si>
    <t>禚金伟</t>
  </si>
  <si>
    <t>汽轮机房三楼平台</t>
  </si>
  <si>
    <t>虽是防滑花纹板，但也有滑跌风险，需增加安全警示</t>
  </si>
  <si>
    <t>× 加装安全警示牌，提高人员上下爬梯时安全意识</t>
  </si>
  <si>
    <t>循环水系统</t>
  </si>
  <si>
    <t>一名员工右侧两根肋骨骨折，送医治疗10天，休养60天。</t>
  </si>
  <si>
    <t>秦学山</t>
  </si>
  <si>
    <t>一次水池西侧</t>
  </si>
  <si>
    <t>化产车间南循环水</t>
  </si>
  <si>
    <t>右脚扭伤，两胳膊多处擦伤，损工三日。</t>
  </si>
  <si>
    <t>刘永先</t>
  </si>
  <si>
    <t>操作室西侧</t>
  </si>
  <si>
    <t>√ 规范盖板覆盖齐整</t>
  </si>
  <si>
    <t>砸中操作工左肩，诊断为左肩轻微骨折，在家休养7天，损工7天。</t>
  </si>
  <si>
    <t>夏园园</t>
  </si>
  <si>
    <t>西硫铵东花砖路管架</t>
  </si>
  <si>
    <t>√ 清除框架铁管</t>
  </si>
  <si>
    <t>左小腿骨折，住院治疗20天，休养3个月，损工110天</t>
  </si>
  <si>
    <t>刘金科</t>
  </si>
  <si>
    <t>张瑞海</t>
  </si>
  <si>
    <t>冷焦带地下室</t>
  </si>
  <si>
    <t>防滑花纹板具有防滑性能，但也需加强警示</t>
  </si>
  <si>
    <t>一名操作工被铝皮绊倒，右手腕扭伤，</t>
  </si>
  <si>
    <t>南班长室门口</t>
  </si>
  <si>
    <t>× 清除门口铝皮杂物</t>
  </si>
  <si>
    <t>电气运行区域</t>
  </si>
  <si>
    <t>断路器触头烧损，引起设备停电造成财产损失</t>
  </si>
  <si>
    <t>刘彬</t>
  </si>
  <si>
    <t>高压配电室</t>
  </si>
  <si>
    <t>脸部皮肤被划伤，简单包扎后继续工作。</t>
  </si>
  <si>
    <t>李宪斌</t>
  </si>
  <si>
    <t>锅炉西侧管架</t>
  </si>
  <si>
    <t>大风大雨天来临，高处坠物伤人风险增加，及时消除</t>
  </si>
  <si>
    <t>× 对铝皮进行固定，防止坠落伤人</t>
  </si>
  <si>
    <t>上肢骨折，住院12天，在家修养100天。</t>
  </si>
  <si>
    <t>职业安全卫生投入不足</t>
  </si>
  <si>
    <t>张文龙</t>
  </si>
  <si>
    <t>锅炉加药间门口</t>
  </si>
  <si>
    <t>涉及到建筑结构牢固，无法进行改变，需刷警戒色提高醒目度</t>
  </si>
  <si>
    <t>× 将斜撑用油漆粉刷红黑间隔的警戒色，提高醒目度，防止人员受伤</t>
  </si>
  <si>
    <t>现场混乱，气味严重，造成环境污染。</t>
  </si>
  <si>
    <t>刘云霞</t>
  </si>
  <si>
    <t>催化剂储槽</t>
  </si>
  <si>
    <t>√ 覆盖催化剂槽盖板
√ 清运药剂桶</t>
  </si>
  <si>
    <t>干熄焦提升机</t>
  </si>
  <si>
    <t>铁件坠落，造成一人死亡</t>
  </si>
  <si>
    <t>钱俊涛</t>
  </si>
  <si>
    <t>干熄焦提升机顶层</t>
  </si>
  <si>
    <t>安全意识强巡查认真</t>
  </si>
  <si>
    <t>× 联系维修对断裂处进行焊补</t>
  </si>
  <si>
    <t>汽轮机循环水系统</t>
  </si>
  <si>
    <t>右脚脚踝处骨折，住院20天  休养三个月  损工110天。</t>
  </si>
  <si>
    <t>戴晓宁</t>
  </si>
  <si>
    <t>循环水冷却塔爬梯</t>
  </si>
  <si>
    <t>20-5-26</t>
  </si>
  <si>
    <t>造成手部轻微划伤，医务室处理后正常上班。</t>
  </si>
  <si>
    <t>付洪国</t>
  </si>
  <si>
    <t>20-6-28</t>
  </si>
  <si>
    <t>2#脱硫塔水封蒸汽管</t>
  </si>
  <si>
    <t>√ 更换开裂铝皮</t>
  </si>
  <si>
    <t>造成大腿肌肉局部红肿，简单处理后不影响工作</t>
  </si>
  <si>
    <t>孙绍华</t>
  </si>
  <si>
    <t>南脱硫西侧护栏</t>
  </si>
  <si>
    <t>× 添加照明设施，切除破损的护栏</t>
  </si>
  <si>
    <t>右前臂挫裂伤，缝三针</t>
  </si>
  <si>
    <t>刘波</t>
  </si>
  <si>
    <t>初冷器南侧过路管架</t>
  </si>
  <si>
    <t>√ 加固</t>
  </si>
  <si>
    <t>住院治疗，损工一个月</t>
  </si>
  <si>
    <t>曹建</t>
  </si>
  <si>
    <t>20-7-13</t>
  </si>
  <si>
    <t>75吨锅炉煤仓</t>
  </si>
  <si>
    <t>√ 制作按装护栏</t>
  </si>
  <si>
    <t>化产车间北循环水</t>
  </si>
  <si>
    <t>人员脸部被划伤，送医简单包扎后正常工作。</t>
  </si>
  <si>
    <t>赵丽香</t>
  </si>
  <si>
    <t>老凉水架西南角</t>
  </si>
  <si>
    <t>√ 清除上部玻璃钢瓦</t>
  </si>
  <si>
    <t>轻微扭伤休息后正常工作</t>
  </si>
  <si>
    <t>张传良</t>
  </si>
  <si>
    <t>西硫铵东管架</t>
  </si>
  <si>
    <t>× 焊补漏点，清除地面积水</t>
  </si>
  <si>
    <t>1号站</t>
  </si>
  <si>
    <t>休息一个月，损工30天</t>
  </si>
  <si>
    <t>操作错误</t>
  </si>
  <si>
    <t>刘凤春</t>
  </si>
  <si>
    <t>生化池护栏</t>
  </si>
  <si>
    <t>× 维修护栏</t>
  </si>
  <si>
    <t>左腿骨折，损工105天</t>
  </si>
  <si>
    <t>缺氧池北侧</t>
  </si>
  <si>
    <t>× 更换盖板</t>
  </si>
  <si>
    <t>焦油罐区</t>
  </si>
  <si>
    <t>脚趾砸伤，休养5天，损工5天。</t>
  </si>
  <si>
    <t>× 焊接加固</t>
  </si>
  <si>
    <t>一名操作工轻微伤，简单包扎后复工</t>
  </si>
  <si>
    <t>刘强</t>
  </si>
  <si>
    <t>北脱硫</t>
  </si>
  <si>
    <t>√ 加固套杆</t>
  </si>
  <si>
    <t>住院治疗一个月误工三个月</t>
  </si>
  <si>
    <t>化学性危险和有害因素</t>
  </si>
  <si>
    <t>√ 更换活节垫</t>
  </si>
  <si>
    <t>絮凝剂出口活节垫子损坏倒至漏液。</t>
  </si>
  <si>
    <t>在巡检过程中会造成人员轻微烫伤  现场及时冷却处理没有损工</t>
  </si>
  <si>
    <t>刘立聪</t>
  </si>
  <si>
    <t>南风机初冷器</t>
  </si>
  <si>
    <t>√ 紧固法兰螺栓</t>
  </si>
  <si>
    <t>一名操作工左臂轻微伤，简单包扎后复工</t>
  </si>
  <si>
    <t>刘晓杰</t>
  </si>
  <si>
    <t>√ 清除管架漆桶</t>
  </si>
  <si>
    <t>被坠落的扁铲砸伤头部，造成轻微脑振荡，住院三天后康复出院。</t>
  </si>
  <si>
    <t>刘滨</t>
  </si>
  <si>
    <t>粗苯泵房北侧电缆桥架</t>
  </si>
  <si>
    <t>√ 清除扁铲</t>
  </si>
  <si>
    <t>35t锅炉</t>
  </si>
  <si>
    <t>可能造成皮外伤，骨折</t>
  </si>
  <si>
    <t>郑志田</t>
  </si>
  <si>
    <t>锅炉⑤楼顶</t>
  </si>
  <si>
    <t>√ 按装防护栏</t>
  </si>
  <si>
    <t>制作防护栏遮将检查孔。</t>
  </si>
  <si>
    <t>脚面受伤，一人损工7天</t>
  </si>
  <si>
    <t>刘洪芳</t>
  </si>
  <si>
    <t>综合供水室外水池处</t>
  </si>
  <si>
    <t>√ 清理铁板</t>
  </si>
  <si>
    <t>化产车间南脱硫岗位</t>
  </si>
  <si>
    <t>可能造成一名操作工手臂划伤，住院治疗一周后复工。</t>
  </si>
  <si>
    <t>唐炳涛</t>
  </si>
  <si>
    <t>循环泵</t>
  </si>
  <si>
    <t>√ 清除杂物</t>
  </si>
  <si>
    <t>盐酸液外溅，维修人员右眼轻度灼伤</t>
  </si>
  <si>
    <t>李娟娟</t>
  </si>
  <si>
    <t>加药间</t>
  </si>
  <si>
    <t>现场立即整改</t>
  </si>
  <si>
    <t>培训和表现</t>
  </si>
  <si>
    <t>√ 加强人员培训，提高安全意识</t>
  </si>
  <si>
    <t>灼伤，损工7天</t>
  </si>
  <si>
    <t>左恒坤</t>
  </si>
  <si>
    <t>东五斜桥</t>
  </si>
  <si>
    <t>√ 撤除电气开关
√ 不安全的电气开关不准使用</t>
  </si>
  <si>
    <t>漏电保护器破损，未伤到人</t>
  </si>
  <si>
    <t>陈辉</t>
  </si>
  <si>
    <t>20-7-1</t>
  </si>
  <si>
    <t>煤场北侧污水池</t>
  </si>
  <si>
    <t>× 电工更换电气开关
× 撤除电器开关</t>
  </si>
  <si>
    <t>能造成设备损坏，短路停电，电器着火</t>
  </si>
  <si>
    <t>20-7-29</t>
  </si>
  <si>
    <t>工业泵房</t>
  </si>
  <si>
    <t>× 更换处理接触器
× 加强电气巡检</t>
  </si>
  <si>
    <t>下雨淋到电机上，造成设备损坏</t>
  </si>
  <si>
    <t>风机水封槽</t>
  </si>
  <si>
    <t>√ 补齐缺失的玻璃钢瓦</t>
  </si>
  <si>
    <t>一名维修人员右脚踝扭伤，损工3天。</t>
  </si>
  <si>
    <t>李明伟</t>
  </si>
  <si>
    <t>3号站蒸氨系统</t>
  </si>
  <si>
    <t>√ 维修添加护栏</t>
  </si>
  <si>
    <t>人员触电.死亡</t>
  </si>
  <si>
    <t>付海德</t>
  </si>
  <si>
    <t>终冷塔北</t>
  </si>
  <si>
    <t>√ 立即整改，规范接电</t>
  </si>
  <si>
    <t>人身伤害</t>
  </si>
  <si>
    <t>单静</t>
  </si>
  <si>
    <t>煤九外部平台护栏开焊</t>
  </si>
  <si>
    <t>坠落的铝皮造成操作工面部轻微擦伤，未影响工作。</t>
  </si>
  <si>
    <t>岳凯</t>
  </si>
  <si>
    <t>粗苯操作室东侧框架</t>
  </si>
  <si>
    <t>√ 清除坠落铝皮</t>
  </si>
  <si>
    <t>砸伤右肩，造成局部红肿，简单处理后不影响正常工作</t>
  </si>
  <si>
    <t>深度脱硫二层平台</t>
  </si>
  <si>
    <t>一员工右小腿骨折，损工110天</t>
  </si>
  <si>
    <t>√ 尽快将裸露于地面的钢筋割除</t>
  </si>
  <si>
    <t>左手掌皮肤挫伤</t>
  </si>
  <si>
    <t>破碎机平面</t>
  </si>
  <si>
    <t>√ 按照规定将其收纳于倒链盒内。</t>
  </si>
  <si>
    <t>一员工下颌受伤，损工10天。</t>
  </si>
  <si>
    <t>赵延朋</t>
  </si>
  <si>
    <t>西五岗位</t>
  </si>
  <si>
    <t>√ 刮板使用完后要及时复位。</t>
  </si>
  <si>
    <t>操作工多处骨折，软组织挫伤，损工3个月</t>
  </si>
  <si>
    <t>常建磊</t>
  </si>
  <si>
    <t>熄焦池抓斗操作平台</t>
  </si>
  <si>
    <t>蒸汽烫伤，经过处理不影响工作</t>
  </si>
  <si>
    <t>4楼</t>
  </si>
  <si>
    <t>√ 焊补漏点</t>
  </si>
  <si>
    <t>腿部轻微伤</t>
  </si>
  <si>
    <t>高玉花</t>
  </si>
  <si>
    <t>煤五机尾</t>
  </si>
  <si>
    <t>× 巡检时注意避开小井处
× 盖板盖好</t>
  </si>
  <si>
    <t>设备停运3小时，少处理12方水</t>
  </si>
  <si>
    <t>污水反渗透浓水</t>
  </si>
  <si>
    <t>√ 管道按装固定卡</t>
  </si>
  <si>
    <t>浓水返渗透pvc管道用钢卡固定</t>
  </si>
  <si>
    <t>南脱硫岗位及配电室</t>
  </si>
  <si>
    <t>一人左肩部轻微擦伤不影响正常工作</t>
  </si>
  <si>
    <t>庞兴太</t>
  </si>
  <si>
    <t>南脱硫预冷塔</t>
  </si>
  <si>
    <t>√ 清除框架铝皮</t>
  </si>
  <si>
    <t>20-6-14</t>
  </si>
  <si>
    <t>一人触电电伤 损工50天</t>
  </si>
  <si>
    <t>√ 尽快整改</t>
  </si>
  <si>
    <t>煤九铁爬梯处</t>
  </si>
  <si>
    <t>一员工手部烫伤，损工七天</t>
  </si>
  <si>
    <t>一名操作工全身轻度烧伤，损工一个月</t>
  </si>
  <si>
    <t>化工厂</t>
  </si>
  <si>
    <t>王晶</t>
  </si>
  <si>
    <t>√ 清走报警器处杂物</t>
  </si>
  <si>
    <t>清走报警器处杂物</t>
  </si>
  <si>
    <t>一人手腕骨折，损工45天。</t>
  </si>
  <si>
    <t>丁曰海</t>
  </si>
  <si>
    <t>√ 将钢筋裸露地面部分割除</t>
  </si>
  <si>
    <t>一人轻微伤害。</t>
  </si>
  <si>
    <t>煤场2#门西侧水沟</t>
  </si>
  <si>
    <t>√ 尽快将缺失部位用盖板覆盖</t>
  </si>
  <si>
    <t>锁骨骨折，医院治疗一个月，在家休养三个月康复</t>
  </si>
  <si>
    <t>干熄焦提升机框架</t>
  </si>
  <si>
    <t>掉落砸伤</t>
  </si>
  <si>
    <t>周建伟</t>
  </si>
  <si>
    <t>南风机一层</t>
  </si>
  <si>
    <t>× 加固更换接线盒</t>
  </si>
  <si>
    <t>洗脱苯工段</t>
  </si>
  <si>
    <t>一名操作工后颈部划伤，送医院缝合治疗一周，损工一月！</t>
  </si>
  <si>
    <t>张鹏</t>
  </si>
  <si>
    <t>20-7-6</t>
  </si>
  <si>
    <t>北管式炉</t>
  </si>
  <si>
    <t>√ 加固线缆盖板</t>
  </si>
  <si>
    <t>污水处理车间2#站</t>
  </si>
  <si>
    <t>造成地面腐蚀，环境污染</t>
  </si>
  <si>
    <t>周玉亮</t>
  </si>
  <si>
    <t>2#站</t>
  </si>
  <si>
    <t>情景描述需要进一步完整，不要和后果分开</t>
  </si>
  <si>
    <t>× 维修漏点</t>
  </si>
  <si>
    <t>粗苯</t>
  </si>
  <si>
    <t>操作人员小腿摔伤骨折，入院治疗三个月，损工半年</t>
  </si>
  <si>
    <t>刘建萍</t>
  </si>
  <si>
    <t>20-7-24</t>
  </si>
  <si>
    <t>管式炉水封槽</t>
  </si>
  <si>
    <t>√ 及时覆盖盖板</t>
  </si>
  <si>
    <t>5米5筛焦楼</t>
  </si>
  <si>
    <t>送医，拍cT诊断为尾骨未端裂，在家休息3个月。</t>
  </si>
  <si>
    <t>阚洪全</t>
  </si>
  <si>
    <t>筛焦楼1号仓观察口</t>
  </si>
  <si>
    <t>人员肩部骨折，损工150天。</t>
  </si>
  <si>
    <t>煤场 煤棚</t>
  </si>
  <si>
    <t>一人高处坠落，发生死亡事故</t>
  </si>
  <si>
    <t>刘明明</t>
  </si>
  <si>
    <t>焦侧除尘干管</t>
  </si>
  <si>
    <t>一名外协人员触电死亡</t>
  </si>
  <si>
    <t>刘建恩</t>
  </si>
  <si>
    <t>5.5米推焦车</t>
  </si>
  <si>
    <t>皮带磨损大，撕裂皮带，造成停产和财产损失</t>
  </si>
  <si>
    <t>范波</t>
  </si>
  <si>
    <t>√ 更换托辊
√ 及时发现隐患及时整改</t>
  </si>
  <si>
    <t>造成重大设备安全事故</t>
  </si>
  <si>
    <t>郭红岩</t>
  </si>
  <si>
    <t>该操作工被钢管砸到头部当场死亡</t>
  </si>
  <si>
    <t>粗苯东管道架</t>
  </si>
  <si>
    <t>√ 立即清除框架上铁管</t>
  </si>
  <si>
    <t>煤九外部平台</t>
  </si>
  <si>
    <t>√ 维修焊补开焊处
√ 人员经高处时，注意避开，保持距离</t>
  </si>
  <si>
    <t>5米5焦炉炉顶</t>
  </si>
  <si>
    <t>面部轻微烧伤，一人损工</t>
  </si>
  <si>
    <t>刘涛</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</si>
</sst>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CD"/>
      <name val="Arial"/>
    </font>
    <font>
      <b val="0"/>
      <i val="0"/>
      <strike val="0"/>
      <u val="none"/>
      <sz val="8"/>
      <color rgb="000000"/>
      <name val="Arial"/>
    </font>
    <font>
      <b val="0"/>
      <i val="0"/>
      <strike val="0"/>
      <u val="none"/>
      <sz val="8"/>
      <color rgb="DC143C"/>
      <name val="Arial"/>
    </font>
  </fonts>
  <fills count="10">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90EE90"/>
        <bgColor rgb="FF000000"/>
      </patternFill>
    </fill>
    <fill>
      <patternFill patternType="solid">
        <fgColor rgb="FFF8F8FF"/>
        <bgColor rgb="FF000000"/>
      </patternFill>
    </fill>
    <fill>
      <patternFill patternType="solid">
        <fgColor rgb="FF3CB371"/>
        <bgColor rgb="FF000000"/>
      </patternFill>
    </fill>
    <fill>
      <patternFill patternType="solid">
        <fgColor rgb="FFFFD70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7">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xf xfId="0" fontId="0" numFmtId="0" fillId="9" borderId="1" applyFont="0" applyNumberFormat="0" applyFill="1"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henontech.com/fieldsafety/harzard/harzard_show.php?rid=2668&amp;url=harzardrecs.php" TargetMode="External"/><Relationship Id="rId_hyperlink_2" Type="http://schemas.openxmlformats.org/officeDocument/2006/relationships/hyperlink" Target="http://henontech.com/fieldsafety/harzard/harzard_show.php?rid=2686&amp;url=harzardrecs.php" TargetMode="External"/><Relationship Id="rId_hyperlink_3" Type="http://schemas.openxmlformats.org/officeDocument/2006/relationships/hyperlink" Target="http://henontech.com/fieldsafety/harzard/harzard_show.php?rid=2820&amp;url=harzardrecs.php" TargetMode="External"/><Relationship Id="rId_hyperlink_4" Type="http://schemas.openxmlformats.org/officeDocument/2006/relationships/hyperlink" Target="http://henontech.com/fieldsafety/harzard/harzard_show.php?rid=2846&amp;url=harzardrecs.php" TargetMode="External"/><Relationship Id="rId_hyperlink_5" Type="http://schemas.openxmlformats.org/officeDocument/2006/relationships/hyperlink" Target="http://henontech.com/fieldsafety/harzard/harzard_show.php?rid=2870&amp;url=harzardrecs.php" TargetMode="External"/><Relationship Id="rId_hyperlink_6" Type="http://schemas.openxmlformats.org/officeDocument/2006/relationships/hyperlink" Target="http://henontech.com/fieldsafety/harzard/harzard_show.php?rid=2903&amp;url=harzardrecs.php" TargetMode="External"/><Relationship Id="rId_hyperlink_7" Type="http://schemas.openxmlformats.org/officeDocument/2006/relationships/hyperlink" Target="http://henontech.com/fieldsafety/harzard/harzard_show.php?rid=2916&amp;url=harzardrecs.php" TargetMode="External"/><Relationship Id="rId_hyperlink_8" Type="http://schemas.openxmlformats.org/officeDocument/2006/relationships/hyperlink" Target="http://henontech.com/fieldsafety/harzard/harzard_show.php?rid=2948&amp;url=harzardrecs.php" TargetMode="External"/><Relationship Id="rId_hyperlink_9" Type="http://schemas.openxmlformats.org/officeDocument/2006/relationships/hyperlink" Target="http://henontech.com/fieldsafety/harzard/harzard_show.php?rid=2953&amp;url=harzardrecs.php" TargetMode="External"/><Relationship Id="rId_hyperlink_10" Type="http://schemas.openxmlformats.org/officeDocument/2006/relationships/hyperlink" Target="http://henontech.com/fieldsafety/harzard/harzard_show.php?rid=2959&amp;url=harzardrecs.php" TargetMode="External"/><Relationship Id="rId_hyperlink_11" Type="http://schemas.openxmlformats.org/officeDocument/2006/relationships/hyperlink" Target="http://henontech.com/fieldsafety/harzard/harzard_show.php?rid=2962&amp;url=harzardrecs.php" TargetMode="External"/><Relationship Id="rId_hyperlink_12" Type="http://schemas.openxmlformats.org/officeDocument/2006/relationships/hyperlink" Target="http://henontech.com/fieldsafety/harzard/harzard_show.php?rid=2980&amp;url=harzardrecs.php" TargetMode="External"/><Relationship Id="rId_hyperlink_13" Type="http://schemas.openxmlformats.org/officeDocument/2006/relationships/hyperlink" Target="http://henontech.com/fieldsafety/harzard/harzard_show.php?rid=2983&amp;url=harzardrecs.php" TargetMode="External"/><Relationship Id="rId_hyperlink_14" Type="http://schemas.openxmlformats.org/officeDocument/2006/relationships/hyperlink" Target="http://henontech.com/fieldsafety/harzard/harzard_show.php?rid=2984&amp;url=harzardrecs.php" TargetMode="External"/><Relationship Id="rId_hyperlink_15" Type="http://schemas.openxmlformats.org/officeDocument/2006/relationships/hyperlink" Target="http://henontech.com/fieldsafety/harzard/harzard_show.php?rid=2985&amp;url=harzardrecs.php" TargetMode="External"/><Relationship Id="rId_hyperlink_16" Type="http://schemas.openxmlformats.org/officeDocument/2006/relationships/hyperlink" Target="http://henontech.com/fieldsafety/harzard/harzard_show.php?rid=2988&amp;url=harzardrecs.php" TargetMode="External"/><Relationship Id="rId_hyperlink_17" Type="http://schemas.openxmlformats.org/officeDocument/2006/relationships/hyperlink" Target="http://henontech.com/fieldsafety/harzard/harzard_show.php?rid=2994&amp;url=harzardrecs.php" TargetMode="External"/><Relationship Id="rId_hyperlink_18" Type="http://schemas.openxmlformats.org/officeDocument/2006/relationships/hyperlink" Target="http://henontech.com/fieldsafety/harzard/harzard_show.php?rid=2995&amp;url=harzardrecs.php" TargetMode="External"/><Relationship Id="rId_hyperlink_19" Type="http://schemas.openxmlformats.org/officeDocument/2006/relationships/hyperlink" Target="http://henontech.com/fieldsafety/harzard/harzard_show.php?rid=2997&amp;url=harzardrecs.php" TargetMode="External"/><Relationship Id="rId_hyperlink_20" Type="http://schemas.openxmlformats.org/officeDocument/2006/relationships/hyperlink" Target="http://henontech.com/fieldsafety/harzard/harzard_show.php?rid=3004&amp;url=harzardrecs.php" TargetMode="External"/><Relationship Id="rId_hyperlink_21" Type="http://schemas.openxmlformats.org/officeDocument/2006/relationships/hyperlink" Target="http://henontech.com/fieldsafety/harzard/harzard_show.php?rid=3008&amp;url=harzardrecs.php" TargetMode="External"/><Relationship Id="rId_hyperlink_22" Type="http://schemas.openxmlformats.org/officeDocument/2006/relationships/hyperlink" Target="http://henontech.com/fieldsafety/harzard/harzard_show.php?rid=3025&amp;url=harzardrecs.php" TargetMode="External"/><Relationship Id="rId_hyperlink_23" Type="http://schemas.openxmlformats.org/officeDocument/2006/relationships/hyperlink" Target="http://henontech.com/fieldsafety/harzard/harzard_show.php?rid=3053&amp;url=harzardrecs.php" TargetMode="External"/><Relationship Id="rId_hyperlink_24" Type="http://schemas.openxmlformats.org/officeDocument/2006/relationships/hyperlink" Target="http://henontech.com/fieldsafety/harzard/harzard_show.php?rid=3073&amp;url=harzardrecs.php" TargetMode="External"/><Relationship Id="rId_hyperlink_25" Type="http://schemas.openxmlformats.org/officeDocument/2006/relationships/hyperlink" Target="http://henontech.com/fieldsafety/harzard/harzard_show.php?rid=3121&amp;url=harzardrecs.php" TargetMode="External"/><Relationship Id="rId_hyperlink_26" Type="http://schemas.openxmlformats.org/officeDocument/2006/relationships/hyperlink" Target="http://henontech.com/fieldsafety/harzard/harzard_show.php?rid=3127&amp;url=harzardrecs.php" TargetMode="External"/><Relationship Id="rId_hyperlink_27" Type="http://schemas.openxmlformats.org/officeDocument/2006/relationships/hyperlink" Target="http://henontech.com/fieldsafety/harzard/harzard_show.php?rid=3134&amp;url=harzardrecs.php" TargetMode="External"/><Relationship Id="rId_hyperlink_28" Type="http://schemas.openxmlformats.org/officeDocument/2006/relationships/hyperlink" Target="http://henontech.com/fieldsafety/harzard/harzard_show.php?rid=3135&amp;url=harzardrecs.php" TargetMode="External"/><Relationship Id="rId_hyperlink_29" Type="http://schemas.openxmlformats.org/officeDocument/2006/relationships/hyperlink" Target="http://henontech.com/fieldsafety/harzard/harzard_show.php?rid=3138&amp;url=harzardrecs.php" TargetMode="External"/><Relationship Id="rId_hyperlink_30" Type="http://schemas.openxmlformats.org/officeDocument/2006/relationships/hyperlink" Target="http://henontech.com/fieldsafety/harzard/harzard_show.php?rid=3148&amp;url=harzardrecs.php" TargetMode="External"/><Relationship Id="rId_hyperlink_31" Type="http://schemas.openxmlformats.org/officeDocument/2006/relationships/hyperlink" Target="http://henontech.com/fieldsafety/harzard/harzard_show.php?rid=3149&amp;url=harzardrecs.php" TargetMode="External"/><Relationship Id="rId_hyperlink_32" Type="http://schemas.openxmlformats.org/officeDocument/2006/relationships/hyperlink" Target="http://henontech.com/fieldsafety/harzard/harzard_show.php?rid=3151&amp;url=harzardrecs.php" TargetMode="External"/><Relationship Id="rId_hyperlink_33" Type="http://schemas.openxmlformats.org/officeDocument/2006/relationships/hyperlink" Target="http://henontech.com/fieldsafety/harzard/harzard_show.php?rid=3152&amp;url=harzardrecs.php" TargetMode="External"/><Relationship Id="rId_hyperlink_34" Type="http://schemas.openxmlformats.org/officeDocument/2006/relationships/hyperlink" Target="http://henontech.com/fieldsafety/harzard/harzard_show.php?rid=3154&amp;url=harzardrecs.php" TargetMode="External"/><Relationship Id="rId_hyperlink_35" Type="http://schemas.openxmlformats.org/officeDocument/2006/relationships/hyperlink" Target="http://henontech.com/fieldsafety/harzard/harzard_show.php?rid=3157&amp;url=harzardrecs.php" TargetMode="External"/><Relationship Id="rId_hyperlink_36" Type="http://schemas.openxmlformats.org/officeDocument/2006/relationships/hyperlink" Target="http://henontech.com/fieldsafety/harzard/harzard_show.php?rid=3158&amp;url=harzardrecs.php" TargetMode="External"/><Relationship Id="rId_hyperlink_37" Type="http://schemas.openxmlformats.org/officeDocument/2006/relationships/hyperlink" Target="http://henontech.com/fieldsafety/harzard/harzard_show.php?rid=3163&amp;url=harzardrecs.php" TargetMode="External"/><Relationship Id="rId_hyperlink_38" Type="http://schemas.openxmlformats.org/officeDocument/2006/relationships/hyperlink" Target="http://henontech.com/fieldsafety/harzard/harzard_show.php?rid=3164&amp;url=harzardrecs.php" TargetMode="External"/><Relationship Id="rId_hyperlink_39" Type="http://schemas.openxmlformats.org/officeDocument/2006/relationships/hyperlink" Target="http://henontech.com/fieldsafety/harzard/harzard_show.php?rid=3167&amp;url=harzardrecs.php" TargetMode="External"/><Relationship Id="rId_hyperlink_40" Type="http://schemas.openxmlformats.org/officeDocument/2006/relationships/hyperlink" Target="http://henontech.com/fieldsafety/harzard/harzard_show.php?rid=3170&amp;url=harzardrecs.php" TargetMode="External"/><Relationship Id="rId_hyperlink_41" Type="http://schemas.openxmlformats.org/officeDocument/2006/relationships/hyperlink" Target="http://henontech.com/fieldsafety/harzard/harzard_show.php?rid=3175&amp;url=harzardrecs.php" TargetMode="External"/><Relationship Id="rId_hyperlink_42" Type="http://schemas.openxmlformats.org/officeDocument/2006/relationships/hyperlink" Target="http://henontech.com/fieldsafety/harzard/harzard_show.php?rid=3178&amp;url=harzardrecs.php" TargetMode="External"/><Relationship Id="rId_hyperlink_43" Type="http://schemas.openxmlformats.org/officeDocument/2006/relationships/hyperlink" Target="http://henontech.com/fieldsafety/harzard/harzard_show.php?rid=3179&amp;url=harzardrecs.php" TargetMode="External"/><Relationship Id="rId_hyperlink_44" Type="http://schemas.openxmlformats.org/officeDocument/2006/relationships/hyperlink" Target="http://henontech.com/fieldsafety/harzard/harzard_show.php?rid=3180&amp;url=harzardrecs.php" TargetMode="External"/><Relationship Id="rId_hyperlink_45" Type="http://schemas.openxmlformats.org/officeDocument/2006/relationships/hyperlink" Target="http://henontech.com/fieldsafety/harzard/harzard_show.php?rid=3181&amp;url=harzardrecs.php" TargetMode="External"/><Relationship Id="rId_hyperlink_46" Type="http://schemas.openxmlformats.org/officeDocument/2006/relationships/hyperlink" Target="http://henontech.com/fieldsafety/harzard/harzard_show.php?rid=3187&amp;url=harzardrecs.php" TargetMode="External"/><Relationship Id="rId_hyperlink_47" Type="http://schemas.openxmlformats.org/officeDocument/2006/relationships/hyperlink" Target="http://henontech.com/fieldsafety/harzard/harzard_show.php?rid=3188&amp;url=harzardrecs.php" TargetMode="External"/><Relationship Id="rId_hyperlink_48" Type="http://schemas.openxmlformats.org/officeDocument/2006/relationships/hyperlink" Target="http://henontech.com/fieldsafety/harzard/harzard_show.php?rid=3189&amp;url=harzardrecs.php" TargetMode="External"/><Relationship Id="rId_hyperlink_49" Type="http://schemas.openxmlformats.org/officeDocument/2006/relationships/hyperlink" Target="http://henontech.com/fieldsafety/harzard/harzard_show.php?rid=3190&amp;url=harzardrecs.php" TargetMode="External"/><Relationship Id="rId_hyperlink_50" Type="http://schemas.openxmlformats.org/officeDocument/2006/relationships/hyperlink" Target="http://henontech.com/fieldsafety/harzard/harzard_show.php?rid=3191&amp;url=harzardrecs.php" TargetMode="External"/><Relationship Id="rId_hyperlink_51" Type="http://schemas.openxmlformats.org/officeDocument/2006/relationships/hyperlink" Target="http://henontech.com/fieldsafety/harzard/harzard_show.php?rid=3192&amp;url=harzardrecs.php" TargetMode="External"/><Relationship Id="rId_hyperlink_52" Type="http://schemas.openxmlformats.org/officeDocument/2006/relationships/hyperlink" Target="http://henontech.com/fieldsafety/harzard/harzard_show.php?rid=3193&amp;url=harzardrecs.php" TargetMode="External"/><Relationship Id="rId_hyperlink_53" Type="http://schemas.openxmlformats.org/officeDocument/2006/relationships/hyperlink" Target="http://henontech.com/fieldsafety/harzard/harzard_show.php?rid=3194&amp;url=harzardrecs.php" TargetMode="External"/><Relationship Id="rId_hyperlink_54" Type="http://schemas.openxmlformats.org/officeDocument/2006/relationships/hyperlink" Target="http://henontech.com/fieldsafety/harzard/harzard_show.php?rid=3195&amp;url=harzardrecs.php" TargetMode="External"/><Relationship Id="rId_hyperlink_55" Type="http://schemas.openxmlformats.org/officeDocument/2006/relationships/hyperlink" Target="http://henontech.com/fieldsafety/harzard/harzard_show.php?rid=3196&amp;url=harzardrecs.php" TargetMode="External"/><Relationship Id="rId_hyperlink_56" Type="http://schemas.openxmlformats.org/officeDocument/2006/relationships/hyperlink" Target="http://henontech.com/fieldsafety/harzard/harzard_show.php?rid=3197&amp;url=harzardrecs.php" TargetMode="External"/><Relationship Id="rId_hyperlink_57" Type="http://schemas.openxmlformats.org/officeDocument/2006/relationships/hyperlink" Target="http://henontech.com/fieldsafety/harzard/harzard_show.php?rid=3198&amp;url=harzardrecs.php" TargetMode="External"/><Relationship Id="rId_hyperlink_58" Type="http://schemas.openxmlformats.org/officeDocument/2006/relationships/hyperlink" Target="http://henontech.com/fieldsafety/harzard/harzard_show.php?rid=3199&amp;url=harzardrecs.php" TargetMode="External"/><Relationship Id="rId_hyperlink_59" Type="http://schemas.openxmlformats.org/officeDocument/2006/relationships/hyperlink" Target="http://henontech.com/fieldsafety/harzard/harzard_show.php?rid=3200&amp;url=harzardrecs.php" TargetMode="External"/><Relationship Id="rId_hyperlink_60" Type="http://schemas.openxmlformats.org/officeDocument/2006/relationships/hyperlink" Target="http://henontech.com/fieldsafety/harzard/harzard_show.php?rid=3201&amp;url=harzardrecs.php" TargetMode="External"/><Relationship Id="rId_hyperlink_61" Type="http://schemas.openxmlformats.org/officeDocument/2006/relationships/hyperlink" Target="http://henontech.com/fieldsafety/harzard/harzard_show.php?rid=3202&amp;url=harzardrecs.php" TargetMode="External"/><Relationship Id="rId_hyperlink_62" Type="http://schemas.openxmlformats.org/officeDocument/2006/relationships/hyperlink" Target="http://henontech.com/fieldsafety/harzard/harzard_show.php?rid=3205&amp;url=harzardrecs.php" TargetMode="External"/><Relationship Id="rId_hyperlink_63" Type="http://schemas.openxmlformats.org/officeDocument/2006/relationships/hyperlink" Target="http://henontech.com/fieldsafety/harzard/harzard_show.php?rid=3206&amp;url=harzardrecs.php" TargetMode="External"/><Relationship Id="rId_hyperlink_64" Type="http://schemas.openxmlformats.org/officeDocument/2006/relationships/hyperlink" Target="http://henontech.com/fieldsafety/harzard/harzard_show.php?rid=3207&amp;url=harzardrecs.php" TargetMode="External"/><Relationship Id="rId_hyperlink_65" Type="http://schemas.openxmlformats.org/officeDocument/2006/relationships/hyperlink" Target="http://henontech.com/fieldsafety/harzard/harzard_show.php?rid=3213&amp;url=harzardrecs.php" TargetMode="External"/><Relationship Id="rId_hyperlink_66" Type="http://schemas.openxmlformats.org/officeDocument/2006/relationships/hyperlink" Target="http://henontech.com/fieldsafety/harzard/harzard_show.php?rid=3216&amp;url=harzardrecs.php" TargetMode="External"/><Relationship Id="rId_hyperlink_67" Type="http://schemas.openxmlformats.org/officeDocument/2006/relationships/hyperlink" Target="http://henontech.com/fieldsafety/harzard/harzard_show.php?rid=3217&amp;url=harzardrecs.php" TargetMode="External"/><Relationship Id="rId_hyperlink_68" Type="http://schemas.openxmlformats.org/officeDocument/2006/relationships/hyperlink" Target="http://henontech.com/fieldsafety/harzard/harzard_show.php?rid=3218&amp;url=harzardrecs.php" TargetMode="External"/><Relationship Id="rId_hyperlink_69" Type="http://schemas.openxmlformats.org/officeDocument/2006/relationships/hyperlink" Target="http://henontech.com/fieldsafety/harzard/harzard_show.php?rid=3219&amp;url=harzardrecs.php" TargetMode="External"/><Relationship Id="rId_hyperlink_70" Type="http://schemas.openxmlformats.org/officeDocument/2006/relationships/hyperlink" Target="http://henontech.com/fieldsafety/harzard/harzard_show.php?rid=3221&amp;url=harzardrecs.php" TargetMode="External"/><Relationship Id="rId_hyperlink_71" Type="http://schemas.openxmlformats.org/officeDocument/2006/relationships/hyperlink" Target="http://henontech.com/fieldsafety/harzard/harzard_show.php?rid=3222&amp;url=harzardrecs.php" TargetMode="External"/><Relationship Id="rId_hyperlink_72" Type="http://schemas.openxmlformats.org/officeDocument/2006/relationships/hyperlink" Target="http://henontech.com/fieldsafety/harzard/harzard_show.php?rid=3223&amp;url=harzardrecs.php" TargetMode="External"/><Relationship Id="rId_hyperlink_73" Type="http://schemas.openxmlformats.org/officeDocument/2006/relationships/hyperlink" Target="http://henontech.com/fieldsafety/harzard/harzard_show.php?rid=3224&amp;url=harzardrecs.php" TargetMode="External"/><Relationship Id="rId_hyperlink_74" Type="http://schemas.openxmlformats.org/officeDocument/2006/relationships/hyperlink" Target="http://henontech.com/fieldsafety/harzard/harzard_show.php?rid=3225&amp;url=harzardrecs.php" TargetMode="External"/><Relationship Id="rId_hyperlink_75" Type="http://schemas.openxmlformats.org/officeDocument/2006/relationships/hyperlink" Target="http://henontech.com/fieldsafety/harzard/harzard_show.php?rid=3226&amp;url=harzardrecs.php" TargetMode="External"/><Relationship Id="rId_hyperlink_76" Type="http://schemas.openxmlformats.org/officeDocument/2006/relationships/hyperlink" Target="http://henontech.com/fieldsafety/harzard/harzard_show.php?rid=3228&amp;url=harzardrecs.php" TargetMode="External"/><Relationship Id="rId_hyperlink_77" Type="http://schemas.openxmlformats.org/officeDocument/2006/relationships/hyperlink" Target="http://henontech.com/fieldsafety/harzard/harzard_show.php?rid=3229&amp;url=harzardrecs.php" TargetMode="External"/><Relationship Id="rId_hyperlink_78" Type="http://schemas.openxmlformats.org/officeDocument/2006/relationships/hyperlink" Target="http://henontech.com/fieldsafety/harzard/harzard_show.php?rid=3231&amp;url=harzardrecs.php" TargetMode="External"/><Relationship Id="rId_hyperlink_79" Type="http://schemas.openxmlformats.org/officeDocument/2006/relationships/hyperlink" Target="http://henontech.com/fieldsafety/harzard/harzard_show.php?rid=3232&amp;url=harzardrecs.php" TargetMode="External"/><Relationship Id="rId_hyperlink_80" Type="http://schemas.openxmlformats.org/officeDocument/2006/relationships/hyperlink" Target="http://henontech.com/fieldsafety/harzard/harzard_show.php?rid=3235&amp;url=harzardrecs.php" TargetMode="External"/><Relationship Id="rId_hyperlink_81" Type="http://schemas.openxmlformats.org/officeDocument/2006/relationships/hyperlink" Target="http://henontech.com/fieldsafety/harzard/harzard_show.php?rid=3237&amp;url=harzardrecs.php" TargetMode="External"/><Relationship Id="rId_hyperlink_82" Type="http://schemas.openxmlformats.org/officeDocument/2006/relationships/hyperlink" Target="http://henontech.com/fieldsafety/harzard/harzard_show.php?rid=3238&amp;url=harzardrecs.php" TargetMode="External"/><Relationship Id="rId_hyperlink_83" Type="http://schemas.openxmlformats.org/officeDocument/2006/relationships/hyperlink" Target="http://henontech.com/fieldsafety/harzard/harzard_show.php?rid=3239&amp;url=harzardrecs.php" TargetMode="External"/><Relationship Id="rId_hyperlink_84" Type="http://schemas.openxmlformats.org/officeDocument/2006/relationships/hyperlink" Target="http://henontech.com/fieldsafety/harzard/harzard_show.php?rid=3240&amp;url=harzardrecs.php" TargetMode="External"/><Relationship Id="rId_hyperlink_85" Type="http://schemas.openxmlformats.org/officeDocument/2006/relationships/hyperlink" Target="http://henontech.com/fieldsafety/harzard/harzard_show.php?rid=3241&amp;url=harzardrecs.php" TargetMode="External"/><Relationship Id="rId_hyperlink_86" Type="http://schemas.openxmlformats.org/officeDocument/2006/relationships/hyperlink" Target="http://henontech.com/fieldsafety/harzard/harzard_show.php?rid=3244&amp;url=harzardrecs.php" TargetMode="External"/><Relationship Id="rId_hyperlink_87" Type="http://schemas.openxmlformats.org/officeDocument/2006/relationships/hyperlink" Target="http://henontech.com/fieldsafety/harzard/harzard_show.php?rid=3245&amp;url=harzardrecs.php" TargetMode="External"/><Relationship Id="rId_hyperlink_88" Type="http://schemas.openxmlformats.org/officeDocument/2006/relationships/hyperlink" Target="http://henontech.com/fieldsafety/harzard/harzard_show.php?rid=3246&amp;url=harzardrecs.php" TargetMode="External"/><Relationship Id="rId_hyperlink_89" Type="http://schemas.openxmlformats.org/officeDocument/2006/relationships/hyperlink" Target="http://henontech.com/fieldsafety/harzard/harzard_show.php?rid=3247&amp;url=harzardrecs.php" TargetMode="External"/><Relationship Id="rId_hyperlink_90" Type="http://schemas.openxmlformats.org/officeDocument/2006/relationships/hyperlink" Target="http://henontech.com/fieldsafety/harzard/harzard_show.php?rid=3248&amp;url=harzardrecs.php" TargetMode="External"/><Relationship Id="rId_hyperlink_91" Type="http://schemas.openxmlformats.org/officeDocument/2006/relationships/hyperlink" Target="http://henontech.com/fieldsafety/harzard/harzard_show.php?rid=3249&amp;url=harzardrecs.php" TargetMode="External"/><Relationship Id="rId_hyperlink_92" Type="http://schemas.openxmlformats.org/officeDocument/2006/relationships/hyperlink" Target="http://henontech.com/fieldsafety/harzard/harzard_show.php?rid=3250&amp;url=harzardrecs.php" TargetMode="External"/><Relationship Id="rId_hyperlink_93" Type="http://schemas.openxmlformats.org/officeDocument/2006/relationships/hyperlink" Target="http://henontech.com/fieldsafety/harzard/harzard_show.php?rid=3252&amp;url=harzardrecs.php" TargetMode="External"/><Relationship Id="rId_hyperlink_94" Type="http://schemas.openxmlformats.org/officeDocument/2006/relationships/hyperlink" Target="http://henontech.com/fieldsafety/harzard/harzard_show.php?rid=3253&amp;url=harzardrecs.php" TargetMode="External"/><Relationship Id="rId_hyperlink_95" Type="http://schemas.openxmlformats.org/officeDocument/2006/relationships/hyperlink" Target="http://henontech.com/fieldsafety/harzard/harzard_show.php?rid=3255&amp;url=harzardrecs.php" TargetMode="External"/><Relationship Id="rId_hyperlink_96" Type="http://schemas.openxmlformats.org/officeDocument/2006/relationships/hyperlink" Target="http://henontech.com/fieldsafety/harzard/harzard_show.php?rid=3256&amp;url=harzardrecs.php" TargetMode="External"/><Relationship Id="rId_hyperlink_97" Type="http://schemas.openxmlformats.org/officeDocument/2006/relationships/hyperlink" Target="http://henontech.com/fieldsafety/harzard/harzard_show.php?rid=3257&amp;url=harzardrecs.php" TargetMode="External"/><Relationship Id="rId_hyperlink_98" Type="http://schemas.openxmlformats.org/officeDocument/2006/relationships/hyperlink" Target="http://henontech.com/fieldsafety/harzard/harzard_show.php?rid=3258&amp;url=harzardrecs.php" TargetMode="External"/><Relationship Id="rId_hyperlink_99" Type="http://schemas.openxmlformats.org/officeDocument/2006/relationships/hyperlink" Target="http://henontech.com/fieldsafety/harzard/harzard_show.php?rid=3259&amp;url=harzardrecs.php" TargetMode="External"/><Relationship Id="rId_hyperlink_100" Type="http://schemas.openxmlformats.org/officeDocument/2006/relationships/hyperlink" Target="http://henontech.com/fieldsafety/harzard/harzard_show.php?rid=3260&amp;url=harzardrecs.php" TargetMode="External"/><Relationship Id="rId_hyperlink_101" Type="http://schemas.openxmlformats.org/officeDocument/2006/relationships/hyperlink" Target="http://henontech.com/fieldsafety/harzard/harzard_show.php?rid=3261&amp;url=harzardrecs.php" TargetMode="External"/><Relationship Id="rId_hyperlink_102" Type="http://schemas.openxmlformats.org/officeDocument/2006/relationships/hyperlink" Target="http://henontech.com/fieldsafety/harzard/harzard_show.php?rid=3262&amp;url=harzardrecs.php" TargetMode="External"/><Relationship Id="rId_hyperlink_103" Type="http://schemas.openxmlformats.org/officeDocument/2006/relationships/hyperlink" Target="http://henontech.com/fieldsafety/harzard/harzard_show.php?rid=3263&amp;url=harzardrecs.php" TargetMode="External"/><Relationship Id="rId_hyperlink_104" Type="http://schemas.openxmlformats.org/officeDocument/2006/relationships/hyperlink" Target="http://henontech.com/fieldsafety/harzard/harzard_show.php?rid=3264&amp;url=harzardrecs.php" TargetMode="External"/><Relationship Id="rId_hyperlink_105" Type="http://schemas.openxmlformats.org/officeDocument/2006/relationships/hyperlink" Target="http://henontech.com/fieldsafety/harzard/harzard_show.php?rid=3265&amp;url=harzardrecs.php" TargetMode="External"/><Relationship Id="rId_hyperlink_106" Type="http://schemas.openxmlformats.org/officeDocument/2006/relationships/hyperlink" Target="http://henontech.com/fieldsafety/harzard/harzard_show.php?rid=3266&amp;url=harzardrecs.php" TargetMode="External"/><Relationship Id="rId_hyperlink_107" Type="http://schemas.openxmlformats.org/officeDocument/2006/relationships/hyperlink" Target="http://henontech.com/fieldsafety/harzard/harzard_show.php?rid=3267&amp;url=harzardrecs.php" TargetMode="External"/><Relationship Id="rId_hyperlink_108" Type="http://schemas.openxmlformats.org/officeDocument/2006/relationships/hyperlink" Target="http://henontech.com/fieldsafety/harzard/harzard_show.php?rid=3268&amp;url=harzardrecs.php" TargetMode="External"/><Relationship Id="rId_hyperlink_109" Type="http://schemas.openxmlformats.org/officeDocument/2006/relationships/hyperlink" Target="http://henontech.com/fieldsafety/harzard/harzard_show.php?rid=3269&amp;url=harzardrecs.php" TargetMode="External"/><Relationship Id="rId_hyperlink_110" Type="http://schemas.openxmlformats.org/officeDocument/2006/relationships/hyperlink" Target="http://henontech.com/fieldsafety/harzard/harzard_show.php?rid=3270&amp;url=harzardrecs.php" TargetMode="External"/><Relationship Id="rId_hyperlink_111" Type="http://schemas.openxmlformats.org/officeDocument/2006/relationships/hyperlink" Target="http://henontech.com/fieldsafety/harzard/harzard_show.php?rid=3271&amp;url=harzardrecs.php" TargetMode="External"/><Relationship Id="rId_hyperlink_112" Type="http://schemas.openxmlformats.org/officeDocument/2006/relationships/hyperlink" Target="http://henontech.com/fieldsafety/harzard/harzard_show.php?rid=3272&amp;url=harzardrecs.php" TargetMode="External"/><Relationship Id="rId_hyperlink_113" Type="http://schemas.openxmlformats.org/officeDocument/2006/relationships/hyperlink" Target="http://henontech.com/fieldsafety/harzard/harzard_show.php?rid=3273&amp;url=harzardrecs.php" TargetMode="External"/><Relationship Id="rId_hyperlink_114" Type="http://schemas.openxmlformats.org/officeDocument/2006/relationships/hyperlink" Target="http://henontech.com/fieldsafety/harzard/harzard_show.php?rid=3274&amp;url=harzardrecs.php" TargetMode="External"/><Relationship Id="rId_hyperlink_115" Type="http://schemas.openxmlformats.org/officeDocument/2006/relationships/hyperlink" Target="http://henontech.com/fieldsafety/harzard/harzard_show.php?rid=3275&amp;url=harzardrecs.php" TargetMode="External"/><Relationship Id="rId_hyperlink_116" Type="http://schemas.openxmlformats.org/officeDocument/2006/relationships/hyperlink" Target="http://henontech.com/fieldsafety/harzard/harzard_show.php?rid=3276&amp;url=harzardrecs.php" TargetMode="External"/><Relationship Id="rId_hyperlink_117" Type="http://schemas.openxmlformats.org/officeDocument/2006/relationships/hyperlink" Target="http://henontech.com/fieldsafety/harzard/harzard_show.php?rid=3277&amp;url=harzardrecs.php" TargetMode="External"/><Relationship Id="rId_hyperlink_118" Type="http://schemas.openxmlformats.org/officeDocument/2006/relationships/hyperlink" Target="http://henontech.com/fieldsafety/harzard/harzard_show.php?rid=3278&amp;url=harzardrecs.php" TargetMode="External"/><Relationship Id="rId_hyperlink_119" Type="http://schemas.openxmlformats.org/officeDocument/2006/relationships/hyperlink" Target="http://henontech.com/fieldsafety/harzard/harzard_show.php?rid=3280&amp;url=harzardrecs.php" TargetMode="External"/><Relationship Id="rId_hyperlink_120" Type="http://schemas.openxmlformats.org/officeDocument/2006/relationships/hyperlink" Target="http://henontech.com/fieldsafety/harzard/harzard_show.php?rid=3281&amp;url=harzardrecs.php" TargetMode="External"/><Relationship Id="rId_hyperlink_121" Type="http://schemas.openxmlformats.org/officeDocument/2006/relationships/hyperlink" Target="http://henontech.com/fieldsafety/harzard/harzard_show.php?rid=3282&amp;url=harzardrecs.php" TargetMode="External"/><Relationship Id="rId_hyperlink_122" Type="http://schemas.openxmlformats.org/officeDocument/2006/relationships/hyperlink" Target="http://henontech.com/fieldsafety/harzard/harzard_show.php?rid=3284&amp;url=harzardrecs.php" TargetMode="External"/><Relationship Id="rId_hyperlink_123" Type="http://schemas.openxmlformats.org/officeDocument/2006/relationships/hyperlink" Target="http://henontech.com/fieldsafety/harzard/harzard_show.php?rid=3285&amp;url=harzardrecs.php" TargetMode="External"/><Relationship Id="rId_hyperlink_124" Type="http://schemas.openxmlformats.org/officeDocument/2006/relationships/hyperlink" Target="http://henontech.com/fieldsafety/harzard/harzard_show.php?rid=3286&amp;url=harzardrecs.php" TargetMode="External"/><Relationship Id="rId_hyperlink_125" Type="http://schemas.openxmlformats.org/officeDocument/2006/relationships/hyperlink" Target="http://henontech.com/fieldsafety/harzard/harzard_show.php?rid=3287&amp;url=harzardrecs.php" TargetMode="External"/><Relationship Id="rId_hyperlink_126" Type="http://schemas.openxmlformats.org/officeDocument/2006/relationships/hyperlink" Target="http://henontech.com/fieldsafety/harzard/harzard_show.php?rid=3288&amp;url=harzardrecs.php" TargetMode="External"/><Relationship Id="rId_hyperlink_127" Type="http://schemas.openxmlformats.org/officeDocument/2006/relationships/hyperlink" Target="http://henontech.com/fieldsafety/harzard/harzard_show.php?rid=3289&amp;url=harzardrecs.php" TargetMode="External"/><Relationship Id="rId_hyperlink_128" Type="http://schemas.openxmlformats.org/officeDocument/2006/relationships/hyperlink" Target="http://henontech.com/fieldsafety/harzard/harzard_show.php?rid=3290&amp;url=harzardrecs.php" TargetMode="External"/><Relationship Id="rId_hyperlink_129" Type="http://schemas.openxmlformats.org/officeDocument/2006/relationships/hyperlink" Target="http://henontech.com/fieldsafety/harzard/harzard_show.php?rid=3291&amp;url=harzardrecs.php" TargetMode="External"/><Relationship Id="rId_hyperlink_130" Type="http://schemas.openxmlformats.org/officeDocument/2006/relationships/hyperlink" Target="http://henontech.com/fieldsafety/harzard/harzard_show.php?rid=3293&amp;url=harzardrecs.php" TargetMode="External"/><Relationship Id="rId_hyperlink_131" Type="http://schemas.openxmlformats.org/officeDocument/2006/relationships/hyperlink" Target="http://henontech.com/fieldsafety/harzard/harzard_show.php?rid=3294&amp;url=harzardrecs.php" TargetMode="External"/><Relationship Id="rId_hyperlink_132" Type="http://schemas.openxmlformats.org/officeDocument/2006/relationships/hyperlink" Target="http://henontech.com/fieldsafety/harzard/harzard_show.php?rid=3298&amp;url=harzardrecs.php" TargetMode="External"/><Relationship Id="rId_hyperlink_133" Type="http://schemas.openxmlformats.org/officeDocument/2006/relationships/hyperlink" Target="http://henontech.com/fieldsafety/harzard/harzard_show.php?rid=3299&amp;url=harzardrecs.php" TargetMode="External"/><Relationship Id="rId_hyperlink_134" Type="http://schemas.openxmlformats.org/officeDocument/2006/relationships/hyperlink" Target="http://henontech.com/fieldsafety/harzard/harzard_show.php?rid=3302&amp;url=harzardrecs.php" TargetMode="External"/><Relationship Id="rId_hyperlink_135" Type="http://schemas.openxmlformats.org/officeDocument/2006/relationships/hyperlink" Target="http://henontech.com/fieldsafety/harzard/harzard_show.php?rid=3303&amp;url=harzardrecs.php" TargetMode="External"/><Relationship Id="rId_hyperlink_136" Type="http://schemas.openxmlformats.org/officeDocument/2006/relationships/hyperlink" Target="http://henontech.com/fieldsafety/harzard/harzard_show.php?rid=3304&amp;url=harzardrecs.php" TargetMode="External"/><Relationship Id="rId_hyperlink_137" Type="http://schemas.openxmlformats.org/officeDocument/2006/relationships/hyperlink" Target="http://henontech.com/fieldsafety/harzard/harzard_show.php?rid=3305&amp;url=harzardrecs.php" TargetMode="External"/><Relationship Id="rId_hyperlink_138" Type="http://schemas.openxmlformats.org/officeDocument/2006/relationships/hyperlink" Target="http://henontech.com/fieldsafety/harzard/harzard_show.php?rid=3306&amp;url=harzardrecs.php" TargetMode="External"/><Relationship Id="rId_hyperlink_139" Type="http://schemas.openxmlformats.org/officeDocument/2006/relationships/hyperlink" Target="http://henontech.com/fieldsafety/harzard/harzard_show.php?rid=3307&amp;url=harzardrecs.php" TargetMode="External"/><Relationship Id="rId_hyperlink_140" Type="http://schemas.openxmlformats.org/officeDocument/2006/relationships/hyperlink" Target="http://henontech.com/fieldsafety/harzard/harzard_show.php?rid=3309&amp;url=harzardrecs.php" TargetMode="External"/><Relationship Id="rId_hyperlink_141" Type="http://schemas.openxmlformats.org/officeDocument/2006/relationships/hyperlink" Target="http://henontech.com/fieldsafety/harzard/harzard_show.php?rid=3310&amp;url=harzardrecs.php" TargetMode="External"/><Relationship Id="rId_hyperlink_142" Type="http://schemas.openxmlformats.org/officeDocument/2006/relationships/hyperlink" Target="http://henontech.com/fieldsafety/harzard/harzard_show.php?rid=3312&amp;url=harzardrecs.php" TargetMode="External"/><Relationship Id="rId_hyperlink_143" Type="http://schemas.openxmlformats.org/officeDocument/2006/relationships/hyperlink" Target="http://henontech.com/fieldsafety/harzard/harzard_show.php?rid=3314&amp;url=harzardrecs.php" TargetMode="External"/><Relationship Id="rId_hyperlink_144" Type="http://schemas.openxmlformats.org/officeDocument/2006/relationships/hyperlink" Target="http://henontech.com/fieldsafety/harzard/harzard_show.php?rid=3317&amp;url=harzardrecs.php" TargetMode="External"/><Relationship Id="rId_hyperlink_145" Type="http://schemas.openxmlformats.org/officeDocument/2006/relationships/hyperlink" Target="http://henontech.com/fieldsafety/harzard/harzard_show.php?rid=3319&amp;url=harzardrecs.php" TargetMode="External"/><Relationship Id="rId_hyperlink_146" Type="http://schemas.openxmlformats.org/officeDocument/2006/relationships/hyperlink" Target="http://henontech.com/fieldsafety/harzard/harzard_show.php?rid=3320&amp;url=harzardrecs.php" TargetMode="External"/><Relationship Id="rId_hyperlink_147" Type="http://schemas.openxmlformats.org/officeDocument/2006/relationships/hyperlink" Target="http://henontech.com/fieldsafety/harzard/harzard_show.php?rid=3321&amp;url=harzardrecs.php" TargetMode="External"/><Relationship Id="rId_hyperlink_148" Type="http://schemas.openxmlformats.org/officeDocument/2006/relationships/hyperlink" Target="http://henontech.com/fieldsafety/harzard/harzard_show.php?rid=3322&amp;url=harzardrecs.php" TargetMode="External"/><Relationship Id="rId_hyperlink_149" Type="http://schemas.openxmlformats.org/officeDocument/2006/relationships/hyperlink" Target="http://henontech.com/fieldsafety/harzard/harzard_show.php?rid=3323&amp;url=harzardrecs.php" TargetMode="External"/><Relationship Id="rId_hyperlink_150" Type="http://schemas.openxmlformats.org/officeDocument/2006/relationships/hyperlink" Target="http://henontech.com/fieldsafety/harzard/harzard_show.php?rid=3324&amp;url=harzardrecs.php" TargetMode="External"/><Relationship Id="rId_hyperlink_151" Type="http://schemas.openxmlformats.org/officeDocument/2006/relationships/hyperlink" Target="http://henontech.com/fieldsafety/harzard/harzard_show.php?rid=3326&amp;url=harzardrecs.php" TargetMode="External"/><Relationship Id="rId_hyperlink_152" Type="http://schemas.openxmlformats.org/officeDocument/2006/relationships/hyperlink" Target="http://henontech.com/fieldsafety/harzard/harzard_show.php?rid=3327&amp;url=harzardrecs.php" TargetMode="External"/><Relationship Id="rId_hyperlink_153" Type="http://schemas.openxmlformats.org/officeDocument/2006/relationships/hyperlink" Target="http://henontech.com/fieldsafety/harzard/harzard_show.php?rid=3328&amp;url=harzardrecs.php" TargetMode="External"/><Relationship Id="rId_hyperlink_154" Type="http://schemas.openxmlformats.org/officeDocument/2006/relationships/hyperlink" Target="http://henontech.com/fieldsafety/harzard/harzard_show.php?rid=3329&amp;url=harzardrecs.php" TargetMode="External"/><Relationship Id="rId_hyperlink_155" Type="http://schemas.openxmlformats.org/officeDocument/2006/relationships/hyperlink" Target="http://henontech.com/fieldsafety/harzard/harzard_show.php?rid=3330&amp;url=harzardrecs.php" TargetMode="External"/><Relationship Id="rId_hyperlink_156" Type="http://schemas.openxmlformats.org/officeDocument/2006/relationships/hyperlink" Target="http://henontech.com/fieldsafety/harzard/harzard_show.php?rid=3331&amp;url=harzardrecs.php" TargetMode="External"/><Relationship Id="rId_hyperlink_157" Type="http://schemas.openxmlformats.org/officeDocument/2006/relationships/hyperlink" Target="http://henontech.com/fieldsafety/harzard/harzard_show.php?rid=3333&amp;url=harzardrecs.php" TargetMode="External"/><Relationship Id="rId_hyperlink_158" Type="http://schemas.openxmlformats.org/officeDocument/2006/relationships/hyperlink" Target="http://henontech.com/fieldsafety/harzard/harzard_show.php?rid=3334&amp;url=harzardrecs.php" TargetMode="External"/><Relationship Id="rId_hyperlink_159" Type="http://schemas.openxmlformats.org/officeDocument/2006/relationships/hyperlink" Target="http://henontech.com/fieldsafety/harzard/harzard_show.php?rid=3335&amp;url=harzardrecs.php" TargetMode="External"/><Relationship Id="rId_hyperlink_160" Type="http://schemas.openxmlformats.org/officeDocument/2006/relationships/hyperlink" Target="http://henontech.com/fieldsafety/harzard/harzard_show.php?rid=3336&amp;url=harzardrecs.php" TargetMode="External"/><Relationship Id="rId_hyperlink_161" Type="http://schemas.openxmlformats.org/officeDocument/2006/relationships/hyperlink" Target="http://henontech.com/fieldsafety/harzard/harzard_show.php?rid=3337&amp;url=harzardrecs.php" TargetMode="External"/><Relationship Id="rId_hyperlink_162" Type="http://schemas.openxmlformats.org/officeDocument/2006/relationships/hyperlink" Target="http://henontech.com/fieldsafety/harzard/harzard_show.php?rid=3338&amp;url=harzardrecs.php" TargetMode="External"/><Relationship Id="rId_hyperlink_163" Type="http://schemas.openxmlformats.org/officeDocument/2006/relationships/hyperlink" Target="http://henontech.com/fieldsafety/harzard/harzard_show.php?rid=3339&amp;url=harzardrecs.php" TargetMode="External"/><Relationship Id="rId_hyperlink_164" Type="http://schemas.openxmlformats.org/officeDocument/2006/relationships/hyperlink" Target="http://henontech.com/fieldsafety/harzard/harzard_show.php?rid=3341&amp;url=harzardrecs.php" TargetMode="External"/><Relationship Id="rId_hyperlink_165" Type="http://schemas.openxmlformats.org/officeDocument/2006/relationships/hyperlink" Target="http://henontech.com/fieldsafety/harzard/harzard_show.php?rid=3342&amp;url=harzardrecs.php" TargetMode="External"/><Relationship Id="rId_hyperlink_166" Type="http://schemas.openxmlformats.org/officeDocument/2006/relationships/hyperlink" Target="http://henontech.com/fieldsafety/harzard/harzard_show.php?rid=3343&amp;url=harzardrecs.php" TargetMode="External"/><Relationship Id="rId_hyperlink_167" Type="http://schemas.openxmlformats.org/officeDocument/2006/relationships/hyperlink" Target="http://henontech.com/fieldsafety/harzard/harzard_show.php?rid=3344&amp;url=harzardrecs.php" TargetMode="External"/><Relationship Id="rId_hyperlink_168" Type="http://schemas.openxmlformats.org/officeDocument/2006/relationships/hyperlink" Target="http://henontech.com/fieldsafety/harzard/harzard_show.php?rid=3345&amp;url=harzardrecs.php" TargetMode="External"/><Relationship Id="rId_hyperlink_169" Type="http://schemas.openxmlformats.org/officeDocument/2006/relationships/hyperlink" Target="http://henontech.com/fieldsafety/harzard/harzard_show.php?rid=3346&amp;url=harzardrecs.php" TargetMode="External"/><Relationship Id="rId_hyperlink_170" Type="http://schemas.openxmlformats.org/officeDocument/2006/relationships/hyperlink" Target="http://henontech.com/fieldsafety/harzard/harzard_show.php?rid=3348&amp;url=harzardrecs.php" TargetMode="External"/><Relationship Id="rId_hyperlink_171" Type="http://schemas.openxmlformats.org/officeDocument/2006/relationships/hyperlink" Target="http://henontech.com/fieldsafety/harzard/harzard_show.php?rid=3349&amp;url=harzardrecs.php" TargetMode="External"/><Relationship Id="rId_hyperlink_172" Type="http://schemas.openxmlformats.org/officeDocument/2006/relationships/hyperlink" Target="http://henontech.com/fieldsafety/harzard/harzard_show.php?rid=3350&amp;url=harzardrecs.php" TargetMode="External"/><Relationship Id="rId_hyperlink_173" Type="http://schemas.openxmlformats.org/officeDocument/2006/relationships/hyperlink" Target="http://henontech.com/fieldsafety/harzard/harzard_show.php?rid=3351&amp;url=harzardrecs.php" TargetMode="External"/><Relationship Id="rId_hyperlink_174" Type="http://schemas.openxmlformats.org/officeDocument/2006/relationships/hyperlink" Target="http://henontech.com/fieldsafety/harzard/harzard_show.php?rid=3352&amp;url=harzardrecs.php" TargetMode="External"/><Relationship Id="rId_hyperlink_175" Type="http://schemas.openxmlformats.org/officeDocument/2006/relationships/hyperlink" Target="http://henontech.com/fieldsafety/harzard/harzard_show.php?rid=3353&amp;url=harzardrecs.php" TargetMode="External"/><Relationship Id="rId_hyperlink_176" Type="http://schemas.openxmlformats.org/officeDocument/2006/relationships/hyperlink" Target="http://henontech.com/fieldsafety/harzard/harzard_show.php?rid=3354&amp;url=harzardrecs.php" TargetMode="External"/><Relationship Id="rId_hyperlink_177" Type="http://schemas.openxmlformats.org/officeDocument/2006/relationships/hyperlink" Target="http://henontech.com/fieldsafety/harzard/harzard_show.php?rid=3355&amp;url=harzardrecs.php" TargetMode="External"/><Relationship Id="rId_hyperlink_178" Type="http://schemas.openxmlformats.org/officeDocument/2006/relationships/hyperlink" Target="http://henontech.com/fieldsafety/harzard/harzard_show.php?rid=3356&amp;url=harzardrecs.php" TargetMode="External"/><Relationship Id="rId_hyperlink_179" Type="http://schemas.openxmlformats.org/officeDocument/2006/relationships/hyperlink" Target="http://henontech.com/fieldsafety/harzard/harzard_show.php?rid=3357&amp;url=harzardrecs.php" TargetMode="External"/><Relationship Id="rId_hyperlink_180" Type="http://schemas.openxmlformats.org/officeDocument/2006/relationships/hyperlink" Target="http://henontech.com/fieldsafety/harzard/harzard_show.php?rid=3358&amp;url=harzardrecs.php" TargetMode="External"/><Relationship Id="rId_hyperlink_181" Type="http://schemas.openxmlformats.org/officeDocument/2006/relationships/hyperlink" Target="http://henontech.com/fieldsafety/harzard/harzard_show.php?rid=3359&amp;url=harzardrecs.php" TargetMode="External"/><Relationship Id="rId_hyperlink_182" Type="http://schemas.openxmlformats.org/officeDocument/2006/relationships/hyperlink" Target="http://henontech.com/fieldsafety/harzard/harzard_show.php?rid=3361&amp;url=harzardrecs.php" TargetMode="External"/><Relationship Id="rId_hyperlink_183" Type="http://schemas.openxmlformats.org/officeDocument/2006/relationships/hyperlink" Target="http://henontech.com/fieldsafety/harzard/harzard_show.php?rid=3362&amp;url=harzardrecs.php" TargetMode="External"/><Relationship Id="rId_hyperlink_184" Type="http://schemas.openxmlformats.org/officeDocument/2006/relationships/hyperlink" Target="http://henontech.com/fieldsafety/harzard/harzard_show.php?rid=3363&amp;url=harzardrecs.php" TargetMode="External"/><Relationship Id="rId_hyperlink_185" Type="http://schemas.openxmlformats.org/officeDocument/2006/relationships/hyperlink" Target="http://henontech.com/fieldsafety/harzard/harzard_show.php?rid=3364&amp;url=harzardrecs.php" TargetMode="External"/><Relationship Id="rId_hyperlink_186" Type="http://schemas.openxmlformats.org/officeDocument/2006/relationships/hyperlink" Target="http://henontech.com/fieldsafety/harzard/harzard_show.php?rid=3365&amp;url=harzardrecs.php" TargetMode="External"/><Relationship Id="rId_hyperlink_187" Type="http://schemas.openxmlformats.org/officeDocument/2006/relationships/hyperlink" Target="http://henontech.com/fieldsafety/harzard/harzard_show.php?rid=3366&amp;url=harzardrecs.php" TargetMode="External"/><Relationship Id="rId_hyperlink_188" Type="http://schemas.openxmlformats.org/officeDocument/2006/relationships/hyperlink" Target="http://henontech.com/fieldsafety/harzard/harzard_show.php?rid=3367&amp;url=harzardrecs.php" TargetMode="External"/><Relationship Id="rId_hyperlink_189" Type="http://schemas.openxmlformats.org/officeDocument/2006/relationships/hyperlink" Target="http://henontech.com/fieldsafety/harzard/harzard_show.php?rid=3368&amp;url=harzardrecs.php" TargetMode="External"/><Relationship Id="rId_hyperlink_190" Type="http://schemas.openxmlformats.org/officeDocument/2006/relationships/hyperlink" Target="http://henontech.com/fieldsafety/harzard/harzard_show.php?rid=3369&amp;url=harzardrecs.php" TargetMode="External"/><Relationship Id="rId_hyperlink_191" Type="http://schemas.openxmlformats.org/officeDocument/2006/relationships/hyperlink" Target="http://henontech.com/fieldsafety/harzard/harzard_show.php?rid=3370&amp;url=harzardrecs.php" TargetMode="External"/><Relationship Id="rId_hyperlink_192" Type="http://schemas.openxmlformats.org/officeDocument/2006/relationships/hyperlink" Target="http://henontech.com/fieldsafety/harzard/harzard_show.php?rid=3371&amp;url=harzardrecs.php" TargetMode="External"/><Relationship Id="rId_hyperlink_193" Type="http://schemas.openxmlformats.org/officeDocument/2006/relationships/hyperlink" Target="http://henontech.com/fieldsafety/harzard/harzard_show.php?rid=3372&amp;url=harzardrecs.php" TargetMode="External"/><Relationship Id="rId_hyperlink_194" Type="http://schemas.openxmlformats.org/officeDocument/2006/relationships/hyperlink" Target="http://henontech.com/fieldsafety/harzard/harzard_show.php?rid=3373&amp;url=harzardrecs.php" TargetMode="External"/><Relationship Id="rId_hyperlink_195" Type="http://schemas.openxmlformats.org/officeDocument/2006/relationships/hyperlink" Target="http://henontech.com/fieldsafety/harzard/harzard_show.php?rid=3374&amp;url=harzardrecs.php" TargetMode="External"/><Relationship Id="rId_hyperlink_196" Type="http://schemas.openxmlformats.org/officeDocument/2006/relationships/hyperlink" Target="http://henontech.com/fieldsafety/harzard/harzard_show.php?rid=3375&amp;url=harzardrecs.php" TargetMode="External"/><Relationship Id="rId_hyperlink_197" Type="http://schemas.openxmlformats.org/officeDocument/2006/relationships/hyperlink" Target="http://henontech.com/fieldsafety/harzard/harzard_show.php?rid=3376&amp;url=harzardrecs.php" TargetMode="External"/><Relationship Id="rId_hyperlink_198" Type="http://schemas.openxmlformats.org/officeDocument/2006/relationships/hyperlink" Target="http://henontech.com/fieldsafety/harzard/harzard_show.php?rid=3377&amp;url=harzardrecs.php" TargetMode="External"/><Relationship Id="rId_hyperlink_199" Type="http://schemas.openxmlformats.org/officeDocument/2006/relationships/hyperlink" Target="http://henontech.com/fieldsafety/harzard/harzard_show.php?rid=3378&amp;url=harzardrecs.php" TargetMode="External"/><Relationship Id="rId_hyperlink_200" Type="http://schemas.openxmlformats.org/officeDocument/2006/relationships/hyperlink" Target="http://henontech.com/fieldsafety/harzard/harzard_show.php?rid=3379&amp;url=harzardrecs.php" TargetMode="External"/><Relationship Id="rId_hyperlink_201" Type="http://schemas.openxmlformats.org/officeDocument/2006/relationships/hyperlink" Target="http://henontech.com/fieldsafety/harzard/harzard_show.php?rid=3380&amp;url=harzardrecs.php" TargetMode="External"/><Relationship Id="rId_hyperlink_202" Type="http://schemas.openxmlformats.org/officeDocument/2006/relationships/hyperlink" Target="http://henontech.com/fieldsafety/harzard/harzard_show.php?rid=3381&amp;url=harzardrecs.php" TargetMode="External"/><Relationship Id="rId_hyperlink_203" Type="http://schemas.openxmlformats.org/officeDocument/2006/relationships/hyperlink" Target="http://henontech.com/fieldsafety/harzard/harzard_show.php?rid=3382&amp;url=harzardrecs.php" TargetMode="External"/><Relationship Id="rId_hyperlink_204" Type="http://schemas.openxmlformats.org/officeDocument/2006/relationships/hyperlink" Target="http://henontech.com/fieldsafety/harzard/harzard_show.php?rid=3383&amp;url=harzardrecs.php" TargetMode="External"/><Relationship Id="rId_hyperlink_205" Type="http://schemas.openxmlformats.org/officeDocument/2006/relationships/hyperlink" Target="http://henontech.com/fieldsafety/harzard/harzard_show.php?rid=3385&amp;url=harzardrecs.php" TargetMode="External"/><Relationship Id="rId_hyperlink_206" Type="http://schemas.openxmlformats.org/officeDocument/2006/relationships/hyperlink" Target="http://henontech.com/fieldsafety/harzard/harzard_show.php?rid=3387&amp;url=harzardrecs.php" TargetMode="External"/><Relationship Id="rId_hyperlink_207" Type="http://schemas.openxmlformats.org/officeDocument/2006/relationships/hyperlink" Target="http://henontech.com/fieldsafety/harzard/harzard_show.php?rid=3388&amp;url=harzardrecs.php" TargetMode="External"/><Relationship Id="rId_hyperlink_208" Type="http://schemas.openxmlformats.org/officeDocument/2006/relationships/hyperlink" Target="http://henontech.com/fieldsafety/harzard/harzard_show.php?rid=3389&amp;url=harzardrecs.php" TargetMode="External"/><Relationship Id="rId_hyperlink_209" Type="http://schemas.openxmlformats.org/officeDocument/2006/relationships/hyperlink" Target="http://henontech.com/fieldsafety/harzard/harzard_show.php?rid=3390&amp;url=harzardrecs.php" TargetMode="External"/><Relationship Id="rId_hyperlink_210" Type="http://schemas.openxmlformats.org/officeDocument/2006/relationships/hyperlink" Target="http://henontech.com/fieldsafety/harzard/harzard_show.php?rid=3392&amp;url=harzardrecs.php" TargetMode="External"/><Relationship Id="rId_hyperlink_211" Type="http://schemas.openxmlformats.org/officeDocument/2006/relationships/hyperlink" Target="http://henontech.com/fieldsafety/harzard/harzard_show.php?rid=3393&amp;url=harzardrecs.php" TargetMode="External"/><Relationship Id="rId_hyperlink_212" Type="http://schemas.openxmlformats.org/officeDocument/2006/relationships/hyperlink" Target="http://henontech.com/fieldsafety/harzard/harzard_show.php?rid=3394&amp;url=harzardrecs.php" TargetMode="External"/><Relationship Id="rId_hyperlink_213" Type="http://schemas.openxmlformats.org/officeDocument/2006/relationships/hyperlink" Target="http://henontech.com/fieldsafety/harzard/harzard_show.php?rid=3395&amp;url=harzardrecs.php" TargetMode="External"/><Relationship Id="rId_hyperlink_214" Type="http://schemas.openxmlformats.org/officeDocument/2006/relationships/hyperlink" Target="http://henontech.com/fieldsafety/harzard/harzard_show.php?rid=3396&amp;url=harzardrecs.php" TargetMode="External"/><Relationship Id="rId_hyperlink_215" Type="http://schemas.openxmlformats.org/officeDocument/2006/relationships/hyperlink" Target="http://henontech.com/fieldsafety/harzard/harzard_show.php?rid=3397&amp;url=harzardrecs.php" TargetMode="External"/><Relationship Id="rId_hyperlink_216" Type="http://schemas.openxmlformats.org/officeDocument/2006/relationships/hyperlink" Target="http://henontech.com/fieldsafety/harzard/harzard_show.php?rid=3398&amp;url=harzardrecs.php" TargetMode="External"/><Relationship Id="rId_hyperlink_217" Type="http://schemas.openxmlformats.org/officeDocument/2006/relationships/hyperlink" Target="http://henontech.com/fieldsafety/harzard/harzard_show.php?rid=3399&amp;url=harzardrecs.php" TargetMode="External"/><Relationship Id="rId_hyperlink_218" Type="http://schemas.openxmlformats.org/officeDocument/2006/relationships/hyperlink" Target="http://henontech.com/fieldsafety/harzard/harzard_show.php?rid=3400&amp;url=harzardrecs.php" TargetMode="External"/><Relationship Id="rId_hyperlink_219" Type="http://schemas.openxmlformats.org/officeDocument/2006/relationships/hyperlink" Target="http://henontech.com/fieldsafety/harzard/harzard_show.php?rid=3401&amp;url=harzardrecs.php" TargetMode="External"/><Relationship Id="rId_hyperlink_220" Type="http://schemas.openxmlformats.org/officeDocument/2006/relationships/hyperlink" Target="http://henontech.com/fieldsafety/harzard/harzard_show.php?rid=3405&amp;url=harzardrecs.php" TargetMode="External"/><Relationship Id="rId_hyperlink_221" Type="http://schemas.openxmlformats.org/officeDocument/2006/relationships/hyperlink" Target="http://henontech.com/fieldsafety/harzard/harzard_show.php?rid=3413&amp;url=harzardrecs.php" TargetMode="External"/><Relationship Id="rId_hyperlink_222" Type="http://schemas.openxmlformats.org/officeDocument/2006/relationships/hyperlink" Target="http://henontech.com/fieldsafety/harzard/harzard_show.php?rid=3419&amp;url=harzardrecs.php" TargetMode="External"/><Relationship Id="rId_hyperlink_223" Type="http://schemas.openxmlformats.org/officeDocument/2006/relationships/hyperlink" Target="http://henontech.com/fieldsafety/harzard/harzard_show.php?rid=3421&amp;url=harzardrecs.php" TargetMode="External"/><Relationship Id="rId_hyperlink_224" Type="http://schemas.openxmlformats.org/officeDocument/2006/relationships/hyperlink" Target="http://henontech.com/fieldsafety/harzard/harzard_show.php?rid=3423&amp;url=harzardrecs.php" TargetMode="External"/><Relationship Id="rId_hyperlink_225" Type="http://schemas.openxmlformats.org/officeDocument/2006/relationships/hyperlink" Target="http://henontech.com/fieldsafety/harzard/harzard_show.php?rid=3425&amp;url=harzardrecs.php" TargetMode="External"/><Relationship Id="rId_hyperlink_226" Type="http://schemas.openxmlformats.org/officeDocument/2006/relationships/hyperlink" Target="http://henontech.com/fieldsafety/harzard/harzard_show.php?rid=3431&amp;url=harzardrecs.php" TargetMode="External"/><Relationship Id="rId_hyperlink_227" Type="http://schemas.openxmlformats.org/officeDocument/2006/relationships/hyperlink" Target="http://henontech.com/fieldsafety/harzard/harzard_show.php?rid=3432&amp;url=harzardrecs.php" TargetMode="External"/><Relationship Id="rId_hyperlink_228" Type="http://schemas.openxmlformats.org/officeDocument/2006/relationships/hyperlink" Target="http://henontech.com/fieldsafety/harzard/harzard_show.php?rid=3440&amp;url=harzardrecs.php" TargetMode="External"/><Relationship Id="rId_hyperlink_229" Type="http://schemas.openxmlformats.org/officeDocument/2006/relationships/hyperlink" Target="http://henontech.com/fieldsafety/harzard/harzard_show.php?rid=3444&amp;url=harzardrecs.php" TargetMode="External"/><Relationship Id="rId_hyperlink_230" Type="http://schemas.openxmlformats.org/officeDocument/2006/relationships/hyperlink" Target="http://henontech.com/fieldsafety/harzard/harzard_show.php?rid=3470&amp;url=harzardrecs.php" TargetMode="External"/><Relationship Id="rId_hyperlink_231" Type="http://schemas.openxmlformats.org/officeDocument/2006/relationships/hyperlink" Target="http://henontech.com/fieldsafety/harzard/harzard_show.php?rid=3492&amp;url=harzardrecs.php" TargetMode="External"/><Relationship Id="rId_hyperlink_232" Type="http://schemas.openxmlformats.org/officeDocument/2006/relationships/hyperlink" Target="http://henontech.com/fieldsafety/harzard/harzard_show.php?rid=3494&amp;url=harzardrecs.php" TargetMode="External"/><Relationship Id="rId_hyperlink_233" Type="http://schemas.openxmlformats.org/officeDocument/2006/relationships/hyperlink" Target="http://henontech.com/fieldsafety/harzard/harzard_show.php?rid=3495&amp;url=harzardrecs.php" TargetMode="External"/><Relationship Id="rId_hyperlink_234" Type="http://schemas.openxmlformats.org/officeDocument/2006/relationships/hyperlink" Target="http://henontech.com/fieldsafety/harzard/harzard_show.php?rid=3496&amp;url=harzardrecs.php" TargetMode="External"/><Relationship Id="rId_hyperlink_235" Type="http://schemas.openxmlformats.org/officeDocument/2006/relationships/hyperlink" Target="http://henontech.com/fieldsafety/harzard/harzard_show.php?rid=3498&amp;url=harzardrecs.php" TargetMode="External"/><Relationship Id="rId_hyperlink_236" Type="http://schemas.openxmlformats.org/officeDocument/2006/relationships/hyperlink" Target="http://henontech.com/fieldsafety/harzard/harzard_show.php?rid=3499&amp;url=harzardrecs.php" TargetMode="External"/><Relationship Id="rId_hyperlink_237" Type="http://schemas.openxmlformats.org/officeDocument/2006/relationships/hyperlink" Target="http://henontech.com/fieldsafety/harzard/harzard_show.php?rid=3502&amp;url=harzardrecs.php" TargetMode="External"/><Relationship Id="rId_hyperlink_238" Type="http://schemas.openxmlformats.org/officeDocument/2006/relationships/hyperlink" Target="http://henontech.com/fieldsafety/harzard/harzard_show.php?rid=3518&amp;url=harzardrecs.php" TargetMode="External"/><Relationship Id="rId_hyperlink_239" Type="http://schemas.openxmlformats.org/officeDocument/2006/relationships/hyperlink" Target="http://henontech.com/fieldsafety/harzard/harzard_show.php?rid=3522&amp;url=harzardrecs.php" TargetMode="External"/><Relationship Id="rId_hyperlink_240" Type="http://schemas.openxmlformats.org/officeDocument/2006/relationships/hyperlink" Target="http://henontech.com/fieldsafety/harzard/harzard_show.php?rid=3524&amp;url=harzardrecs.php" TargetMode="External"/><Relationship Id="rId_hyperlink_241" Type="http://schemas.openxmlformats.org/officeDocument/2006/relationships/hyperlink" Target="http://henontech.com/fieldsafety/harzard/harzard_show.php?rid=3526&amp;url=harzardrecs.php" TargetMode="External"/><Relationship Id="rId_hyperlink_242" Type="http://schemas.openxmlformats.org/officeDocument/2006/relationships/hyperlink" Target="http://henontech.com/fieldsafety/harzard/harzard_show.php?rid=3527&amp;url=harzardrecs.php" TargetMode="External"/><Relationship Id="rId_hyperlink_243" Type="http://schemas.openxmlformats.org/officeDocument/2006/relationships/hyperlink" Target="http://henontech.com/fieldsafety/harzard/harzard_show.php?rid=3532&amp;url=harzardrecs.php" TargetMode="External"/><Relationship Id="rId_hyperlink_244" Type="http://schemas.openxmlformats.org/officeDocument/2006/relationships/hyperlink" Target="http://henontech.com/fieldsafety/harzard/harzard_show.php?rid=3533&amp;url=harzardrecs.php" TargetMode="External"/><Relationship Id="rId_hyperlink_245" Type="http://schemas.openxmlformats.org/officeDocument/2006/relationships/hyperlink" Target="http://henontech.com/fieldsafety/harzard/harzard_show.php?rid=3534&amp;url=harzardrecs.php" TargetMode="External"/><Relationship Id="rId_hyperlink_246" Type="http://schemas.openxmlformats.org/officeDocument/2006/relationships/hyperlink" Target="http://henontech.com/fieldsafety/harzard/harzard_show.php?rid=3535&amp;url=harzardrecs.php" TargetMode="External"/><Relationship Id="rId_hyperlink_247" Type="http://schemas.openxmlformats.org/officeDocument/2006/relationships/hyperlink" Target="http://henontech.com/fieldsafety/harzard/harzard_show.php?rid=3542&amp;url=harzardrecs.php" TargetMode="External"/><Relationship Id="rId_hyperlink_248" Type="http://schemas.openxmlformats.org/officeDocument/2006/relationships/hyperlink" Target="http://henontech.com/fieldsafety/harzard/harzard_show.php?rid=3543&amp;url=harzardrecs.php" TargetMode="External"/><Relationship Id="rId_hyperlink_249" Type="http://schemas.openxmlformats.org/officeDocument/2006/relationships/hyperlink" Target="http://henontech.com/fieldsafety/harzard/harzard_show.php?rid=3545&amp;url=harzardrecs.php" TargetMode="External"/><Relationship Id="rId_hyperlink_250" Type="http://schemas.openxmlformats.org/officeDocument/2006/relationships/hyperlink" Target="http://henontech.com/fieldsafety/harzard/harzard_show.php?rid=3547&amp;url=harzardrecs.php" TargetMode="External"/><Relationship Id="rId_hyperlink_251" Type="http://schemas.openxmlformats.org/officeDocument/2006/relationships/hyperlink" Target="http://henontech.com/fieldsafety/harzard/harzard_show.php?rid=3548&amp;url=harzardrecs.php" TargetMode="External"/><Relationship Id="rId_hyperlink_252" Type="http://schemas.openxmlformats.org/officeDocument/2006/relationships/hyperlink" Target="http://henontech.com/fieldsafety/harzard/harzard_show.php?rid=3549&amp;url=harzardrecs.php" TargetMode="External"/><Relationship Id="rId_hyperlink_253" Type="http://schemas.openxmlformats.org/officeDocument/2006/relationships/hyperlink" Target="http://henontech.com/fieldsafety/harzard/harzard_show.php?rid=3550&amp;url=harzardrecs.php" TargetMode="External"/><Relationship Id="rId_hyperlink_254" Type="http://schemas.openxmlformats.org/officeDocument/2006/relationships/hyperlink" Target="http://henontech.com/fieldsafety/harzard/harzard_show.php?rid=3551&amp;url=harzardrecs.php" TargetMode="External"/><Relationship Id="rId_hyperlink_255" Type="http://schemas.openxmlformats.org/officeDocument/2006/relationships/hyperlink" Target="http://henontech.com/fieldsafety/harzard/harzard_show.php?rid=3552&amp;url=harzardrecs.php" TargetMode="External"/><Relationship Id="rId_hyperlink_256" Type="http://schemas.openxmlformats.org/officeDocument/2006/relationships/hyperlink" Target="http://henontech.com/fieldsafety/harzard/harzard_show.php?rid=3554&amp;url=harzardrecs.php" TargetMode="External"/><Relationship Id="rId_hyperlink_257" Type="http://schemas.openxmlformats.org/officeDocument/2006/relationships/hyperlink" Target="http://henontech.com/fieldsafety/harzard/harzard_show.php?rid=3555&amp;url=harzardrecs.php" TargetMode="External"/><Relationship Id="rId_hyperlink_258" Type="http://schemas.openxmlformats.org/officeDocument/2006/relationships/hyperlink" Target="http://henontech.com/fieldsafety/harzard/harzard_show.php?rid=3557&amp;url=harzardrecs.php" TargetMode="External"/><Relationship Id="rId_hyperlink_259" Type="http://schemas.openxmlformats.org/officeDocument/2006/relationships/hyperlink" Target="http://henontech.com/fieldsafety/harzard/harzard_show.php?rid=3558&amp;url=harzardrecs.php" TargetMode="External"/><Relationship Id="rId_hyperlink_260" Type="http://schemas.openxmlformats.org/officeDocument/2006/relationships/hyperlink" Target="http://henontech.com/fieldsafety/harzard/harzard_show.php?rid=3559&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265"/>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ustomHeight="1" ht="42">
      <c r="A6" s="19">
        <v>1</v>
      </c>
      <c r="B6" s="19" t="s">
        <v>39</v>
      </c>
      <c r="C6" s="19" t="s">
        <v>40</v>
      </c>
      <c r="D6" s="19" t="str">
        <f>HYPERLINK("http://henontech.com/fieldsafety/harzard/harzard_show.php?rid=2668&amp;url=harzardrecs.php","5.5米焦炉废气交换油缸底座松动，假如不及时处理换向时脱落无法换向停止加热四小时，造成四小时无法出焦和炉体窜漏。")</f>
        <v>5.5米焦炉废气交换油缸底座松动，假如不及时处理换向时脱落无法换向停止加热四小时，造成四小时无法出焦和炉体窜漏。</v>
      </c>
      <c r="E6" s="19" t="s">
        <v>41</v>
      </c>
      <c r="F6" s="20" t="s">
        <v>42</v>
      </c>
      <c r="G6" s="21" t="s">
        <v>43</v>
      </c>
      <c r="H6" s="19" t="s">
        <v>44</v>
      </c>
      <c r="I6" s="19" t="s">
        <v>45</v>
      </c>
      <c r="J6" s="19"/>
      <c r="K6" s="19"/>
      <c r="L6" s="19" t="s">
        <v>46</v>
      </c>
      <c r="M6" s="19" t="s">
        <v>47</v>
      </c>
      <c r="N6" s="19" t="s">
        <v>48</v>
      </c>
      <c r="O6" s="19" t="s">
        <v>47</v>
      </c>
      <c r="P6" s="19" t="s">
        <v>49</v>
      </c>
      <c r="Q6" s="19" t="s">
        <v>50</v>
      </c>
      <c r="R6" s="19" t="s">
        <v>51</v>
      </c>
      <c r="S6" s="19"/>
      <c r="T6" s="19" t="s">
        <v>52</v>
      </c>
      <c r="U6" s="19" t="s">
        <v>53</v>
      </c>
      <c r="V6" s="19" t="s">
        <v>54</v>
      </c>
      <c r="W6" s="19" t="s">
        <v>55</v>
      </c>
      <c r="X6" s="19" t="s">
        <v>56</v>
      </c>
      <c r="Y6" s="19"/>
      <c r="Z6" s="19" t="s">
        <v>57</v>
      </c>
      <c r="AA6" s="19">
        <v>2</v>
      </c>
      <c r="AB6" s="19">
        <v>2</v>
      </c>
      <c r="AC6" s="19" t="s">
        <v>58</v>
      </c>
      <c r="AD6" s="19" t="s">
        <v>49</v>
      </c>
      <c r="AE6" s="19" t="s">
        <v>59</v>
      </c>
      <c r="AF6" s="19" t="s">
        <v>60</v>
      </c>
    </row>
    <row r="7" spans="1:34" customHeight="1" ht="42">
      <c r="A7" s="19">
        <v>2</v>
      </c>
      <c r="B7" s="19" t="s">
        <v>61</v>
      </c>
      <c r="C7" s="19" t="s">
        <v>47</v>
      </c>
      <c r="D7" s="19" t="str">
        <f>HYPERLINK("http://henontech.com/fieldsafety/harzard/harzard_show.php?rid=2686&amp;url=harzardrecs.php","5.5地下室在机测炉头煤气管架离地1.7米左右有一钢筋外突过长，光线暗！倘若有人工作时一不注意碰伤面部，造成轻伤到医务室清洗包扎处理！休息3天怠工事件！")</f>
        <v>5.5地下室在机测炉头煤气管架离地1.7米左右有一钢筋外突过长，光线暗！倘若有人工作时一不注意碰伤面部，造成轻伤到医务室清洗包扎处理！休息3天怠工事件！</v>
      </c>
      <c r="E7" s="19" t="s">
        <v>62</v>
      </c>
      <c r="F7" s="20" t="s">
        <v>42</v>
      </c>
      <c r="G7" s="21" t="s">
        <v>43</v>
      </c>
      <c r="H7" s="19" t="s">
        <v>44</v>
      </c>
      <c r="I7" s="19" t="s">
        <v>45</v>
      </c>
      <c r="J7" s="19" t="s">
        <v>63</v>
      </c>
      <c r="K7" s="19" t="s">
        <v>64</v>
      </c>
      <c r="L7" s="19" t="s">
        <v>46</v>
      </c>
      <c r="M7" s="19" t="s">
        <v>47</v>
      </c>
      <c r="N7" s="19" t="s">
        <v>65</v>
      </c>
      <c r="O7" s="19" t="s">
        <v>47</v>
      </c>
      <c r="P7" s="19" t="s">
        <v>49</v>
      </c>
      <c r="Q7" s="19" t="s">
        <v>66</v>
      </c>
      <c r="R7" s="19" t="s">
        <v>67</v>
      </c>
      <c r="S7" s="19"/>
      <c r="T7" s="19" t="s">
        <v>68</v>
      </c>
      <c r="U7" s="19" t="s">
        <v>69</v>
      </c>
      <c r="V7" s="19" t="s">
        <v>70</v>
      </c>
      <c r="W7" s="19" t="s">
        <v>55</v>
      </c>
      <c r="X7" s="19" t="s">
        <v>56</v>
      </c>
      <c r="Y7" s="19"/>
      <c r="Z7" s="19" t="s">
        <v>71</v>
      </c>
      <c r="AA7" s="19">
        <v>2</v>
      </c>
      <c r="AB7" s="19">
        <v>1</v>
      </c>
      <c r="AC7" s="19" t="s">
        <v>58</v>
      </c>
      <c r="AD7" s="19" t="s">
        <v>49</v>
      </c>
      <c r="AE7" s="19" t="s">
        <v>72</v>
      </c>
      <c r="AF7" s="19" t="s">
        <v>73</v>
      </c>
    </row>
    <row r="8" spans="1:34">
      <c r="A8" s="19">
        <v>3</v>
      </c>
      <c r="B8" s="19" t="s">
        <v>74</v>
      </c>
      <c r="C8" s="19" t="s">
        <v>75</v>
      </c>
      <c r="D8" s="19" t="str">
        <f>HYPERLINK("http://henontech.com/fieldsafety/harzard/harzard_show.php?rid=2820&amp;url=harzardrecs.php","两盐放料底部管道法兰因腐蚀严重漏液，造成地面轻微腐蚀，操作工及时清理未造成环境污染。")</f>
        <v>两盐放料底部管道法兰因腐蚀严重漏液，造成地面轻微腐蚀，操作工及时清理未造成环境污染。</v>
      </c>
      <c r="E8" s="19" t="s">
        <v>76</v>
      </c>
      <c r="F8" s="20" t="s">
        <v>42</v>
      </c>
      <c r="G8" s="22" t="s">
        <v>77</v>
      </c>
      <c r="H8" s="19" t="s">
        <v>44</v>
      </c>
      <c r="I8" s="19"/>
      <c r="J8" s="19" t="s">
        <v>78</v>
      </c>
      <c r="K8" s="19" t="s">
        <v>64</v>
      </c>
      <c r="L8" s="19"/>
      <c r="M8" s="19" t="s">
        <v>75</v>
      </c>
      <c r="N8" s="19" t="s">
        <v>79</v>
      </c>
      <c r="O8" s="19" t="s">
        <v>75</v>
      </c>
      <c r="P8" s="19" t="s">
        <v>80</v>
      </c>
      <c r="Q8" s="19" t="s">
        <v>81</v>
      </c>
      <c r="R8" s="19" t="s">
        <v>82</v>
      </c>
      <c r="S8" s="19"/>
      <c r="T8" s="19" t="s">
        <v>83</v>
      </c>
      <c r="U8" s="19" t="s">
        <v>53</v>
      </c>
      <c r="V8" s="19" t="s">
        <v>84</v>
      </c>
      <c r="W8" s="19" t="s">
        <v>55</v>
      </c>
      <c r="X8" s="19"/>
      <c r="Y8" s="19"/>
      <c r="Z8" s="19" t="s">
        <v>85</v>
      </c>
      <c r="AA8" s="19">
        <v>1</v>
      </c>
      <c r="AB8" s="19">
        <v>1</v>
      </c>
      <c r="AC8" s="19" t="s">
        <v>58</v>
      </c>
      <c r="AD8" s="19" t="s">
        <v>80</v>
      </c>
      <c r="AE8" s="19" t="s">
        <v>86</v>
      </c>
      <c r="AF8" s="19"/>
    </row>
    <row r="9" spans="1:34" customHeight="1" ht="42">
      <c r="A9" s="19">
        <v>4</v>
      </c>
      <c r="B9" s="19" t="s">
        <v>87</v>
      </c>
      <c r="C9" s="19" t="s">
        <v>88</v>
      </c>
      <c r="D9" s="19" t="str">
        <f>HYPERLINK("http://henontech.com/fieldsafety/harzard/harzard_show.php?rid=2846&amp;url=harzardrecs.php","汽轮机底层二号减温减压西侧电缆盖板损坏，有一名操作工巡检时，不慎掉入。造成右腿受伤出血，送医院缝合十针在医院治疗三天后出院。")</f>
        <v>汽轮机底层二号减温减压西侧电缆盖板损坏，有一名操作工巡检时，不慎掉入。造成右腿受伤出血，送医院缝合十针在医院治疗三天后出院。</v>
      </c>
      <c r="E9" s="19" t="s">
        <v>89</v>
      </c>
      <c r="F9" s="20" t="s">
        <v>42</v>
      </c>
      <c r="G9" s="22" t="s">
        <v>77</v>
      </c>
      <c r="H9" s="19" t="s">
        <v>44</v>
      </c>
      <c r="I9" s="19" t="s">
        <v>90</v>
      </c>
      <c r="J9" s="19" t="s">
        <v>63</v>
      </c>
      <c r="K9" s="19" t="s">
        <v>64</v>
      </c>
      <c r="L9" s="19"/>
      <c r="M9" s="19" t="s">
        <v>91</v>
      </c>
      <c r="N9" s="19" t="s">
        <v>92</v>
      </c>
      <c r="O9" s="19" t="s">
        <v>91</v>
      </c>
      <c r="P9" s="19" t="s">
        <v>93</v>
      </c>
      <c r="Q9" s="19" t="s">
        <v>94</v>
      </c>
      <c r="R9" s="19" t="s">
        <v>95</v>
      </c>
      <c r="S9" s="19"/>
      <c r="T9" s="19" t="s">
        <v>68</v>
      </c>
      <c r="U9" s="19" t="s">
        <v>96</v>
      </c>
      <c r="V9" s="19" t="s">
        <v>70</v>
      </c>
      <c r="W9" s="19" t="s">
        <v>97</v>
      </c>
      <c r="X9" s="19" t="s">
        <v>98</v>
      </c>
      <c r="Y9" s="19"/>
      <c r="Z9" s="19" t="s">
        <v>99</v>
      </c>
      <c r="AA9" s="19">
        <v>2</v>
      </c>
      <c r="AB9" s="19">
        <v>2</v>
      </c>
      <c r="AC9" s="19" t="s">
        <v>58</v>
      </c>
      <c r="AD9" s="19" t="s">
        <v>93</v>
      </c>
      <c r="AE9" s="19" t="s">
        <v>100</v>
      </c>
      <c r="AF9" s="19" t="s">
        <v>101</v>
      </c>
    </row>
    <row r="10" spans="1:34" customHeight="1" ht="42">
      <c r="A10" s="19">
        <v>5</v>
      </c>
      <c r="B10" s="19" t="s">
        <v>102</v>
      </c>
      <c r="C10" s="19" t="s">
        <v>103</v>
      </c>
      <c r="D10" s="19" t="str">
        <f>HYPERLINK("http://henontech.com/fieldsafety/harzard/harzard_show.php?rid=2870&amp;url=harzardrecs.php","除盐水站二楼加药间加碱泵未固定，一员工巡检至加药间调节碱泵上量时，碱泵倾斜，员工被溅出的碱灼伤手部，立即用大量清水冲洗，皮肤发红无损工")</f>
        <v>除盐水站二楼加药间加碱泵未固定，一员工巡检至加药间调节碱泵上量时，碱泵倾斜，员工被溅出的碱灼伤手部，立即用大量清水冲洗，皮肤发红无损工</v>
      </c>
      <c r="E10" s="19" t="s">
        <v>104</v>
      </c>
      <c r="F10" s="20" t="s">
        <v>42</v>
      </c>
      <c r="G10" s="22" t="s">
        <v>77</v>
      </c>
      <c r="H10" s="19" t="s">
        <v>44</v>
      </c>
      <c r="I10" s="19"/>
      <c r="J10" s="19" t="s">
        <v>105</v>
      </c>
      <c r="K10" s="19" t="s">
        <v>64</v>
      </c>
      <c r="L10" s="19" t="s">
        <v>46</v>
      </c>
      <c r="M10" s="19" t="s">
        <v>47</v>
      </c>
      <c r="N10" s="19" t="s">
        <v>106</v>
      </c>
      <c r="O10" s="19" t="s">
        <v>91</v>
      </c>
      <c r="P10" s="19" t="s">
        <v>107</v>
      </c>
      <c r="Q10" s="19" t="s">
        <v>108</v>
      </c>
      <c r="R10" s="19" t="s">
        <v>109</v>
      </c>
      <c r="S10" s="19"/>
      <c r="T10" s="19" t="s">
        <v>68</v>
      </c>
      <c r="U10" s="19" t="s">
        <v>53</v>
      </c>
      <c r="V10" s="19" t="s">
        <v>70</v>
      </c>
      <c r="W10" s="19" t="s">
        <v>55</v>
      </c>
      <c r="X10" s="19" t="s">
        <v>98</v>
      </c>
      <c r="Y10" s="19"/>
      <c r="Z10" s="19" t="s">
        <v>110</v>
      </c>
      <c r="AA10" s="19">
        <v>2</v>
      </c>
      <c r="AB10" s="19">
        <v>2</v>
      </c>
      <c r="AC10" s="19" t="s">
        <v>58</v>
      </c>
      <c r="AD10" s="19" t="s">
        <v>107</v>
      </c>
      <c r="AE10" s="19" t="s">
        <v>100</v>
      </c>
      <c r="AF10" s="19" t="s">
        <v>111</v>
      </c>
    </row>
    <row r="11" spans="1:34">
      <c r="A11" s="19">
        <v>6</v>
      </c>
      <c r="B11" s="19" t="s">
        <v>112</v>
      </c>
      <c r="C11" s="19" t="s">
        <v>113</v>
      </c>
      <c r="D11" s="19" t="str">
        <f>HYPERLINK("http://henontech.com/fieldsafety/harzard/harzard_show.php?rid=2903&amp;url=harzardrecs.php","一名操作工在攀爬初冷器东侧爬梯时，因爬梯无护笼致使该操作工坠落到地面，导致右小腿骨折，送医救治，治疗三个月后恢复出院，损工三个月。")</f>
        <v>一名操作工在攀爬初冷器东侧爬梯时，因爬梯无护笼致使该操作工坠落到地面，导致右小腿骨折，送医救治，治疗三个月后恢复出院，损工三个月。</v>
      </c>
      <c r="E11" s="19" t="s">
        <v>114</v>
      </c>
      <c r="F11" s="20" t="s">
        <v>42</v>
      </c>
      <c r="G11" s="22" t="s">
        <v>77</v>
      </c>
      <c r="H11" s="19" t="s">
        <v>44</v>
      </c>
      <c r="I11" s="19" t="s">
        <v>115</v>
      </c>
      <c r="J11" s="19" t="s">
        <v>63</v>
      </c>
      <c r="K11" s="19" t="s">
        <v>116</v>
      </c>
      <c r="L11" s="19"/>
      <c r="M11" s="19" t="s">
        <v>75</v>
      </c>
      <c r="N11" s="19" t="s">
        <v>117</v>
      </c>
      <c r="O11" s="19" t="s">
        <v>75</v>
      </c>
      <c r="P11" s="19" t="s">
        <v>80</v>
      </c>
      <c r="Q11" s="19" t="s">
        <v>118</v>
      </c>
      <c r="R11" s="19" t="s">
        <v>119</v>
      </c>
      <c r="S11" s="19"/>
      <c r="T11" s="19" t="s">
        <v>68</v>
      </c>
      <c r="U11" s="19" t="s">
        <v>96</v>
      </c>
      <c r="V11" s="19" t="s">
        <v>54</v>
      </c>
      <c r="W11" s="19" t="s">
        <v>120</v>
      </c>
      <c r="X11" s="19"/>
      <c r="Y11" s="19"/>
      <c r="Z11" s="19" t="s">
        <v>121</v>
      </c>
      <c r="AA11" s="19">
        <v>1</v>
      </c>
      <c r="AB11" s="19">
        <v>1</v>
      </c>
      <c r="AC11" s="19" t="s">
        <v>58</v>
      </c>
      <c r="AD11" s="19" t="s">
        <v>80</v>
      </c>
      <c r="AE11" s="19" t="s">
        <v>122</v>
      </c>
      <c r="AF11" s="19"/>
    </row>
    <row r="12" spans="1:34">
      <c r="A12" s="19">
        <v>7</v>
      </c>
      <c r="B12" s="19" t="s">
        <v>123</v>
      </c>
      <c r="C12" s="19" t="s">
        <v>124</v>
      </c>
      <c r="D12" s="19" t="str">
        <f>HYPERLINK("http://henontech.com/fieldsafety/harzard/harzard_show.php?rid=2916&amp;url=harzardrecs.php","干熄焦主控室内，地面砖翘起，一名员工从此处走，被绊倒，从地面起来后回到岗位继续工作，未造成人员伤害。")</f>
        <v>干熄焦主控室内，地面砖翘起，一名员工从此处走，被绊倒，从地面起来后回到岗位继续工作，未造成人员伤害。</v>
      </c>
      <c r="E12" s="19" t="s">
        <v>125</v>
      </c>
      <c r="F12" s="20" t="s">
        <v>42</v>
      </c>
      <c r="G12" s="22" t="s">
        <v>77</v>
      </c>
      <c r="H12" s="19" t="s">
        <v>44</v>
      </c>
      <c r="I12" s="19" t="s">
        <v>45</v>
      </c>
      <c r="J12" s="19" t="s">
        <v>63</v>
      </c>
      <c r="K12" s="19" t="s">
        <v>64</v>
      </c>
      <c r="L12" s="19"/>
      <c r="M12" s="19" t="s">
        <v>47</v>
      </c>
      <c r="N12" s="19" t="s">
        <v>126</v>
      </c>
      <c r="O12" s="19" t="s">
        <v>47</v>
      </c>
      <c r="P12" s="19" t="s">
        <v>127</v>
      </c>
      <c r="Q12" s="19" t="s">
        <v>128</v>
      </c>
      <c r="R12" s="19" t="s">
        <v>129</v>
      </c>
      <c r="S12" s="19" t="s">
        <v>130</v>
      </c>
      <c r="T12" s="19" t="s">
        <v>68</v>
      </c>
      <c r="U12" s="19" t="s">
        <v>53</v>
      </c>
      <c r="V12" s="19" t="s">
        <v>70</v>
      </c>
      <c r="W12" s="19" t="s">
        <v>55</v>
      </c>
      <c r="X12" s="19" t="s">
        <v>98</v>
      </c>
      <c r="Y12" s="19"/>
      <c r="Z12" s="19" t="s">
        <v>131</v>
      </c>
      <c r="AA12" s="19">
        <v>1</v>
      </c>
      <c r="AB12" s="19">
        <v>1</v>
      </c>
      <c r="AC12" s="19" t="s">
        <v>58</v>
      </c>
      <c r="AD12" s="19" t="s">
        <v>127</v>
      </c>
      <c r="AE12" s="19" t="s">
        <v>132</v>
      </c>
      <c r="AF12" s="19" t="s">
        <v>133</v>
      </c>
    </row>
    <row r="13" spans="1:34" customHeight="1" ht="42">
      <c r="A13" s="19">
        <v>8</v>
      </c>
      <c r="B13" s="19" t="s">
        <v>134</v>
      </c>
      <c r="C13" s="19" t="s">
        <v>135</v>
      </c>
      <c r="D13" s="19" t="str">
        <f>HYPERLINK("http://henontech.com/fieldsafety/harzard/harzard_show.php?rid=2948&amp;url=harzardrecs.php","5.5米推焦车平台竖梯子，推焦车行走过程中梯子倾倒")</f>
        <v>5.5米推焦车平台竖梯子，推焦车行走过程中梯子倾倒</v>
      </c>
      <c r="E13" s="19" t="s">
        <v>136</v>
      </c>
      <c r="F13" s="20" t="s">
        <v>42</v>
      </c>
      <c r="G13" s="23" t="s">
        <v>137</v>
      </c>
      <c r="H13" s="19" t="s">
        <v>44</v>
      </c>
      <c r="I13" s="19" t="s">
        <v>45</v>
      </c>
      <c r="J13" s="19" t="s">
        <v>63</v>
      </c>
      <c r="K13" s="19" t="s">
        <v>138</v>
      </c>
      <c r="L13" s="19" t="s">
        <v>46</v>
      </c>
      <c r="M13" s="19" t="s">
        <v>47</v>
      </c>
      <c r="N13" s="19" t="s">
        <v>139</v>
      </c>
      <c r="O13" s="19" t="s">
        <v>47</v>
      </c>
      <c r="P13" s="19" t="s">
        <v>140</v>
      </c>
      <c r="Q13" s="19" t="s">
        <v>141</v>
      </c>
      <c r="R13" s="19" t="s">
        <v>142</v>
      </c>
      <c r="S13" s="19"/>
      <c r="T13" s="19" t="s">
        <v>68</v>
      </c>
      <c r="U13" s="19" t="s">
        <v>96</v>
      </c>
      <c r="V13" s="19" t="s">
        <v>54</v>
      </c>
      <c r="W13" s="19" t="s">
        <v>120</v>
      </c>
      <c r="X13" s="19" t="s">
        <v>56</v>
      </c>
      <c r="Y13" s="19"/>
      <c r="Z13" s="19" t="s">
        <v>143</v>
      </c>
      <c r="AA13" s="19">
        <v>2</v>
      </c>
      <c r="AB13" s="19">
        <v>2</v>
      </c>
      <c r="AC13" s="19" t="s">
        <v>58</v>
      </c>
      <c r="AD13" s="19" t="s">
        <v>140</v>
      </c>
      <c r="AE13" s="19" t="s">
        <v>144</v>
      </c>
      <c r="AF13" s="19"/>
    </row>
    <row r="14" spans="1:34" customHeight="1" ht="42">
      <c r="A14" s="19">
        <v>9</v>
      </c>
      <c r="B14" s="19" t="s">
        <v>145</v>
      </c>
      <c r="C14" s="19" t="s">
        <v>146</v>
      </c>
      <c r="D14" s="19" t="str">
        <f>HYPERLINK("http://henontech.com/fieldsafety/harzard/harzard_show.php?rid=2953&amp;url=harzardrecs.php","75T锅炉顶电动葫芦电源线损坏，维修人员在现场施工时，易发生触电事故，造成事故人员住院，住院5天，损工5天")</f>
        <v>75T锅炉顶电动葫芦电源线损坏，维修人员在现场施工时，易发生触电事故，造成事故人员住院，住院5天，损工5天</v>
      </c>
      <c r="E14" s="19" t="s">
        <v>147</v>
      </c>
      <c r="F14" s="20" t="s">
        <v>42</v>
      </c>
      <c r="G14" s="22" t="s">
        <v>77</v>
      </c>
      <c r="H14" s="19" t="s">
        <v>44</v>
      </c>
      <c r="I14" s="19" t="s">
        <v>115</v>
      </c>
      <c r="J14" s="19" t="s">
        <v>148</v>
      </c>
      <c r="K14" s="19" t="s">
        <v>138</v>
      </c>
      <c r="L14" s="19" t="s">
        <v>149</v>
      </c>
      <c r="M14" s="19" t="s">
        <v>91</v>
      </c>
      <c r="N14" s="19" t="s">
        <v>150</v>
      </c>
      <c r="O14" s="19" t="s">
        <v>91</v>
      </c>
      <c r="P14" s="19" t="s">
        <v>151</v>
      </c>
      <c r="Q14" s="19" t="s">
        <v>152</v>
      </c>
      <c r="R14" s="19" t="s">
        <v>153</v>
      </c>
      <c r="S14" s="19"/>
      <c r="T14" s="19" t="s">
        <v>68</v>
      </c>
      <c r="U14" s="19" t="s">
        <v>69</v>
      </c>
      <c r="V14" s="19" t="s">
        <v>70</v>
      </c>
      <c r="W14" s="19" t="s">
        <v>55</v>
      </c>
      <c r="X14" s="19" t="s">
        <v>98</v>
      </c>
      <c r="Y14" s="19"/>
      <c r="Z14" s="19" t="s">
        <v>154</v>
      </c>
      <c r="AA14" s="19">
        <v>2</v>
      </c>
      <c r="AB14" s="19">
        <v>2</v>
      </c>
      <c r="AC14" s="19" t="s">
        <v>58</v>
      </c>
      <c r="AD14" s="19" t="s">
        <v>151</v>
      </c>
      <c r="AE14" s="19" t="s">
        <v>155</v>
      </c>
      <c r="AF14" s="19" t="s">
        <v>156</v>
      </c>
    </row>
    <row r="15" spans="1:34" customHeight="1" ht="42">
      <c r="A15" s="19">
        <v>10</v>
      </c>
      <c r="B15" s="19" t="s">
        <v>157</v>
      </c>
      <c r="C15" s="19" t="s">
        <v>146</v>
      </c>
      <c r="D15" s="19" t="str">
        <f>HYPERLINK("http://henontech.com/fieldsafety/harzard/harzard_show.php?rid=2959&amp;url=harzardrecs.php","锅炉操作人员在放灰时电缆突然漏电造成一名操作工右手臂电击灼伤，活动受限。")</f>
        <v>锅炉操作人员在放灰时电缆突然漏电造成一名操作工右手臂电击灼伤，活动受限。</v>
      </c>
      <c r="E15" s="19" t="s">
        <v>158</v>
      </c>
      <c r="F15" s="20" t="s">
        <v>42</v>
      </c>
      <c r="G15" s="22" t="s">
        <v>77</v>
      </c>
      <c r="H15" s="19" t="s">
        <v>44</v>
      </c>
      <c r="I15" s="19" t="s">
        <v>115</v>
      </c>
      <c r="J15" s="19" t="s">
        <v>63</v>
      </c>
      <c r="K15" s="19" t="s">
        <v>64</v>
      </c>
      <c r="L15" s="19"/>
      <c r="M15" s="19" t="s">
        <v>91</v>
      </c>
      <c r="N15" s="19" t="s">
        <v>159</v>
      </c>
      <c r="O15" s="19" t="s">
        <v>91</v>
      </c>
      <c r="P15" s="19" t="s">
        <v>151</v>
      </c>
      <c r="Q15" s="19" t="s">
        <v>160</v>
      </c>
      <c r="R15" s="19" t="s">
        <v>161</v>
      </c>
      <c r="S15" s="19"/>
      <c r="T15" s="19" t="s">
        <v>68</v>
      </c>
      <c r="U15" s="19" t="s">
        <v>69</v>
      </c>
      <c r="V15" s="19" t="s">
        <v>54</v>
      </c>
      <c r="W15" s="19" t="s">
        <v>162</v>
      </c>
      <c r="X15" s="19" t="s">
        <v>98</v>
      </c>
      <c r="Y15" s="19"/>
      <c r="Z15" s="19" t="s">
        <v>163</v>
      </c>
      <c r="AA15" s="19">
        <v>2</v>
      </c>
      <c r="AB15" s="19">
        <v>2</v>
      </c>
      <c r="AC15" s="19" t="s">
        <v>58</v>
      </c>
      <c r="AD15" s="19" t="s">
        <v>151</v>
      </c>
      <c r="AE15" s="19" t="s">
        <v>164</v>
      </c>
      <c r="AF15" s="19" t="s">
        <v>165</v>
      </c>
    </row>
    <row r="16" spans="1:34">
      <c r="A16" s="19">
        <v>11</v>
      </c>
      <c r="B16" s="19" t="s">
        <v>157</v>
      </c>
      <c r="C16" s="19" t="s">
        <v>166</v>
      </c>
      <c r="D16" s="19" t="str">
        <f>HYPERLINK("http://henontech.com/fieldsafety/harzard/harzard_show.php?rid=2962&amp;url=harzardrecs.php","一名操作工在攀爬初冷器东侧爬梯时，因爬梯无护笼及抓扶不牢致使该操作工坠落到地面，导致右小腿骨折，送医救治后出院回家修养三个月，损工三个月。")</f>
        <v>一名操作工在攀爬初冷器东侧爬梯时，因爬梯无护笼及抓扶不牢致使该操作工坠落到地面，导致右小腿骨折，送医救治后出院回家修养三个月，损工三个月。</v>
      </c>
      <c r="E16" s="19" t="s">
        <v>167</v>
      </c>
      <c r="F16" s="20" t="s">
        <v>42</v>
      </c>
      <c r="G16" s="22" t="s">
        <v>77</v>
      </c>
      <c r="H16" s="19" t="s">
        <v>44</v>
      </c>
      <c r="I16" s="19" t="s">
        <v>115</v>
      </c>
      <c r="J16" s="19" t="s">
        <v>63</v>
      </c>
      <c r="K16" s="19" t="s">
        <v>116</v>
      </c>
      <c r="L16" s="19" t="s">
        <v>46</v>
      </c>
      <c r="M16" s="19" t="s">
        <v>75</v>
      </c>
      <c r="N16" s="19" t="s">
        <v>117</v>
      </c>
      <c r="O16" s="19" t="s">
        <v>75</v>
      </c>
      <c r="P16" s="19" t="s">
        <v>80</v>
      </c>
      <c r="Q16" s="19" t="s">
        <v>160</v>
      </c>
      <c r="R16" s="19" t="s">
        <v>119</v>
      </c>
      <c r="S16" s="19"/>
      <c r="T16" s="19" t="s">
        <v>68</v>
      </c>
      <c r="U16" s="19" t="s">
        <v>96</v>
      </c>
      <c r="V16" s="19" t="s">
        <v>54</v>
      </c>
      <c r="W16" s="19" t="s">
        <v>120</v>
      </c>
      <c r="X16" s="19"/>
      <c r="Y16" s="19"/>
      <c r="Z16" s="19" t="s">
        <v>168</v>
      </c>
      <c r="AA16" s="19">
        <v>1</v>
      </c>
      <c r="AB16" s="19">
        <v>1</v>
      </c>
      <c r="AC16" s="19" t="s">
        <v>58</v>
      </c>
      <c r="AD16" s="19" t="s">
        <v>80</v>
      </c>
      <c r="AE16" s="19" t="s">
        <v>122</v>
      </c>
      <c r="AF16" s="19"/>
    </row>
    <row r="17" spans="1:34">
      <c r="A17" s="19">
        <v>12</v>
      </c>
      <c r="B17" s="19" t="s">
        <v>169</v>
      </c>
      <c r="C17" s="19" t="s">
        <v>40</v>
      </c>
      <c r="D17" s="19" t="str">
        <f>HYPERLINK("http://henontech.com/fieldsafety/harzard/harzard_show.php?rid=2980&amp;url=harzardrecs.php","维修工在检修拦焦导焦栓时，由于检修平台未加护栏，维修工不惧一脚踩空将安全戴挣断导致人员掉落在3米高的平台摔伤，及时送医治疗，诊断为腰部三节肋骨骨折。")</f>
        <v>维修工在检修拦焦导焦栓时，由于检修平台未加护栏，维修工不惧一脚踩空将安全戴挣断导致人员掉落在3米高的平台摔伤，及时送医治疗，诊断为腰部三节肋骨骨折。</v>
      </c>
      <c r="E17" s="19" t="s">
        <v>170</v>
      </c>
      <c r="F17" s="20" t="s">
        <v>42</v>
      </c>
      <c r="G17" s="22" t="s">
        <v>77</v>
      </c>
      <c r="H17" s="19" t="s">
        <v>44</v>
      </c>
      <c r="I17" s="19" t="s">
        <v>45</v>
      </c>
      <c r="J17" s="19" t="s">
        <v>63</v>
      </c>
      <c r="K17" s="19" t="s">
        <v>116</v>
      </c>
      <c r="L17" s="19" t="s">
        <v>46</v>
      </c>
      <c r="M17" s="19" t="s">
        <v>47</v>
      </c>
      <c r="N17" s="19" t="s">
        <v>171</v>
      </c>
      <c r="O17" s="19" t="s">
        <v>47</v>
      </c>
      <c r="P17" s="19" t="s">
        <v>140</v>
      </c>
      <c r="Q17" s="19" t="s">
        <v>172</v>
      </c>
      <c r="R17" s="19" t="s">
        <v>173</v>
      </c>
      <c r="S17" s="19" t="s">
        <v>174</v>
      </c>
      <c r="T17" s="19" t="s">
        <v>68</v>
      </c>
      <c r="U17" s="19" t="s">
        <v>96</v>
      </c>
      <c r="V17" s="19" t="s">
        <v>54</v>
      </c>
      <c r="W17" s="19" t="s">
        <v>120</v>
      </c>
      <c r="X17" s="19" t="s">
        <v>98</v>
      </c>
      <c r="Y17" s="19"/>
      <c r="Z17" s="19" t="s">
        <v>175</v>
      </c>
      <c r="AA17" s="19">
        <v>1</v>
      </c>
      <c r="AB17" s="19">
        <v>1</v>
      </c>
      <c r="AC17" s="19" t="s">
        <v>58</v>
      </c>
      <c r="AD17" s="19" t="s">
        <v>140</v>
      </c>
      <c r="AE17" s="19" t="s">
        <v>172</v>
      </c>
      <c r="AF17" s="19"/>
    </row>
    <row r="18" spans="1:34">
      <c r="A18" s="19">
        <v>13</v>
      </c>
      <c r="B18" s="19" t="s">
        <v>164</v>
      </c>
      <c r="C18" s="19" t="s">
        <v>176</v>
      </c>
      <c r="D18" s="19" t="str">
        <f>HYPERLINK("http://henontech.com/fieldsafety/harzard/harzard_show.php?rid=2983&amp;url=harzardrecs.php","小平台护栏立柱，下端腐烂断，一操作工在往下扒焦炭时，不慎跌落摔伤，致使一人全身多处骨折")</f>
        <v>小平台护栏立柱，下端腐烂断，一操作工在往下扒焦炭时，不慎跌落摔伤，致使一人全身多处骨折</v>
      </c>
      <c r="E18" s="19" t="s">
        <v>177</v>
      </c>
      <c r="F18" s="20" t="s">
        <v>42</v>
      </c>
      <c r="G18" s="22" t="s">
        <v>77</v>
      </c>
      <c r="H18" s="19" t="s">
        <v>44</v>
      </c>
      <c r="I18" s="19" t="s">
        <v>45</v>
      </c>
      <c r="J18" s="19" t="s">
        <v>63</v>
      </c>
      <c r="K18" s="19" t="s">
        <v>138</v>
      </c>
      <c r="L18" s="19" t="s">
        <v>46</v>
      </c>
      <c r="M18" s="19" t="s">
        <v>47</v>
      </c>
      <c r="N18" s="19" t="s">
        <v>178</v>
      </c>
      <c r="O18" s="19" t="s">
        <v>47</v>
      </c>
      <c r="P18" s="19" t="s">
        <v>140</v>
      </c>
      <c r="Q18" s="19" t="s">
        <v>179</v>
      </c>
      <c r="R18" s="19" t="s">
        <v>180</v>
      </c>
      <c r="S18" s="19" t="s">
        <v>181</v>
      </c>
      <c r="T18" s="19" t="s">
        <v>68</v>
      </c>
      <c r="U18" s="19" t="s">
        <v>96</v>
      </c>
      <c r="V18" s="19" t="s">
        <v>182</v>
      </c>
      <c r="W18" s="19" t="s">
        <v>162</v>
      </c>
      <c r="X18" s="19" t="s">
        <v>98</v>
      </c>
      <c r="Y18" s="19"/>
      <c r="Z18" s="19" t="s">
        <v>183</v>
      </c>
      <c r="AA18" s="19">
        <v>1</v>
      </c>
      <c r="AB18" s="19">
        <v>1</v>
      </c>
      <c r="AC18" s="19" t="s">
        <v>58</v>
      </c>
      <c r="AD18" s="19" t="s">
        <v>140</v>
      </c>
      <c r="AE18" s="19" t="s">
        <v>144</v>
      </c>
      <c r="AF18" s="19"/>
    </row>
    <row r="19" spans="1:34">
      <c r="A19" s="19">
        <v>14</v>
      </c>
      <c r="B19" s="19" t="s">
        <v>164</v>
      </c>
      <c r="C19" s="19" t="s">
        <v>184</v>
      </c>
      <c r="D19" s="19" t="str">
        <f>HYPERLINK("http://henontech.com/fieldsafety/harzard/harzard_show.php?rid=2984&amp;url=harzardrecs.php","4.3米焦炉煤仓外部，彩钢瓦有两块固定不牢，假如遇大风有一名职工路过时，彩钢瓦坠落砍到手臂划伤，到医院进行缝合，在家休养十五天的损工事件。")</f>
        <v>4.3米焦炉煤仓外部，彩钢瓦有两块固定不牢，假如遇大风有一名职工路过时，彩钢瓦坠落砍到手臂划伤，到医院进行缝合，在家休养十五天的损工事件。</v>
      </c>
      <c r="E19" s="19" t="s">
        <v>185</v>
      </c>
      <c r="F19" s="20" t="s">
        <v>42</v>
      </c>
      <c r="G19" s="22" t="s">
        <v>77</v>
      </c>
      <c r="H19" s="19" t="s">
        <v>44</v>
      </c>
      <c r="I19" s="19" t="s">
        <v>45</v>
      </c>
      <c r="J19" s="19"/>
      <c r="K19" s="19" t="s">
        <v>186</v>
      </c>
      <c r="L19" s="19" t="s">
        <v>46</v>
      </c>
      <c r="M19" s="19" t="s">
        <v>47</v>
      </c>
      <c r="N19" s="19" t="s">
        <v>48</v>
      </c>
      <c r="O19" s="19" t="s">
        <v>47</v>
      </c>
      <c r="P19" s="19" t="s">
        <v>49</v>
      </c>
      <c r="Q19" s="19" t="s">
        <v>179</v>
      </c>
      <c r="R19" s="19" t="s">
        <v>187</v>
      </c>
      <c r="S19" s="19" t="s">
        <v>188</v>
      </c>
      <c r="T19" s="19" t="s">
        <v>68</v>
      </c>
      <c r="U19" s="19" t="s">
        <v>96</v>
      </c>
      <c r="V19" s="19" t="s">
        <v>182</v>
      </c>
      <c r="W19" s="19" t="s">
        <v>162</v>
      </c>
      <c r="X19" s="19" t="s">
        <v>98</v>
      </c>
      <c r="Y19" s="19"/>
      <c r="Z19" s="19" t="s">
        <v>189</v>
      </c>
      <c r="AA19" s="19">
        <v>1</v>
      </c>
      <c r="AB19" s="19">
        <v>0</v>
      </c>
      <c r="AC19" s="19" t="s">
        <v>58</v>
      </c>
      <c r="AD19" s="19" t="s">
        <v>49</v>
      </c>
      <c r="AE19" s="19" t="s">
        <v>190</v>
      </c>
      <c r="AF19" s="19" t="s">
        <v>191</v>
      </c>
    </row>
    <row r="20" spans="1:34" customHeight="1" ht="42">
      <c r="A20" s="19">
        <v>15</v>
      </c>
      <c r="B20" s="19" t="s">
        <v>134</v>
      </c>
      <c r="C20" s="19" t="s">
        <v>47</v>
      </c>
      <c r="D20" s="19" t="str">
        <f>HYPERLINK("http://henontech.com/fieldsafety/harzard/harzard_show.php?rid=2985&amp;url=harzardrecs.php","5.5焦炉焦侧平台底部一处承重铁板腐蚀开裂，对上部工作平台失去承重作用，因工作人员无法观察到下面，一人在此处工作时平台坍塌人员坠落，送医检查全身多处骨折。")</f>
        <v>5.5焦炉焦侧平台底部一处承重铁板腐蚀开裂，对上部工作平台失去承重作用，因工作人员无法观察到下面，一人在此处工作时平台坍塌人员坠落，送医检查全身多处骨折。</v>
      </c>
      <c r="E20" s="19" t="s">
        <v>192</v>
      </c>
      <c r="F20" s="20" t="s">
        <v>42</v>
      </c>
      <c r="G20" s="22" t="s">
        <v>77</v>
      </c>
      <c r="H20" s="19" t="s">
        <v>44</v>
      </c>
      <c r="I20" s="19" t="s">
        <v>45</v>
      </c>
      <c r="J20" s="19" t="s">
        <v>63</v>
      </c>
      <c r="K20" s="19" t="s">
        <v>186</v>
      </c>
      <c r="L20" s="19" t="s">
        <v>46</v>
      </c>
      <c r="M20" s="19" t="s">
        <v>47</v>
      </c>
      <c r="N20" s="19" t="s">
        <v>193</v>
      </c>
      <c r="O20" s="19" t="s">
        <v>47</v>
      </c>
      <c r="P20" s="19" t="s">
        <v>140</v>
      </c>
      <c r="Q20" s="19" t="s">
        <v>141</v>
      </c>
      <c r="R20" s="19" t="s">
        <v>194</v>
      </c>
      <c r="S20" s="19"/>
      <c r="T20" s="19" t="s">
        <v>68</v>
      </c>
      <c r="U20" s="19" t="s">
        <v>96</v>
      </c>
      <c r="V20" s="19" t="s">
        <v>182</v>
      </c>
      <c r="W20" s="19" t="s">
        <v>162</v>
      </c>
      <c r="X20" s="19" t="s">
        <v>56</v>
      </c>
      <c r="Y20" s="19"/>
      <c r="Z20" s="19" t="s">
        <v>195</v>
      </c>
      <c r="AA20" s="19">
        <v>2</v>
      </c>
      <c r="AB20" s="19">
        <v>2</v>
      </c>
      <c r="AC20" s="19" t="s">
        <v>58</v>
      </c>
      <c r="AD20" s="19" t="s">
        <v>140</v>
      </c>
      <c r="AE20" s="19" t="s">
        <v>144</v>
      </c>
      <c r="AF20" s="19"/>
    </row>
    <row r="21" spans="1:34">
      <c r="A21" s="19">
        <v>16</v>
      </c>
      <c r="B21" s="19" t="s">
        <v>169</v>
      </c>
      <c r="C21" s="19" t="s">
        <v>196</v>
      </c>
      <c r="D21" s="19" t="str">
        <f>HYPERLINK("http://henontech.com/fieldsafety/harzard/harzard_show.php?rid=2988&amp;url=harzardrecs.php","一人在拦焦除尘水槽底部清理卫生时，被掉落的脚手架砸到头部，经送医抢救无效死亡")</f>
        <v>一人在拦焦除尘水槽底部清理卫生时，被掉落的脚手架砸到头部，经送医抢救无效死亡</v>
      </c>
      <c r="E21" s="19" t="s">
        <v>197</v>
      </c>
      <c r="F21" s="20" t="s">
        <v>42</v>
      </c>
      <c r="G21" s="22" t="s">
        <v>77</v>
      </c>
      <c r="H21" s="19" t="s">
        <v>44</v>
      </c>
      <c r="I21" s="19" t="s">
        <v>45</v>
      </c>
      <c r="J21" s="19" t="s">
        <v>198</v>
      </c>
      <c r="K21" s="19" t="s">
        <v>199</v>
      </c>
      <c r="L21" s="19" t="s">
        <v>46</v>
      </c>
      <c r="M21" s="19" t="s">
        <v>47</v>
      </c>
      <c r="N21" s="19" t="s">
        <v>200</v>
      </c>
      <c r="O21" s="19" t="s">
        <v>47</v>
      </c>
      <c r="P21" s="19" t="s">
        <v>49</v>
      </c>
      <c r="Q21" s="19" t="s">
        <v>179</v>
      </c>
      <c r="R21" s="19" t="s">
        <v>201</v>
      </c>
      <c r="S21" s="19" t="s">
        <v>202</v>
      </c>
      <c r="T21" s="19" t="s">
        <v>68</v>
      </c>
      <c r="U21" s="19" t="s">
        <v>203</v>
      </c>
      <c r="V21" s="19" t="s">
        <v>182</v>
      </c>
      <c r="W21" s="19" t="s">
        <v>120</v>
      </c>
      <c r="X21" s="19" t="s">
        <v>204</v>
      </c>
      <c r="Y21" s="19"/>
      <c r="Z21" s="19" t="s">
        <v>205</v>
      </c>
      <c r="AA21" s="19">
        <v>1</v>
      </c>
      <c r="AB21" s="19">
        <v>1</v>
      </c>
      <c r="AC21" s="19" t="s">
        <v>58</v>
      </c>
      <c r="AD21" s="19" t="s">
        <v>49</v>
      </c>
      <c r="AE21" s="19" t="s">
        <v>144</v>
      </c>
      <c r="AF21" s="19" t="s">
        <v>206</v>
      </c>
    </row>
    <row r="22" spans="1:34" customHeight="1" ht="42">
      <c r="A22" s="19">
        <v>17</v>
      </c>
      <c r="B22" s="19" t="s">
        <v>207</v>
      </c>
      <c r="C22" s="19" t="s">
        <v>208</v>
      </c>
      <c r="D22" s="19" t="str">
        <f>HYPERLINK("http://henontech.com/fieldsafety/harzard/harzard_show.php?rid=2994&amp;url=harzardrecs.php","3#煤场4#料口水泥平台外漏钢筋，一名操作工作业过程中不慎被绊倒，导致双手手腕骨折。住院治疗1个月，在家休养2个月。")</f>
        <v>3#煤场4#料口水泥平台外漏钢筋，一名操作工作业过程中不慎被绊倒，导致双手手腕骨折。住院治疗1个月，在家休养2个月。</v>
      </c>
      <c r="E22" s="19" t="s">
        <v>209</v>
      </c>
      <c r="F22" s="20" t="s">
        <v>42</v>
      </c>
      <c r="G22" s="22" t="s">
        <v>77</v>
      </c>
      <c r="H22" s="19" t="s">
        <v>44</v>
      </c>
      <c r="I22" s="19" t="s">
        <v>45</v>
      </c>
      <c r="J22" s="19" t="s">
        <v>63</v>
      </c>
      <c r="K22" s="19" t="s">
        <v>199</v>
      </c>
      <c r="L22" s="19" t="s">
        <v>46</v>
      </c>
      <c r="M22" s="19" t="s">
        <v>210</v>
      </c>
      <c r="N22" s="19" t="s">
        <v>211</v>
      </c>
      <c r="O22" s="19" t="s">
        <v>210</v>
      </c>
      <c r="P22" s="19" t="s">
        <v>212</v>
      </c>
      <c r="Q22" s="19" t="s">
        <v>213</v>
      </c>
      <c r="R22" s="19" t="s">
        <v>214</v>
      </c>
      <c r="S22" s="19" t="s">
        <v>215</v>
      </c>
      <c r="T22" s="19" t="s">
        <v>68</v>
      </c>
      <c r="U22" s="19" t="s">
        <v>96</v>
      </c>
      <c r="V22" s="19" t="s">
        <v>70</v>
      </c>
      <c r="W22" s="19" t="s">
        <v>97</v>
      </c>
      <c r="X22" s="19" t="s">
        <v>204</v>
      </c>
      <c r="Y22" s="19" t="s">
        <v>204</v>
      </c>
      <c r="Z22" s="19" t="s">
        <v>216</v>
      </c>
      <c r="AA22" s="19">
        <v>2</v>
      </c>
      <c r="AB22" s="19">
        <v>2</v>
      </c>
      <c r="AC22" s="19" t="s">
        <v>58</v>
      </c>
      <c r="AD22" s="19" t="s">
        <v>212</v>
      </c>
      <c r="AE22" s="19" t="s">
        <v>217</v>
      </c>
      <c r="AF22" s="19"/>
    </row>
    <row r="23" spans="1:34">
      <c r="A23" s="19">
        <v>18</v>
      </c>
      <c r="B23" s="19" t="s">
        <v>207</v>
      </c>
      <c r="C23" s="19" t="s">
        <v>218</v>
      </c>
      <c r="D23" s="19" t="str">
        <f>HYPERLINK("http://henontech.com/fieldsafety/harzard/harzard_show.php?rid=2995&amp;url=harzardrecs.php","一名操作人员在巡检过程中因安全意识不强，未注意到轴流风扇电缆线、经过时被电缆线绊倒致使膝盖淤青去医务室处理后继续工作。")</f>
        <v>一名操作人员在巡检过程中因安全意识不强，未注意到轴流风扇电缆线、经过时被电缆线绊倒致使膝盖淤青去医务室处理后继续工作。</v>
      </c>
      <c r="E23" s="19" t="s">
        <v>219</v>
      </c>
      <c r="F23" s="20" t="s">
        <v>42</v>
      </c>
      <c r="G23" s="22" t="s">
        <v>77</v>
      </c>
      <c r="H23" s="19" t="s">
        <v>44</v>
      </c>
      <c r="I23" s="19"/>
      <c r="J23" s="19" t="s">
        <v>78</v>
      </c>
      <c r="K23" s="19" t="s">
        <v>64</v>
      </c>
      <c r="L23" s="19" t="s">
        <v>46</v>
      </c>
      <c r="M23" s="19" t="s">
        <v>75</v>
      </c>
      <c r="N23" s="19" t="s">
        <v>79</v>
      </c>
      <c r="O23" s="19" t="s">
        <v>75</v>
      </c>
      <c r="P23" s="19" t="s">
        <v>80</v>
      </c>
      <c r="Q23" s="19" t="s">
        <v>220</v>
      </c>
      <c r="R23" s="19" t="s">
        <v>221</v>
      </c>
      <c r="S23" s="19"/>
      <c r="T23" s="19" t="s">
        <v>68</v>
      </c>
      <c r="U23" s="19" t="s">
        <v>69</v>
      </c>
      <c r="V23" s="19" t="s">
        <v>84</v>
      </c>
      <c r="W23" s="19" t="s">
        <v>55</v>
      </c>
      <c r="X23" s="19"/>
      <c r="Y23" s="19"/>
      <c r="Z23" s="19" t="s">
        <v>222</v>
      </c>
      <c r="AA23" s="19">
        <v>1</v>
      </c>
      <c r="AB23" s="19">
        <v>1</v>
      </c>
      <c r="AC23" s="19" t="s">
        <v>58</v>
      </c>
      <c r="AD23" s="19" t="s">
        <v>80</v>
      </c>
      <c r="AE23" s="19" t="s">
        <v>86</v>
      </c>
      <c r="AF23" s="19"/>
    </row>
    <row r="24" spans="1:34">
      <c r="A24" s="19">
        <v>19</v>
      </c>
      <c r="B24" s="19" t="s">
        <v>207</v>
      </c>
      <c r="C24" s="19" t="s">
        <v>176</v>
      </c>
      <c r="D24" s="19" t="str">
        <f>HYPERLINK("http://henontech.com/fieldsafety/harzard/harzard_show.php?rid=2997&amp;url=harzardrecs.php","扒焦小屋西侧的护栏下端腐蚀严重，一操作工在靠近栏杆干活时不慎跌落摔伤")</f>
        <v>扒焦小屋西侧的护栏下端腐蚀严重，一操作工在靠近栏杆干活时不慎跌落摔伤</v>
      </c>
      <c r="E24" s="19" t="s">
        <v>223</v>
      </c>
      <c r="F24" s="20" t="s">
        <v>42</v>
      </c>
      <c r="G24" s="22" t="s">
        <v>77</v>
      </c>
      <c r="H24" s="19" t="s">
        <v>44</v>
      </c>
      <c r="I24" s="19" t="s">
        <v>45</v>
      </c>
      <c r="J24" s="19" t="s">
        <v>63</v>
      </c>
      <c r="K24" s="19" t="s">
        <v>138</v>
      </c>
      <c r="L24" s="19" t="s">
        <v>46</v>
      </c>
      <c r="M24" s="19" t="s">
        <v>47</v>
      </c>
      <c r="N24" s="19" t="s">
        <v>224</v>
      </c>
      <c r="O24" s="19" t="s">
        <v>47</v>
      </c>
      <c r="P24" s="19" t="s">
        <v>140</v>
      </c>
      <c r="Q24" s="19" t="s">
        <v>179</v>
      </c>
      <c r="R24" s="19" t="s">
        <v>225</v>
      </c>
      <c r="S24" s="19" t="s">
        <v>226</v>
      </c>
      <c r="T24" s="19" t="s">
        <v>68</v>
      </c>
      <c r="U24" s="19" t="s">
        <v>96</v>
      </c>
      <c r="V24" s="19" t="s">
        <v>182</v>
      </c>
      <c r="W24" s="19" t="s">
        <v>162</v>
      </c>
      <c r="X24" s="19" t="s">
        <v>98</v>
      </c>
      <c r="Y24" s="19"/>
      <c r="Z24" s="19" t="s">
        <v>227</v>
      </c>
      <c r="AA24" s="19">
        <v>1</v>
      </c>
      <c r="AB24" s="19">
        <v>1</v>
      </c>
      <c r="AC24" s="19" t="s">
        <v>58</v>
      </c>
      <c r="AD24" s="19" t="s">
        <v>140</v>
      </c>
      <c r="AE24" s="19" t="s">
        <v>144</v>
      </c>
      <c r="AF24" s="19"/>
    </row>
    <row r="25" spans="1:34">
      <c r="A25" s="19">
        <v>20</v>
      </c>
      <c r="B25" s="19" t="s">
        <v>228</v>
      </c>
      <c r="C25" s="19" t="s">
        <v>229</v>
      </c>
      <c r="D25" s="19" t="str">
        <f>HYPERLINK("http://henontech.com/fieldsafety/harzard/harzard_show.php?rid=3004&amp;url=harzardrecs.php","两盐冷凝液泵连轴器防护罩缺失，可能会造成一操作工因安全风险辨识不足，用棉纱擦拭该转到设备时手部造成缠绕挤伤")</f>
        <v>两盐冷凝液泵连轴器防护罩缺失，可能会造成一操作工因安全风险辨识不足，用棉纱擦拭该转到设备时手部造成缠绕挤伤</v>
      </c>
      <c r="E25" s="19" t="s">
        <v>230</v>
      </c>
      <c r="F25" s="20" t="s">
        <v>42</v>
      </c>
      <c r="G25" s="22" t="s">
        <v>77</v>
      </c>
      <c r="H25" s="19" t="s">
        <v>44</v>
      </c>
      <c r="I25" s="19" t="s">
        <v>90</v>
      </c>
      <c r="J25" s="19" t="s">
        <v>105</v>
      </c>
      <c r="K25" s="19" t="s">
        <v>64</v>
      </c>
      <c r="L25" s="19" t="s">
        <v>46</v>
      </c>
      <c r="M25" s="19" t="s">
        <v>75</v>
      </c>
      <c r="N25" s="19" t="s">
        <v>231</v>
      </c>
      <c r="O25" s="19" t="s">
        <v>75</v>
      </c>
      <c r="P25" s="19" t="s">
        <v>80</v>
      </c>
      <c r="Q25" s="19" t="s">
        <v>220</v>
      </c>
      <c r="R25" s="19" t="s">
        <v>232</v>
      </c>
      <c r="S25" s="19"/>
      <c r="T25" s="19" t="s">
        <v>68</v>
      </c>
      <c r="U25" s="19" t="s">
        <v>96</v>
      </c>
      <c r="V25" s="19" t="s">
        <v>70</v>
      </c>
      <c r="W25" s="19" t="s">
        <v>97</v>
      </c>
      <c r="X25" s="19"/>
      <c r="Y25" s="19"/>
      <c r="Z25" s="19" t="s">
        <v>233</v>
      </c>
      <c r="AA25" s="19">
        <v>1</v>
      </c>
      <c r="AB25" s="19">
        <v>1</v>
      </c>
      <c r="AC25" s="19" t="s">
        <v>58</v>
      </c>
      <c r="AD25" s="19" t="s">
        <v>80</v>
      </c>
      <c r="AE25" s="19" t="s">
        <v>144</v>
      </c>
      <c r="AF25" s="19"/>
    </row>
    <row r="26" spans="1:34">
      <c r="A26" s="19">
        <v>21</v>
      </c>
      <c r="B26" s="19" t="s">
        <v>234</v>
      </c>
      <c r="C26" s="19" t="s">
        <v>235</v>
      </c>
      <c r="D26" s="19" t="str">
        <f>HYPERLINK("http://henontech.com/fieldsafety/harzard/harzard_show.php?rid=3008&amp;url=harzardrecs.php","粗苯计量槽爬梯接近顶部处有铁皮，由于气候原因春天风大，操作工在日常巡检过程中途经此处，铁皮被大风刮落，容易导致操作工面部划伤")</f>
        <v>粗苯计量槽爬梯接近顶部处有铁皮，由于气候原因春天风大，操作工在日常巡检过程中途经此处，铁皮被大风刮落，容易导致操作工面部划伤</v>
      </c>
      <c r="E26" s="19" t="s">
        <v>236</v>
      </c>
      <c r="F26" s="20" t="s">
        <v>42</v>
      </c>
      <c r="G26" s="22" t="s">
        <v>77</v>
      </c>
      <c r="H26" s="19" t="s">
        <v>44</v>
      </c>
      <c r="I26" s="19" t="s">
        <v>90</v>
      </c>
      <c r="J26" s="19" t="s">
        <v>63</v>
      </c>
      <c r="K26" s="19" t="s">
        <v>138</v>
      </c>
      <c r="L26" s="19"/>
      <c r="M26" s="19" t="s">
        <v>75</v>
      </c>
      <c r="N26" s="19" t="s">
        <v>237</v>
      </c>
      <c r="O26" s="19" t="s">
        <v>75</v>
      </c>
      <c r="P26" s="19" t="s">
        <v>80</v>
      </c>
      <c r="Q26" s="19" t="s">
        <v>172</v>
      </c>
      <c r="R26" s="19" t="s">
        <v>238</v>
      </c>
      <c r="S26" s="19"/>
      <c r="T26" s="19" t="s">
        <v>68</v>
      </c>
      <c r="U26" s="19" t="s">
        <v>69</v>
      </c>
      <c r="V26" s="19" t="s">
        <v>70</v>
      </c>
      <c r="W26" s="19" t="s">
        <v>55</v>
      </c>
      <c r="X26" s="19"/>
      <c r="Y26" s="19"/>
      <c r="Z26" s="19" t="s">
        <v>239</v>
      </c>
      <c r="AA26" s="19">
        <v>1</v>
      </c>
      <c r="AB26" s="19">
        <v>1</v>
      </c>
      <c r="AC26" s="19" t="s">
        <v>58</v>
      </c>
      <c r="AD26" s="19" t="s">
        <v>80</v>
      </c>
      <c r="AE26" s="19" t="s">
        <v>144</v>
      </c>
      <c r="AF26" s="19"/>
    </row>
    <row r="27" spans="1:34" customHeight="1" ht="42">
      <c r="A27" s="19">
        <v>22</v>
      </c>
      <c r="B27" s="19" t="s">
        <v>240</v>
      </c>
      <c r="C27" s="19" t="s">
        <v>47</v>
      </c>
      <c r="D27" s="19" t="str">
        <f>HYPERLINK("http://henontech.com/fieldsafety/harzard/harzard_show.php?rid=3025&amp;url=harzardrecs.php","二层平台护栏中间开焊，一操作工在搬运物品上下楼梯时，不慎滑倒，从开焊处坠落地面，头部着地，经医院抢救无效死亡。")</f>
        <v>二层平台护栏中间开焊，一操作工在搬运物品上下楼梯时，不慎滑倒，从开焊处坠落地面，头部着地，经医院抢救无效死亡。</v>
      </c>
      <c r="E27" s="19" t="s">
        <v>241</v>
      </c>
      <c r="F27" s="20" t="s">
        <v>42</v>
      </c>
      <c r="G27" s="21" t="s">
        <v>43</v>
      </c>
      <c r="H27" s="19" t="s">
        <v>44</v>
      </c>
      <c r="I27" s="19" t="s">
        <v>45</v>
      </c>
      <c r="J27" s="19" t="s">
        <v>63</v>
      </c>
      <c r="K27" s="19" t="s">
        <v>138</v>
      </c>
      <c r="L27" s="19" t="s">
        <v>46</v>
      </c>
      <c r="M27" s="19" t="s">
        <v>47</v>
      </c>
      <c r="N27" s="19" t="s">
        <v>242</v>
      </c>
      <c r="O27" s="19" t="s">
        <v>47</v>
      </c>
      <c r="P27" s="19" t="s">
        <v>140</v>
      </c>
      <c r="Q27" s="19" t="s">
        <v>243</v>
      </c>
      <c r="R27" s="19" t="s">
        <v>176</v>
      </c>
      <c r="S27" s="19"/>
      <c r="T27" s="19" t="s">
        <v>68</v>
      </c>
      <c r="U27" s="19" t="s">
        <v>203</v>
      </c>
      <c r="V27" s="19" t="s">
        <v>182</v>
      </c>
      <c r="W27" s="19" t="s">
        <v>120</v>
      </c>
      <c r="X27" s="19" t="s">
        <v>98</v>
      </c>
      <c r="Y27" s="19"/>
      <c r="Z27" s="19" t="s">
        <v>244</v>
      </c>
      <c r="AA27" s="19">
        <v>2</v>
      </c>
      <c r="AB27" s="19">
        <v>2</v>
      </c>
      <c r="AC27" s="19" t="s">
        <v>58</v>
      </c>
      <c r="AD27" s="19" t="s">
        <v>140</v>
      </c>
      <c r="AE27" s="19" t="s">
        <v>144</v>
      </c>
      <c r="AF27" s="19"/>
    </row>
    <row r="28" spans="1:34">
      <c r="A28" s="19">
        <v>23</v>
      </c>
      <c r="B28" s="19" t="s">
        <v>134</v>
      </c>
      <c r="C28" s="19" t="s">
        <v>245</v>
      </c>
      <c r="D28" s="19" t="str">
        <f>HYPERLINK("http://henontech.com/fieldsafety/harzard/harzard_show.php?rid=3053&amp;url=harzardrecs.php","北班长室南侧框架上保温铝皮因铆钉脱落，悬挂在4.5米高空管道上，如果有人途径此处，铝皮被大风刮落，就会造成过往人员右肩砸伤，送医院检查，诊断为右肩轻微骨折，损工10天")</f>
        <v>北班长室南侧框架上保温铝皮因铆钉脱落，悬挂在4.5米高空管道上，如果有人途径此处，铝皮被大风刮落，就会造成过往人员右肩砸伤，送医院检查，诊断为右肩轻微骨折，损工10天</v>
      </c>
      <c r="E28" s="19" t="s">
        <v>246</v>
      </c>
      <c r="F28" s="20" t="s">
        <v>42</v>
      </c>
      <c r="G28" s="22" t="s">
        <v>77</v>
      </c>
      <c r="H28" s="19" t="s">
        <v>44</v>
      </c>
      <c r="I28" s="19"/>
      <c r="J28" s="19"/>
      <c r="K28" s="19" t="s">
        <v>138</v>
      </c>
      <c r="L28" s="19" t="s">
        <v>46</v>
      </c>
      <c r="M28" s="19" t="s">
        <v>75</v>
      </c>
      <c r="N28" s="19" t="s">
        <v>247</v>
      </c>
      <c r="O28" s="19" t="s">
        <v>75</v>
      </c>
      <c r="P28" s="19" t="s">
        <v>80</v>
      </c>
      <c r="Q28" s="19" t="s">
        <v>248</v>
      </c>
      <c r="R28" s="19" t="s">
        <v>249</v>
      </c>
      <c r="S28" s="19"/>
      <c r="T28" s="19" t="s">
        <v>68</v>
      </c>
      <c r="U28" s="19" t="s">
        <v>96</v>
      </c>
      <c r="V28" s="19" t="s">
        <v>182</v>
      </c>
      <c r="W28" s="19" t="s">
        <v>162</v>
      </c>
      <c r="X28" s="19"/>
      <c r="Y28" s="19"/>
      <c r="Z28" s="19" t="s">
        <v>250</v>
      </c>
      <c r="AA28" s="19">
        <v>1</v>
      </c>
      <c r="AB28" s="19">
        <v>1</v>
      </c>
      <c r="AC28" s="19" t="s">
        <v>58</v>
      </c>
      <c r="AD28" s="19" t="s">
        <v>80</v>
      </c>
      <c r="AE28" s="19" t="s">
        <v>144</v>
      </c>
      <c r="AF28" s="19"/>
    </row>
    <row r="29" spans="1:34">
      <c r="A29" s="19">
        <v>24</v>
      </c>
      <c r="B29" s="19" t="s">
        <v>128</v>
      </c>
      <c r="C29" s="19" t="s">
        <v>251</v>
      </c>
      <c r="D29" s="19" t="str">
        <f>HYPERLINK("http://henontech.com/fieldsafety/harzard/harzard_show.php?rid=3073&amp;url=harzardrecs.php","煤六机头台阶地面损坏，操作工在上下台阶时被损坏的地面绊倒，导致左小臂骨折，送医院治疗15天，回家休养三个月康复！")</f>
        <v>煤六机头台阶地面损坏，操作工在上下台阶时被损坏的地面绊倒，导致左小臂骨折，送医院治疗15天，回家休养三个月康复！</v>
      </c>
      <c r="E29" s="19" t="s">
        <v>252</v>
      </c>
      <c r="F29" s="20" t="s">
        <v>42</v>
      </c>
      <c r="G29" s="22" t="s">
        <v>77</v>
      </c>
      <c r="H29" s="19" t="s">
        <v>44</v>
      </c>
      <c r="I29" s="19" t="s">
        <v>90</v>
      </c>
      <c r="J29" s="19" t="s">
        <v>63</v>
      </c>
      <c r="K29" s="19" t="s">
        <v>64</v>
      </c>
      <c r="L29" s="19" t="s">
        <v>46</v>
      </c>
      <c r="M29" s="19" t="s">
        <v>210</v>
      </c>
      <c r="N29" s="19" t="s">
        <v>253</v>
      </c>
      <c r="O29" s="19" t="s">
        <v>210</v>
      </c>
      <c r="P29" s="19" t="s">
        <v>254</v>
      </c>
      <c r="Q29" s="19" t="s">
        <v>255</v>
      </c>
      <c r="R29" s="19" t="s">
        <v>256</v>
      </c>
      <c r="S29" s="19"/>
      <c r="T29" s="19" t="s">
        <v>68</v>
      </c>
      <c r="U29" s="19" t="s">
        <v>96</v>
      </c>
      <c r="V29" s="19" t="s">
        <v>182</v>
      </c>
      <c r="W29" s="19" t="s">
        <v>162</v>
      </c>
      <c r="X29" s="19"/>
      <c r="Y29" s="19"/>
      <c r="Z29" s="19" t="s">
        <v>257</v>
      </c>
      <c r="AA29" s="19">
        <v>1</v>
      </c>
      <c r="AB29" s="19">
        <v>1</v>
      </c>
      <c r="AC29" s="19" t="s">
        <v>58</v>
      </c>
      <c r="AD29" s="19" t="s">
        <v>254</v>
      </c>
      <c r="AE29" s="19" t="s">
        <v>59</v>
      </c>
      <c r="AF29" s="19"/>
    </row>
    <row r="30" spans="1:34">
      <c r="A30" s="19">
        <v>25</v>
      </c>
      <c r="B30" s="19" t="s">
        <v>258</v>
      </c>
      <c r="C30" s="19" t="s">
        <v>259</v>
      </c>
      <c r="D30" s="19" t="str">
        <f>HYPERLINK("http://henontech.com/fieldsafety/harzard/harzard_show.php?rid=3121&amp;url=harzardrecs.php","一员工在开五号减温减压东侧管道阀门时，因缺少必要的踩踏物，脚底打滑不甚从6米管道处跌落，头部着地，送医治疗抢救无效死亡")</f>
        <v>一员工在开五号减温减压东侧管道阀门时，因缺少必要的踩踏物，脚底打滑不甚从6米管道处跌落，头部着地，送医治疗抢救无效死亡</v>
      </c>
      <c r="E30" s="19" t="s">
        <v>197</v>
      </c>
      <c r="F30" s="24" t="s">
        <v>260</v>
      </c>
      <c r="G30" s="22" t="s">
        <v>77</v>
      </c>
      <c r="H30" s="19" t="s">
        <v>44</v>
      </c>
      <c r="I30" s="19"/>
      <c r="J30" s="19" t="s">
        <v>105</v>
      </c>
      <c r="K30" s="19"/>
      <c r="L30" s="19"/>
      <c r="M30" s="19" t="s">
        <v>47</v>
      </c>
      <c r="N30" s="19" t="s">
        <v>261</v>
      </c>
      <c r="O30" s="19" t="s">
        <v>47</v>
      </c>
      <c r="P30" s="19" t="s">
        <v>140</v>
      </c>
      <c r="Q30" s="19" t="s">
        <v>262</v>
      </c>
      <c r="R30" s="19" t="s">
        <v>263</v>
      </c>
      <c r="S30" s="19" t="s">
        <v>264</v>
      </c>
      <c r="T30" s="19" t="s">
        <v>68</v>
      </c>
      <c r="U30" s="19" t="s">
        <v>203</v>
      </c>
      <c r="V30" s="19" t="s">
        <v>54</v>
      </c>
      <c r="W30" s="19" t="s">
        <v>120</v>
      </c>
      <c r="X30" s="19" t="s">
        <v>98</v>
      </c>
      <c r="Y30" s="19"/>
      <c r="Z30" s="19" t="s">
        <v>265</v>
      </c>
      <c r="AA30" s="19">
        <v>1</v>
      </c>
      <c r="AB30" s="19"/>
      <c r="AC30" s="19" t="s">
        <v>266</v>
      </c>
      <c r="AD30" s="19"/>
      <c r="AE30" s="19"/>
      <c r="AF30" s="19"/>
    </row>
    <row r="31" spans="1:34" customHeight="1" ht="42">
      <c r="A31" s="19">
        <v>26</v>
      </c>
      <c r="B31" s="19" t="s">
        <v>118</v>
      </c>
      <c r="C31" s="19" t="s">
        <v>208</v>
      </c>
      <c r="D31" s="19" t="str">
        <f>HYPERLINK("http://henontech.com/fieldsafety/harzard/harzard_show.php?rid=3127&amp;url=harzardrecs.php","煤八斜桥照明灯暗，操作工在下台阶巡检时，因看不清不慎踩歪摔倒，扭伤脚踝关节送院治疗3天，在家休养7天后复工。")</f>
        <v>煤八斜桥照明灯暗，操作工在下台阶巡检时，因看不清不慎踩歪摔倒，扭伤脚踝关节送院治疗3天，在家休养7天后复工。</v>
      </c>
      <c r="E31" s="19" t="s">
        <v>267</v>
      </c>
      <c r="F31" s="20" t="s">
        <v>42</v>
      </c>
      <c r="G31" s="21" t="s">
        <v>43</v>
      </c>
      <c r="H31" s="19" t="s">
        <v>44</v>
      </c>
      <c r="I31" s="19" t="s">
        <v>90</v>
      </c>
      <c r="J31" s="19" t="s">
        <v>63</v>
      </c>
      <c r="K31" s="19" t="s">
        <v>64</v>
      </c>
      <c r="L31" s="19" t="s">
        <v>46</v>
      </c>
      <c r="M31" s="19" t="s">
        <v>210</v>
      </c>
      <c r="N31" s="19" t="s">
        <v>268</v>
      </c>
      <c r="O31" s="19" t="s">
        <v>210</v>
      </c>
      <c r="P31" s="19" t="s">
        <v>212</v>
      </c>
      <c r="Q31" s="19" t="s">
        <v>269</v>
      </c>
      <c r="R31" s="19" t="s">
        <v>270</v>
      </c>
      <c r="S31" s="19"/>
      <c r="T31" s="19" t="s">
        <v>68</v>
      </c>
      <c r="U31" s="19" t="s">
        <v>69</v>
      </c>
      <c r="V31" s="19" t="s">
        <v>182</v>
      </c>
      <c r="W31" s="19" t="s">
        <v>97</v>
      </c>
      <c r="X31" s="19" t="s">
        <v>204</v>
      </c>
      <c r="Y31" s="19" t="s">
        <v>204</v>
      </c>
      <c r="Z31" s="19" t="s">
        <v>271</v>
      </c>
      <c r="AA31" s="19">
        <v>2</v>
      </c>
      <c r="AB31" s="19">
        <v>2</v>
      </c>
      <c r="AC31" s="19" t="s">
        <v>58</v>
      </c>
      <c r="AD31" s="19" t="s">
        <v>212</v>
      </c>
      <c r="AE31" s="19" t="s">
        <v>217</v>
      </c>
      <c r="AF31" s="19"/>
    </row>
    <row r="32" spans="1:34">
      <c r="A32" s="19">
        <v>27</v>
      </c>
      <c r="B32" s="19" t="s">
        <v>272</v>
      </c>
      <c r="C32" s="19" t="s">
        <v>146</v>
      </c>
      <c r="D32" s="19" t="str">
        <f>HYPERLINK("http://henontech.com/fieldsafety/harzard/harzard_show.php?rid=3134&amp;url=harzardrecs.php","冷渣机安全阀检测超期，且以泄漏。如果安全阀失效冷却水外溢且无人发现，造成冷灰机电机进水连电。")</f>
        <v>冷渣机安全阀检测超期，且以泄漏。如果安全阀失效冷却水外溢且无人发现，造成冷灰机电机进水连电。</v>
      </c>
      <c r="E32" s="19" t="s">
        <v>273</v>
      </c>
      <c r="F32" s="20" t="s">
        <v>42</v>
      </c>
      <c r="G32" s="21" t="s">
        <v>43</v>
      </c>
      <c r="H32" s="19" t="s">
        <v>44</v>
      </c>
      <c r="I32" s="19"/>
      <c r="J32" s="19" t="s">
        <v>63</v>
      </c>
      <c r="K32" s="19"/>
      <c r="L32" s="19"/>
      <c r="M32" s="19" t="s">
        <v>91</v>
      </c>
      <c r="N32" s="19" t="s">
        <v>107</v>
      </c>
      <c r="O32" s="19" t="s">
        <v>91</v>
      </c>
      <c r="P32" s="19" t="s">
        <v>107</v>
      </c>
      <c r="Q32" s="19" t="s">
        <v>217</v>
      </c>
      <c r="R32" s="19" t="s">
        <v>274</v>
      </c>
      <c r="S32" s="19"/>
      <c r="T32" s="19" t="s">
        <v>52</v>
      </c>
      <c r="U32" s="19" t="s">
        <v>96</v>
      </c>
      <c r="V32" s="19" t="s">
        <v>70</v>
      </c>
      <c r="W32" s="19" t="s">
        <v>97</v>
      </c>
      <c r="X32" s="19"/>
      <c r="Y32" s="19"/>
      <c r="Z32" s="19" t="s">
        <v>275</v>
      </c>
      <c r="AA32" s="19">
        <v>1</v>
      </c>
      <c r="AB32" s="19">
        <v>1</v>
      </c>
      <c r="AC32" s="19" t="s">
        <v>58</v>
      </c>
      <c r="AD32" s="19" t="s">
        <v>107</v>
      </c>
      <c r="AE32" s="19" t="s">
        <v>152</v>
      </c>
      <c r="AF32" s="19" t="s">
        <v>276</v>
      </c>
    </row>
    <row r="33" spans="1:34">
      <c r="A33" s="19">
        <v>28</v>
      </c>
      <c r="B33" s="19" t="s">
        <v>258</v>
      </c>
      <c r="C33" s="19" t="s">
        <v>277</v>
      </c>
      <c r="D33" s="19" t="str">
        <f>HYPERLINK("http://henontech.com/fieldsafety/harzard/harzard_show.php?rid=3135&amp;url=harzardrecs.php","给水泵进口阀未设操作平台，未设悬挂安全带的固定装置，一名员工操作阀门时，不慎跌落，腰椎骨折。")</f>
        <v>给水泵进口阀未设操作平台，未设悬挂安全带的固定装置，一名员工操作阀门时，不慎跌落，腰椎骨折。</v>
      </c>
      <c r="E33" s="19" t="s">
        <v>278</v>
      </c>
      <c r="F33" s="25" t="s">
        <v>279</v>
      </c>
      <c r="G33" s="22" t="s">
        <v>77</v>
      </c>
      <c r="H33" s="19" t="s">
        <v>44</v>
      </c>
      <c r="I33" s="19" t="s">
        <v>115</v>
      </c>
      <c r="J33" s="19" t="s">
        <v>63</v>
      </c>
      <c r="K33" s="19" t="s">
        <v>138</v>
      </c>
      <c r="L33" s="19" t="s">
        <v>46</v>
      </c>
      <c r="M33" s="19" t="s">
        <v>47</v>
      </c>
      <c r="N33" s="19" t="s">
        <v>280</v>
      </c>
      <c r="O33" s="19"/>
      <c r="P33" s="19"/>
      <c r="Q33" s="19"/>
      <c r="R33" s="19" t="s">
        <v>281</v>
      </c>
      <c r="S33" s="19" t="s">
        <v>282</v>
      </c>
      <c r="T33" s="19" t="s">
        <v>68</v>
      </c>
      <c r="U33" s="19" t="s">
        <v>96</v>
      </c>
      <c r="V33" s="19" t="s">
        <v>84</v>
      </c>
      <c r="W33" s="19" t="s">
        <v>55</v>
      </c>
      <c r="X33" s="19"/>
      <c r="Y33" s="19"/>
      <c r="Z33" s="19"/>
      <c r="AA33" s="19">
        <v>0</v>
      </c>
      <c r="AB33" s="19"/>
      <c r="AC33" s="19" t="s">
        <v>266</v>
      </c>
      <c r="AD33" s="19"/>
      <c r="AE33" s="19"/>
      <c r="AF33" s="19"/>
    </row>
    <row r="34" spans="1:34">
      <c r="A34" s="19">
        <v>29</v>
      </c>
      <c r="B34" s="19" t="s">
        <v>258</v>
      </c>
      <c r="C34" s="19" t="s">
        <v>283</v>
      </c>
      <c r="D34" s="19" t="str">
        <f>HYPERLINK("http://henontech.com/fieldsafety/harzard/harzard_show.php?rid=3138&amp;url=harzardrecs.php","过滤器排污管地沟盖板缺失，一名操作工巡检时踩空，右脚掉入地沟内，右脚脚踝扭伤，送医治疗。")</f>
        <v>过滤器排污管地沟盖板缺失，一名操作工巡检时踩空，右脚掉入地沟内，右脚脚踝扭伤，送医治疗。</v>
      </c>
      <c r="E34" s="19" t="s">
        <v>284</v>
      </c>
      <c r="F34" s="20" t="s">
        <v>42</v>
      </c>
      <c r="G34" s="22" t="s">
        <v>77</v>
      </c>
      <c r="H34" s="19" t="s">
        <v>44</v>
      </c>
      <c r="I34" s="19" t="s">
        <v>90</v>
      </c>
      <c r="J34" s="19" t="s">
        <v>105</v>
      </c>
      <c r="K34" s="19" t="s">
        <v>64</v>
      </c>
      <c r="L34" s="19"/>
      <c r="M34" s="19" t="s">
        <v>91</v>
      </c>
      <c r="N34" s="19" t="s">
        <v>285</v>
      </c>
      <c r="O34" s="19" t="s">
        <v>91</v>
      </c>
      <c r="P34" s="19" t="s">
        <v>107</v>
      </c>
      <c r="Q34" s="19" t="s">
        <v>217</v>
      </c>
      <c r="R34" s="19" t="s">
        <v>286</v>
      </c>
      <c r="S34" s="19"/>
      <c r="T34" s="19" t="s">
        <v>68</v>
      </c>
      <c r="U34" s="19" t="s">
        <v>96</v>
      </c>
      <c r="V34" s="19" t="s">
        <v>182</v>
      </c>
      <c r="W34" s="19" t="s">
        <v>162</v>
      </c>
      <c r="X34" s="19"/>
      <c r="Y34" s="19"/>
      <c r="Z34" s="19" t="s">
        <v>287</v>
      </c>
      <c r="AA34" s="19">
        <v>1</v>
      </c>
      <c r="AB34" s="19">
        <v>1</v>
      </c>
      <c r="AC34" s="19" t="s">
        <v>58</v>
      </c>
      <c r="AD34" s="19" t="s">
        <v>107</v>
      </c>
      <c r="AE34" s="19" t="s">
        <v>160</v>
      </c>
      <c r="AF34" s="19" t="s">
        <v>288</v>
      </c>
    </row>
    <row r="35" spans="1:34">
      <c r="A35" s="19">
        <v>30</v>
      </c>
      <c r="B35" s="19" t="s">
        <v>272</v>
      </c>
      <c r="C35" s="19" t="s">
        <v>283</v>
      </c>
      <c r="D35" s="19" t="str">
        <f>HYPERLINK("http://henontech.com/fieldsafety/harzard/harzard_show.php?rid=3148&amp;url=harzardrecs.php","巡检工从超滤罐中间经过开返洗阀，赤注意焊在H钢上的角钢不慎绊脚石损伤")</f>
        <v>巡检工从超滤罐中间经过开返洗阀，赤注意焊在H钢上的角钢不慎绊脚石损伤</v>
      </c>
      <c r="E35" s="19" t="s">
        <v>289</v>
      </c>
      <c r="F35" s="20" t="s">
        <v>42</v>
      </c>
      <c r="G35" s="22" t="s">
        <v>77</v>
      </c>
      <c r="H35" s="19" t="s">
        <v>44</v>
      </c>
      <c r="I35" s="19" t="s">
        <v>90</v>
      </c>
      <c r="J35" s="19" t="s">
        <v>63</v>
      </c>
      <c r="K35" s="19" t="s">
        <v>64</v>
      </c>
      <c r="L35" s="19"/>
      <c r="M35" s="19" t="s">
        <v>91</v>
      </c>
      <c r="N35" s="19" t="s">
        <v>290</v>
      </c>
      <c r="O35" s="19" t="s">
        <v>91</v>
      </c>
      <c r="P35" s="19" t="s">
        <v>107</v>
      </c>
      <c r="Q35" s="19" t="s">
        <v>217</v>
      </c>
      <c r="R35" s="19" t="s">
        <v>291</v>
      </c>
      <c r="S35" s="19"/>
      <c r="T35" s="19" t="s">
        <v>68</v>
      </c>
      <c r="U35" s="19" t="s">
        <v>96</v>
      </c>
      <c r="V35" s="19" t="s">
        <v>70</v>
      </c>
      <c r="W35" s="19" t="s">
        <v>97</v>
      </c>
      <c r="X35" s="19"/>
      <c r="Y35" s="19"/>
      <c r="Z35" s="19" t="s">
        <v>292</v>
      </c>
      <c r="AA35" s="19">
        <v>1</v>
      </c>
      <c r="AB35" s="19">
        <v>1</v>
      </c>
      <c r="AC35" s="19" t="s">
        <v>58</v>
      </c>
      <c r="AD35" s="19" t="s">
        <v>107</v>
      </c>
      <c r="AE35" s="19" t="s">
        <v>160</v>
      </c>
      <c r="AF35" s="19" t="s">
        <v>293</v>
      </c>
    </row>
    <row r="36" spans="1:34">
      <c r="A36" s="19">
        <v>31</v>
      </c>
      <c r="B36" s="19" t="s">
        <v>294</v>
      </c>
      <c r="C36" s="19" t="s">
        <v>235</v>
      </c>
      <c r="D36" s="19" t="str">
        <f>HYPERLINK("http://henontech.com/fieldsafety/harzard/harzard_show.php?rid=3149&amp;url=harzardrecs.php","粗苯富油上脱苯塔管道原固定铁丝锈蚀，起不到固定作用，生产过程中，如果富油含水分高，造成管道晃动，晃动过久容易造成管道开焊漏油，造成环境污染。")</f>
        <v>粗苯富油上脱苯塔管道原固定铁丝锈蚀，起不到固定作用，生产过程中，如果富油含水分高，造成管道晃动，晃动过久容易造成管道开焊漏油，造成环境污染。</v>
      </c>
      <c r="E36" s="19" t="s">
        <v>295</v>
      </c>
      <c r="F36" s="20" t="s">
        <v>42</v>
      </c>
      <c r="G36" s="22" t="s">
        <v>77</v>
      </c>
      <c r="H36" s="19" t="s">
        <v>44</v>
      </c>
      <c r="I36" s="19" t="s">
        <v>45</v>
      </c>
      <c r="J36" s="19" t="s">
        <v>63</v>
      </c>
      <c r="K36" s="19"/>
      <c r="L36" s="19" t="s">
        <v>46</v>
      </c>
      <c r="M36" s="19" t="s">
        <v>75</v>
      </c>
      <c r="N36" s="19" t="s">
        <v>296</v>
      </c>
      <c r="O36" s="19" t="s">
        <v>75</v>
      </c>
      <c r="P36" s="19" t="s">
        <v>80</v>
      </c>
      <c r="Q36" s="19" t="s">
        <v>297</v>
      </c>
      <c r="R36" s="19" t="s">
        <v>298</v>
      </c>
      <c r="S36" s="19"/>
      <c r="T36" s="19" t="s">
        <v>83</v>
      </c>
      <c r="U36" s="19" t="s">
        <v>53</v>
      </c>
      <c r="V36" s="19" t="s">
        <v>54</v>
      </c>
      <c r="W36" s="19" t="s">
        <v>55</v>
      </c>
      <c r="X36" s="19"/>
      <c r="Y36" s="19"/>
      <c r="Z36" s="19" t="s">
        <v>299</v>
      </c>
      <c r="AA36" s="19">
        <v>1</v>
      </c>
      <c r="AB36" s="19">
        <v>1</v>
      </c>
      <c r="AC36" s="19" t="s">
        <v>58</v>
      </c>
      <c r="AD36" s="19" t="s">
        <v>80</v>
      </c>
      <c r="AE36" s="19" t="s">
        <v>152</v>
      </c>
      <c r="AF36" s="19"/>
    </row>
    <row r="37" spans="1:34" customHeight="1" ht="42">
      <c r="A37" s="19">
        <v>32</v>
      </c>
      <c r="B37" s="19" t="s">
        <v>294</v>
      </c>
      <c r="C37" s="19" t="s">
        <v>300</v>
      </c>
      <c r="D37" s="19" t="str">
        <f>HYPERLINK("http://henontech.com/fieldsafety/harzard/harzard_show.php?rid=3151&amp;url=harzardrecs.php","操作工在打扫泵房地面时不慎跌入下水道，造成左脚严重扭伤，左小腿骨骨折")</f>
        <v>操作工在打扫泵房地面时不慎跌入下水道，造成左脚严重扭伤，左小腿骨骨折</v>
      </c>
      <c r="E37" s="19" t="s">
        <v>301</v>
      </c>
      <c r="F37" s="20" t="s">
        <v>42</v>
      </c>
      <c r="G37" s="22" t="s">
        <v>77</v>
      </c>
      <c r="H37" s="19" t="s">
        <v>44</v>
      </c>
      <c r="I37" s="19" t="s">
        <v>90</v>
      </c>
      <c r="J37" s="19" t="s">
        <v>63</v>
      </c>
      <c r="K37" s="19" t="s">
        <v>116</v>
      </c>
      <c r="L37" s="19"/>
      <c r="M37" s="19" t="s">
        <v>91</v>
      </c>
      <c r="N37" s="19" t="s">
        <v>302</v>
      </c>
      <c r="O37" s="19" t="s">
        <v>91</v>
      </c>
      <c r="P37" s="19" t="s">
        <v>107</v>
      </c>
      <c r="Q37" s="19" t="s">
        <v>217</v>
      </c>
      <c r="R37" s="19" t="s">
        <v>303</v>
      </c>
      <c r="S37" s="19"/>
      <c r="T37" s="19" t="s">
        <v>68</v>
      </c>
      <c r="U37" s="19" t="s">
        <v>69</v>
      </c>
      <c r="V37" s="19" t="s">
        <v>182</v>
      </c>
      <c r="W37" s="19" t="s">
        <v>97</v>
      </c>
      <c r="X37" s="19" t="s">
        <v>304</v>
      </c>
      <c r="Y37" s="19"/>
      <c r="Z37" s="19" t="s">
        <v>305</v>
      </c>
      <c r="AA37" s="19">
        <v>2</v>
      </c>
      <c r="AB37" s="19">
        <v>2</v>
      </c>
      <c r="AC37" s="19" t="s">
        <v>58</v>
      </c>
      <c r="AD37" s="19" t="s">
        <v>107</v>
      </c>
      <c r="AE37" s="19" t="s">
        <v>306</v>
      </c>
      <c r="AF37" s="19" t="s">
        <v>307</v>
      </c>
    </row>
    <row r="38" spans="1:34">
      <c r="A38" s="19">
        <v>33</v>
      </c>
      <c r="B38" s="19" t="s">
        <v>308</v>
      </c>
      <c r="C38" s="19" t="s">
        <v>277</v>
      </c>
      <c r="D38" s="19" t="str">
        <f>HYPERLINK("http://henontech.com/fieldsafety/harzard/harzard_show.php?rid=3152&amp;url=harzardrecs.php","干熄焦中控楼东侧管架上保温铝皮开裂下垂脱落，一操作工巡检路过，致使面部颈部深度划伤")</f>
        <v>干熄焦中控楼东侧管架上保温铝皮开裂下垂脱落，一操作工巡检路过，致使面部颈部深度划伤</v>
      </c>
      <c r="E38" s="19" t="s">
        <v>309</v>
      </c>
      <c r="F38" s="20" t="s">
        <v>42</v>
      </c>
      <c r="G38" s="22" t="s">
        <v>77</v>
      </c>
      <c r="H38" s="19" t="s">
        <v>44</v>
      </c>
      <c r="I38" s="19" t="s">
        <v>45</v>
      </c>
      <c r="J38" s="19" t="s">
        <v>78</v>
      </c>
      <c r="K38" s="19" t="s">
        <v>199</v>
      </c>
      <c r="L38" s="19" t="s">
        <v>46</v>
      </c>
      <c r="M38" s="19" t="s">
        <v>47</v>
      </c>
      <c r="N38" s="19" t="s">
        <v>310</v>
      </c>
      <c r="O38" s="19" t="s">
        <v>47</v>
      </c>
      <c r="P38" s="19" t="s">
        <v>140</v>
      </c>
      <c r="Q38" s="19" t="s">
        <v>122</v>
      </c>
      <c r="R38" s="19" t="s">
        <v>311</v>
      </c>
      <c r="S38" s="19" t="s">
        <v>312</v>
      </c>
      <c r="T38" s="19" t="s">
        <v>68</v>
      </c>
      <c r="U38" s="19" t="s">
        <v>69</v>
      </c>
      <c r="V38" s="19" t="s">
        <v>70</v>
      </c>
      <c r="W38" s="19" t="s">
        <v>55</v>
      </c>
      <c r="X38" s="19" t="s">
        <v>98</v>
      </c>
      <c r="Y38" s="19"/>
      <c r="Z38" s="19" t="s">
        <v>313</v>
      </c>
      <c r="AA38" s="19">
        <v>1</v>
      </c>
      <c r="AB38" s="19">
        <v>1</v>
      </c>
      <c r="AC38" s="19" t="s">
        <v>58</v>
      </c>
      <c r="AD38" s="19" t="s">
        <v>140</v>
      </c>
      <c r="AE38" s="19" t="s">
        <v>144</v>
      </c>
      <c r="AF38" s="19"/>
    </row>
    <row r="39" spans="1:34" customHeight="1" ht="42">
      <c r="A39" s="19">
        <v>34</v>
      </c>
      <c r="B39" s="19" t="s">
        <v>308</v>
      </c>
      <c r="C39" s="19" t="s">
        <v>314</v>
      </c>
      <c r="D39" s="19" t="str">
        <f>HYPERLINK("http://henontech.com/fieldsafety/harzard/harzard_show.php?rid=3154&amp;url=harzardrecs.php","西四岗位操作平台，操作人员在操作时不慎绊倒从平台跌落，造成腿部骨折，送医院治疗一个月，在家修养两个月，")</f>
        <v>西四岗位操作平台，操作人员在操作时不慎绊倒从平台跌落，造成腿部骨折，送医院治疗一个月，在家修养两个月，</v>
      </c>
      <c r="E39" s="19" t="s">
        <v>315</v>
      </c>
      <c r="F39" s="20" t="s">
        <v>42</v>
      </c>
      <c r="G39" s="21" t="s">
        <v>43</v>
      </c>
      <c r="H39" s="19" t="s">
        <v>44</v>
      </c>
      <c r="I39" s="19" t="s">
        <v>45</v>
      </c>
      <c r="J39" s="19" t="s">
        <v>105</v>
      </c>
      <c r="K39" s="19" t="s">
        <v>64</v>
      </c>
      <c r="L39" s="19" t="s">
        <v>46</v>
      </c>
      <c r="M39" s="19" t="s">
        <v>210</v>
      </c>
      <c r="N39" s="19" t="s">
        <v>316</v>
      </c>
      <c r="O39" s="19" t="s">
        <v>210</v>
      </c>
      <c r="P39" s="19" t="s">
        <v>212</v>
      </c>
      <c r="Q39" s="19" t="s">
        <v>160</v>
      </c>
      <c r="R39" s="19" t="s">
        <v>317</v>
      </c>
      <c r="S39" s="19" t="s">
        <v>318</v>
      </c>
      <c r="T39" s="19" t="s">
        <v>68</v>
      </c>
      <c r="U39" s="19" t="s">
        <v>96</v>
      </c>
      <c r="V39" s="19" t="s">
        <v>182</v>
      </c>
      <c r="W39" s="19" t="s">
        <v>162</v>
      </c>
      <c r="X39" s="19" t="s">
        <v>204</v>
      </c>
      <c r="Y39" s="19" t="s">
        <v>204</v>
      </c>
      <c r="Z39" s="19" t="s">
        <v>319</v>
      </c>
      <c r="AA39" s="19">
        <v>2</v>
      </c>
      <c r="AB39" s="19">
        <v>2</v>
      </c>
      <c r="AC39" s="19" t="s">
        <v>58</v>
      </c>
      <c r="AD39" s="19" t="s">
        <v>212</v>
      </c>
      <c r="AE39" s="19" t="s">
        <v>152</v>
      </c>
      <c r="AF39" s="19" t="s">
        <v>320</v>
      </c>
    </row>
    <row r="40" spans="1:34">
      <c r="A40" s="19">
        <v>35</v>
      </c>
      <c r="B40" s="19" t="s">
        <v>308</v>
      </c>
      <c r="C40" s="19" t="s">
        <v>321</v>
      </c>
      <c r="D40" s="19" t="str">
        <f>HYPERLINK("http://henontech.com/fieldsafety/harzard/harzard_show.php?rid=3157&amp;url=harzardrecs.php","天车进出处没有悬挂警示牌")</f>
        <v>天车进出处没有悬挂警示牌</v>
      </c>
      <c r="E40" s="19" t="s">
        <v>322</v>
      </c>
      <c r="F40" s="20" t="s">
        <v>42</v>
      </c>
      <c r="G40" s="22" t="s">
        <v>77</v>
      </c>
      <c r="H40" s="19" t="s">
        <v>44</v>
      </c>
      <c r="I40" s="19" t="s">
        <v>323</v>
      </c>
      <c r="J40" s="19" t="s">
        <v>105</v>
      </c>
      <c r="K40" s="19" t="s">
        <v>138</v>
      </c>
      <c r="L40" s="19"/>
      <c r="M40" s="19" t="s">
        <v>91</v>
      </c>
      <c r="N40" s="19" t="s">
        <v>324</v>
      </c>
      <c r="O40" s="19" t="s">
        <v>91</v>
      </c>
      <c r="P40" s="19" t="s">
        <v>107</v>
      </c>
      <c r="Q40" s="19" t="s">
        <v>217</v>
      </c>
      <c r="R40" s="19" t="s">
        <v>325</v>
      </c>
      <c r="S40" s="19"/>
      <c r="T40" s="19" t="s">
        <v>68</v>
      </c>
      <c r="U40" s="19" t="s">
        <v>69</v>
      </c>
      <c r="V40" s="19" t="s">
        <v>54</v>
      </c>
      <c r="W40" s="19" t="s">
        <v>162</v>
      </c>
      <c r="X40" s="19"/>
      <c r="Y40" s="19"/>
      <c r="Z40" s="19" t="s">
        <v>326</v>
      </c>
      <c r="AA40" s="19">
        <v>1</v>
      </c>
      <c r="AB40" s="19">
        <v>1</v>
      </c>
      <c r="AC40" s="19" t="s">
        <v>58</v>
      </c>
      <c r="AD40" s="19" t="s">
        <v>107</v>
      </c>
      <c r="AE40" s="19" t="s">
        <v>172</v>
      </c>
      <c r="AF40" s="19" t="s">
        <v>327</v>
      </c>
    </row>
    <row r="41" spans="1:34" customHeight="1" ht="42">
      <c r="A41" s="19">
        <v>36</v>
      </c>
      <c r="B41" s="19" t="s">
        <v>308</v>
      </c>
      <c r="C41" s="19" t="s">
        <v>328</v>
      </c>
      <c r="D41" s="19" t="str">
        <f>HYPERLINK("http://henontech.com/fieldsafety/harzard/harzard_show.php?rid=3158&amp;url=harzardrecs.php","5米5焦炉北头爬梯中间小平台缺少踢脚板，雨雪天气，一操作工上下爬梯脚下打滑，从护栏空隙跌落地面")</f>
        <v>5米5焦炉北头爬梯中间小平台缺少踢脚板，雨雪天气，一操作工上下爬梯脚下打滑，从护栏空隙跌落地面</v>
      </c>
      <c r="E41" s="19" t="s">
        <v>329</v>
      </c>
      <c r="F41" s="20" t="s">
        <v>42</v>
      </c>
      <c r="G41" s="22" t="s">
        <v>77</v>
      </c>
      <c r="H41" s="19" t="s">
        <v>44</v>
      </c>
      <c r="I41" s="19" t="s">
        <v>45</v>
      </c>
      <c r="J41" s="19" t="s">
        <v>63</v>
      </c>
      <c r="K41" s="19" t="s">
        <v>116</v>
      </c>
      <c r="L41" s="19" t="s">
        <v>46</v>
      </c>
      <c r="M41" s="19" t="s">
        <v>47</v>
      </c>
      <c r="N41" s="19" t="s">
        <v>330</v>
      </c>
      <c r="O41" s="19" t="s">
        <v>47</v>
      </c>
      <c r="P41" s="19" t="s">
        <v>140</v>
      </c>
      <c r="Q41" s="19" t="s">
        <v>331</v>
      </c>
      <c r="R41" s="19" t="s">
        <v>332</v>
      </c>
      <c r="S41" s="19"/>
      <c r="T41" s="19" t="s">
        <v>68</v>
      </c>
      <c r="U41" s="19" t="s">
        <v>96</v>
      </c>
      <c r="V41" s="19" t="s">
        <v>182</v>
      </c>
      <c r="W41" s="19" t="s">
        <v>162</v>
      </c>
      <c r="X41" s="19" t="s">
        <v>56</v>
      </c>
      <c r="Y41" s="19"/>
      <c r="Z41" s="19" t="s">
        <v>333</v>
      </c>
      <c r="AA41" s="19">
        <v>2</v>
      </c>
      <c r="AB41" s="19">
        <v>2</v>
      </c>
      <c r="AC41" s="19" t="s">
        <v>58</v>
      </c>
      <c r="AD41" s="19" t="s">
        <v>140</v>
      </c>
      <c r="AE41" s="19" t="s">
        <v>172</v>
      </c>
      <c r="AF41" s="19"/>
    </row>
    <row r="42" spans="1:34" customHeight="1" ht="42">
      <c r="A42" s="19">
        <v>37</v>
      </c>
      <c r="B42" s="19" t="s">
        <v>308</v>
      </c>
      <c r="C42" s="19" t="s">
        <v>300</v>
      </c>
      <c r="D42" s="19" t="str">
        <f>HYPERLINK("http://henontech.com/fieldsafety/harzard/harzard_show.php?rid=3163&amp;url=harzardrecs.php","反渗透浓水排水管处无盖板，一名职工在巡检时，失足右脚掉入地沟造成右脚损伤。")</f>
        <v>反渗透浓水排水管处无盖板，一名职工在巡检时，失足右脚掉入地沟造成右脚损伤。</v>
      </c>
      <c r="E42" s="19" t="s">
        <v>334</v>
      </c>
      <c r="F42" s="20" t="s">
        <v>42</v>
      </c>
      <c r="G42" s="22" t="s">
        <v>77</v>
      </c>
      <c r="H42" s="19" t="s">
        <v>44</v>
      </c>
      <c r="I42" s="19" t="s">
        <v>115</v>
      </c>
      <c r="J42" s="19" t="s">
        <v>105</v>
      </c>
      <c r="K42" s="19" t="s">
        <v>64</v>
      </c>
      <c r="L42" s="19"/>
      <c r="M42" s="19" t="s">
        <v>91</v>
      </c>
      <c r="N42" s="19" t="s">
        <v>335</v>
      </c>
      <c r="O42" s="19" t="s">
        <v>91</v>
      </c>
      <c r="P42" s="19" t="s">
        <v>107</v>
      </c>
      <c r="Q42" s="19" t="s">
        <v>217</v>
      </c>
      <c r="R42" s="19" t="s">
        <v>336</v>
      </c>
      <c r="S42" s="19"/>
      <c r="T42" s="19" t="s">
        <v>68</v>
      </c>
      <c r="U42" s="19" t="s">
        <v>69</v>
      </c>
      <c r="V42" s="19" t="s">
        <v>182</v>
      </c>
      <c r="W42" s="19" t="s">
        <v>97</v>
      </c>
      <c r="X42" s="19" t="s">
        <v>204</v>
      </c>
      <c r="Y42" s="19"/>
      <c r="Z42" s="19" t="s">
        <v>337</v>
      </c>
      <c r="AA42" s="19">
        <v>2</v>
      </c>
      <c r="AB42" s="19">
        <v>1</v>
      </c>
      <c r="AC42" s="19" t="s">
        <v>58</v>
      </c>
      <c r="AD42" s="19" t="s">
        <v>107</v>
      </c>
      <c r="AE42" s="19" t="s">
        <v>152</v>
      </c>
      <c r="AF42" s="19" t="s">
        <v>338</v>
      </c>
    </row>
    <row r="43" spans="1:34" customHeight="1" ht="42">
      <c r="A43" s="19">
        <v>38</v>
      </c>
      <c r="B43" s="19" t="s">
        <v>308</v>
      </c>
      <c r="C43" s="19" t="s">
        <v>328</v>
      </c>
      <c r="D43" s="19" t="str">
        <f>HYPERLINK("http://henontech.com/fieldsafety/harzard/harzard_show.php?rid=3164&amp;url=harzardrecs.php","搅拌机转换开关手抦缺失，用一根铁条代替手抦使用，一操作工在操作时由于开关漏电触电倒地")</f>
        <v>搅拌机转换开关手抦缺失，用一根铁条代替手抦使用，一操作工在操作时由于开关漏电触电倒地</v>
      </c>
      <c r="E43" s="19" t="s">
        <v>339</v>
      </c>
      <c r="F43" s="20" t="s">
        <v>42</v>
      </c>
      <c r="G43" s="23" t="s">
        <v>137</v>
      </c>
      <c r="H43" s="19" t="s">
        <v>44</v>
      </c>
      <c r="I43" s="19" t="s">
        <v>45</v>
      </c>
      <c r="J43" s="19" t="s">
        <v>63</v>
      </c>
      <c r="K43" s="19" t="s">
        <v>199</v>
      </c>
      <c r="L43" s="19" t="s">
        <v>46</v>
      </c>
      <c r="M43" s="19" t="s">
        <v>47</v>
      </c>
      <c r="N43" s="19" t="s">
        <v>340</v>
      </c>
      <c r="O43" s="19" t="s">
        <v>47</v>
      </c>
      <c r="P43" s="19" t="s">
        <v>140</v>
      </c>
      <c r="Q43" s="19" t="s">
        <v>331</v>
      </c>
      <c r="R43" s="19" t="s">
        <v>341</v>
      </c>
      <c r="S43" s="19"/>
      <c r="T43" s="19" t="s">
        <v>68</v>
      </c>
      <c r="U43" s="19" t="s">
        <v>203</v>
      </c>
      <c r="V43" s="19" t="s">
        <v>54</v>
      </c>
      <c r="W43" s="19" t="s">
        <v>120</v>
      </c>
      <c r="X43" s="19" t="s">
        <v>304</v>
      </c>
      <c r="Y43" s="19"/>
      <c r="Z43" s="19" t="s">
        <v>342</v>
      </c>
      <c r="AA43" s="19">
        <v>2</v>
      </c>
      <c r="AB43" s="19">
        <v>2</v>
      </c>
      <c r="AC43" s="19" t="s">
        <v>58</v>
      </c>
      <c r="AD43" s="19" t="s">
        <v>140</v>
      </c>
      <c r="AE43" s="19" t="s">
        <v>144</v>
      </c>
      <c r="AF43" s="19"/>
    </row>
    <row r="44" spans="1:34">
      <c r="A44" s="19">
        <v>39</v>
      </c>
      <c r="B44" s="19" t="s">
        <v>272</v>
      </c>
      <c r="C44" s="19" t="s">
        <v>343</v>
      </c>
      <c r="D44" s="19" t="str">
        <f>HYPERLINK("http://henontech.com/fieldsafety/harzard/harzard_show.php?rid=3167&amp;url=harzardrecs.php","清水池池面现场混乱，地面电缆线乱作一团，操作工在取样时被电缆线绊倒，致右腿膝盖软组织挫伤，无损工事故")</f>
        <v>清水池池面现场混乱，地面电缆线乱作一团，操作工在取样时被电缆线绊倒，致右腿膝盖软组织挫伤，无损工事故</v>
      </c>
      <c r="E44" s="19" t="s">
        <v>344</v>
      </c>
      <c r="F44" s="20" t="s">
        <v>42</v>
      </c>
      <c r="G44" s="22" t="s">
        <v>77</v>
      </c>
      <c r="H44" s="19" t="s">
        <v>44</v>
      </c>
      <c r="I44" s="19" t="s">
        <v>90</v>
      </c>
      <c r="J44" s="19" t="s">
        <v>198</v>
      </c>
      <c r="K44" s="19" t="s">
        <v>138</v>
      </c>
      <c r="L44" s="19" t="s">
        <v>46</v>
      </c>
      <c r="M44" s="19" t="s">
        <v>345</v>
      </c>
      <c r="N44" s="19" t="s">
        <v>346</v>
      </c>
      <c r="O44" s="19" t="s">
        <v>345</v>
      </c>
      <c r="P44" s="19" t="s">
        <v>347</v>
      </c>
      <c r="Q44" s="19" t="s">
        <v>348</v>
      </c>
      <c r="R44" s="19" t="s">
        <v>349</v>
      </c>
      <c r="S44" s="19"/>
      <c r="T44" s="19" t="s">
        <v>68</v>
      </c>
      <c r="U44" s="19" t="s">
        <v>69</v>
      </c>
      <c r="V44" s="19" t="s">
        <v>54</v>
      </c>
      <c r="W44" s="19" t="s">
        <v>162</v>
      </c>
      <c r="X44" s="19" t="s">
        <v>98</v>
      </c>
      <c r="Y44" s="19" t="s">
        <v>98</v>
      </c>
      <c r="Z44" s="19" t="s">
        <v>350</v>
      </c>
      <c r="AA44" s="19">
        <v>1</v>
      </c>
      <c r="AB44" s="19">
        <v>1</v>
      </c>
      <c r="AC44" s="19" t="s">
        <v>58</v>
      </c>
      <c r="AD44" s="19" t="s">
        <v>347</v>
      </c>
      <c r="AE44" s="19" t="s">
        <v>351</v>
      </c>
      <c r="AF44" s="19" t="s">
        <v>352</v>
      </c>
    </row>
    <row r="45" spans="1:34">
      <c r="A45" s="19">
        <v>40</v>
      </c>
      <c r="B45" s="19" t="s">
        <v>272</v>
      </c>
      <c r="C45" s="19" t="s">
        <v>353</v>
      </c>
      <c r="D45" s="19" t="str">
        <f>HYPERLINK("http://henontech.com/fieldsafety/harzard/harzard_show.php?rid=3170&amp;url=harzardrecs.php","爬梯处横放一根3米的铁件，一名操作工巡检时不慎脚下被绊，身体向前倾倒碰到护栏上")</f>
        <v>爬梯处横放一根3米的铁件，一名操作工巡检时不慎脚下被绊，身体向前倾倒碰到护栏上</v>
      </c>
      <c r="E45" s="19" t="s">
        <v>354</v>
      </c>
      <c r="F45" s="20" t="s">
        <v>42</v>
      </c>
      <c r="G45" s="22" t="s">
        <v>77</v>
      </c>
      <c r="H45" s="19" t="s">
        <v>44</v>
      </c>
      <c r="I45" s="19"/>
      <c r="J45" s="19" t="s">
        <v>63</v>
      </c>
      <c r="K45" s="19" t="s">
        <v>138</v>
      </c>
      <c r="L45" s="19"/>
      <c r="M45" s="19" t="s">
        <v>75</v>
      </c>
      <c r="N45" s="19" t="s">
        <v>355</v>
      </c>
      <c r="O45" s="19" t="s">
        <v>75</v>
      </c>
      <c r="P45" s="19" t="s">
        <v>80</v>
      </c>
      <c r="Q45" s="19" t="s">
        <v>297</v>
      </c>
      <c r="R45" s="19" t="s">
        <v>356</v>
      </c>
      <c r="S45" s="19"/>
      <c r="T45" s="19" t="s">
        <v>68</v>
      </c>
      <c r="U45" s="19" t="s">
        <v>96</v>
      </c>
      <c r="V45" s="19" t="s">
        <v>182</v>
      </c>
      <c r="W45" s="19" t="s">
        <v>162</v>
      </c>
      <c r="X45" s="19"/>
      <c r="Y45" s="19"/>
      <c r="Z45" s="19" t="s">
        <v>357</v>
      </c>
      <c r="AA45" s="19">
        <v>1</v>
      </c>
      <c r="AB45" s="19">
        <v>1</v>
      </c>
      <c r="AC45" s="19" t="s">
        <v>58</v>
      </c>
      <c r="AD45" s="19" t="s">
        <v>80</v>
      </c>
      <c r="AE45" s="19" t="s">
        <v>358</v>
      </c>
      <c r="AF45" s="19"/>
    </row>
    <row r="46" spans="1:34">
      <c r="A46" s="19">
        <v>41</v>
      </c>
      <c r="B46" s="19" t="s">
        <v>272</v>
      </c>
      <c r="C46" s="19" t="s">
        <v>359</v>
      </c>
      <c r="D46" s="19" t="str">
        <f>HYPERLINK("http://henontech.com/fieldsafety/harzard/harzard_show.php?rid=3175&amp;url=harzardrecs.php","泡沫泵防护罩破损，如果一名操作人员擦拭设备时。右手手指不慎碰触到电机防护罩破损处，造成右手中指骨折，送医院治疗三个月、在家休养二个月，复工")</f>
        <v>泡沫泵防护罩破损，如果一名操作人员擦拭设备时。右手手指不慎碰触到电机防护罩破损处，造成右手中指骨折，送医院治疗三个月、在家休养二个月，复工</v>
      </c>
      <c r="E46" s="19" t="s">
        <v>360</v>
      </c>
      <c r="F46" s="20" t="s">
        <v>42</v>
      </c>
      <c r="G46" s="22" t="s">
        <v>77</v>
      </c>
      <c r="H46" s="19" t="s">
        <v>44</v>
      </c>
      <c r="I46" s="19" t="s">
        <v>115</v>
      </c>
      <c r="J46" s="19" t="s">
        <v>63</v>
      </c>
      <c r="K46" s="19" t="s">
        <v>138</v>
      </c>
      <c r="L46" s="19" t="s">
        <v>46</v>
      </c>
      <c r="M46" s="19" t="s">
        <v>75</v>
      </c>
      <c r="N46" s="19" t="s">
        <v>361</v>
      </c>
      <c r="O46" s="19" t="s">
        <v>75</v>
      </c>
      <c r="P46" s="19" t="s">
        <v>80</v>
      </c>
      <c r="Q46" s="19" t="s">
        <v>362</v>
      </c>
      <c r="R46" s="19" t="s">
        <v>363</v>
      </c>
      <c r="S46" s="19"/>
      <c r="T46" s="19" t="s">
        <v>68</v>
      </c>
      <c r="U46" s="19" t="s">
        <v>96</v>
      </c>
      <c r="V46" s="19" t="s">
        <v>70</v>
      </c>
      <c r="W46" s="19" t="s">
        <v>97</v>
      </c>
      <c r="X46" s="19"/>
      <c r="Y46" s="19"/>
      <c r="Z46" s="19" t="s">
        <v>364</v>
      </c>
      <c r="AA46" s="19">
        <v>1</v>
      </c>
      <c r="AB46" s="19">
        <v>1</v>
      </c>
      <c r="AC46" s="19" t="s">
        <v>58</v>
      </c>
      <c r="AD46" s="19" t="s">
        <v>80</v>
      </c>
      <c r="AE46" s="19" t="s">
        <v>86</v>
      </c>
      <c r="AF46" s="19"/>
    </row>
    <row r="47" spans="1:34">
      <c r="A47" s="19">
        <v>42</v>
      </c>
      <c r="B47" s="19" t="s">
        <v>272</v>
      </c>
      <c r="C47" s="19" t="s">
        <v>166</v>
      </c>
      <c r="D47" s="19" t="str">
        <f>HYPERLINK("http://henontech.com/fieldsafety/harzard/harzard_show.php?rid=3178&amp;url=harzardrecs.php","如果一名操作工在巡检时，冒出的蒸汽喷到右手腕上，造成轻微伤害，到医务室治疗后，不影响工作，没有损工。")</f>
        <v>如果一名操作工在巡检时，冒出的蒸汽喷到右手腕上，造成轻微伤害，到医务室治疗后，不影响工作，没有损工。</v>
      </c>
      <c r="E47" s="19" t="s">
        <v>365</v>
      </c>
      <c r="F47" s="20" t="s">
        <v>42</v>
      </c>
      <c r="G47" s="22" t="s">
        <v>77</v>
      </c>
      <c r="H47" s="19" t="s">
        <v>44</v>
      </c>
      <c r="I47" s="19" t="s">
        <v>115</v>
      </c>
      <c r="J47" s="19" t="s">
        <v>63</v>
      </c>
      <c r="K47" s="19" t="s">
        <v>199</v>
      </c>
      <c r="L47" s="19" t="s">
        <v>46</v>
      </c>
      <c r="M47" s="19" t="s">
        <v>75</v>
      </c>
      <c r="N47" s="19" t="s">
        <v>366</v>
      </c>
      <c r="O47" s="19" t="s">
        <v>75</v>
      </c>
      <c r="P47" s="19" t="s">
        <v>80</v>
      </c>
      <c r="Q47" s="19" t="s">
        <v>362</v>
      </c>
      <c r="R47" s="19" t="s">
        <v>367</v>
      </c>
      <c r="S47" s="19"/>
      <c r="T47" s="19" t="s">
        <v>68</v>
      </c>
      <c r="U47" s="19" t="s">
        <v>69</v>
      </c>
      <c r="V47" s="19" t="s">
        <v>182</v>
      </c>
      <c r="W47" s="19" t="s">
        <v>97</v>
      </c>
      <c r="X47" s="19"/>
      <c r="Y47" s="19"/>
      <c r="Z47" s="19" t="s">
        <v>368</v>
      </c>
      <c r="AA47" s="19">
        <v>1</v>
      </c>
      <c r="AB47" s="19">
        <v>1</v>
      </c>
      <c r="AC47" s="19" t="s">
        <v>58</v>
      </c>
      <c r="AD47" s="19" t="s">
        <v>80</v>
      </c>
      <c r="AE47" s="19" t="s">
        <v>152</v>
      </c>
      <c r="AF47" s="19"/>
    </row>
    <row r="48" spans="1:34">
      <c r="A48" s="19">
        <v>43</v>
      </c>
      <c r="B48" s="19" t="s">
        <v>272</v>
      </c>
      <c r="C48" s="19" t="s">
        <v>166</v>
      </c>
      <c r="D48" s="19" t="str">
        <f>HYPERLINK("http://henontech.com/fieldsafety/harzard/harzard_show.php?rid=3179&amp;url=harzardrecs.php","南风机风机房一楼南侧东门上方彩钢瓦腐蚀严重悬挂，操作工从门口通行彩钢瓦掉落划伤颈部，送医院室消毒包扎，休息2天后复工。")</f>
        <v>南风机风机房一楼南侧东门上方彩钢瓦腐蚀严重悬挂，操作工从门口通行彩钢瓦掉落划伤颈部，送医院室消毒包扎，休息2天后复工。</v>
      </c>
      <c r="E48" s="19" t="s">
        <v>369</v>
      </c>
      <c r="F48" s="20" t="s">
        <v>42</v>
      </c>
      <c r="G48" s="22" t="s">
        <v>77</v>
      </c>
      <c r="H48" s="19" t="s">
        <v>44</v>
      </c>
      <c r="I48" s="19" t="s">
        <v>45</v>
      </c>
      <c r="J48" s="19" t="s">
        <v>63</v>
      </c>
      <c r="K48" s="19" t="s">
        <v>138</v>
      </c>
      <c r="L48" s="19" t="s">
        <v>46</v>
      </c>
      <c r="M48" s="19" t="s">
        <v>75</v>
      </c>
      <c r="N48" s="19" t="s">
        <v>370</v>
      </c>
      <c r="O48" s="19" t="s">
        <v>75</v>
      </c>
      <c r="P48" s="19" t="s">
        <v>80</v>
      </c>
      <c r="Q48" s="19" t="s">
        <v>371</v>
      </c>
      <c r="R48" s="19" t="s">
        <v>113</v>
      </c>
      <c r="S48" s="19"/>
      <c r="T48" s="19" t="s">
        <v>68</v>
      </c>
      <c r="U48" s="19" t="s">
        <v>96</v>
      </c>
      <c r="V48" s="19" t="s">
        <v>84</v>
      </c>
      <c r="W48" s="19" t="s">
        <v>55</v>
      </c>
      <c r="X48" s="19"/>
      <c r="Y48" s="19"/>
      <c r="Z48" s="19" t="s">
        <v>372</v>
      </c>
      <c r="AA48" s="19">
        <v>1</v>
      </c>
      <c r="AB48" s="19">
        <v>1</v>
      </c>
      <c r="AC48" s="19" t="s">
        <v>58</v>
      </c>
      <c r="AD48" s="19" t="s">
        <v>80</v>
      </c>
      <c r="AE48" s="19" t="s">
        <v>358</v>
      </c>
      <c r="AF48" s="19"/>
    </row>
    <row r="49" spans="1:34">
      <c r="A49" s="19">
        <v>44</v>
      </c>
      <c r="B49" s="19" t="s">
        <v>272</v>
      </c>
      <c r="C49" s="19" t="s">
        <v>373</v>
      </c>
      <c r="D49" s="19" t="str">
        <f>HYPERLINK("http://henontech.com/fieldsafety/harzard/harzard_show.php?rid=3180&amp;url=harzardrecs.php","西硫铵4楼北窗户有一块废铝合金悬挂在墙壁上，一名操作工在地面弯腰打扫卫生，因为刮风导致废铝合金掉下来，掉到操作工后背上，引起后背一地方红肿，无大碍。")</f>
        <v>西硫铵4楼北窗户有一块废铝合金悬挂在墙壁上，一名操作工在地面弯腰打扫卫生，因为刮风导致废铝合金掉下来，掉到操作工后背上，引起后背一地方红肿，无大碍。</v>
      </c>
      <c r="E49" s="19" t="s">
        <v>374</v>
      </c>
      <c r="F49" s="20" t="s">
        <v>42</v>
      </c>
      <c r="G49" s="22" t="s">
        <v>77</v>
      </c>
      <c r="H49" s="19" t="s">
        <v>44</v>
      </c>
      <c r="I49" s="19" t="s">
        <v>45</v>
      </c>
      <c r="J49" s="19" t="s">
        <v>198</v>
      </c>
      <c r="K49" s="19" t="s">
        <v>199</v>
      </c>
      <c r="L49" s="19" t="s">
        <v>46</v>
      </c>
      <c r="M49" s="19" t="s">
        <v>75</v>
      </c>
      <c r="N49" s="19" t="s">
        <v>375</v>
      </c>
      <c r="O49" s="19" t="s">
        <v>75</v>
      </c>
      <c r="P49" s="19" t="s">
        <v>80</v>
      </c>
      <c r="Q49" s="19" t="s">
        <v>362</v>
      </c>
      <c r="R49" s="19" t="s">
        <v>376</v>
      </c>
      <c r="S49" s="19"/>
      <c r="T49" s="19" t="s">
        <v>68</v>
      </c>
      <c r="U49" s="19" t="s">
        <v>69</v>
      </c>
      <c r="V49" s="19" t="s">
        <v>54</v>
      </c>
      <c r="W49" s="19" t="s">
        <v>162</v>
      </c>
      <c r="X49" s="19"/>
      <c r="Y49" s="19"/>
      <c r="Z49" s="19" t="s">
        <v>377</v>
      </c>
      <c r="AA49" s="19">
        <v>1</v>
      </c>
      <c r="AB49" s="19">
        <v>1</v>
      </c>
      <c r="AC49" s="19" t="s">
        <v>58</v>
      </c>
      <c r="AD49" s="19" t="s">
        <v>80</v>
      </c>
      <c r="AE49" s="19" t="s">
        <v>152</v>
      </c>
      <c r="AF49" s="19"/>
    </row>
    <row r="50" spans="1:34" customHeight="1" ht="42">
      <c r="A50" s="19">
        <v>45</v>
      </c>
      <c r="B50" s="19" t="s">
        <v>269</v>
      </c>
      <c r="C50" s="19" t="s">
        <v>300</v>
      </c>
      <c r="D50" s="19" t="str">
        <f>HYPERLINK("http://henontech.com/fieldsafety/harzard/harzard_show.php?rid=3181&amp;url=harzardrecs.php","1号过滤器气动阀油窗内油位过低")</f>
        <v>1号过滤器气动阀油窗内油位过低</v>
      </c>
      <c r="E50" s="19" t="s">
        <v>378</v>
      </c>
      <c r="F50" s="20" t="s">
        <v>42</v>
      </c>
      <c r="G50" s="22" t="s">
        <v>77</v>
      </c>
      <c r="H50" s="19" t="s">
        <v>44</v>
      </c>
      <c r="I50" s="19"/>
      <c r="J50" s="19" t="s">
        <v>63</v>
      </c>
      <c r="K50" s="19" t="s">
        <v>64</v>
      </c>
      <c r="L50" s="19"/>
      <c r="M50" s="19" t="s">
        <v>91</v>
      </c>
      <c r="N50" s="19" t="s">
        <v>379</v>
      </c>
      <c r="O50" s="19" t="s">
        <v>91</v>
      </c>
      <c r="P50" s="19" t="s">
        <v>107</v>
      </c>
      <c r="Q50" s="19" t="s">
        <v>380</v>
      </c>
      <c r="R50" s="19" t="s">
        <v>381</v>
      </c>
      <c r="S50" s="19"/>
      <c r="T50" s="19" t="s">
        <v>52</v>
      </c>
      <c r="U50" s="19" t="s">
        <v>53</v>
      </c>
      <c r="V50" s="19" t="s">
        <v>70</v>
      </c>
      <c r="W50" s="19" t="s">
        <v>55</v>
      </c>
      <c r="X50" s="19" t="s">
        <v>98</v>
      </c>
      <c r="Y50" s="19"/>
      <c r="Z50" s="19" t="s">
        <v>382</v>
      </c>
      <c r="AA50" s="19">
        <v>2</v>
      </c>
      <c r="AB50" s="19">
        <v>2</v>
      </c>
      <c r="AC50" s="19" t="s">
        <v>58</v>
      </c>
      <c r="AD50" s="19" t="s">
        <v>107</v>
      </c>
      <c r="AE50" s="19" t="s">
        <v>100</v>
      </c>
      <c r="AF50" s="19" t="s">
        <v>383</v>
      </c>
    </row>
    <row r="51" spans="1:34">
      <c r="A51" s="19">
        <v>46</v>
      </c>
      <c r="B51" s="19" t="s">
        <v>269</v>
      </c>
      <c r="C51" s="19" t="s">
        <v>384</v>
      </c>
      <c r="D51" s="19" t="str">
        <f>HYPERLINK("http://henontech.com/fieldsafety/harzard/harzard_show.php?rid=3187&amp;url=harzardrecs.php","浓水处理液碱罐未设置半面罩，假如一名维修工人维修该处管线，管线内的液碱溅出进入维修人员眼内，造成眼睛灼伤送医治疗2个月后复工。")</f>
        <v>浓水处理液碱罐未设置半面罩，假如一名维修工人维修该处管线，管线内的液碱溅出进入维修人员眼内，造成眼睛灼伤送医治疗2个月后复工。</v>
      </c>
      <c r="E51" s="19" t="s">
        <v>385</v>
      </c>
      <c r="F51" s="20" t="s">
        <v>42</v>
      </c>
      <c r="G51" s="22" t="s">
        <v>77</v>
      </c>
      <c r="H51" s="19" t="s">
        <v>44</v>
      </c>
      <c r="I51" s="19"/>
      <c r="J51" s="19" t="s">
        <v>63</v>
      </c>
      <c r="K51" s="19"/>
      <c r="L51" s="19" t="s">
        <v>46</v>
      </c>
      <c r="M51" s="19" t="s">
        <v>386</v>
      </c>
      <c r="N51" s="19" t="s">
        <v>387</v>
      </c>
      <c r="O51" s="19" t="s">
        <v>345</v>
      </c>
      <c r="P51" s="19" t="s">
        <v>347</v>
      </c>
      <c r="Q51" s="19" t="s">
        <v>348</v>
      </c>
      <c r="R51" s="19" t="s">
        <v>345</v>
      </c>
      <c r="S51" s="19"/>
      <c r="T51" s="19" t="s">
        <v>68</v>
      </c>
      <c r="U51" s="19" t="s">
        <v>96</v>
      </c>
      <c r="V51" s="19" t="s">
        <v>182</v>
      </c>
      <c r="W51" s="19" t="s">
        <v>162</v>
      </c>
      <c r="X51" s="19"/>
      <c r="Y51" s="19"/>
      <c r="Z51" s="19" t="s">
        <v>388</v>
      </c>
      <c r="AA51" s="19">
        <v>1</v>
      </c>
      <c r="AB51" s="19">
        <v>1</v>
      </c>
      <c r="AC51" s="19" t="s">
        <v>58</v>
      </c>
      <c r="AD51" s="19" t="s">
        <v>347</v>
      </c>
      <c r="AE51" s="19" t="s">
        <v>331</v>
      </c>
      <c r="AF51" s="19"/>
    </row>
    <row r="52" spans="1:34">
      <c r="A52" s="19">
        <v>47</v>
      </c>
      <c r="B52" s="19" t="s">
        <v>269</v>
      </c>
      <c r="C52" s="19" t="s">
        <v>389</v>
      </c>
      <c r="D52" s="19" t="str">
        <f>HYPERLINK("http://henontech.com/fieldsafety/harzard/harzard_show.php?rid=3188&amp;url=harzardrecs.php","深度处理东侧水池临时线路未架空,放置在地上线缆容易磨损漏电,一旦巡检人员不慎踩到磨损线路,造成触电,送医院抢救无效死亡。")</f>
        <v>深度处理东侧水池临时线路未架空,放置在地上线缆容易磨损漏电,一旦巡检人员不慎踩到磨损线路,造成触电,送医院抢救无效死亡。</v>
      </c>
      <c r="E52" s="19" t="s">
        <v>390</v>
      </c>
      <c r="F52" s="20" t="s">
        <v>42</v>
      </c>
      <c r="G52" s="22" t="s">
        <v>77</v>
      </c>
      <c r="H52" s="19" t="s">
        <v>44</v>
      </c>
      <c r="I52" s="19"/>
      <c r="J52" s="19" t="s">
        <v>148</v>
      </c>
      <c r="K52" s="19" t="s">
        <v>138</v>
      </c>
      <c r="L52" s="19"/>
      <c r="M52" s="19" t="s">
        <v>386</v>
      </c>
      <c r="N52" s="19" t="s">
        <v>391</v>
      </c>
      <c r="O52" s="19" t="s">
        <v>345</v>
      </c>
      <c r="P52" s="19" t="s">
        <v>347</v>
      </c>
      <c r="Q52" s="19" t="s">
        <v>348</v>
      </c>
      <c r="R52" s="19" t="s">
        <v>392</v>
      </c>
      <c r="S52" s="19"/>
      <c r="T52" s="19" t="s">
        <v>68</v>
      </c>
      <c r="U52" s="19" t="s">
        <v>203</v>
      </c>
      <c r="V52" s="19" t="s">
        <v>70</v>
      </c>
      <c r="W52" s="19" t="s">
        <v>162</v>
      </c>
      <c r="X52" s="19" t="s">
        <v>98</v>
      </c>
      <c r="Y52" s="19" t="s">
        <v>98</v>
      </c>
      <c r="Z52" s="19" t="s">
        <v>393</v>
      </c>
      <c r="AA52" s="19">
        <v>1</v>
      </c>
      <c r="AB52" s="19">
        <v>1</v>
      </c>
      <c r="AC52" s="19" t="s">
        <v>58</v>
      </c>
      <c r="AD52" s="19" t="s">
        <v>347</v>
      </c>
      <c r="AE52" s="19" t="s">
        <v>351</v>
      </c>
      <c r="AF52" s="19" t="s">
        <v>394</v>
      </c>
    </row>
    <row r="53" spans="1:34" customHeight="1" ht="42">
      <c r="A53" s="19">
        <v>48</v>
      </c>
      <c r="B53" s="19" t="s">
        <v>269</v>
      </c>
      <c r="C53" s="19" t="s">
        <v>395</v>
      </c>
      <c r="D53" s="19" t="str">
        <f>HYPERLINK("http://henontech.com/fieldsafety/harzard/harzard_show.php?rid=3189&amp;url=harzardrecs.php","脱硫硫铵稠厚器顶瓦固定不牢，一名巡检工经过此处下方巡检时，顶瓦瓦片一旦掉落，割伤一名巡检工的脖颈处，送医治疗8天后恢复健康上班。")</f>
        <v>脱硫硫铵稠厚器顶瓦固定不牢，一名巡检工经过此处下方巡检时，顶瓦瓦片一旦掉落，割伤一名巡检工的脖颈处，送医治疗8天后恢复健康上班。</v>
      </c>
      <c r="E53" s="19" t="s">
        <v>396</v>
      </c>
      <c r="F53" s="20" t="s">
        <v>42</v>
      </c>
      <c r="G53" s="21" t="s">
        <v>43</v>
      </c>
      <c r="H53" s="19" t="s">
        <v>44</v>
      </c>
      <c r="I53" s="19"/>
      <c r="J53" s="19" t="s">
        <v>63</v>
      </c>
      <c r="K53" s="19"/>
      <c r="L53" s="19" t="s">
        <v>46</v>
      </c>
      <c r="M53" s="19" t="s">
        <v>386</v>
      </c>
      <c r="N53" s="19" t="s">
        <v>397</v>
      </c>
      <c r="O53" s="19" t="s">
        <v>91</v>
      </c>
      <c r="P53" s="19" t="s">
        <v>107</v>
      </c>
      <c r="Q53" s="19" t="s">
        <v>248</v>
      </c>
      <c r="R53" s="19" t="s">
        <v>398</v>
      </c>
      <c r="S53" s="19"/>
      <c r="T53" s="19" t="s">
        <v>68</v>
      </c>
      <c r="U53" s="19" t="s">
        <v>96</v>
      </c>
      <c r="V53" s="19" t="s">
        <v>182</v>
      </c>
      <c r="W53" s="19" t="s">
        <v>162</v>
      </c>
      <c r="X53" s="19"/>
      <c r="Y53" s="19"/>
      <c r="Z53" s="19" t="s">
        <v>399</v>
      </c>
      <c r="AA53" s="19">
        <v>2</v>
      </c>
      <c r="AB53" s="19">
        <v>2</v>
      </c>
      <c r="AC53" s="19" t="s">
        <v>58</v>
      </c>
      <c r="AD53" s="19" t="s">
        <v>107</v>
      </c>
      <c r="AE53" s="19" t="s">
        <v>172</v>
      </c>
      <c r="AF53" s="19" t="s">
        <v>400</v>
      </c>
    </row>
    <row r="54" spans="1:34" customHeight="1" ht="42">
      <c r="A54" s="19">
        <v>49</v>
      </c>
      <c r="B54" s="19" t="s">
        <v>269</v>
      </c>
      <c r="C54" s="19" t="s">
        <v>401</v>
      </c>
      <c r="D54" s="19" t="str">
        <f>HYPERLINK("http://henontech.com/fieldsafety/harzard/harzard_show.php?rid=3190&amp;url=harzardrecs.php","无栏杆或警示牌在巡检或其它作业活动中可能掉入")</f>
        <v>无栏杆或警示牌在巡检或其它作业活动中可能掉入</v>
      </c>
      <c r="E54" s="19" t="s">
        <v>402</v>
      </c>
      <c r="F54" s="20" t="s">
        <v>42</v>
      </c>
      <c r="G54" s="22" t="s">
        <v>77</v>
      </c>
      <c r="H54" s="19" t="s">
        <v>44</v>
      </c>
      <c r="I54" s="19" t="s">
        <v>45</v>
      </c>
      <c r="J54" s="19" t="s">
        <v>105</v>
      </c>
      <c r="K54" s="19" t="s">
        <v>186</v>
      </c>
      <c r="L54" s="19" t="s">
        <v>46</v>
      </c>
      <c r="M54" s="19" t="s">
        <v>91</v>
      </c>
      <c r="N54" s="19" t="s">
        <v>403</v>
      </c>
      <c r="O54" s="19" t="s">
        <v>91</v>
      </c>
      <c r="P54" s="19" t="s">
        <v>107</v>
      </c>
      <c r="Q54" s="19" t="s">
        <v>217</v>
      </c>
      <c r="R54" s="19" t="s">
        <v>404</v>
      </c>
      <c r="S54" s="19"/>
      <c r="T54" s="19" t="s">
        <v>68</v>
      </c>
      <c r="U54" s="19" t="s">
        <v>69</v>
      </c>
      <c r="V54" s="19" t="s">
        <v>54</v>
      </c>
      <c r="W54" s="19" t="s">
        <v>162</v>
      </c>
      <c r="X54" s="19" t="s">
        <v>98</v>
      </c>
      <c r="Y54" s="19" t="s">
        <v>98</v>
      </c>
      <c r="Z54" s="19" t="s">
        <v>405</v>
      </c>
      <c r="AA54" s="19">
        <v>2</v>
      </c>
      <c r="AB54" s="19">
        <v>1</v>
      </c>
      <c r="AC54" s="19" t="s">
        <v>58</v>
      </c>
      <c r="AD54" s="19" t="s">
        <v>107</v>
      </c>
      <c r="AE54" s="19" t="s">
        <v>152</v>
      </c>
      <c r="AF54" s="19" t="s">
        <v>406</v>
      </c>
    </row>
    <row r="55" spans="1:34">
      <c r="A55" s="19">
        <v>50</v>
      </c>
      <c r="B55" s="19" t="s">
        <v>269</v>
      </c>
      <c r="C55" s="19" t="s">
        <v>277</v>
      </c>
      <c r="D55" s="19" t="str">
        <f>HYPERLINK("http://henontech.com/fieldsafety/harzard/harzard_show.php?rid=3191&amp;url=harzardrecs.php","干熄焦提升机地板直通向下部二层平台的检修口盖盖板，晚上因光线暗巡检人员经过时踩空从检修口摔至1.8米高差的下层平台，坠落惯性使其又从二层平台护栏40厘米间隙滚落摔到40米高差水泥地面")</f>
        <v>干熄焦提升机地板直通向下部二层平台的检修口盖盖板，晚上因光线暗巡检人员经过时踩空从检修口摔至1.8米高差的下层平台，坠落惯性使其又从二层平台护栏40厘米间隙滚落摔到40米高差水泥地面</v>
      </c>
      <c r="E55" s="19" t="s">
        <v>407</v>
      </c>
      <c r="F55" s="24" t="s">
        <v>260</v>
      </c>
      <c r="G55" s="22" t="s">
        <v>77</v>
      </c>
      <c r="H55" s="19" t="s">
        <v>44</v>
      </c>
      <c r="I55" s="19" t="s">
        <v>90</v>
      </c>
      <c r="J55" s="19" t="s">
        <v>105</v>
      </c>
      <c r="K55" s="19" t="s">
        <v>64</v>
      </c>
      <c r="L55" s="19" t="s">
        <v>46</v>
      </c>
      <c r="M55" s="19" t="s">
        <v>47</v>
      </c>
      <c r="N55" s="19" t="s">
        <v>408</v>
      </c>
      <c r="O55" s="19" t="s">
        <v>47</v>
      </c>
      <c r="P55" s="19" t="s">
        <v>409</v>
      </c>
      <c r="Q55" s="19" t="s">
        <v>362</v>
      </c>
      <c r="R55" s="19" t="s">
        <v>410</v>
      </c>
      <c r="S55" s="19" t="s">
        <v>411</v>
      </c>
      <c r="T55" s="19" t="s">
        <v>68</v>
      </c>
      <c r="U55" s="19" t="s">
        <v>203</v>
      </c>
      <c r="V55" s="19" t="s">
        <v>70</v>
      </c>
      <c r="W55" s="19" t="s">
        <v>162</v>
      </c>
      <c r="X55" s="19" t="s">
        <v>98</v>
      </c>
      <c r="Y55" s="19" t="s">
        <v>98</v>
      </c>
      <c r="Z55" s="19" t="s">
        <v>412</v>
      </c>
      <c r="AA55" s="19">
        <v>1</v>
      </c>
      <c r="AB55" s="19"/>
      <c r="AC55" s="19" t="s">
        <v>266</v>
      </c>
      <c r="AD55" s="19"/>
      <c r="AE55" s="19"/>
      <c r="AF55" s="19"/>
    </row>
    <row r="56" spans="1:34">
      <c r="A56" s="19">
        <v>51</v>
      </c>
      <c r="B56" s="19" t="s">
        <v>152</v>
      </c>
      <c r="C56" s="19" t="s">
        <v>413</v>
      </c>
      <c r="D56" s="19" t="str">
        <f>HYPERLINK("http://henontech.com/fieldsafety/harzard/harzard_show.php?rid=3192&amp;url=harzardrecs.php","皮带支架外侧未设置防护栏，一员工在未停机状态下清理机架积煤，不慎将右手挤入拖棍中，送医确诊为右手骨折，住院治疗15天，在家休养100天后复工。")</f>
        <v>皮带支架外侧未设置防护栏，一员工在未停机状态下清理机架积煤，不慎将右手挤入拖棍中，送医确诊为右手骨折，住院治疗15天，在家休养100天后复工。</v>
      </c>
      <c r="E56" s="19" t="s">
        <v>414</v>
      </c>
      <c r="F56" s="20" t="s">
        <v>42</v>
      </c>
      <c r="G56" s="21" t="s">
        <v>43</v>
      </c>
      <c r="H56" s="19" t="s">
        <v>44</v>
      </c>
      <c r="I56" s="19" t="s">
        <v>45</v>
      </c>
      <c r="J56" s="19" t="s">
        <v>105</v>
      </c>
      <c r="K56" s="19" t="s">
        <v>64</v>
      </c>
      <c r="L56" s="19" t="s">
        <v>46</v>
      </c>
      <c r="M56" s="19" t="s">
        <v>210</v>
      </c>
      <c r="N56" s="19" t="s">
        <v>415</v>
      </c>
      <c r="O56" s="19" t="s">
        <v>210</v>
      </c>
      <c r="P56" s="19" t="s">
        <v>416</v>
      </c>
      <c r="Q56" s="19" t="s">
        <v>72</v>
      </c>
      <c r="R56" s="19" t="s">
        <v>417</v>
      </c>
      <c r="S56" s="19"/>
      <c r="T56" s="19" t="s">
        <v>68</v>
      </c>
      <c r="U56" s="19" t="s">
        <v>96</v>
      </c>
      <c r="V56" s="19" t="s">
        <v>182</v>
      </c>
      <c r="W56" s="19" t="s">
        <v>162</v>
      </c>
      <c r="X56" s="19"/>
      <c r="Y56" s="19"/>
      <c r="Z56" s="19" t="s">
        <v>418</v>
      </c>
      <c r="AA56" s="19">
        <v>1</v>
      </c>
      <c r="AB56" s="19">
        <v>1</v>
      </c>
      <c r="AC56" s="19" t="s">
        <v>58</v>
      </c>
      <c r="AD56" s="19" t="s">
        <v>416</v>
      </c>
      <c r="AE56" s="19" t="s">
        <v>72</v>
      </c>
      <c r="AF56" s="19"/>
    </row>
    <row r="57" spans="1:34">
      <c r="A57" s="19">
        <v>52</v>
      </c>
      <c r="B57" s="19" t="s">
        <v>152</v>
      </c>
      <c r="C57" s="19" t="s">
        <v>314</v>
      </c>
      <c r="D57" s="19" t="str">
        <f>HYPERLINK("http://henontech.com/fieldsafety/harzard/harzard_show.php?rid=3193&amp;url=harzardrecs.php","因磅面与地面距离过高，一司机在停车下磅时不慎将左脚脚踝崴伤，送医确诊为踝关节脱臼，复位后回家休养三天后复工。")</f>
        <v>因磅面与地面距离过高，一司机在停车下磅时不慎将左脚脚踝崴伤，送医确诊为踝关节脱臼，复位后回家休养三天后复工。</v>
      </c>
      <c r="E57" s="19" t="s">
        <v>419</v>
      </c>
      <c r="F57" s="20" t="s">
        <v>42</v>
      </c>
      <c r="G57" s="21" t="s">
        <v>43</v>
      </c>
      <c r="H57" s="19" t="s">
        <v>44</v>
      </c>
      <c r="I57" s="19" t="s">
        <v>45</v>
      </c>
      <c r="J57" s="19" t="s">
        <v>198</v>
      </c>
      <c r="K57" s="19" t="s">
        <v>138</v>
      </c>
      <c r="L57" s="19" t="s">
        <v>46</v>
      </c>
      <c r="M57" s="19" t="s">
        <v>210</v>
      </c>
      <c r="N57" s="19" t="s">
        <v>420</v>
      </c>
      <c r="O57" s="19" t="s">
        <v>210</v>
      </c>
      <c r="P57" s="19" t="s">
        <v>416</v>
      </c>
      <c r="Q57" s="19" t="s">
        <v>72</v>
      </c>
      <c r="R57" s="19" t="s">
        <v>421</v>
      </c>
      <c r="S57" s="19"/>
      <c r="T57" s="19" t="s">
        <v>68</v>
      </c>
      <c r="U57" s="19" t="s">
        <v>96</v>
      </c>
      <c r="V57" s="19" t="s">
        <v>182</v>
      </c>
      <c r="W57" s="19" t="s">
        <v>162</v>
      </c>
      <c r="X57" s="19"/>
      <c r="Y57" s="19"/>
      <c r="Z57" s="19" t="s">
        <v>422</v>
      </c>
      <c r="AA57" s="19">
        <v>1</v>
      </c>
      <c r="AB57" s="19">
        <v>1</v>
      </c>
      <c r="AC57" s="19" t="s">
        <v>58</v>
      </c>
      <c r="AD57" s="19" t="s">
        <v>416</v>
      </c>
      <c r="AE57" s="19" t="s">
        <v>72</v>
      </c>
      <c r="AF57" s="19"/>
    </row>
    <row r="58" spans="1:34" customHeight="1" ht="42">
      <c r="A58" s="19">
        <v>53</v>
      </c>
      <c r="B58" s="19" t="s">
        <v>152</v>
      </c>
      <c r="C58" s="19" t="s">
        <v>251</v>
      </c>
      <c r="D58" s="19" t="str">
        <f>HYPERLINK("http://henontech.com/fieldsafety/harzard/harzard_show.php?rid=3194&amp;url=harzardrecs.php","1618破碎机楼道照明灯损坏 操作工巡检时光线暗一脚踩空 扭伤右脚脚踝 休息一会不影响工作")</f>
        <v>1618破碎机楼道照明灯损坏 操作工巡检时光线暗一脚踩空 扭伤右脚脚踝 休息一会不影响工作</v>
      </c>
      <c r="E58" s="19" t="s">
        <v>423</v>
      </c>
      <c r="F58" s="20" t="s">
        <v>42</v>
      </c>
      <c r="G58" s="22" t="s">
        <v>77</v>
      </c>
      <c r="H58" s="19" t="s">
        <v>44</v>
      </c>
      <c r="I58" s="19" t="s">
        <v>90</v>
      </c>
      <c r="J58" s="19"/>
      <c r="K58" s="19" t="s">
        <v>64</v>
      </c>
      <c r="L58" s="19" t="s">
        <v>46</v>
      </c>
      <c r="M58" s="19" t="s">
        <v>210</v>
      </c>
      <c r="N58" s="19" t="s">
        <v>424</v>
      </c>
      <c r="O58" s="19" t="s">
        <v>210</v>
      </c>
      <c r="P58" s="19" t="s">
        <v>425</v>
      </c>
      <c r="Q58" s="19" t="s">
        <v>426</v>
      </c>
      <c r="R58" s="19" t="s">
        <v>427</v>
      </c>
      <c r="S58" s="19"/>
      <c r="T58" s="19" t="s">
        <v>68</v>
      </c>
      <c r="U58" s="19" t="s">
        <v>69</v>
      </c>
      <c r="V58" s="19" t="s">
        <v>70</v>
      </c>
      <c r="W58" s="19" t="s">
        <v>55</v>
      </c>
      <c r="X58" s="19"/>
      <c r="Y58" s="19"/>
      <c r="Z58" s="19" t="s">
        <v>428</v>
      </c>
      <c r="AA58" s="19">
        <v>2</v>
      </c>
      <c r="AB58" s="19">
        <v>2</v>
      </c>
      <c r="AC58" s="19" t="s">
        <v>58</v>
      </c>
      <c r="AD58" s="19" t="s">
        <v>425</v>
      </c>
      <c r="AE58" s="19" t="s">
        <v>160</v>
      </c>
      <c r="AF58" s="19"/>
    </row>
    <row r="59" spans="1:34" customHeight="1" ht="42">
      <c r="A59" s="19">
        <v>54</v>
      </c>
      <c r="B59" s="19" t="s">
        <v>152</v>
      </c>
      <c r="C59" s="19" t="s">
        <v>314</v>
      </c>
      <c r="D59" s="19" t="str">
        <f>HYPERLINK("http://henontech.com/fieldsafety/harzard/harzard_show.php?rid=3195&amp;url=harzardrecs.php","煤厂西南角液下泵电源线未套管  启动时长时间振动 电源线皮磨损 人员经过时不慎触电摔倒 送医治疗 抢救无效死亡")</f>
        <v>煤厂西南角液下泵电源线未套管  启动时长时间振动 电源线皮磨损 人员经过时不慎触电摔倒 送医治疗 抢救无效死亡</v>
      </c>
      <c r="E59" s="19" t="s">
        <v>429</v>
      </c>
      <c r="F59" s="20" t="s">
        <v>42</v>
      </c>
      <c r="G59" s="22" t="s">
        <v>77</v>
      </c>
      <c r="H59" s="19" t="s">
        <v>44</v>
      </c>
      <c r="I59" s="19" t="s">
        <v>45</v>
      </c>
      <c r="J59" s="19" t="s">
        <v>63</v>
      </c>
      <c r="K59" s="19" t="s">
        <v>199</v>
      </c>
      <c r="L59" s="19" t="s">
        <v>46</v>
      </c>
      <c r="M59" s="19" t="s">
        <v>210</v>
      </c>
      <c r="N59" s="19" t="s">
        <v>424</v>
      </c>
      <c r="O59" s="19" t="s">
        <v>210</v>
      </c>
      <c r="P59" s="19" t="s">
        <v>425</v>
      </c>
      <c r="Q59" s="19" t="s">
        <v>426</v>
      </c>
      <c r="R59" s="19" t="s">
        <v>430</v>
      </c>
      <c r="S59" s="19"/>
      <c r="T59" s="19" t="s">
        <v>68</v>
      </c>
      <c r="U59" s="19" t="s">
        <v>203</v>
      </c>
      <c r="V59" s="19" t="s">
        <v>54</v>
      </c>
      <c r="W59" s="19" t="s">
        <v>120</v>
      </c>
      <c r="X59" s="19"/>
      <c r="Y59" s="19"/>
      <c r="Z59" s="19" t="s">
        <v>431</v>
      </c>
      <c r="AA59" s="19">
        <v>2</v>
      </c>
      <c r="AB59" s="19">
        <v>2</v>
      </c>
      <c r="AC59" s="19" t="s">
        <v>58</v>
      </c>
      <c r="AD59" s="19" t="s">
        <v>425</v>
      </c>
      <c r="AE59" s="19" t="s">
        <v>160</v>
      </c>
      <c r="AF59" s="19"/>
    </row>
    <row r="60" spans="1:34">
      <c r="A60" s="19">
        <v>55</v>
      </c>
      <c r="B60" s="19" t="s">
        <v>160</v>
      </c>
      <c r="C60" s="19" t="s">
        <v>314</v>
      </c>
      <c r="D60" s="19" t="str">
        <f>HYPERLINK("http://henontech.com/fieldsafety/harzard/harzard_show.php?rid=3196&amp;url=harzardrecs.php","一名操作工在攀爬卸料车进行清筒作业时，不慎踩空，摔落地面导致左小腿摔伤，送医确诊为左小腿骨折，住院治疗10天，回家修养100天后复工。")</f>
        <v>一名操作工在攀爬卸料车进行清筒作业时，不慎踩空，摔落地面导致左小腿摔伤，送医确诊为左小腿骨折，住院治疗10天，回家修养100天后复工。</v>
      </c>
      <c r="E60" s="19" t="s">
        <v>432</v>
      </c>
      <c r="F60" s="20" t="s">
        <v>42</v>
      </c>
      <c r="G60" s="21" t="s">
        <v>43</v>
      </c>
      <c r="H60" s="19" t="s">
        <v>44</v>
      </c>
      <c r="I60" s="19" t="s">
        <v>90</v>
      </c>
      <c r="J60" s="19" t="s">
        <v>433</v>
      </c>
      <c r="K60" s="19" t="s">
        <v>64</v>
      </c>
      <c r="L60" s="19" t="s">
        <v>46</v>
      </c>
      <c r="M60" s="19" t="s">
        <v>210</v>
      </c>
      <c r="N60" s="19" t="s">
        <v>434</v>
      </c>
      <c r="O60" s="19" t="s">
        <v>210</v>
      </c>
      <c r="P60" s="19" t="s">
        <v>416</v>
      </c>
      <c r="Q60" s="19" t="s">
        <v>72</v>
      </c>
      <c r="R60" s="19" t="s">
        <v>435</v>
      </c>
      <c r="S60" s="19"/>
      <c r="T60" s="19" t="s">
        <v>68</v>
      </c>
      <c r="U60" s="19" t="s">
        <v>96</v>
      </c>
      <c r="V60" s="19" t="s">
        <v>182</v>
      </c>
      <c r="W60" s="19" t="s">
        <v>162</v>
      </c>
      <c r="X60" s="19"/>
      <c r="Y60" s="19"/>
      <c r="Z60" s="19" t="s">
        <v>436</v>
      </c>
      <c r="AA60" s="19">
        <v>1</v>
      </c>
      <c r="AB60" s="19">
        <v>1</v>
      </c>
      <c r="AC60" s="19" t="s">
        <v>58</v>
      </c>
      <c r="AD60" s="19" t="s">
        <v>416</v>
      </c>
      <c r="AE60" s="19" t="s">
        <v>72</v>
      </c>
      <c r="AF60" s="19"/>
    </row>
    <row r="61" spans="1:34">
      <c r="A61" s="19">
        <v>56</v>
      </c>
      <c r="B61" s="19" t="s">
        <v>160</v>
      </c>
      <c r="C61" s="19" t="s">
        <v>413</v>
      </c>
      <c r="D61" s="19" t="str">
        <f>HYPERLINK("http://henontech.com/fieldsafety/harzard/harzard_show.php?rid=3197&amp;url=harzardrecs.php","一名员工，靠近煤垛经过时，煤垛塌方，将其埋入，五分钟后被发现，联系人员将其救出，迅速拨打120，加之现场急救，送医院医治无效死亡。")</f>
        <v>一名员工，靠近煤垛经过时，煤垛塌方，将其埋入，五分钟后被发现，联系人员将其救出，迅速拨打120，加之现场急救，送医院医治无效死亡。</v>
      </c>
      <c r="E61" s="19" t="s">
        <v>437</v>
      </c>
      <c r="F61" s="20" t="s">
        <v>42</v>
      </c>
      <c r="G61" s="21" t="s">
        <v>43</v>
      </c>
      <c r="H61" s="19" t="s">
        <v>44</v>
      </c>
      <c r="I61" s="19" t="s">
        <v>90</v>
      </c>
      <c r="J61" s="19" t="s">
        <v>105</v>
      </c>
      <c r="K61" s="19" t="s">
        <v>138</v>
      </c>
      <c r="L61" s="19" t="s">
        <v>46</v>
      </c>
      <c r="M61" s="19" t="s">
        <v>210</v>
      </c>
      <c r="N61" s="19" t="s">
        <v>438</v>
      </c>
      <c r="O61" s="19" t="s">
        <v>210</v>
      </c>
      <c r="P61" s="19" t="s">
        <v>416</v>
      </c>
      <c r="Q61" s="19" t="s">
        <v>72</v>
      </c>
      <c r="R61" s="19" t="s">
        <v>439</v>
      </c>
      <c r="S61" s="19"/>
      <c r="T61" s="19" t="s">
        <v>68</v>
      </c>
      <c r="U61" s="19" t="s">
        <v>203</v>
      </c>
      <c r="V61" s="19" t="s">
        <v>54</v>
      </c>
      <c r="W61" s="19" t="s">
        <v>120</v>
      </c>
      <c r="X61" s="19"/>
      <c r="Y61" s="19"/>
      <c r="Z61" s="19" t="s">
        <v>440</v>
      </c>
      <c r="AA61" s="19">
        <v>1</v>
      </c>
      <c r="AB61" s="19">
        <v>1</v>
      </c>
      <c r="AC61" s="19" t="s">
        <v>58</v>
      </c>
      <c r="AD61" s="19" t="s">
        <v>416</v>
      </c>
      <c r="AE61" s="19" t="s">
        <v>72</v>
      </c>
      <c r="AF61" s="19"/>
    </row>
    <row r="62" spans="1:34" customHeight="1" ht="42">
      <c r="A62" s="19">
        <v>57</v>
      </c>
      <c r="B62" s="19" t="s">
        <v>160</v>
      </c>
      <c r="C62" s="19" t="s">
        <v>413</v>
      </c>
      <c r="D62" s="19" t="str">
        <f>HYPERLINK("http://henontech.com/fieldsafety/harzard/harzard_show.php?rid=3198&amp;url=harzardrecs.php","东五岗位积水井未盖盖板，一人员巡检时，腿部掉入积水井，送医院检查腿部骨折，住院治疗一个月，在家休养二个月")</f>
        <v>东五岗位积水井未盖盖板，一人员巡检时，腿部掉入积水井，送医院检查腿部骨折，住院治疗一个月，在家休养二个月</v>
      </c>
      <c r="E62" s="19" t="s">
        <v>315</v>
      </c>
      <c r="F62" s="20" t="s">
        <v>42</v>
      </c>
      <c r="G62" s="21" t="s">
        <v>43</v>
      </c>
      <c r="H62" s="19" t="s">
        <v>44</v>
      </c>
      <c r="I62" s="19" t="s">
        <v>45</v>
      </c>
      <c r="J62" s="19" t="s">
        <v>63</v>
      </c>
      <c r="K62" s="19" t="s">
        <v>64</v>
      </c>
      <c r="L62" s="19" t="s">
        <v>46</v>
      </c>
      <c r="M62" s="19" t="s">
        <v>210</v>
      </c>
      <c r="N62" s="19" t="s">
        <v>441</v>
      </c>
      <c r="O62" s="19" t="s">
        <v>210</v>
      </c>
      <c r="P62" s="19" t="s">
        <v>212</v>
      </c>
      <c r="Q62" s="19" t="s">
        <v>426</v>
      </c>
      <c r="R62" s="19" t="s">
        <v>442</v>
      </c>
      <c r="S62" s="19"/>
      <c r="T62" s="19" t="s">
        <v>68</v>
      </c>
      <c r="U62" s="19" t="s">
        <v>96</v>
      </c>
      <c r="V62" s="19" t="s">
        <v>182</v>
      </c>
      <c r="W62" s="19" t="s">
        <v>162</v>
      </c>
      <c r="X62" s="19" t="s">
        <v>204</v>
      </c>
      <c r="Y62" s="19" t="s">
        <v>204</v>
      </c>
      <c r="Z62" s="19" t="s">
        <v>443</v>
      </c>
      <c r="AA62" s="19">
        <v>2</v>
      </c>
      <c r="AB62" s="19">
        <v>2</v>
      </c>
      <c r="AC62" s="19" t="s">
        <v>58</v>
      </c>
      <c r="AD62" s="19" t="s">
        <v>212</v>
      </c>
      <c r="AE62" s="19" t="s">
        <v>72</v>
      </c>
      <c r="AF62" s="19"/>
    </row>
    <row r="63" spans="1:34" customHeight="1" ht="42">
      <c r="A63" s="19">
        <v>58</v>
      </c>
      <c r="B63" s="19" t="s">
        <v>160</v>
      </c>
      <c r="C63" s="19" t="s">
        <v>413</v>
      </c>
      <c r="D63" s="19" t="str">
        <f>HYPERLINK("http://henontech.com/fieldsafety/harzard/harzard_show.php?rid=3199&amp;url=harzardrecs.php","废料堆一电缆线破损裸漏，未进行包扎处理，一行人经过时，不小心踩在裸漏处电缆上触电，现场人员进行心脏复苏，送医抢救，经医抢救无效死亡。")</f>
        <v>废料堆一电缆线破损裸漏，未进行包扎处理，一行人经过时，不小心踩在裸漏处电缆上触电，现场人员进行心脏复苏，送医抢救，经医抢救无效死亡。</v>
      </c>
      <c r="E63" s="19" t="s">
        <v>444</v>
      </c>
      <c r="F63" s="20" t="s">
        <v>42</v>
      </c>
      <c r="G63" s="23" t="s">
        <v>137</v>
      </c>
      <c r="H63" s="19" t="s">
        <v>44</v>
      </c>
      <c r="I63" s="19" t="s">
        <v>45</v>
      </c>
      <c r="J63" s="19" t="s">
        <v>105</v>
      </c>
      <c r="K63" s="19" t="s">
        <v>138</v>
      </c>
      <c r="L63" s="19" t="s">
        <v>46</v>
      </c>
      <c r="M63" s="19" t="s">
        <v>210</v>
      </c>
      <c r="N63" s="19" t="s">
        <v>445</v>
      </c>
      <c r="O63" s="19" t="s">
        <v>210</v>
      </c>
      <c r="P63" s="19" t="s">
        <v>212</v>
      </c>
      <c r="Q63" s="19" t="s">
        <v>446</v>
      </c>
      <c r="R63" s="19" t="s">
        <v>447</v>
      </c>
      <c r="S63" s="19"/>
      <c r="T63" s="19" t="s">
        <v>68</v>
      </c>
      <c r="U63" s="19" t="s">
        <v>203</v>
      </c>
      <c r="V63" s="19" t="s">
        <v>54</v>
      </c>
      <c r="W63" s="19" t="s">
        <v>120</v>
      </c>
      <c r="X63" s="19" t="s">
        <v>204</v>
      </c>
      <c r="Y63" s="19" t="s">
        <v>204</v>
      </c>
      <c r="Z63" s="19" t="s">
        <v>448</v>
      </c>
      <c r="AA63" s="19">
        <v>2</v>
      </c>
      <c r="AB63" s="19">
        <v>2</v>
      </c>
      <c r="AC63" s="19" t="s">
        <v>58</v>
      </c>
      <c r="AD63" s="19" t="s">
        <v>212</v>
      </c>
      <c r="AE63" s="19" t="s">
        <v>72</v>
      </c>
      <c r="AF63" s="19" t="s">
        <v>449</v>
      </c>
    </row>
    <row r="64" spans="1:34">
      <c r="A64" s="19">
        <v>59</v>
      </c>
      <c r="B64" s="19" t="s">
        <v>160</v>
      </c>
      <c r="C64" s="19" t="s">
        <v>450</v>
      </c>
      <c r="D64" s="19" t="str">
        <f>HYPERLINK("http://henontech.com/fieldsafety/harzard/harzard_show.php?rid=3200&amp;url=harzardrecs.php","一名除盐水操作人员在夜间巡检至浓水设备中间水箱时被高出地面30公分的信号缆绊倒，导致膝盖出血，右臂骨折。")</f>
        <v>一名除盐水操作人员在夜间巡检至浓水设备中间水箱时被高出地面30公分的信号缆绊倒，导致膝盖出血，右臂骨折。</v>
      </c>
      <c r="E64" s="19" t="s">
        <v>451</v>
      </c>
      <c r="F64" s="24" t="s">
        <v>260</v>
      </c>
      <c r="G64" s="22" t="s">
        <v>77</v>
      </c>
      <c r="H64" s="19" t="s">
        <v>44</v>
      </c>
      <c r="I64" s="19"/>
      <c r="J64" s="19" t="s">
        <v>63</v>
      </c>
      <c r="K64" s="19" t="s">
        <v>138</v>
      </c>
      <c r="L64" s="19"/>
      <c r="M64" s="19" t="s">
        <v>47</v>
      </c>
      <c r="N64" s="19" t="s">
        <v>452</v>
      </c>
      <c r="O64" s="19" t="s">
        <v>47</v>
      </c>
      <c r="P64" s="19" t="s">
        <v>140</v>
      </c>
      <c r="Q64" s="19" t="s">
        <v>262</v>
      </c>
      <c r="R64" s="19" t="s">
        <v>453</v>
      </c>
      <c r="S64" s="19" t="s">
        <v>454</v>
      </c>
      <c r="T64" s="19" t="s">
        <v>68</v>
      </c>
      <c r="U64" s="19" t="s">
        <v>96</v>
      </c>
      <c r="V64" s="19" t="s">
        <v>54</v>
      </c>
      <c r="W64" s="19" t="s">
        <v>120</v>
      </c>
      <c r="X64" s="19" t="s">
        <v>98</v>
      </c>
      <c r="Y64" s="19"/>
      <c r="Z64" s="19" t="s">
        <v>455</v>
      </c>
      <c r="AA64" s="19">
        <v>1</v>
      </c>
      <c r="AB64" s="19"/>
      <c r="AC64" s="19" t="s">
        <v>266</v>
      </c>
      <c r="AD64" s="19"/>
      <c r="AE64" s="19"/>
      <c r="AF64" s="19"/>
    </row>
    <row r="65" spans="1:34" customHeight="1" ht="42">
      <c r="A65" s="19">
        <v>60</v>
      </c>
      <c r="B65" s="19" t="s">
        <v>160</v>
      </c>
      <c r="C65" s="19" t="s">
        <v>314</v>
      </c>
      <c r="D65" s="19" t="str">
        <f>HYPERLINK("http://henontech.com/fieldsafety/harzard/harzard_show.php?rid=3201&amp;url=harzardrecs.php","工具室    电缆桥架处有一电缆外漏一人取工具时     不小心触碰到外露的电缆上触电    现场人员进行心脏复苏   经医抢救无效死亡")</f>
        <v>工具室    电缆桥架处有一电缆外漏一人取工具时     不小心触碰到外露的电缆上触电    现场人员进行心脏复苏   经医抢救无效死亡</v>
      </c>
      <c r="E65" s="19" t="s">
        <v>456</v>
      </c>
      <c r="F65" s="20" t="s">
        <v>42</v>
      </c>
      <c r="G65" s="22" t="s">
        <v>77</v>
      </c>
      <c r="H65" s="19" t="s">
        <v>44</v>
      </c>
      <c r="I65" s="19" t="s">
        <v>45</v>
      </c>
      <c r="J65" s="19"/>
      <c r="K65" s="19" t="s">
        <v>199</v>
      </c>
      <c r="L65" s="19" t="s">
        <v>46</v>
      </c>
      <c r="M65" s="19" t="s">
        <v>210</v>
      </c>
      <c r="N65" s="19" t="s">
        <v>457</v>
      </c>
      <c r="O65" s="19" t="s">
        <v>210</v>
      </c>
      <c r="P65" s="19" t="s">
        <v>212</v>
      </c>
      <c r="Q65" s="19" t="s">
        <v>458</v>
      </c>
      <c r="R65" s="19" t="s">
        <v>459</v>
      </c>
      <c r="S65" s="19"/>
      <c r="T65" s="19" t="s">
        <v>68</v>
      </c>
      <c r="U65" s="19" t="s">
        <v>203</v>
      </c>
      <c r="V65" s="19" t="s">
        <v>182</v>
      </c>
      <c r="W65" s="19" t="s">
        <v>120</v>
      </c>
      <c r="X65" s="19" t="s">
        <v>204</v>
      </c>
      <c r="Y65" s="19" t="s">
        <v>204</v>
      </c>
      <c r="Z65" s="19" t="s">
        <v>460</v>
      </c>
      <c r="AA65" s="19">
        <v>2</v>
      </c>
      <c r="AB65" s="19">
        <v>2</v>
      </c>
      <c r="AC65" s="19" t="s">
        <v>58</v>
      </c>
      <c r="AD65" s="19" t="s">
        <v>212</v>
      </c>
      <c r="AE65" s="19" t="s">
        <v>243</v>
      </c>
      <c r="AF65" s="19"/>
    </row>
    <row r="66" spans="1:34" customHeight="1" ht="42">
      <c r="A66" s="19">
        <v>61</v>
      </c>
      <c r="B66" s="19" t="s">
        <v>160</v>
      </c>
      <c r="C66" s="19" t="s">
        <v>413</v>
      </c>
      <c r="D66" s="19" t="str">
        <f>HYPERLINK("http://henontech.com/fieldsafety/harzard/harzard_show.php?rid=3202&amp;url=harzardrecs.php","东四机头护栏未安装到位，人员操作时，掉入机头下料筒，造成胳膊受伤，送医救治一个月，回家修养两个月，造成损工90天")</f>
        <v>东四机头护栏未安装到位，人员操作时，掉入机头下料筒，造成胳膊受伤，送医救治一个月，回家修养两个月，造成损工90天</v>
      </c>
      <c r="E66" s="19" t="s">
        <v>461</v>
      </c>
      <c r="F66" s="20" t="s">
        <v>42</v>
      </c>
      <c r="G66" s="21" t="s">
        <v>43</v>
      </c>
      <c r="H66" s="19" t="s">
        <v>44</v>
      </c>
      <c r="I66" s="19" t="s">
        <v>45</v>
      </c>
      <c r="J66" s="19" t="s">
        <v>63</v>
      </c>
      <c r="K66" s="19" t="s">
        <v>64</v>
      </c>
      <c r="L66" s="19" t="s">
        <v>46</v>
      </c>
      <c r="M66" s="19" t="s">
        <v>210</v>
      </c>
      <c r="N66" s="19" t="s">
        <v>462</v>
      </c>
      <c r="O66" s="19" t="s">
        <v>210</v>
      </c>
      <c r="P66" s="19" t="s">
        <v>212</v>
      </c>
      <c r="Q66" s="19" t="s">
        <v>172</v>
      </c>
      <c r="R66" s="19" t="s">
        <v>463</v>
      </c>
      <c r="S66" s="19"/>
      <c r="T66" s="19" t="s">
        <v>68</v>
      </c>
      <c r="U66" s="19" t="s">
        <v>96</v>
      </c>
      <c r="V66" s="19" t="s">
        <v>182</v>
      </c>
      <c r="W66" s="19" t="s">
        <v>162</v>
      </c>
      <c r="X66" s="19" t="s">
        <v>204</v>
      </c>
      <c r="Y66" s="19" t="s">
        <v>204</v>
      </c>
      <c r="Z66" s="19" t="s">
        <v>464</v>
      </c>
      <c r="AA66" s="19">
        <v>2</v>
      </c>
      <c r="AB66" s="19">
        <v>2</v>
      </c>
      <c r="AC66" s="19" t="s">
        <v>58</v>
      </c>
      <c r="AD66" s="19" t="s">
        <v>212</v>
      </c>
      <c r="AE66" s="19" t="s">
        <v>220</v>
      </c>
      <c r="AF66" s="19"/>
    </row>
    <row r="67" spans="1:34">
      <c r="A67" s="19">
        <v>62</v>
      </c>
      <c r="B67" s="19" t="s">
        <v>446</v>
      </c>
      <c r="C67" s="19" t="s">
        <v>465</v>
      </c>
      <c r="D67" s="19" t="str">
        <f>HYPERLINK("http://henontech.com/fieldsafety/harzard/harzard_show.php?rid=3205&amp;url=harzardrecs.php","南风机2#初冷器检修时，一名在平台施工人员安全帽未按规定佩戴帽绳，如果安全辩识不到位，头部撞到初冷器平台上部钢架上，安全帽脱落撞伤头部，送医治疗缝合在家修养七天复工。")</f>
        <v>南风机2#初冷器检修时，一名在平台施工人员安全帽未按规定佩戴帽绳，如果安全辩识不到位，头部撞到初冷器平台上部钢架上，安全帽脱落撞伤头部，送医治疗缝合在家修养七天复工。</v>
      </c>
      <c r="E67" s="19" t="s">
        <v>466</v>
      </c>
      <c r="F67" s="20" t="s">
        <v>42</v>
      </c>
      <c r="G67" s="21" t="s">
        <v>43</v>
      </c>
      <c r="H67" s="19" t="s">
        <v>44</v>
      </c>
      <c r="I67" s="19" t="s">
        <v>115</v>
      </c>
      <c r="J67" s="19" t="s">
        <v>105</v>
      </c>
      <c r="K67" s="19" t="s">
        <v>199</v>
      </c>
      <c r="L67" s="19" t="s">
        <v>46</v>
      </c>
      <c r="M67" s="19" t="s">
        <v>75</v>
      </c>
      <c r="N67" s="19" t="s">
        <v>467</v>
      </c>
      <c r="O67" s="19" t="s">
        <v>75</v>
      </c>
      <c r="P67" s="19" t="s">
        <v>80</v>
      </c>
      <c r="Q67" s="19" t="s">
        <v>371</v>
      </c>
      <c r="R67" s="19" t="s">
        <v>468</v>
      </c>
      <c r="S67" s="19"/>
      <c r="T67" s="19" t="s">
        <v>68</v>
      </c>
      <c r="U67" s="19" t="s">
        <v>96</v>
      </c>
      <c r="V67" s="19" t="s">
        <v>182</v>
      </c>
      <c r="W67" s="19" t="s">
        <v>162</v>
      </c>
      <c r="X67" s="19"/>
      <c r="Y67" s="19"/>
      <c r="Z67" s="19" t="s">
        <v>469</v>
      </c>
      <c r="AA67" s="19">
        <v>1</v>
      </c>
      <c r="AB67" s="19">
        <v>1</v>
      </c>
      <c r="AC67" s="19" t="s">
        <v>58</v>
      </c>
      <c r="AD67" s="19" t="s">
        <v>80</v>
      </c>
      <c r="AE67" s="19" t="s">
        <v>358</v>
      </c>
      <c r="AF67" s="19"/>
    </row>
    <row r="68" spans="1:34" customHeight="1" ht="42">
      <c r="A68" s="19">
        <v>63</v>
      </c>
      <c r="B68" s="19" t="s">
        <v>72</v>
      </c>
      <c r="C68" s="19" t="s">
        <v>314</v>
      </c>
      <c r="D68" s="19" t="str">
        <f>HYPERLINK("http://henontech.com/fieldsafety/harzard/harzard_show.php?rid=3206&amp;url=harzardrecs.php","皮带机支撑架底部有突出异物，清理卫生时容易绊倒")</f>
        <v>皮带机支撑架底部有突出异物，清理卫生时容易绊倒</v>
      </c>
      <c r="E68" s="19" t="s">
        <v>470</v>
      </c>
      <c r="F68" s="20" t="s">
        <v>42</v>
      </c>
      <c r="G68" s="21" t="s">
        <v>43</v>
      </c>
      <c r="H68" s="19" t="s">
        <v>44</v>
      </c>
      <c r="I68" s="19" t="s">
        <v>115</v>
      </c>
      <c r="J68" s="19" t="s">
        <v>63</v>
      </c>
      <c r="K68" s="19"/>
      <c r="L68" s="19"/>
      <c r="M68" s="19" t="s">
        <v>210</v>
      </c>
      <c r="N68" s="19" t="s">
        <v>471</v>
      </c>
      <c r="O68" s="19" t="s">
        <v>210</v>
      </c>
      <c r="P68" s="19" t="s">
        <v>212</v>
      </c>
      <c r="Q68" s="19" t="s">
        <v>172</v>
      </c>
      <c r="R68" s="19" t="s">
        <v>317</v>
      </c>
      <c r="S68" s="19"/>
      <c r="T68" s="19" t="s">
        <v>68</v>
      </c>
      <c r="U68" s="19" t="s">
        <v>96</v>
      </c>
      <c r="V68" s="19" t="s">
        <v>70</v>
      </c>
      <c r="W68" s="19" t="s">
        <v>97</v>
      </c>
      <c r="X68" s="19" t="s">
        <v>204</v>
      </c>
      <c r="Y68" s="19" t="s">
        <v>204</v>
      </c>
      <c r="Z68" s="19" t="s">
        <v>472</v>
      </c>
      <c r="AA68" s="19">
        <v>2</v>
      </c>
      <c r="AB68" s="19">
        <v>2</v>
      </c>
      <c r="AC68" s="19" t="s">
        <v>58</v>
      </c>
      <c r="AD68" s="19" t="s">
        <v>212</v>
      </c>
      <c r="AE68" s="19" t="s">
        <v>243</v>
      </c>
      <c r="AF68" s="19"/>
    </row>
    <row r="69" spans="1:34">
      <c r="A69" s="19">
        <v>64</v>
      </c>
      <c r="B69" s="19" t="s">
        <v>72</v>
      </c>
      <c r="C69" s="19" t="s">
        <v>300</v>
      </c>
      <c r="D69" s="19" t="str">
        <f>HYPERLINK("http://henontech.com/fieldsafety/harzard/harzard_show.php?rid=3207&amp;url=harzardrecs.php","1号过滤器反洗外排管道太短造成冲洗设备时水外溢")</f>
        <v>1号过滤器反洗外排管道太短造成冲洗设备时水外溢</v>
      </c>
      <c r="E69" s="19" t="s">
        <v>473</v>
      </c>
      <c r="F69" s="20" t="s">
        <v>42</v>
      </c>
      <c r="G69" s="22" t="s">
        <v>77</v>
      </c>
      <c r="H69" s="19" t="s">
        <v>44</v>
      </c>
      <c r="I69" s="19" t="s">
        <v>90</v>
      </c>
      <c r="J69" s="19" t="s">
        <v>63</v>
      </c>
      <c r="K69" s="19" t="s">
        <v>64</v>
      </c>
      <c r="L69" s="19"/>
      <c r="M69" s="19" t="s">
        <v>91</v>
      </c>
      <c r="N69" s="19" t="s">
        <v>379</v>
      </c>
      <c r="O69" s="19" t="s">
        <v>91</v>
      </c>
      <c r="P69" s="19" t="s">
        <v>107</v>
      </c>
      <c r="Q69" s="19" t="s">
        <v>217</v>
      </c>
      <c r="R69" s="19" t="s">
        <v>381</v>
      </c>
      <c r="S69" s="19"/>
      <c r="T69" s="19" t="s">
        <v>68</v>
      </c>
      <c r="U69" s="19" t="s">
        <v>53</v>
      </c>
      <c r="V69" s="19" t="s">
        <v>84</v>
      </c>
      <c r="W69" s="19" t="s">
        <v>55</v>
      </c>
      <c r="X69" s="19" t="s">
        <v>56</v>
      </c>
      <c r="Y69" s="19"/>
      <c r="Z69" s="19" t="s">
        <v>474</v>
      </c>
      <c r="AA69" s="19">
        <v>1</v>
      </c>
      <c r="AB69" s="19">
        <v>1</v>
      </c>
      <c r="AC69" s="19" t="s">
        <v>58</v>
      </c>
      <c r="AD69" s="19" t="s">
        <v>107</v>
      </c>
      <c r="AE69" s="19" t="s">
        <v>306</v>
      </c>
      <c r="AF69" s="19" t="s">
        <v>475</v>
      </c>
    </row>
    <row r="70" spans="1:34" customHeight="1" ht="42">
      <c r="A70" s="19">
        <v>65</v>
      </c>
      <c r="B70" s="19" t="s">
        <v>358</v>
      </c>
      <c r="C70" s="19" t="s">
        <v>476</v>
      </c>
      <c r="D70" s="19" t="str">
        <f>HYPERLINK("http://henontech.com/fieldsafety/harzard/harzard_show.php?rid=3213&amp;url=harzardrecs.php","筛焦楼操作工从振动筛北侧向焦四机头巡检时，因滑道砖长期未用，捆绑绳老化断裂歪倒砸在巡检经过的操作工腿部将其砸伤，另一操作工发现简单包扎后及时送医治疗，诊断为右腿骨折住院治疗30天回家休养5个月复工。")</f>
        <v>筛焦楼操作工从振动筛北侧向焦四机头巡检时，因滑道砖长期未用，捆绑绳老化断裂歪倒砸在巡检经过的操作工腿部将其砸伤，另一操作工发现简单包扎后及时送医治疗，诊断为右腿骨折住院治疗30天回家休养5个月复工。</v>
      </c>
      <c r="E70" s="19" t="s">
        <v>477</v>
      </c>
      <c r="F70" s="20" t="s">
        <v>42</v>
      </c>
      <c r="G70" s="21" t="s">
        <v>43</v>
      </c>
      <c r="H70" s="19" t="s">
        <v>44</v>
      </c>
      <c r="I70" s="19" t="s">
        <v>90</v>
      </c>
      <c r="J70" s="19" t="s">
        <v>105</v>
      </c>
      <c r="K70" s="19" t="s">
        <v>186</v>
      </c>
      <c r="L70" s="19" t="s">
        <v>46</v>
      </c>
      <c r="M70" s="19" t="s">
        <v>47</v>
      </c>
      <c r="N70" s="19" t="s">
        <v>478</v>
      </c>
      <c r="O70" s="19" t="s">
        <v>47</v>
      </c>
      <c r="P70" s="19" t="s">
        <v>49</v>
      </c>
      <c r="Q70" s="19" t="s">
        <v>255</v>
      </c>
      <c r="R70" s="19" t="s">
        <v>479</v>
      </c>
      <c r="S70" s="19"/>
      <c r="T70" s="19" t="s">
        <v>68</v>
      </c>
      <c r="U70" s="19" t="s">
        <v>96</v>
      </c>
      <c r="V70" s="19" t="s">
        <v>182</v>
      </c>
      <c r="W70" s="19" t="s">
        <v>162</v>
      </c>
      <c r="X70" s="19" t="s">
        <v>56</v>
      </c>
      <c r="Y70" s="19"/>
      <c r="Z70" s="19" t="s">
        <v>480</v>
      </c>
      <c r="AA70" s="19">
        <v>2</v>
      </c>
      <c r="AB70" s="19">
        <v>2</v>
      </c>
      <c r="AC70" s="19" t="s">
        <v>58</v>
      </c>
      <c r="AD70" s="19" t="s">
        <v>49</v>
      </c>
      <c r="AE70" s="19" t="s">
        <v>481</v>
      </c>
      <c r="AF70" s="19" t="s">
        <v>482</v>
      </c>
    </row>
    <row r="71" spans="1:34" customHeight="1" ht="42">
      <c r="A71" s="19">
        <v>66</v>
      </c>
      <c r="B71" s="19" t="s">
        <v>144</v>
      </c>
      <c r="C71" s="19" t="s">
        <v>328</v>
      </c>
      <c r="D71" s="19" t="str">
        <f>HYPERLINK("http://henontech.com/fieldsafety/harzard/harzard_show.php?rid=3216&amp;url=harzardrecs.php","一维修工检修高压风机时，违章攀爬没有检修平台和护栏防护的高压风机，不慎从2米高的高压风机底座顶部跌落蹲在地上不起，就医后检查腰椎受损。")</f>
        <v>一维修工检修高压风机时，违章攀爬没有检修平台和护栏防护的高压风机，不慎从2米高的高压风机底座顶部跌落蹲在地上不起，就医后检查腰椎受损。</v>
      </c>
      <c r="E71" s="19" t="s">
        <v>483</v>
      </c>
      <c r="F71" s="24" t="s">
        <v>260</v>
      </c>
      <c r="G71" s="22" t="s">
        <v>77</v>
      </c>
      <c r="H71" s="19" t="s">
        <v>44</v>
      </c>
      <c r="I71" s="19" t="s">
        <v>90</v>
      </c>
      <c r="J71" s="19" t="s">
        <v>63</v>
      </c>
      <c r="K71" s="19" t="s">
        <v>138</v>
      </c>
      <c r="L71" s="19" t="s">
        <v>484</v>
      </c>
      <c r="M71" s="19" t="s">
        <v>47</v>
      </c>
      <c r="N71" s="19" t="s">
        <v>485</v>
      </c>
      <c r="O71" s="19" t="s">
        <v>47</v>
      </c>
      <c r="P71" s="19" t="s">
        <v>140</v>
      </c>
      <c r="Q71" s="19" t="s">
        <v>255</v>
      </c>
      <c r="R71" s="19" t="s">
        <v>486</v>
      </c>
      <c r="S71" s="19"/>
      <c r="T71" s="19" t="s">
        <v>68</v>
      </c>
      <c r="U71" s="19" t="s">
        <v>96</v>
      </c>
      <c r="V71" s="19" t="s">
        <v>70</v>
      </c>
      <c r="W71" s="19" t="s">
        <v>97</v>
      </c>
      <c r="X71" s="19" t="s">
        <v>56</v>
      </c>
      <c r="Y71" s="19"/>
      <c r="Z71" s="19" t="s">
        <v>487</v>
      </c>
      <c r="AA71" s="19">
        <v>2</v>
      </c>
      <c r="AB71" s="19"/>
      <c r="AC71" s="19" t="s">
        <v>266</v>
      </c>
      <c r="AD71" s="19"/>
      <c r="AE71" s="19"/>
      <c r="AF71" s="19"/>
    </row>
    <row r="72" spans="1:34">
      <c r="A72" s="19">
        <v>67</v>
      </c>
      <c r="B72" s="19" t="s">
        <v>243</v>
      </c>
      <c r="C72" s="19" t="s">
        <v>465</v>
      </c>
      <c r="D72" s="19" t="str">
        <f>HYPERLINK("http://henontech.com/fieldsafety/harzard/harzard_show.php?rid=3217&amp;url=harzardrecs.php","南风机1#初冷器二层平台煤气管道上部，有一块未固定脚手板未及时撤除，距离平台两米左右，如果一名操作人员巡检经过该处时，脚手板突然掉落砸中人员右肩部，造成一人右肩部多处轻微擦伤，送医简单处理后不影响工作")</f>
        <v>南风机1#初冷器二层平台煤气管道上部，有一块未固定脚手板未及时撤除，距离平台两米左右，如果一名操作人员巡检经过该处时，脚手板突然掉落砸中人员右肩部，造成一人右肩部多处轻微擦伤，送医简单处理后不影响工作</v>
      </c>
      <c r="E72" s="19" t="s">
        <v>488</v>
      </c>
      <c r="F72" s="20" t="s">
        <v>42</v>
      </c>
      <c r="G72" s="22" t="s">
        <v>77</v>
      </c>
      <c r="H72" s="19" t="s">
        <v>44</v>
      </c>
      <c r="I72" s="19" t="s">
        <v>45</v>
      </c>
      <c r="J72" s="19" t="s">
        <v>63</v>
      </c>
      <c r="K72" s="19" t="s">
        <v>138</v>
      </c>
      <c r="L72" s="19" t="s">
        <v>46</v>
      </c>
      <c r="M72" s="19" t="s">
        <v>75</v>
      </c>
      <c r="N72" s="19" t="s">
        <v>489</v>
      </c>
      <c r="O72" s="19" t="s">
        <v>75</v>
      </c>
      <c r="P72" s="19" t="s">
        <v>80</v>
      </c>
      <c r="Q72" s="19" t="s">
        <v>490</v>
      </c>
      <c r="R72" s="19" t="s">
        <v>491</v>
      </c>
      <c r="S72" s="19"/>
      <c r="T72" s="19" t="s">
        <v>68</v>
      </c>
      <c r="U72" s="19" t="s">
        <v>69</v>
      </c>
      <c r="V72" s="19" t="s">
        <v>182</v>
      </c>
      <c r="W72" s="19" t="s">
        <v>97</v>
      </c>
      <c r="X72" s="19"/>
      <c r="Y72" s="19"/>
      <c r="Z72" s="19" t="s">
        <v>492</v>
      </c>
      <c r="AA72" s="19">
        <v>1</v>
      </c>
      <c r="AB72" s="19">
        <v>1</v>
      </c>
      <c r="AC72" s="19" t="s">
        <v>58</v>
      </c>
      <c r="AD72" s="19" t="s">
        <v>80</v>
      </c>
      <c r="AE72" s="19" t="s">
        <v>86</v>
      </c>
      <c r="AF72" s="19"/>
    </row>
    <row r="73" spans="1:34">
      <c r="A73" s="19">
        <v>68</v>
      </c>
      <c r="B73" s="19" t="s">
        <v>144</v>
      </c>
      <c r="C73" s="19" t="s">
        <v>493</v>
      </c>
      <c r="D73" s="19" t="str">
        <f>HYPERLINK("http://henontech.com/fieldsafety/harzard/harzard_show.php?rid=3218&amp;url=harzardrecs.php","一名操作工在巡检上爬梯时因自我安全意识较差，没有抓牢爬梯扶手，有可能会造成滑倒，导致脚踝扭伤")</f>
        <v>一名操作工在巡检上爬梯时因自我安全意识较差，没有抓牢爬梯扶手，有可能会造成滑倒，导致脚踝扭伤</v>
      </c>
      <c r="E73" s="19" t="s">
        <v>494</v>
      </c>
      <c r="F73" s="25" t="s">
        <v>279</v>
      </c>
      <c r="G73" s="22" t="s">
        <v>77</v>
      </c>
      <c r="H73" s="19" t="s">
        <v>44</v>
      </c>
      <c r="I73" s="19" t="s">
        <v>90</v>
      </c>
      <c r="J73" s="19" t="s">
        <v>105</v>
      </c>
      <c r="K73" s="19" t="s">
        <v>199</v>
      </c>
      <c r="L73" s="19" t="s">
        <v>46</v>
      </c>
      <c r="M73" s="19" t="s">
        <v>75</v>
      </c>
      <c r="N73" s="19" t="s">
        <v>495</v>
      </c>
      <c r="O73" s="19"/>
      <c r="P73" s="19"/>
      <c r="Q73" s="19"/>
      <c r="R73" s="19" t="s">
        <v>496</v>
      </c>
      <c r="S73" s="19" t="s">
        <v>497</v>
      </c>
      <c r="T73" s="19" t="s">
        <v>68</v>
      </c>
      <c r="U73" s="19" t="s">
        <v>96</v>
      </c>
      <c r="V73" s="19" t="s">
        <v>70</v>
      </c>
      <c r="W73" s="19" t="s">
        <v>97</v>
      </c>
      <c r="X73" s="19"/>
      <c r="Y73" s="19"/>
      <c r="Z73" s="19"/>
      <c r="AA73" s="19">
        <v>0</v>
      </c>
      <c r="AB73" s="19"/>
      <c r="AC73" s="19" t="s">
        <v>266</v>
      </c>
      <c r="AD73" s="19"/>
      <c r="AE73" s="19"/>
      <c r="AF73" s="19"/>
    </row>
    <row r="74" spans="1:34">
      <c r="A74" s="19">
        <v>69</v>
      </c>
      <c r="B74" s="19" t="s">
        <v>144</v>
      </c>
      <c r="C74" s="19" t="s">
        <v>498</v>
      </c>
      <c r="D74" s="19" t="str">
        <f>HYPERLINK("http://henontech.com/fieldsafety/harzard/harzard_show.php?rid=3219&amp;url=harzardrecs.php","两盐操作室南地沟盖板未盖好，一名操作工在视线不良的情况下巡检经过此处，有可能会脚部踩空掉入地沟内，造成小腿骨折")</f>
        <v>两盐操作室南地沟盖板未盖好，一名操作工在视线不良的情况下巡检经过此处，有可能会脚部踩空掉入地沟内，造成小腿骨折</v>
      </c>
      <c r="E74" s="19" t="s">
        <v>499</v>
      </c>
      <c r="F74" s="20" t="s">
        <v>42</v>
      </c>
      <c r="G74" s="22" t="s">
        <v>77</v>
      </c>
      <c r="H74" s="19" t="s">
        <v>44</v>
      </c>
      <c r="I74" s="19" t="s">
        <v>90</v>
      </c>
      <c r="J74" s="19" t="s">
        <v>63</v>
      </c>
      <c r="K74" s="19" t="s">
        <v>199</v>
      </c>
      <c r="L74" s="19" t="s">
        <v>46</v>
      </c>
      <c r="M74" s="19" t="s">
        <v>75</v>
      </c>
      <c r="N74" s="19" t="s">
        <v>500</v>
      </c>
      <c r="O74" s="19" t="s">
        <v>75</v>
      </c>
      <c r="P74" s="19" t="s">
        <v>80</v>
      </c>
      <c r="Q74" s="19" t="s">
        <v>255</v>
      </c>
      <c r="R74" s="19" t="s">
        <v>501</v>
      </c>
      <c r="S74" s="19"/>
      <c r="T74" s="19" t="s">
        <v>68</v>
      </c>
      <c r="U74" s="19" t="s">
        <v>96</v>
      </c>
      <c r="V74" s="19" t="s">
        <v>70</v>
      </c>
      <c r="W74" s="19" t="s">
        <v>97</v>
      </c>
      <c r="X74" s="19"/>
      <c r="Y74" s="19"/>
      <c r="Z74" s="19" t="s">
        <v>502</v>
      </c>
      <c r="AA74" s="19">
        <v>1</v>
      </c>
      <c r="AB74" s="19">
        <v>1</v>
      </c>
      <c r="AC74" s="19" t="s">
        <v>58</v>
      </c>
      <c r="AD74" s="19" t="s">
        <v>80</v>
      </c>
      <c r="AE74" s="19" t="s">
        <v>59</v>
      </c>
      <c r="AF74" s="19"/>
    </row>
    <row r="75" spans="1:34">
      <c r="A75" s="19">
        <v>70</v>
      </c>
      <c r="B75" s="19" t="s">
        <v>179</v>
      </c>
      <c r="C75" s="19" t="s">
        <v>503</v>
      </c>
      <c r="D75" s="19" t="str">
        <f>HYPERLINK("http://henontech.com/fieldsafety/harzard/harzard_show.php?rid=3221&amp;url=harzardrecs.php","空压站东管架有一弃用管道，存在坠落危险，假如有人从下面经过，管道突然坠落，可能会造成人员右臂擦伤，去医务室包扎后休养10天后复工。")</f>
        <v>空压站东管架有一弃用管道，存在坠落危险，假如有人从下面经过，管道突然坠落，可能会造成人员右臂擦伤，去医务室包扎后休养10天后复工。</v>
      </c>
      <c r="E75" s="19" t="s">
        <v>504</v>
      </c>
      <c r="F75" s="20" t="s">
        <v>42</v>
      </c>
      <c r="G75" s="22" t="s">
        <v>77</v>
      </c>
      <c r="H75" s="19" t="s">
        <v>44</v>
      </c>
      <c r="I75" s="19" t="s">
        <v>90</v>
      </c>
      <c r="J75" s="19" t="s">
        <v>105</v>
      </c>
      <c r="K75" s="19" t="s">
        <v>138</v>
      </c>
      <c r="L75" s="19"/>
      <c r="M75" s="19" t="s">
        <v>75</v>
      </c>
      <c r="N75" s="19" t="s">
        <v>505</v>
      </c>
      <c r="O75" s="19" t="s">
        <v>75</v>
      </c>
      <c r="P75" s="19" t="s">
        <v>80</v>
      </c>
      <c r="Q75" s="19" t="s">
        <v>506</v>
      </c>
      <c r="R75" s="19" t="s">
        <v>507</v>
      </c>
      <c r="S75" s="19"/>
      <c r="T75" s="19" t="s">
        <v>68</v>
      </c>
      <c r="U75" s="19" t="s">
        <v>96</v>
      </c>
      <c r="V75" s="19" t="s">
        <v>182</v>
      </c>
      <c r="W75" s="19" t="s">
        <v>162</v>
      </c>
      <c r="X75" s="19"/>
      <c r="Y75" s="19"/>
      <c r="Z75" s="19" t="s">
        <v>508</v>
      </c>
      <c r="AA75" s="19">
        <v>1</v>
      </c>
      <c r="AB75" s="19">
        <v>1</v>
      </c>
      <c r="AC75" s="19" t="s">
        <v>58</v>
      </c>
      <c r="AD75" s="19" t="s">
        <v>80</v>
      </c>
      <c r="AE75" s="19" t="s">
        <v>86</v>
      </c>
      <c r="AF75" s="19"/>
    </row>
    <row r="76" spans="1:34">
      <c r="A76" s="19">
        <v>71</v>
      </c>
      <c r="B76" s="19" t="s">
        <v>144</v>
      </c>
      <c r="C76" s="19" t="s">
        <v>493</v>
      </c>
      <c r="D76" s="19" t="str">
        <f>HYPERLINK("http://henontech.com/fieldsafety/harzard/harzard_show.php?rid=3222&amp;url=harzardrecs.php","一名操作工在巡检上爬梯时，因自我安全意识较差，没有抓牢爬梯扶手，有可能会造成滑倒，导致脚踝扭伤。")</f>
        <v>一名操作工在巡检上爬梯时，因自我安全意识较差，没有抓牢爬梯扶手，有可能会造成滑倒，导致脚踝扭伤。</v>
      </c>
      <c r="E76" s="19" t="s">
        <v>509</v>
      </c>
      <c r="F76" s="20" t="s">
        <v>42</v>
      </c>
      <c r="G76" s="22" t="s">
        <v>77</v>
      </c>
      <c r="H76" s="19" t="s">
        <v>44</v>
      </c>
      <c r="I76" s="19" t="s">
        <v>90</v>
      </c>
      <c r="J76" s="19" t="s">
        <v>105</v>
      </c>
      <c r="K76" s="19" t="s">
        <v>199</v>
      </c>
      <c r="L76" s="19" t="s">
        <v>46</v>
      </c>
      <c r="M76" s="19" t="s">
        <v>75</v>
      </c>
      <c r="N76" s="19" t="s">
        <v>510</v>
      </c>
      <c r="O76" s="19" t="s">
        <v>75</v>
      </c>
      <c r="P76" s="19" t="s">
        <v>80</v>
      </c>
      <c r="Q76" s="19" t="s">
        <v>255</v>
      </c>
      <c r="R76" s="19" t="s">
        <v>496</v>
      </c>
      <c r="S76" s="19"/>
      <c r="T76" s="19" t="s">
        <v>68</v>
      </c>
      <c r="U76" s="19" t="s">
        <v>96</v>
      </c>
      <c r="V76" s="19" t="s">
        <v>70</v>
      </c>
      <c r="W76" s="19" t="s">
        <v>97</v>
      </c>
      <c r="X76" s="19"/>
      <c r="Y76" s="19"/>
      <c r="Z76" s="19" t="s">
        <v>511</v>
      </c>
      <c r="AA76" s="19">
        <v>1</v>
      </c>
      <c r="AB76" s="19">
        <v>1</v>
      </c>
      <c r="AC76" s="19" t="s">
        <v>58</v>
      </c>
      <c r="AD76" s="19" t="s">
        <v>80</v>
      </c>
      <c r="AE76" s="19" t="s">
        <v>59</v>
      </c>
      <c r="AF76" s="19"/>
    </row>
    <row r="77" spans="1:34">
      <c r="A77" s="19">
        <v>72</v>
      </c>
      <c r="B77" s="19" t="s">
        <v>144</v>
      </c>
      <c r="C77" s="19" t="s">
        <v>512</v>
      </c>
      <c r="D77" s="19" t="str">
        <f>HYPERLINK("http://henontech.com/fieldsafety/harzard/harzard_show.php?rid=3223&amp;url=harzardrecs.php","南脱硫溶液缓冲槽处，有电源仪表线不规范脱落至地面，如果操作人员在此处操作时，误触电源线造成触电击倒，送医院治疗一个月，在家修养一个月，损工61天。")</f>
        <v>南脱硫溶液缓冲槽处，有电源仪表线不规范脱落至地面，如果操作人员在此处操作时，误触电源线造成触电击倒，送医院治疗一个月，在家修养一个月，损工61天。</v>
      </c>
      <c r="E77" s="19" t="s">
        <v>513</v>
      </c>
      <c r="F77" s="20" t="s">
        <v>42</v>
      </c>
      <c r="G77" s="22" t="s">
        <v>77</v>
      </c>
      <c r="H77" s="19" t="s">
        <v>44</v>
      </c>
      <c r="I77" s="19" t="s">
        <v>90</v>
      </c>
      <c r="J77" s="19" t="s">
        <v>148</v>
      </c>
      <c r="K77" s="19"/>
      <c r="L77" s="19"/>
      <c r="M77" s="19" t="s">
        <v>75</v>
      </c>
      <c r="N77" s="19" t="s">
        <v>514</v>
      </c>
      <c r="O77" s="19" t="s">
        <v>75</v>
      </c>
      <c r="P77" s="19" t="s">
        <v>80</v>
      </c>
      <c r="Q77" s="19" t="s">
        <v>255</v>
      </c>
      <c r="R77" s="19" t="s">
        <v>515</v>
      </c>
      <c r="S77" s="19"/>
      <c r="T77" s="19" t="s">
        <v>68</v>
      </c>
      <c r="U77" s="19" t="s">
        <v>96</v>
      </c>
      <c r="V77" s="19" t="s">
        <v>182</v>
      </c>
      <c r="W77" s="19" t="s">
        <v>162</v>
      </c>
      <c r="X77" s="19"/>
      <c r="Y77" s="19"/>
      <c r="Z77" s="19" t="s">
        <v>516</v>
      </c>
      <c r="AA77" s="19">
        <v>1</v>
      </c>
      <c r="AB77" s="19">
        <v>1</v>
      </c>
      <c r="AC77" s="19" t="s">
        <v>58</v>
      </c>
      <c r="AD77" s="19" t="s">
        <v>80</v>
      </c>
      <c r="AE77" s="19" t="s">
        <v>517</v>
      </c>
      <c r="AF77" s="19"/>
    </row>
    <row r="78" spans="1:34">
      <c r="A78" s="19">
        <v>73</v>
      </c>
      <c r="B78" s="19" t="s">
        <v>144</v>
      </c>
      <c r="C78" s="19" t="s">
        <v>498</v>
      </c>
      <c r="D78" s="19" t="str">
        <f>HYPERLINK("http://henontech.com/fieldsafety/harzard/harzard_show.php?rid=3224&amp;url=harzardrecs.php","排水沟盖板破损，一名操作工巡检时经过此处，如果视线不良，可能会因踩空造成小腿骨折。")</f>
        <v>排水沟盖板破损，一名操作工巡检时经过此处，如果视线不良，可能会因踩空造成小腿骨折。</v>
      </c>
      <c r="E78" s="19" t="s">
        <v>518</v>
      </c>
      <c r="F78" s="20" t="s">
        <v>42</v>
      </c>
      <c r="G78" s="22" t="s">
        <v>77</v>
      </c>
      <c r="H78" s="19" t="s">
        <v>44</v>
      </c>
      <c r="I78" s="19" t="s">
        <v>90</v>
      </c>
      <c r="J78" s="19" t="s">
        <v>63</v>
      </c>
      <c r="K78" s="19" t="s">
        <v>199</v>
      </c>
      <c r="L78" s="19" t="s">
        <v>46</v>
      </c>
      <c r="M78" s="19" t="s">
        <v>75</v>
      </c>
      <c r="N78" s="19" t="s">
        <v>519</v>
      </c>
      <c r="O78" s="19" t="s">
        <v>75</v>
      </c>
      <c r="P78" s="19" t="s">
        <v>80</v>
      </c>
      <c r="Q78" s="19" t="s">
        <v>255</v>
      </c>
      <c r="R78" s="19" t="s">
        <v>520</v>
      </c>
      <c r="S78" s="19"/>
      <c r="T78" s="19" t="s">
        <v>68</v>
      </c>
      <c r="U78" s="19" t="s">
        <v>96</v>
      </c>
      <c r="V78" s="19" t="s">
        <v>70</v>
      </c>
      <c r="W78" s="19" t="s">
        <v>97</v>
      </c>
      <c r="X78" s="19"/>
      <c r="Y78" s="19"/>
      <c r="Z78" s="19" t="s">
        <v>521</v>
      </c>
      <c r="AA78" s="19">
        <v>1</v>
      </c>
      <c r="AB78" s="19">
        <v>1</v>
      </c>
      <c r="AC78" s="19" t="s">
        <v>58</v>
      </c>
      <c r="AD78" s="19" t="s">
        <v>80</v>
      </c>
      <c r="AE78" s="19" t="s">
        <v>86</v>
      </c>
      <c r="AF78" s="19"/>
    </row>
    <row r="79" spans="1:34">
      <c r="A79" s="19">
        <v>74</v>
      </c>
      <c r="B79" s="19" t="s">
        <v>144</v>
      </c>
      <c r="C79" s="19" t="s">
        <v>522</v>
      </c>
      <c r="D79" s="19" t="str">
        <f>HYPERLINK("http://henontech.com/fieldsafety/harzard/harzard_show.php?rid=3225&amp;url=harzardrecs.php","制氮机南侧补水管道处旧铁管没有清理，如果夜间视线不良，一名操作工巡检时经过此处，有可能会被铁管绊倒造成腿部轻微擦伤")</f>
        <v>制氮机南侧补水管道处旧铁管没有清理，如果夜间视线不良，一名操作工巡检时经过此处，有可能会被铁管绊倒造成腿部轻微擦伤</v>
      </c>
      <c r="E79" s="19" t="s">
        <v>523</v>
      </c>
      <c r="F79" s="20" t="s">
        <v>42</v>
      </c>
      <c r="G79" s="22" t="s">
        <v>77</v>
      </c>
      <c r="H79" s="19" t="s">
        <v>44</v>
      </c>
      <c r="I79" s="19" t="s">
        <v>90</v>
      </c>
      <c r="J79" s="19" t="s">
        <v>63</v>
      </c>
      <c r="K79" s="19" t="s">
        <v>199</v>
      </c>
      <c r="L79" s="19" t="s">
        <v>46</v>
      </c>
      <c r="M79" s="19" t="s">
        <v>75</v>
      </c>
      <c r="N79" s="19" t="s">
        <v>524</v>
      </c>
      <c r="O79" s="19" t="s">
        <v>75</v>
      </c>
      <c r="P79" s="19" t="s">
        <v>80</v>
      </c>
      <c r="Q79" s="19" t="s">
        <v>255</v>
      </c>
      <c r="R79" s="19" t="s">
        <v>525</v>
      </c>
      <c r="S79" s="19"/>
      <c r="T79" s="19" t="s">
        <v>68</v>
      </c>
      <c r="U79" s="19" t="s">
        <v>69</v>
      </c>
      <c r="V79" s="19" t="s">
        <v>70</v>
      </c>
      <c r="W79" s="19" t="s">
        <v>55</v>
      </c>
      <c r="X79" s="19"/>
      <c r="Y79" s="19"/>
      <c r="Z79" s="19" t="s">
        <v>526</v>
      </c>
      <c r="AA79" s="19">
        <v>1</v>
      </c>
      <c r="AB79" s="19">
        <v>1</v>
      </c>
      <c r="AC79" s="19" t="s">
        <v>58</v>
      </c>
      <c r="AD79" s="19" t="s">
        <v>80</v>
      </c>
      <c r="AE79" s="19" t="s">
        <v>59</v>
      </c>
      <c r="AF79" s="19"/>
    </row>
    <row r="80" spans="1:34" customHeight="1" ht="42">
      <c r="A80" s="19">
        <v>75</v>
      </c>
      <c r="B80" s="19" t="s">
        <v>59</v>
      </c>
      <c r="C80" s="19" t="s">
        <v>314</v>
      </c>
      <c r="D80" s="19" t="str">
        <f>HYPERLINK("http://henontech.com/fieldsafety/harzard/harzard_show.php?rid=3226&amp;url=harzardrecs.php","一名操作工在经过201配电室东侧下水道是，下水道盖板断裂在没有任何安全隔离防护下不慎被操作工踩断掉入下水道内，造成小腿骨折。")</f>
        <v>一名操作工在经过201配电室东侧下水道是，下水道盖板断裂在没有任何安全隔离防护下不慎被操作工踩断掉入下水道内，造成小腿骨折。</v>
      </c>
      <c r="E80" s="19" t="s">
        <v>527</v>
      </c>
      <c r="F80" s="20" t="s">
        <v>42</v>
      </c>
      <c r="G80" s="22" t="s">
        <v>77</v>
      </c>
      <c r="H80" s="19" t="s">
        <v>528</v>
      </c>
      <c r="I80" s="19" t="s">
        <v>45</v>
      </c>
      <c r="J80" s="19" t="s">
        <v>105</v>
      </c>
      <c r="K80" s="19" t="s">
        <v>199</v>
      </c>
      <c r="L80" s="19" t="s">
        <v>46</v>
      </c>
      <c r="M80" s="19" t="s">
        <v>210</v>
      </c>
      <c r="N80" s="19" t="s">
        <v>211</v>
      </c>
      <c r="O80" s="19" t="s">
        <v>210</v>
      </c>
      <c r="P80" s="19" t="s">
        <v>212</v>
      </c>
      <c r="Q80" s="19" t="s">
        <v>306</v>
      </c>
      <c r="R80" s="19" t="s">
        <v>529</v>
      </c>
      <c r="S80" s="19"/>
      <c r="T80" s="19" t="s">
        <v>68</v>
      </c>
      <c r="U80" s="19" t="s">
        <v>69</v>
      </c>
      <c r="V80" s="19" t="s">
        <v>182</v>
      </c>
      <c r="W80" s="19" t="s">
        <v>97</v>
      </c>
      <c r="X80" s="19" t="s">
        <v>204</v>
      </c>
      <c r="Y80" s="19" t="s">
        <v>204</v>
      </c>
      <c r="Z80" s="19" t="s">
        <v>530</v>
      </c>
      <c r="AA80" s="19">
        <v>2</v>
      </c>
      <c r="AB80" s="19">
        <v>2</v>
      </c>
      <c r="AC80" s="19" t="s">
        <v>58</v>
      </c>
      <c r="AD80" s="19" t="s">
        <v>212</v>
      </c>
      <c r="AE80" s="19" t="s">
        <v>243</v>
      </c>
      <c r="AF80" s="19"/>
    </row>
    <row r="81" spans="1:34">
      <c r="A81" s="19">
        <v>76</v>
      </c>
      <c r="B81" s="19" t="s">
        <v>59</v>
      </c>
      <c r="C81" s="19" t="s">
        <v>314</v>
      </c>
      <c r="D81" s="19" t="str">
        <f>HYPERLINK("http://henontech.com/fieldsafety/harzard/harzard_show.php?rid=3228&amp;url=harzardrecs.php","西一地沟液下泵电线未加安全套管，操作工在进行抽水作业时不慎碰触到电线，右手被电线电伤，送医务室包扎在家休息五天后康复！")</f>
        <v>西一地沟液下泵电线未加安全套管，操作工在进行抽水作业时不慎碰触到电线，右手被电线电伤，送医务室包扎在家休息五天后康复！</v>
      </c>
      <c r="E81" s="19" t="s">
        <v>531</v>
      </c>
      <c r="F81" s="20" t="s">
        <v>42</v>
      </c>
      <c r="G81" s="22" t="s">
        <v>77</v>
      </c>
      <c r="H81" s="19" t="s">
        <v>44</v>
      </c>
      <c r="I81" s="19" t="s">
        <v>45</v>
      </c>
      <c r="J81" s="19" t="s">
        <v>63</v>
      </c>
      <c r="K81" s="19" t="s">
        <v>199</v>
      </c>
      <c r="L81" s="19" t="s">
        <v>46</v>
      </c>
      <c r="M81" s="19" t="s">
        <v>210</v>
      </c>
      <c r="N81" s="19" t="s">
        <v>253</v>
      </c>
      <c r="O81" s="19" t="s">
        <v>210</v>
      </c>
      <c r="P81" s="19" t="s">
        <v>254</v>
      </c>
      <c r="Q81" s="19" t="s">
        <v>262</v>
      </c>
      <c r="R81" s="19" t="s">
        <v>532</v>
      </c>
      <c r="S81" s="19"/>
      <c r="T81" s="19" t="s">
        <v>68</v>
      </c>
      <c r="U81" s="19" t="s">
        <v>96</v>
      </c>
      <c r="V81" s="19" t="s">
        <v>182</v>
      </c>
      <c r="W81" s="19" t="s">
        <v>162</v>
      </c>
      <c r="X81" s="19"/>
      <c r="Y81" s="19"/>
      <c r="Z81" s="19" t="s">
        <v>533</v>
      </c>
      <c r="AA81" s="19">
        <v>1</v>
      </c>
      <c r="AB81" s="19">
        <v>1</v>
      </c>
      <c r="AC81" s="19" t="s">
        <v>58</v>
      </c>
      <c r="AD81" s="19" t="s">
        <v>254</v>
      </c>
      <c r="AE81" s="19" t="s">
        <v>172</v>
      </c>
      <c r="AF81" s="19"/>
    </row>
    <row r="82" spans="1:34">
      <c r="A82" s="19">
        <v>77</v>
      </c>
      <c r="B82" s="19" t="s">
        <v>59</v>
      </c>
      <c r="C82" s="19" t="s">
        <v>314</v>
      </c>
      <c r="D82" s="19" t="str">
        <f>HYPERLINK("http://henontech.com/fieldsafety/harzard/harzard_show.php?rid=3229&amp;url=harzardrecs.php","西一机尾西侧护栏缺失安全套管，操作工在巡检时不慎被缺失套管的护栏刮住，用右手去扶护栏由于重心不稳右手被带入皮带机，右手挤伤，送医院检查右手骨折！住院15天！回家休养三个月后康复！")</f>
        <v>西一机尾西侧护栏缺失安全套管，操作工在巡检时不慎被缺失套管的护栏刮住，用右手去扶护栏由于重心不稳右手被带入皮带机，右手挤伤，送医院检查右手骨折！住院15天！回家休养三个月后康复！</v>
      </c>
      <c r="E82" s="19" t="s">
        <v>534</v>
      </c>
      <c r="F82" s="20" t="s">
        <v>42</v>
      </c>
      <c r="G82" s="22" t="s">
        <v>77</v>
      </c>
      <c r="H82" s="19" t="s">
        <v>44</v>
      </c>
      <c r="I82" s="19" t="s">
        <v>90</v>
      </c>
      <c r="J82" s="19" t="s">
        <v>105</v>
      </c>
      <c r="K82" s="19" t="s">
        <v>199</v>
      </c>
      <c r="L82" s="19" t="s">
        <v>46</v>
      </c>
      <c r="M82" s="19" t="s">
        <v>210</v>
      </c>
      <c r="N82" s="19" t="s">
        <v>253</v>
      </c>
      <c r="O82" s="19" t="s">
        <v>210</v>
      </c>
      <c r="P82" s="19" t="s">
        <v>254</v>
      </c>
      <c r="Q82" s="19" t="s">
        <v>262</v>
      </c>
      <c r="R82" s="19" t="s">
        <v>532</v>
      </c>
      <c r="S82" s="19"/>
      <c r="T82" s="19" t="s">
        <v>68</v>
      </c>
      <c r="U82" s="19" t="s">
        <v>96</v>
      </c>
      <c r="V82" s="19" t="s">
        <v>182</v>
      </c>
      <c r="W82" s="19" t="s">
        <v>162</v>
      </c>
      <c r="X82" s="19"/>
      <c r="Y82" s="19"/>
      <c r="Z82" s="19" t="s">
        <v>535</v>
      </c>
      <c r="AA82" s="19">
        <v>1</v>
      </c>
      <c r="AB82" s="19">
        <v>1</v>
      </c>
      <c r="AC82" s="19" t="s">
        <v>58</v>
      </c>
      <c r="AD82" s="19" t="s">
        <v>254</v>
      </c>
      <c r="AE82" s="19" t="s">
        <v>172</v>
      </c>
      <c r="AF82" s="19"/>
    </row>
    <row r="83" spans="1:34" customHeight="1" ht="42">
      <c r="A83" s="19">
        <v>78</v>
      </c>
      <c r="B83" s="19" t="s">
        <v>59</v>
      </c>
      <c r="C83" s="19" t="s">
        <v>176</v>
      </c>
      <c r="D83" s="19" t="str">
        <f>HYPERLINK("http://henontech.com/fieldsafety/harzard/harzard_show.php?rid=3231&amp;url=harzardrecs.php","5.5米焦炉集气管顶部南头有一束信号线缆裸露，下雨连电影响信号传输。")</f>
        <v>5.5米焦炉集气管顶部南头有一束信号线缆裸露，下雨连电影响信号传输。</v>
      </c>
      <c r="E83" s="19" t="s">
        <v>536</v>
      </c>
      <c r="F83" s="24" t="s">
        <v>260</v>
      </c>
      <c r="G83" s="21" t="s">
        <v>43</v>
      </c>
      <c r="H83" s="19" t="s">
        <v>44</v>
      </c>
      <c r="I83" s="19" t="s">
        <v>45</v>
      </c>
      <c r="J83" s="19" t="s">
        <v>63</v>
      </c>
      <c r="K83" s="19" t="s">
        <v>199</v>
      </c>
      <c r="L83" s="19" t="s">
        <v>46</v>
      </c>
      <c r="M83" s="19" t="s">
        <v>47</v>
      </c>
      <c r="N83" s="19" t="s">
        <v>537</v>
      </c>
      <c r="O83" s="19" t="s">
        <v>47</v>
      </c>
      <c r="P83" s="19" t="s">
        <v>140</v>
      </c>
      <c r="Q83" s="19" t="s">
        <v>255</v>
      </c>
      <c r="R83" s="19" t="s">
        <v>538</v>
      </c>
      <c r="S83" s="19"/>
      <c r="T83" s="19" t="s">
        <v>83</v>
      </c>
      <c r="U83" s="19" t="s">
        <v>69</v>
      </c>
      <c r="V83" s="19" t="s">
        <v>182</v>
      </c>
      <c r="W83" s="19" t="s">
        <v>97</v>
      </c>
      <c r="X83" s="19" t="s">
        <v>56</v>
      </c>
      <c r="Y83" s="19"/>
      <c r="Z83" s="19" t="s">
        <v>539</v>
      </c>
      <c r="AA83" s="19">
        <v>2</v>
      </c>
      <c r="AB83" s="19"/>
      <c r="AC83" s="19" t="s">
        <v>266</v>
      </c>
      <c r="AD83" s="19"/>
      <c r="AE83" s="19"/>
      <c r="AF83" s="19"/>
    </row>
    <row r="84" spans="1:34" customHeight="1" ht="42">
      <c r="A84" s="19">
        <v>79</v>
      </c>
      <c r="B84" s="19" t="s">
        <v>59</v>
      </c>
      <c r="C84" s="19" t="s">
        <v>328</v>
      </c>
      <c r="D84" s="19" t="str">
        <f>HYPERLINK("http://henontech.com/fieldsafety/harzard/harzard_show.php?rid=3232&amp;url=harzardrecs.php","5.5米熄焦塔墙皮破损，如果一名职工在熄焦塔下推车时，熄焦塔墙皮破裂碎块落下，正好砸到该职工脸上，造成脸部划伤。")</f>
        <v>5.5米熄焦塔墙皮破损，如果一名职工在熄焦塔下推车时，熄焦塔墙皮破裂碎块落下，正好砸到该职工脸上，造成脸部划伤。</v>
      </c>
      <c r="E84" s="19" t="s">
        <v>540</v>
      </c>
      <c r="F84" s="24" t="s">
        <v>260</v>
      </c>
      <c r="G84" s="22" t="s">
        <v>77</v>
      </c>
      <c r="H84" s="19" t="s">
        <v>44</v>
      </c>
      <c r="I84" s="19" t="s">
        <v>115</v>
      </c>
      <c r="J84" s="19" t="s">
        <v>63</v>
      </c>
      <c r="K84" s="19" t="s">
        <v>138</v>
      </c>
      <c r="L84" s="19" t="s">
        <v>46</v>
      </c>
      <c r="M84" s="19" t="s">
        <v>47</v>
      </c>
      <c r="N84" s="19" t="s">
        <v>467</v>
      </c>
      <c r="O84" s="19" t="s">
        <v>47</v>
      </c>
      <c r="P84" s="19" t="s">
        <v>541</v>
      </c>
      <c r="Q84" s="19" t="s">
        <v>255</v>
      </c>
      <c r="R84" s="19" t="s">
        <v>542</v>
      </c>
      <c r="S84" s="19"/>
      <c r="T84" s="19" t="s">
        <v>68</v>
      </c>
      <c r="U84" s="19" t="s">
        <v>69</v>
      </c>
      <c r="V84" s="19" t="s">
        <v>70</v>
      </c>
      <c r="W84" s="19" t="s">
        <v>55</v>
      </c>
      <c r="X84" s="19" t="s">
        <v>56</v>
      </c>
      <c r="Y84" s="19"/>
      <c r="Z84" s="19" t="s">
        <v>543</v>
      </c>
      <c r="AA84" s="19">
        <v>2</v>
      </c>
      <c r="AB84" s="19"/>
      <c r="AC84" s="19" t="s">
        <v>266</v>
      </c>
      <c r="AD84" s="19"/>
      <c r="AE84" s="19"/>
      <c r="AF84" s="19"/>
    </row>
    <row r="85" spans="1:34">
      <c r="A85" s="19">
        <v>80</v>
      </c>
      <c r="B85" s="19" t="s">
        <v>59</v>
      </c>
      <c r="C85" s="19" t="s">
        <v>413</v>
      </c>
      <c r="D85" s="19" t="str">
        <f>HYPERLINK("http://henontech.com/fieldsafety/harzard/harzard_show.php?rid=3235&amp;url=harzardrecs.php","下水管损坏坠落于院墙墙头，一职工途经时，水管突然掉落砸伤头部，送医院检查前额划伤，缝合5针，住院治疗5天，回家休养10天后复工。")</f>
        <v>下水管损坏坠落于院墙墙头，一职工途经时，水管突然掉落砸伤头部，送医院检查前额划伤，缝合5针，住院治疗5天，回家休养10天后复工。</v>
      </c>
      <c r="E85" s="19" t="s">
        <v>544</v>
      </c>
      <c r="F85" s="20" t="s">
        <v>42</v>
      </c>
      <c r="G85" s="21" t="s">
        <v>43</v>
      </c>
      <c r="H85" s="19" t="s">
        <v>44</v>
      </c>
      <c r="I85" s="19" t="s">
        <v>90</v>
      </c>
      <c r="J85" s="19" t="s">
        <v>105</v>
      </c>
      <c r="K85" s="19" t="s">
        <v>186</v>
      </c>
      <c r="L85" s="19" t="s">
        <v>46</v>
      </c>
      <c r="M85" s="19" t="s">
        <v>210</v>
      </c>
      <c r="N85" s="19" t="s">
        <v>545</v>
      </c>
      <c r="O85" s="19" t="s">
        <v>210</v>
      </c>
      <c r="P85" s="19" t="s">
        <v>416</v>
      </c>
      <c r="Q85" s="19" t="s">
        <v>546</v>
      </c>
      <c r="R85" s="19" t="s">
        <v>547</v>
      </c>
      <c r="S85" s="19"/>
      <c r="T85" s="19" t="s">
        <v>68</v>
      </c>
      <c r="U85" s="19" t="s">
        <v>96</v>
      </c>
      <c r="V85" s="19" t="s">
        <v>182</v>
      </c>
      <c r="W85" s="19" t="s">
        <v>162</v>
      </c>
      <c r="X85" s="19"/>
      <c r="Y85" s="19"/>
      <c r="Z85" s="19" t="s">
        <v>548</v>
      </c>
      <c r="AA85" s="19">
        <v>1</v>
      </c>
      <c r="AB85" s="19">
        <v>1</v>
      </c>
      <c r="AC85" s="19" t="s">
        <v>58</v>
      </c>
      <c r="AD85" s="19" t="s">
        <v>416</v>
      </c>
      <c r="AE85" s="19" t="s">
        <v>546</v>
      </c>
      <c r="AF85" s="19"/>
    </row>
    <row r="86" spans="1:34">
      <c r="A86" s="19">
        <v>81</v>
      </c>
      <c r="B86" s="19" t="s">
        <v>59</v>
      </c>
      <c r="C86" s="19" t="s">
        <v>549</v>
      </c>
      <c r="D86" s="19" t="str">
        <f>HYPERLINK("http://henontech.com/fieldsafety/harzard/harzard_show.php?rid=3237&amp;url=harzardrecs.php","一名操作工在巡检时发现原西风机房东侧蒸汽管道泄漏，无安全警示牌，一旦有人经过，就会造成操作工右手臂烫伤，送医务室上药、消毒，不影响工作，正常上班。")</f>
        <v>一名操作工在巡检时发现原西风机房东侧蒸汽管道泄漏，无安全警示牌，一旦有人经过，就会造成操作工右手臂烫伤，送医务室上药、消毒，不影响工作，正常上班。</v>
      </c>
      <c r="E86" s="19" t="s">
        <v>550</v>
      </c>
      <c r="F86" s="24" t="s">
        <v>260</v>
      </c>
      <c r="G86" s="22" t="s">
        <v>77</v>
      </c>
      <c r="H86" s="19" t="s">
        <v>44</v>
      </c>
      <c r="I86" s="19" t="s">
        <v>90</v>
      </c>
      <c r="J86" s="19" t="s">
        <v>63</v>
      </c>
      <c r="K86" s="19" t="s">
        <v>138</v>
      </c>
      <c r="L86" s="19" t="s">
        <v>46</v>
      </c>
      <c r="M86" s="19" t="s">
        <v>75</v>
      </c>
      <c r="N86" s="19" t="s">
        <v>79</v>
      </c>
      <c r="O86" s="19" t="s">
        <v>75</v>
      </c>
      <c r="P86" s="19" t="s">
        <v>80</v>
      </c>
      <c r="Q86" s="19" t="s">
        <v>481</v>
      </c>
      <c r="R86" s="19" t="s">
        <v>551</v>
      </c>
      <c r="S86" s="19"/>
      <c r="T86" s="19" t="s">
        <v>68</v>
      </c>
      <c r="U86" s="19" t="s">
        <v>69</v>
      </c>
      <c r="V86" s="19" t="s">
        <v>84</v>
      </c>
      <c r="W86" s="19" t="s">
        <v>55</v>
      </c>
      <c r="X86" s="19"/>
      <c r="Y86" s="19"/>
      <c r="Z86" s="19" t="s">
        <v>552</v>
      </c>
      <c r="AA86" s="19">
        <v>1</v>
      </c>
      <c r="AB86" s="19"/>
      <c r="AC86" s="19" t="s">
        <v>266</v>
      </c>
      <c r="AD86" s="19"/>
      <c r="AE86" s="19"/>
      <c r="AF86" s="19"/>
    </row>
    <row r="87" spans="1:34">
      <c r="A87" s="19">
        <v>82</v>
      </c>
      <c r="B87" s="19" t="s">
        <v>220</v>
      </c>
      <c r="C87" s="19" t="s">
        <v>549</v>
      </c>
      <c r="D87" s="19" t="str">
        <f>HYPERLINK("http://henontech.com/fieldsafety/harzard/harzard_show.php?rid=3238&amp;url=harzardrecs.php","作废")</f>
        <v>作废</v>
      </c>
      <c r="E87" s="19" t="s">
        <v>553</v>
      </c>
      <c r="F87" s="26" t="s">
        <v>554</v>
      </c>
      <c r="G87" s="19"/>
      <c r="H87" s="19" t="s">
        <v>44</v>
      </c>
      <c r="I87" s="19" t="s">
        <v>90</v>
      </c>
      <c r="J87" s="19"/>
      <c r="K87" s="19"/>
      <c r="L87" s="19"/>
      <c r="M87" s="19" t="s">
        <v>210</v>
      </c>
      <c r="N87" s="19" t="s">
        <v>555</v>
      </c>
      <c r="O87" s="19"/>
      <c r="P87" s="19"/>
      <c r="Q87" s="19"/>
      <c r="R87" s="19" t="s">
        <v>556</v>
      </c>
      <c r="S87" s="19"/>
      <c r="T87" s="19" t="s">
        <v>68</v>
      </c>
      <c r="U87" s="19" t="s">
        <v>69</v>
      </c>
      <c r="V87" s="19" t="s">
        <v>70</v>
      </c>
      <c r="W87" s="19" t="s">
        <v>55</v>
      </c>
      <c r="X87" s="19"/>
      <c r="Y87" s="19"/>
      <c r="Z87" s="19"/>
      <c r="AA87" s="19"/>
      <c r="AB87" s="19"/>
      <c r="AC87" s="19" t="s">
        <v>266</v>
      </c>
      <c r="AD87" s="19"/>
      <c r="AE87" s="19"/>
      <c r="AF87" s="19"/>
    </row>
    <row r="88" spans="1:34" customHeight="1" ht="42">
      <c r="A88" s="19">
        <v>83</v>
      </c>
      <c r="B88" s="19" t="s">
        <v>172</v>
      </c>
      <c r="C88" s="19" t="s">
        <v>557</v>
      </c>
      <c r="D88" s="19" t="str">
        <f>HYPERLINK("http://henontech.com/fieldsafety/harzard/harzard_show.php?rid=3239&amp;url=harzardrecs.php","东四岗位除铁器上面有铁，容易造成皮带划伤")</f>
        <v>东四岗位除铁器上面有铁，容易造成皮带划伤</v>
      </c>
      <c r="E88" s="19" t="s">
        <v>558</v>
      </c>
      <c r="F88" s="20" t="s">
        <v>42</v>
      </c>
      <c r="G88" s="21" t="s">
        <v>43</v>
      </c>
      <c r="H88" s="19" t="s">
        <v>44</v>
      </c>
      <c r="I88" s="19" t="s">
        <v>45</v>
      </c>
      <c r="J88" s="19" t="s">
        <v>63</v>
      </c>
      <c r="K88" s="19" t="s">
        <v>199</v>
      </c>
      <c r="L88" s="19"/>
      <c r="M88" s="19" t="s">
        <v>210</v>
      </c>
      <c r="N88" s="19" t="s">
        <v>559</v>
      </c>
      <c r="O88" s="19" t="s">
        <v>210</v>
      </c>
      <c r="P88" s="19" t="s">
        <v>212</v>
      </c>
      <c r="Q88" s="19" t="s">
        <v>458</v>
      </c>
      <c r="R88" s="19" t="s">
        <v>417</v>
      </c>
      <c r="S88" s="19"/>
      <c r="T88" s="19" t="s">
        <v>52</v>
      </c>
      <c r="U88" s="19" t="s">
        <v>53</v>
      </c>
      <c r="V88" s="19" t="s">
        <v>54</v>
      </c>
      <c r="W88" s="19" t="s">
        <v>55</v>
      </c>
      <c r="X88" s="19" t="s">
        <v>204</v>
      </c>
      <c r="Y88" s="19" t="s">
        <v>204</v>
      </c>
      <c r="Z88" s="19" t="s">
        <v>560</v>
      </c>
      <c r="AA88" s="19">
        <v>2</v>
      </c>
      <c r="AB88" s="19">
        <v>2</v>
      </c>
      <c r="AC88" s="19" t="s">
        <v>58</v>
      </c>
      <c r="AD88" s="19" t="s">
        <v>212</v>
      </c>
      <c r="AE88" s="19" t="s">
        <v>86</v>
      </c>
      <c r="AF88" s="19"/>
    </row>
    <row r="89" spans="1:34" customHeight="1" ht="42">
      <c r="A89" s="19">
        <v>84</v>
      </c>
      <c r="B89" s="19" t="s">
        <v>220</v>
      </c>
      <c r="C89" s="19" t="s">
        <v>413</v>
      </c>
      <c r="D89" s="19" t="str">
        <f>HYPERLINK("http://henontech.com/fieldsafety/harzard/harzard_show.php?rid=3240&amp;url=harzardrecs.php","皮带机下调心站滚缺失，胶带运行中造成带边磨损、胶带撕裂。")</f>
        <v>皮带机下调心站滚缺失，胶带运行中造成带边磨损、胶带撕裂。</v>
      </c>
      <c r="E89" s="19" t="s">
        <v>561</v>
      </c>
      <c r="F89" s="20" t="s">
        <v>42</v>
      </c>
      <c r="G89" s="22" t="s">
        <v>77</v>
      </c>
      <c r="H89" s="19" t="s">
        <v>44</v>
      </c>
      <c r="I89" s="19"/>
      <c r="J89" s="19" t="s">
        <v>78</v>
      </c>
      <c r="K89" s="19"/>
      <c r="L89" s="19"/>
      <c r="M89" s="19" t="s">
        <v>210</v>
      </c>
      <c r="N89" s="19" t="s">
        <v>562</v>
      </c>
      <c r="O89" s="19" t="s">
        <v>210</v>
      </c>
      <c r="P89" s="19" t="s">
        <v>212</v>
      </c>
      <c r="Q89" s="19" t="s">
        <v>306</v>
      </c>
      <c r="R89" s="19" t="s">
        <v>563</v>
      </c>
      <c r="S89" s="19"/>
      <c r="T89" s="19" t="s">
        <v>52</v>
      </c>
      <c r="U89" s="19" t="s">
        <v>69</v>
      </c>
      <c r="V89" s="19" t="s">
        <v>182</v>
      </c>
      <c r="W89" s="19" t="s">
        <v>97</v>
      </c>
      <c r="X89" s="19" t="s">
        <v>98</v>
      </c>
      <c r="Y89" s="19" t="s">
        <v>98</v>
      </c>
      <c r="Z89" s="19" t="s">
        <v>564</v>
      </c>
      <c r="AA89" s="19">
        <v>2</v>
      </c>
      <c r="AB89" s="19">
        <v>2</v>
      </c>
      <c r="AC89" s="19" t="s">
        <v>58</v>
      </c>
      <c r="AD89" s="19" t="s">
        <v>212</v>
      </c>
      <c r="AE89" s="19" t="s">
        <v>243</v>
      </c>
      <c r="AF89" s="19"/>
    </row>
    <row r="90" spans="1:34" customHeight="1" ht="42">
      <c r="A90" s="19">
        <v>85</v>
      </c>
      <c r="B90" s="19" t="s">
        <v>220</v>
      </c>
      <c r="C90" s="19" t="s">
        <v>314</v>
      </c>
      <c r="D90" s="19" t="str">
        <f>HYPERLINK("http://henontech.com/fieldsafety/harzard/harzard_show.php?rid=3241&amp;url=harzardrecs.php","一人员在光线较暗不良在下楼过程中脚底打滑失足受伤")</f>
        <v>一人员在光线较暗不良在下楼过程中脚底打滑失足受伤</v>
      </c>
      <c r="E90" s="19" t="s">
        <v>565</v>
      </c>
      <c r="F90" s="20" t="s">
        <v>42</v>
      </c>
      <c r="G90" s="22" t="s">
        <v>77</v>
      </c>
      <c r="H90" s="19" t="s">
        <v>44</v>
      </c>
      <c r="I90" s="19" t="s">
        <v>90</v>
      </c>
      <c r="J90" s="19"/>
      <c r="K90" s="19"/>
      <c r="L90" s="19"/>
      <c r="M90" s="19" t="s">
        <v>210</v>
      </c>
      <c r="N90" s="19" t="s">
        <v>555</v>
      </c>
      <c r="O90" s="19" t="s">
        <v>210</v>
      </c>
      <c r="P90" s="19" t="s">
        <v>212</v>
      </c>
      <c r="Q90" s="19" t="s">
        <v>306</v>
      </c>
      <c r="R90" s="19" t="s">
        <v>566</v>
      </c>
      <c r="S90" s="19"/>
      <c r="T90" s="19" t="s">
        <v>68</v>
      </c>
      <c r="U90" s="19" t="s">
        <v>69</v>
      </c>
      <c r="V90" s="19" t="s">
        <v>70</v>
      </c>
      <c r="W90" s="19" t="s">
        <v>55</v>
      </c>
      <c r="X90" s="19" t="s">
        <v>204</v>
      </c>
      <c r="Y90" s="19" t="s">
        <v>204</v>
      </c>
      <c r="Z90" s="19" t="s">
        <v>567</v>
      </c>
      <c r="AA90" s="19">
        <v>2</v>
      </c>
      <c r="AB90" s="19">
        <v>2</v>
      </c>
      <c r="AC90" s="19" t="s">
        <v>58</v>
      </c>
      <c r="AD90" s="19" t="s">
        <v>212</v>
      </c>
      <c r="AE90" s="19" t="s">
        <v>243</v>
      </c>
      <c r="AF90" s="19"/>
    </row>
    <row r="91" spans="1:34">
      <c r="A91" s="19">
        <v>86</v>
      </c>
      <c r="B91" s="19" t="s">
        <v>220</v>
      </c>
      <c r="C91" s="19" t="s">
        <v>300</v>
      </c>
      <c r="D91" s="19" t="str">
        <f>HYPERLINK("http://henontech.com/fieldsafety/harzard/harzard_show.php?rid=3244&amp;url=harzardrecs.php","新化水加碱泵排气口处无排气管，操作工巡检时，发现碱泵不上液，排气时碱液喷出，造成操作工面部烧伤，面积较大，程度较深。")</f>
        <v>新化水加碱泵排气口处无排气管，操作工巡检时，发现碱泵不上液，排气时碱液喷出，造成操作工面部烧伤，面积较大，程度较深。</v>
      </c>
      <c r="E91" s="19" t="s">
        <v>568</v>
      </c>
      <c r="F91" s="20" t="s">
        <v>42</v>
      </c>
      <c r="G91" s="22" t="s">
        <v>77</v>
      </c>
      <c r="H91" s="19" t="s">
        <v>44</v>
      </c>
      <c r="I91" s="19" t="s">
        <v>115</v>
      </c>
      <c r="J91" s="19" t="s">
        <v>105</v>
      </c>
      <c r="K91" s="19"/>
      <c r="L91" s="19"/>
      <c r="M91" s="19" t="s">
        <v>91</v>
      </c>
      <c r="N91" s="19" t="s">
        <v>569</v>
      </c>
      <c r="O91" s="19" t="s">
        <v>91</v>
      </c>
      <c r="P91" s="19" t="s">
        <v>107</v>
      </c>
      <c r="Q91" s="19" t="s">
        <v>262</v>
      </c>
      <c r="R91" s="19" t="s">
        <v>570</v>
      </c>
      <c r="S91" s="19"/>
      <c r="T91" s="19" t="s">
        <v>68</v>
      </c>
      <c r="U91" s="19" t="s">
        <v>69</v>
      </c>
      <c r="V91" s="19" t="s">
        <v>54</v>
      </c>
      <c r="W91" s="19" t="s">
        <v>162</v>
      </c>
      <c r="X91" s="19" t="s">
        <v>56</v>
      </c>
      <c r="Y91" s="19"/>
      <c r="Z91" s="19" t="s">
        <v>571</v>
      </c>
      <c r="AA91" s="19">
        <v>1</v>
      </c>
      <c r="AB91" s="19">
        <v>1</v>
      </c>
      <c r="AC91" s="19" t="s">
        <v>58</v>
      </c>
      <c r="AD91" s="19" t="s">
        <v>107</v>
      </c>
      <c r="AE91" s="19" t="s">
        <v>572</v>
      </c>
      <c r="AF91" s="19" t="s">
        <v>573</v>
      </c>
    </row>
    <row r="92" spans="1:34">
      <c r="A92" s="19">
        <v>87</v>
      </c>
      <c r="B92" s="19" t="s">
        <v>220</v>
      </c>
      <c r="C92" s="19" t="s">
        <v>574</v>
      </c>
      <c r="D92" s="19" t="str">
        <f>HYPERLINK("http://henontech.com/fieldsafety/harzard/harzard_show.php?rid=3245&amp;url=harzardrecs.php","一名操作工在清理桥管时用力不当、重心不稳，从3米高平台摔落炉顶面，右腿部与炉面发生碰撞")</f>
        <v>一名操作工在清理桥管时用力不当、重心不稳，从3米高平台摔落炉顶面，右腿部与炉面发生碰撞</v>
      </c>
      <c r="E92" s="19" t="s">
        <v>575</v>
      </c>
      <c r="F92" s="26" t="s">
        <v>554</v>
      </c>
      <c r="G92" s="19"/>
      <c r="H92" s="19" t="s">
        <v>44</v>
      </c>
      <c r="I92" s="19" t="s">
        <v>115</v>
      </c>
      <c r="J92" s="19" t="s">
        <v>105</v>
      </c>
      <c r="K92" s="19" t="s">
        <v>186</v>
      </c>
      <c r="L92" s="19" t="s">
        <v>46</v>
      </c>
      <c r="M92" s="19" t="s">
        <v>47</v>
      </c>
      <c r="N92" s="19" t="s">
        <v>576</v>
      </c>
      <c r="O92" s="19"/>
      <c r="P92" s="19"/>
      <c r="Q92" s="19"/>
      <c r="R92" s="19" t="s">
        <v>577</v>
      </c>
      <c r="S92" s="19"/>
      <c r="T92" s="19" t="s">
        <v>68</v>
      </c>
      <c r="U92" s="19" t="s">
        <v>96</v>
      </c>
      <c r="V92" s="19" t="s">
        <v>182</v>
      </c>
      <c r="W92" s="19" t="s">
        <v>162</v>
      </c>
      <c r="X92" s="19"/>
      <c r="Y92" s="19"/>
      <c r="Z92" s="19"/>
      <c r="AA92" s="19"/>
      <c r="AB92" s="19"/>
      <c r="AC92" s="19" t="s">
        <v>266</v>
      </c>
      <c r="AD92" s="19"/>
      <c r="AE92" s="19"/>
      <c r="AF92" s="19"/>
    </row>
    <row r="93" spans="1:34" customHeight="1" ht="42">
      <c r="A93" s="19">
        <v>88</v>
      </c>
      <c r="B93" s="19" t="s">
        <v>220</v>
      </c>
      <c r="C93" s="19" t="s">
        <v>574</v>
      </c>
      <c r="D93" s="19" t="str">
        <f>HYPERLINK("http://henontech.com/fieldsafety/harzard/harzard_show.php?rid=3246&amp;url=harzardrecs.php","集气管平台护栏上部缺失，一名操作工在清理桥管时用力不当、重心不稳，从3米高平台摔落炉顶面，右腿部与炉面发生碰撞，造成右腿骨折")</f>
        <v>集气管平台护栏上部缺失，一名操作工在清理桥管时用力不当、重心不稳，从3米高平台摔落炉顶面，右腿部与炉面发生碰撞，造成右腿骨折</v>
      </c>
      <c r="E93" s="19" t="s">
        <v>578</v>
      </c>
      <c r="F93" s="24" t="s">
        <v>260</v>
      </c>
      <c r="G93" s="22" t="s">
        <v>77</v>
      </c>
      <c r="H93" s="19" t="s">
        <v>44</v>
      </c>
      <c r="I93" s="19" t="s">
        <v>115</v>
      </c>
      <c r="J93" s="19" t="s">
        <v>105</v>
      </c>
      <c r="K93" s="19" t="s">
        <v>186</v>
      </c>
      <c r="L93" s="19" t="s">
        <v>46</v>
      </c>
      <c r="M93" s="19" t="s">
        <v>47</v>
      </c>
      <c r="N93" s="19" t="s">
        <v>576</v>
      </c>
      <c r="O93" s="19" t="s">
        <v>47</v>
      </c>
      <c r="P93" s="19" t="s">
        <v>140</v>
      </c>
      <c r="Q93" s="19" t="s">
        <v>481</v>
      </c>
      <c r="R93" s="19" t="s">
        <v>577</v>
      </c>
      <c r="S93" s="19"/>
      <c r="T93" s="19" t="s">
        <v>68</v>
      </c>
      <c r="U93" s="19" t="s">
        <v>96</v>
      </c>
      <c r="V93" s="19" t="s">
        <v>182</v>
      </c>
      <c r="W93" s="19" t="s">
        <v>162</v>
      </c>
      <c r="X93" s="19" t="s">
        <v>56</v>
      </c>
      <c r="Y93" s="19"/>
      <c r="Z93" s="19" t="s">
        <v>579</v>
      </c>
      <c r="AA93" s="19">
        <v>2</v>
      </c>
      <c r="AB93" s="19"/>
      <c r="AC93" s="19" t="s">
        <v>266</v>
      </c>
      <c r="AD93" s="19"/>
      <c r="AE93" s="19"/>
      <c r="AF93" s="19"/>
    </row>
    <row r="94" spans="1:34" customHeight="1" ht="42">
      <c r="A94" s="19">
        <v>89</v>
      </c>
      <c r="B94" s="19" t="s">
        <v>220</v>
      </c>
      <c r="C94" s="19" t="s">
        <v>580</v>
      </c>
      <c r="D94" s="19" t="str">
        <f>HYPERLINK("http://henontech.com/fieldsafety/harzard/harzard_show.php?rid=3247&amp;url=harzardrecs.php","4.3m闲置区炉顶南端西侧标语牌部分固定扣腐蚀脱落，标语牌风摆幅度大，若1名职工在较大风速天气自此处下方巡检通行时，重约10kg标语牌掉落恰巧砸中职工肩部。")</f>
        <v>4.3m闲置区炉顶南端西侧标语牌部分固定扣腐蚀脱落，标语牌风摆幅度大，若1名职工在较大风速天气自此处下方巡检通行时，重约10kg标语牌掉落恰巧砸中职工肩部。</v>
      </c>
      <c r="E94" s="19" t="s">
        <v>581</v>
      </c>
      <c r="F94" s="20" t="s">
        <v>42</v>
      </c>
      <c r="G94" s="22" t="s">
        <v>77</v>
      </c>
      <c r="H94" s="19" t="s">
        <v>44</v>
      </c>
      <c r="I94" s="19"/>
      <c r="J94" s="19" t="s">
        <v>63</v>
      </c>
      <c r="K94" s="19"/>
      <c r="L94" s="19"/>
      <c r="M94" s="19" t="s">
        <v>47</v>
      </c>
      <c r="N94" s="19" t="s">
        <v>582</v>
      </c>
      <c r="O94" s="19" t="s">
        <v>47</v>
      </c>
      <c r="P94" s="19" t="s">
        <v>541</v>
      </c>
      <c r="Q94" s="19" t="s">
        <v>243</v>
      </c>
      <c r="R94" s="19" t="s">
        <v>583</v>
      </c>
      <c r="S94" s="19"/>
      <c r="T94" s="19" t="s">
        <v>68</v>
      </c>
      <c r="U94" s="19" t="s">
        <v>96</v>
      </c>
      <c r="V94" s="19" t="s">
        <v>182</v>
      </c>
      <c r="W94" s="19" t="s">
        <v>162</v>
      </c>
      <c r="X94" s="19" t="s">
        <v>98</v>
      </c>
      <c r="Y94" s="19"/>
      <c r="Z94" s="19" t="s">
        <v>584</v>
      </c>
      <c r="AA94" s="19">
        <v>2</v>
      </c>
      <c r="AB94" s="19">
        <v>0</v>
      </c>
      <c r="AC94" s="19" t="s">
        <v>58</v>
      </c>
      <c r="AD94" s="19" t="s">
        <v>541</v>
      </c>
      <c r="AE94" s="19" t="s">
        <v>585</v>
      </c>
      <c r="AF94" s="19" t="s">
        <v>586</v>
      </c>
    </row>
    <row r="95" spans="1:34">
      <c r="A95" s="19">
        <v>90</v>
      </c>
      <c r="B95" s="19" t="s">
        <v>179</v>
      </c>
      <c r="C95" s="19" t="s">
        <v>373</v>
      </c>
      <c r="D95" s="19" t="str">
        <f>HYPERLINK("http://henontech.com/fieldsafety/harzard/harzard_show.php?rid=3248&amp;url=harzardrecs.php","两盐大屋北原料储罐上方塑料管如果在大风天气人员从此巡检经过可能被掉落的塑料管轻微划伤脸部简单包扎后能正常工作")</f>
        <v>两盐大屋北原料储罐上方塑料管如果在大风天气人员从此巡检经过可能被掉落的塑料管轻微划伤脸部简单包扎后能正常工作</v>
      </c>
      <c r="E95" s="19" t="s">
        <v>587</v>
      </c>
      <c r="F95" s="20" t="s">
        <v>42</v>
      </c>
      <c r="G95" s="22" t="s">
        <v>77</v>
      </c>
      <c r="H95" s="19" t="s">
        <v>44</v>
      </c>
      <c r="I95" s="19" t="s">
        <v>90</v>
      </c>
      <c r="J95" s="19" t="s">
        <v>63</v>
      </c>
      <c r="K95" s="19" t="s">
        <v>138</v>
      </c>
      <c r="L95" s="19" t="s">
        <v>46</v>
      </c>
      <c r="M95" s="19" t="s">
        <v>75</v>
      </c>
      <c r="N95" s="19" t="s">
        <v>588</v>
      </c>
      <c r="O95" s="19" t="s">
        <v>75</v>
      </c>
      <c r="P95" s="19" t="s">
        <v>80</v>
      </c>
      <c r="Q95" s="19" t="s">
        <v>490</v>
      </c>
      <c r="R95" s="19" t="s">
        <v>589</v>
      </c>
      <c r="S95" s="19"/>
      <c r="T95" s="19" t="s">
        <v>68</v>
      </c>
      <c r="U95" s="19" t="s">
        <v>69</v>
      </c>
      <c r="V95" s="19" t="s">
        <v>70</v>
      </c>
      <c r="W95" s="19" t="s">
        <v>55</v>
      </c>
      <c r="X95" s="19"/>
      <c r="Y95" s="19"/>
      <c r="Z95" s="19" t="s">
        <v>590</v>
      </c>
      <c r="AA95" s="19">
        <v>1</v>
      </c>
      <c r="AB95" s="19">
        <v>1</v>
      </c>
      <c r="AC95" s="19" t="s">
        <v>58</v>
      </c>
      <c r="AD95" s="19" t="s">
        <v>80</v>
      </c>
      <c r="AE95" s="19" t="s">
        <v>591</v>
      </c>
      <c r="AF95" s="19"/>
    </row>
    <row r="96" spans="1:34">
      <c r="A96" s="19">
        <v>91</v>
      </c>
      <c r="B96" s="19" t="s">
        <v>220</v>
      </c>
      <c r="C96" s="19" t="s">
        <v>592</v>
      </c>
      <c r="D96" s="19" t="str">
        <f>HYPERLINK("http://henontech.com/fieldsafety/harzard/harzard_show.php?rid=3249&amp;url=harzardrecs.php","夏季雨水多，干熄车配电室和空压机房顶局部漏水厉害，造成电器短路导致电器设备损坏，影响正常生产。")</f>
        <v>夏季雨水多，干熄车配电室和空压机房顶局部漏水厉害，造成电器短路导致电器设备损坏，影响正常生产。</v>
      </c>
      <c r="E96" s="19" t="s">
        <v>593</v>
      </c>
      <c r="F96" s="26" t="s">
        <v>554</v>
      </c>
      <c r="G96" s="19"/>
      <c r="H96" s="19" t="s">
        <v>44</v>
      </c>
      <c r="I96" s="19" t="s">
        <v>45</v>
      </c>
      <c r="J96" s="19" t="s">
        <v>148</v>
      </c>
      <c r="K96" s="19" t="s">
        <v>186</v>
      </c>
      <c r="L96" s="19" t="s">
        <v>46</v>
      </c>
      <c r="M96" s="19" t="s">
        <v>47</v>
      </c>
      <c r="N96" s="19" t="s">
        <v>224</v>
      </c>
      <c r="O96" s="19"/>
      <c r="P96" s="19"/>
      <c r="Q96" s="19"/>
      <c r="R96" s="19" t="s">
        <v>594</v>
      </c>
      <c r="S96" s="19"/>
      <c r="T96" s="19" t="s">
        <v>52</v>
      </c>
      <c r="U96" s="19" t="s">
        <v>53</v>
      </c>
      <c r="V96" s="19" t="s">
        <v>70</v>
      </c>
      <c r="W96" s="19" t="s">
        <v>55</v>
      </c>
      <c r="X96" s="19"/>
      <c r="Y96" s="19"/>
      <c r="Z96" s="19"/>
      <c r="AA96" s="19"/>
      <c r="AB96" s="19"/>
      <c r="AC96" s="19" t="s">
        <v>266</v>
      </c>
      <c r="AD96" s="19"/>
      <c r="AE96" s="19"/>
      <c r="AF96" s="19"/>
    </row>
    <row r="97" spans="1:34">
      <c r="A97" s="19">
        <v>92</v>
      </c>
      <c r="B97" s="19" t="s">
        <v>220</v>
      </c>
      <c r="C97" s="19" t="s">
        <v>314</v>
      </c>
      <c r="D97" s="19" t="str">
        <f>HYPERLINK("http://henontech.com/fieldsafety/harzard/harzard_show.php?rid=3250&amp;url=harzardrecs.php","操作工在合闸时，因控制箱防护罩脱落，导致触电倒地，头部磕伤，送医敷药包扎，回家修养2天后复工。")</f>
        <v>操作工在合闸时，因控制箱防护罩脱落，导致触电倒地，头部磕伤，送医敷药包扎，回家修养2天后复工。</v>
      </c>
      <c r="E97" s="19" t="s">
        <v>595</v>
      </c>
      <c r="F97" s="20" t="s">
        <v>42</v>
      </c>
      <c r="G97" s="23" t="s">
        <v>137</v>
      </c>
      <c r="H97" s="19" t="s">
        <v>44</v>
      </c>
      <c r="I97" s="19" t="s">
        <v>90</v>
      </c>
      <c r="J97" s="19" t="s">
        <v>63</v>
      </c>
      <c r="K97" s="19" t="s">
        <v>199</v>
      </c>
      <c r="L97" s="19" t="s">
        <v>46</v>
      </c>
      <c r="M97" s="19" t="s">
        <v>210</v>
      </c>
      <c r="N97" s="19" t="s">
        <v>596</v>
      </c>
      <c r="O97" s="19" t="s">
        <v>210</v>
      </c>
      <c r="P97" s="19" t="s">
        <v>416</v>
      </c>
      <c r="Q97" s="19" t="s">
        <v>546</v>
      </c>
      <c r="R97" s="19" t="s">
        <v>597</v>
      </c>
      <c r="S97" s="19"/>
      <c r="T97" s="19" t="s">
        <v>68</v>
      </c>
      <c r="U97" s="19" t="s">
        <v>96</v>
      </c>
      <c r="V97" s="19" t="s">
        <v>182</v>
      </c>
      <c r="W97" s="19" t="s">
        <v>162</v>
      </c>
      <c r="X97" s="19"/>
      <c r="Y97" s="19"/>
      <c r="Z97" s="19" t="s">
        <v>598</v>
      </c>
      <c r="AA97" s="19">
        <v>1</v>
      </c>
      <c r="AB97" s="19">
        <v>1</v>
      </c>
      <c r="AC97" s="19" t="s">
        <v>58</v>
      </c>
      <c r="AD97" s="19" t="s">
        <v>416</v>
      </c>
      <c r="AE97" s="19" t="s">
        <v>546</v>
      </c>
      <c r="AF97" s="19"/>
    </row>
    <row r="98" spans="1:34">
      <c r="A98" s="19">
        <v>93</v>
      </c>
      <c r="B98" s="19" t="s">
        <v>172</v>
      </c>
      <c r="C98" s="19" t="s">
        <v>314</v>
      </c>
      <c r="D98" s="19" t="str">
        <f>HYPERLINK("http://henontech.com/fieldsafety/harzard/harzard_show.php?rid=3252&amp;url=harzardrecs.php","西四南防风网脱落 行人经过砸到头上 头部受伤送医治疗 住院治疗一个月 在家休养一个月")</f>
        <v>西四南防风网脱落 行人经过砸到头上 头部受伤送医治疗 住院治疗一个月 在家休养一个月</v>
      </c>
      <c r="E98" s="19" t="s">
        <v>599</v>
      </c>
      <c r="F98" s="20" t="s">
        <v>42</v>
      </c>
      <c r="G98" s="22" t="s">
        <v>77</v>
      </c>
      <c r="H98" s="19" t="s">
        <v>44</v>
      </c>
      <c r="I98" s="19" t="s">
        <v>45</v>
      </c>
      <c r="J98" s="19" t="s">
        <v>78</v>
      </c>
      <c r="K98" s="19" t="s">
        <v>199</v>
      </c>
      <c r="L98" s="19" t="s">
        <v>46</v>
      </c>
      <c r="M98" s="19" t="s">
        <v>210</v>
      </c>
      <c r="N98" s="19" t="s">
        <v>424</v>
      </c>
      <c r="O98" s="19" t="s">
        <v>210</v>
      </c>
      <c r="P98" s="19" t="s">
        <v>425</v>
      </c>
      <c r="Q98" s="19" t="s">
        <v>600</v>
      </c>
      <c r="R98" s="19" t="s">
        <v>601</v>
      </c>
      <c r="S98" s="19"/>
      <c r="T98" s="19" t="s">
        <v>68</v>
      </c>
      <c r="U98" s="19" t="s">
        <v>96</v>
      </c>
      <c r="V98" s="19" t="s">
        <v>182</v>
      </c>
      <c r="W98" s="19" t="s">
        <v>162</v>
      </c>
      <c r="X98" s="19"/>
      <c r="Y98" s="19"/>
      <c r="Z98" s="19" t="s">
        <v>602</v>
      </c>
      <c r="AA98" s="19">
        <v>1</v>
      </c>
      <c r="AB98" s="19">
        <v>1</v>
      </c>
      <c r="AC98" s="19" t="s">
        <v>58</v>
      </c>
      <c r="AD98" s="19" t="s">
        <v>425</v>
      </c>
      <c r="AE98" s="19" t="s">
        <v>179</v>
      </c>
      <c r="AF98" s="19"/>
    </row>
    <row r="99" spans="1:34" customHeight="1" ht="42">
      <c r="A99" s="19">
        <v>94</v>
      </c>
      <c r="B99" s="19" t="s">
        <v>172</v>
      </c>
      <c r="C99" s="19" t="s">
        <v>251</v>
      </c>
      <c r="D99" s="19" t="str">
        <f>HYPERLINK("http://henontech.com/fieldsafety/harzard/harzard_show.php?rid=3253&amp;url=harzardrecs.php","1618破碎机调节丝杠弹簧压板螺丝丢失 操作工经过时 弹簧弹出 打到右腿造成大腿骨折 送医治疗住院一个月 在家休养三个月")</f>
        <v>1618破碎机调节丝杠弹簧压板螺丝丢失 操作工经过时 弹簧弹出 打到右腿造成大腿骨折 送医治疗住院一个月 在家休养三个月</v>
      </c>
      <c r="E99" s="19" t="s">
        <v>603</v>
      </c>
      <c r="F99" s="20" t="s">
        <v>42</v>
      </c>
      <c r="G99" s="22" t="s">
        <v>77</v>
      </c>
      <c r="H99" s="19" t="s">
        <v>44</v>
      </c>
      <c r="I99" s="19" t="s">
        <v>45</v>
      </c>
      <c r="J99" s="19" t="s">
        <v>63</v>
      </c>
      <c r="K99" s="19" t="s">
        <v>199</v>
      </c>
      <c r="L99" s="19" t="s">
        <v>46</v>
      </c>
      <c r="M99" s="19" t="s">
        <v>210</v>
      </c>
      <c r="N99" s="19" t="s">
        <v>424</v>
      </c>
      <c r="O99" s="19" t="s">
        <v>210</v>
      </c>
      <c r="P99" s="19" t="s">
        <v>425</v>
      </c>
      <c r="Q99" s="19" t="s">
        <v>600</v>
      </c>
      <c r="R99" s="19" t="s">
        <v>427</v>
      </c>
      <c r="S99" s="19"/>
      <c r="T99" s="19" t="s">
        <v>68</v>
      </c>
      <c r="U99" s="19" t="s">
        <v>96</v>
      </c>
      <c r="V99" s="19" t="s">
        <v>182</v>
      </c>
      <c r="W99" s="19" t="s">
        <v>162</v>
      </c>
      <c r="X99" s="19"/>
      <c r="Y99" s="19"/>
      <c r="Z99" s="19" t="s">
        <v>604</v>
      </c>
      <c r="AA99" s="19">
        <v>2</v>
      </c>
      <c r="AB99" s="19">
        <v>2</v>
      </c>
      <c r="AC99" s="19" t="s">
        <v>58</v>
      </c>
      <c r="AD99" s="19" t="s">
        <v>425</v>
      </c>
      <c r="AE99" s="19" t="s">
        <v>179</v>
      </c>
      <c r="AF99" s="19"/>
    </row>
    <row r="100" spans="1:34" customHeight="1" ht="42">
      <c r="A100" s="19">
        <v>95</v>
      </c>
      <c r="B100" s="19" t="s">
        <v>172</v>
      </c>
      <c r="C100" s="19" t="s">
        <v>592</v>
      </c>
      <c r="D100" s="19" t="str">
        <f>HYPERLINK("http://henontech.com/fieldsafety/harzard/harzard_show.php?rid=3255&amp;url=harzardrecs.php","装煤车顶部平台有一缺口，若一操作工在平煤时经过此处，恰巧脚入缺口绊倒，左手部与铁板发生碰撞，造成左手部骨折。")</f>
        <v>装煤车顶部平台有一缺口，若一操作工在平煤时经过此处，恰巧脚入缺口绊倒，左手部与铁板发生碰撞，造成左手部骨折。</v>
      </c>
      <c r="E100" s="19" t="s">
        <v>605</v>
      </c>
      <c r="F100" s="24" t="s">
        <v>260</v>
      </c>
      <c r="G100" s="22" t="s">
        <v>77</v>
      </c>
      <c r="H100" s="19" t="s">
        <v>44</v>
      </c>
      <c r="I100" s="19" t="s">
        <v>115</v>
      </c>
      <c r="J100" s="19" t="s">
        <v>63</v>
      </c>
      <c r="K100" s="19" t="s">
        <v>138</v>
      </c>
      <c r="L100" s="19" t="s">
        <v>46</v>
      </c>
      <c r="M100" s="19" t="s">
        <v>47</v>
      </c>
      <c r="N100" s="19" t="s">
        <v>242</v>
      </c>
      <c r="O100" s="19" t="s">
        <v>47</v>
      </c>
      <c r="P100" s="19" t="s">
        <v>140</v>
      </c>
      <c r="Q100" s="19" t="s">
        <v>262</v>
      </c>
      <c r="R100" s="19" t="s">
        <v>606</v>
      </c>
      <c r="S100" s="19"/>
      <c r="T100" s="19" t="s">
        <v>68</v>
      </c>
      <c r="U100" s="19" t="s">
        <v>96</v>
      </c>
      <c r="V100" s="19" t="s">
        <v>182</v>
      </c>
      <c r="W100" s="19" t="s">
        <v>162</v>
      </c>
      <c r="X100" s="19" t="s">
        <v>98</v>
      </c>
      <c r="Y100" s="19"/>
      <c r="Z100" s="19" t="s">
        <v>607</v>
      </c>
      <c r="AA100" s="19">
        <v>2</v>
      </c>
      <c r="AB100" s="19"/>
      <c r="AC100" s="19" t="s">
        <v>266</v>
      </c>
      <c r="AD100" s="19"/>
      <c r="AE100" s="19"/>
      <c r="AF100" s="19"/>
    </row>
    <row r="101" spans="1:34" customHeight="1" ht="42">
      <c r="A101" s="19">
        <v>96</v>
      </c>
      <c r="B101" s="19" t="s">
        <v>172</v>
      </c>
      <c r="C101" s="19" t="s">
        <v>176</v>
      </c>
      <c r="D101" s="19" t="str">
        <f>HYPERLINK("http://henontech.com/fieldsafety/harzard/harzard_show.php?rid=3256&amp;url=harzardrecs.php","水熄车平台护栏立柱底端腐蚀严重，已成断裂状态，一操作工在此干活时，不慎跌落至4米下的地面，且头部磕在熄焦道轨上，将伤者紧急送医，抢救无效死亡")</f>
        <v>水熄车平台护栏立柱底端腐蚀严重，已成断裂状态，一操作工在此干活时，不慎跌落至4米下的地面，且头部磕在熄焦道轨上，将伤者紧急送医，抢救无效死亡</v>
      </c>
      <c r="E101" s="19" t="s">
        <v>608</v>
      </c>
      <c r="F101" s="24" t="s">
        <v>260</v>
      </c>
      <c r="G101" s="22" t="s">
        <v>77</v>
      </c>
      <c r="H101" s="19" t="s">
        <v>44</v>
      </c>
      <c r="I101" s="19" t="s">
        <v>45</v>
      </c>
      <c r="J101" s="19" t="s">
        <v>63</v>
      </c>
      <c r="K101" s="19" t="s">
        <v>138</v>
      </c>
      <c r="L101" s="19" t="s">
        <v>46</v>
      </c>
      <c r="M101" s="19" t="s">
        <v>47</v>
      </c>
      <c r="N101" s="19" t="s">
        <v>609</v>
      </c>
      <c r="O101" s="19" t="s">
        <v>47</v>
      </c>
      <c r="P101" s="19" t="s">
        <v>140</v>
      </c>
      <c r="Q101" s="19" t="s">
        <v>262</v>
      </c>
      <c r="R101" s="19" t="s">
        <v>610</v>
      </c>
      <c r="S101" s="19"/>
      <c r="T101" s="19" t="s">
        <v>68</v>
      </c>
      <c r="U101" s="19" t="s">
        <v>203</v>
      </c>
      <c r="V101" s="19" t="s">
        <v>182</v>
      </c>
      <c r="W101" s="19" t="s">
        <v>120</v>
      </c>
      <c r="X101" s="19" t="s">
        <v>98</v>
      </c>
      <c r="Y101" s="19"/>
      <c r="Z101" s="19" t="s">
        <v>611</v>
      </c>
      <c r="AA101" s="19">
        <v>2</v>
      </c>
      <c r="AB101" s="19"/>
      <c r="AC101" s="19" t="s">
        <v>266</v>
      </c>
      <c r="AD101" s="19"/>
      <c r="AE101" s="19"/>
      <c r="AF101" s="19"/>
    </row>
    <row r="102" spans="1:34">
      <c r="A102" s="19">
        <v>97</v>
      </c>
      <c r="B102" s="19" t="s">
        <v>172</v>
      </c>
      <c r="C102" s="19" t="s">
        <v>300</v>
      </c>
      <c r="D102" s="19" t="str">
        <f>HYPERLINK("http://henontech.com/fieldsafety/harzard/harzard_show.php?rid=3257&amp;url=harzardrecs.php","超滤返洗PVC管道卡脱落返洗时管道振动剧裂造成管道断裂。")</f>
        <v>超滤返洗PVC管道卡脱落返洗时管道振动剧裂造成管道断裂。</v>
      </c>
      <c r="E102" s="19" t="s">
        <v>612</v>
      </c>
      <c r="F102" s="20" t="s">
        <v>42</v>
      </c>
      <c r="G102" s="21" t="s">
        <v>43</v>
      </c>
      <c r="H102" s="19" t="s">
        <v>44</v>
      </c>
      <c r="I102" s="19" t="s">
        <v>90</v>
      </c>
      <c r="J102" s="19" t="s">
        <v>63</v>
      </c>
      <c r="K102" s="19"/>
      <c r="L102" s="19"/>
      <c r="M102" s="19" t="s">
        <v>91</v>
      </c>
      <c r="N102" s="19" t="s">
        <v>290</v>
      </c>
      <c r="O102" s="19" t="s">
        <v>91</v>
      </c>
      <c r="P102" s="19" t="s">
        <v>107</v>
      </c>
      <c r="Q102" s="19" t="s">
        <v>262</v>
      </c>
      <c r="R102" s="19" t="s">
        <v>613</v>
      </c>
      <c r="S102" s="19"/>
      <c r="T102" s="19" t="s">
        <v>52</v>
      </c>
      <c r="U102" s="19" t="s">
        <v>69</v>
      </c>
      <c r="V102" s="19" t="s">
        <v>70</v>
      </c>
      <c r="W102" s="19" t="s">
        <v>55</v>
      </c>
      <c r="X102" s="19" t="s">
        <v>304</v>
      </c>
      <c r="Y102" s="19"/>
      <c r="Z102" s="19" t="s">
        <v>614</v>
      </c>
      <c r="AA102" s="19">
        <v>1</v>
      </c>
      <c r="AB102" s="19">
        <v>1</v>
      </c>
      <c r="AC102" s="19" t="s">
        <v>58</v>
      </c>
      <c r="AD102" s="19" t="s">
        <v>107</v>
      </c>
      <c r="AE102" s="19" t="s">
        <v>306</v>
      </c>
      <c r="AF102" s="19" t="s">
        <v>615</v>
      </c>
    </row>
    <row r="103" spans="1:34" customHeight="1" ht="42">
      <c r="A103" s="19">
        <v>98</v>
      </c>
      <c r="B103" s="19" t="s">
        <v>172</v>
      </c>
      <c r="C103" s="19" t="s">
        <v>328</v>
      </c>
      <c r="D103" s="19" t="str">
        <f>HYPERLINK("http://henontech.com/fieldsafety/harzard/harzard_show.php?rid=3258&amp;url=harzardrecs.php","炉顶46号上升管盖，放置一铁管，若一名炉顶工在打盖时，铁管从上升管落下，正好砸中炉顶工右肩部，造成右肩部骨折")</f>
        <v>炉顶46号上升管盖，放置一铁管，若一名炉顶工在打盖时，铁管从上升管落下，正好砸中炉顶工右肩部，造成右肩部骨折</v>
      </c>
      <c r="E103" s="19" t="s">
        <v>616</v>
      </c>
      <c r="F103" s="24" t="s">
        <v>260</v>
      </c>
      <c r="G103" s="22" t="s">
        <v>77</v>
      </c>
      <c r="H103" s="19" t="s">
        <v>44</v>
      </c>
      <c r="I103" s="19" t="s">
        <v>115</v>
      </c>
      <c r="J103" s="19" t="s">
        <v>63</v>
      </c>
      <c r="K103" s="19" t="s">
        <v>199</v>
      </c>
      <c r="L103" s="19" t="s">
        <v>46</v>
      </c>
      <c r="M103" s="19" t="s">
        <v>47</v>
      </c>
      <c r="N103" s="19" t="s">
        <v>617</v>
      </c>
      <c r="O103" s="19" t="s">
        <v>47</v>
      </c>
      <c r="P103" s="19" t="s">
        <v>178</v>
      </c>
      <c r="Q103" s="19" t="s">
        <v>262</v>
      </c>
      <c r="R103" s="19" t="s">
        <v>618</v>
      </c>
      <c r="S103" s="19"/>
      <c r="T103" s="19" t="s">
        <v>68</v>
      </c>
      <c r="U103" s="19" t="s">
        <v>96</v>
      </c>
      <c r="V103" s="19" t="s">
        <v>182</v>
      </c>
      <c r="W103" s="19" t="s">
        <v>162</v>
      </c>
      <c r="X103" s="19" t="s">
        <v>56</v>
      </c>
      <c r="Y103" s="19"/>
      <c r="Z103" s="19" t="s">
        <v>619</v>
      </c>
      <c r="AA103" s="19">
        <v>2</v>
      </c>
      <c r="AB103" s="19"/>
      <c r="AC103" s="19" t="s">
        <v>266</v>
      </c>
      <c r="AD103" s="19"/>
      <c r="AE103" s="19"/>
      <c r="AF103" s="19"/>
    </row>
    <row r="104" spans="1:34">
      <c r="A104" s="19">
        <v>99</v>
      </c>
      <c r="B104" s="19" t="s">
        <v>179</v>
      </c>
      <c r="C104" s="19" t="s">
        <v>245</v>
      </c>
      <c r="D104" s="19" t="str">
        <f>HYPERLINK("http://henontech.com/fieldsafety/harzard/harzard_show.php?rid=3259&amp;url=harzardrecs.php","东饱和器煤气进口下液管放空无支撑，放液时振动大，如果下液管断裂，冒出大量煤气，造成一人中毒，送医后住院30天，在家休息两个月！")</f>
        <v>东饱和器煤气进口下液管放空无支撑，放液时振动大，如果下液管断裂，冒出大量煤气，造成一人中毒，送医后住院30天，在家休息两个月！</v>
      </c>
      <c r="E104" s="19" t="s">
        <v>620</v>
      </c>
      <c r="F104" s="20" t="s">
        <v>42</v>
      </c>
      <c r="G104" s="22" t="s">
        <v>77</v>
      </c>
      <c r="H104" s="19" t="s">
        <v>44</v>
      </c>
      <c r="I104" s="19" t="s">
        <v>45</v>
      </c>
      <c r="J104" s="19" t="s">
        <v>198</v>
      </c>
      <c r="K104" s="19" t="s">
        <v>199</v>
      </c>
      <c r="L104" s="19" t="s">
        <v>46</v>
      </c>
      <c r="M104" s="19" t="s">
        <v>75</v>
      </c>
      <c r="N104" s="19" t="s">
        <v>621</v>
      </c>
      <c r="O104" s="19" t="s">
        <v>75</v>
      </c>
      <c r="P104" s="19" t="s">
        <v>80</v>
      </c>
      <c r="Q104" s="19" t="s">
        <v>600</v>
      </c>
      <c r="R104" s="19" t="s">
        <v>622</v>
      </c>
      <c r="S104" s="19"/>
      <c r="T104" s="19" t="s">
        <v>68</v>
      </c>
      <c r="U104" s="19" t="s">
        <v>96</v>
      </c>
      <c r="V104" s="19" t="s">
        <v>70</v>
      </c>
      <c r="W104" s="19" t="s">
        <v>97</v>
      </c>
      <c r="X104" s="19"/>
      <c r="Y104" s="19"/>
      <c r="Z104" s="19" t="s">
        <v>623</v>
      </c>
      <c r="AA104" s="19">
        <v>1</v>
      </c>
      <c r="AB104" s="19">
        <v>1</v>
      </c>
      <c r="AC104" s="19" t="s">
        <v>58</v>
      </c>
      <c r="AD104" s="19" t="s">
        <v>80</v>
      </c>
      <c r="AE104" s="19" t="s">
        <v>179</v>
      </c>
      <c r="AF104" s="19"/>
    </row>
    <row r="105" spans="1:34">
      <c r="A105" s="19">
        <v>100</v>
      </c>
      <c r="B105" s="19" t="s">
        <v>179</v>
      </c>
      <c r="C105" s="19" t="s">
        <v>592</v>
      </c>
      <c r="D105" s="19" t="str">
        <f>HYPERLINK("http://henontech.com/fieldsafety/harzard/harzard_show.php?rid=3260&amp;url=harzardrecs.php","一名巡检工在焦4通廊巡检时，突然被一块腐蚀的盖扳掉下来砸倒，导致腰椎错位，及时送往医院。")</f>
        <v>一名巡检工在焦4通廊巡检时，突然被一块腐蚀的盖扳掉下来砸倒，导致腰椎错位，及时送往医院。</v>
      </c>
      <c r="E105" s="19" t="s">
        <v>624</v>
      </c>
      <c r="F105" s="26" t="s">
        <v>554</v>
      </c>
      <c r="G105" s="19"/>
      <c r="H105" s="19" t="s">
        <v>44</v>
      </c>
      <c r="I105" s="19" t="s">
        <v>45</v>
      </c>
      <c r="J105" s="19" t="s">
        <v>78</v>
      </c>
      <c r="K105" s="19" t="s">
        <v>199</v>
      </c>
      <c r="L105" s="19" t="s">
        <v>46</v>
      </c>
      <c r="M105" s="19" t="s">
        <v>47</v>
      </c>
      <c r="N105" s="19" t="s">
        <v>625</v>
      </c>
      <c r="O105" s="19"/>
      <c r="P105" s="19"/>
      <c r="Q105" s="19"/>
      <c r="R105" s="19" t="s">
        <v>626</v>
      </c>
      <c r="S105" s="19"/>
      <c r="T105" s="19" t="s">
        <v>68</v>
      </c>
      <c r="U105" s="19" t="s">
        <v>96</v>
      </c>
      <c r="V105" s="19" t="s">
        <v>70</v>
      </c>
      <c r="W105" s="19" t="s">
        <v>97</v>
      </c>
      <c r="X105" s="19"/>
      <c r="Y105" s="19"/>
      <c r="Z105" s="19"/>
      <c r="AA105" s="19"/>
      <c r="AB105" s="19"/>
      <c r="AC105" s="19" t="s">
        <v>266</v>
      </c>
      <c r="AD105" s="19"/>
      <c r="AE105" s="19"/>
      <c r="AF105" s="19"/>
    </row>
    <row r="106" spans="1:34">
      <c r="A106" s="19">
        <v>101</v>
      </c>
      <c r="B106" s="19" t="s">
        <v>179</v>
      </c>
      <c r="C106" s="19" t="s">
        <v>413</v>
      </c>
      <c r="D106" s="19" t="str">
        <f>HYPERLINK("http://henontech.com/fieldsafety/harzard/harzard_show.php?rid=3261&amp;url=harzardrecs.php","破碎机轴流风机电缆线路地上铺设，操作工巡检时不慎被电缆绊倒，造成右手臂脱臼，送医复位治疗，在家休养7天后复工。")</f>
        <v>破碎机轴流风机电缆线路地上铺设，操作工巡检时不慎被电缆绊倒，造成右手臂脱臼，送医复位治疗，在家休养7天后复工。</v>
      </c>
      <c r="E106" s="19" t="s">
        <v>627</v>
      </c>
      <c r="F106" s="20" t="s">
        <v>42</v>
      </c>
      <c r="G106" s="21" t="s">
        <v>43</v>
      </c>
      <c r="H106" s="19" t="s">
        <v>44</v>
      </c>
      <c r="I106" s="19" t="s">
        <v>90</v>
      </c>
      <c r="J106" s="19" t="s">
        <v>63</v>
      </c>
      <c r="K106" s="19" t="s">
        <v>64</v>
      </c>
      <c r="L106" s="19" t="s">
        <v>46</v>
      </c>
      <c r="M106" s="19" t="s">
        <v>210</v>
      </c>
      <c r="N106" s="19" t="s">
        <v>628</v>
      </c>
      <c r="O106" s="19" t="s">
        <v>210</v>
      </c>
      <c r="P106" s="19" t="s">
        <v>416</v>
      </c>
      <c r="Q106" s="19" t="s">
        <v>546</v>
      </c>
      <c r="R106" s="19" t="s">
        <v>427</v>
      </c>
      <c r="S106" s="19"/>
      <c r="T106" s="19" t="s">
        <v>68</v>
      </c>
      <c r="U106" s="19" t="s">
        <v>96</v>
      </c>
      <c r="V106" s="19" t="s">
        <v>182</v>
      </c>
      <c r="W106" s="19" t="s">
        <v>162</v>
      </c>
      <c r="X106" s="19"/>
      <c r="Y106" s="19"/>
      <c r="Z106" s="19" t="s">
        <v>629</v>
      </c>
      <c r="AA106" s="19">
        <v>1</v>
      </c>
      <c r="AB106" s="19">
        <v>1</v>
      </c>
      <c r="AC106" s="19" t="s">
        <v>58</v>
      </c>
      <c r="AD106" s="19" t="s">
        <v>416</v>
      </c>
      <c r="AE106" s="19" t="s">
        <v>546</v>
      </c>
      <c r="AF106" s="19"/>
    </row>
    <row r="107" spans="1:34">
      <c r="A107" s="19">
        <v>102</v>
      </c>
      <c r="B107" s="19" t="s">
        <v>179</v>
      </c>
      <c r="C107" s="19" t="s">
        <v>557</v>
      </c>
      <c r="D107" s="19" t="str">
        <f>HYPERLINK("http://henontech.com/fieldsafety/harzard/harzard_show.php?rid=3262&amp;url=harzardrecs.php","煤仓钢钎未定置摆放，一职工途经时，不慎碰倒钢钎砸伤左脚面，送医院缝合五针，住院治疗三天，回家休养十天复工。")</f>
        <v>煤仓钢钎未定置摆放，一职工途经时，不慎碰倒钢钎砸伤左脚面，送医院缝合五针，住院治疗三天，回家休养十天复工。</v>
      </c>
      <c r="E107" s="19" t="s">
        <v>630</v>
      </c>
      <c r="F107" s="20" t="s">
        <v>42</v>
      </c>
      <c r="G107" s="21" t="s">
        <v>43</v>
      </c>
      <c r="H107" s="19" t="s">
        <v>44</v>
      </c>
      <c r="I107" s="19" t="s">
        <v>90</v>
      </c>
      <c r="J107" s="19" t="s">
        <v>105</v>
      </c>
      <c r="K107" s="19" t="s">
        <v>199</v>
      </c>
      <c r="L107" s="19" t="s">
        <v>46</v>
      </c>
      <c r="M107" s="19" t="s">
        <v>210</v>
      </c>
      <c r="N107" s="19" t="s">
        <v>631</v>
      </c>
      <c r="O107" s="19" t="s">
        <v>210</v>
      </c>
      <c r="P107" s="19" t="s">
        <v>416</v>
      </c>
      <c r="Q107" s="19" t="s">
        <v>490</v>
      </c>
      <c r="R107" s="19" t="s">
        <v>187</v>
      </c>
      <c r="S107" s="19"/>
      <c r="T107" s="19" t="s">
        <v>68</v>
      </c>
      <c r="U107" s="19" t="s">
        <v>96</v>
      </c>
      <c r="V107" s="19" t="s">
        <v>182</v>
      </c>
      <c r="W107" s="19" t="s">
        <v>162</v>
      </c>
      <c r="X107" s="19"/>
      <c r="Y107" s="19"/>
      <c r="Z107" s="19" t="s">
        <v>632</v>
      </c>
      <c r="AA107" s="19">
        <v>1</v>
      </c>
      <c r="AB107" s="19">
        <v>1</v>
      </c>
      <c r="AC107" s="19" t="s">
        <v>58</v>
      </c>
      <c r="AD107" s="19" t="s">
        <v>416</v>
      </c>
      <c r="AE107" s="19" t="s">
        <v>546</v>
      </c>
      <c r="AF107" s="19"/>
    </row>
    <row r="108" spans="1:34" customHeight="1" ht="42">
      <c r="A108" s="19">
        <v>103</v>
      </c>
      <c r="B108" s="19" t="s">
        <v>179</v>
      </c>
      <c r="C108" s="19" t="s">
        <v>633</v>
      </c>
      <c r="D108" s="19" t="str">
        <f>HYPERLINK("http://henontech.com/fieldsafety/harzard/harzard_show.php?rid=3263&amp;url=harzardrecs.php","污水沟无盖板地面常年湿滑操作工作业过程中滑倒摔入沟中造成，脚踝骨裂及脱臼大腿内侧肌肉擦伤")</f>
        <v>污水沟无盖板地面常年湿滑操作工作业过程中滑倒摔入沟中造成，脚踝骨裂及脱臼大腿内侧肌肉擦伤</v>
      </c>
      <c r="E108" s="19" t="s">
        <v>634</v>
      </c>
      <c r="F108" s="20" t="s">
        <v>42</v>
      </c>
      <c r="G108" s="22" t="s">
        <v>77</v>
      </c>
      <c r="H108" s="19" t="s">
        <v>44</v>
      </c>
      <c r="I108" s="19" t="s">
        <v>45</v>
      </c>
      <c r="J108" s="19" t="s">
        <v>105</v>
      </c>
      <c r="K108" s="19" t="s">
        <v>138</v>
      </c>
      <c r="L108" s="19" t="s">
        <v>46</v>
      </c>
      <c r="M108" s="19" t="s">
        <v>91</v>
      </c>
      <c r="N108" s="19" t="s">
        <v>635</v>
      </c>
      <c r="O108" s="19" t="s">
        <v>91</v>
      </c>
      <c r="P108" s="19" t="s">
        <v>107</v>
      </c>
      <c r="Q108" s="19" t="s">
        <v>380</v>
      </c>
      <c r="R108" s="19" t="s">
        <v>636</v>
      </c>
      <c r="S108" s="19"/>
      <c r="T108" s="19" t="s">
        <v>68</v>
      </c>
      <c r="U108" s="19" t="s">
        <v>96</v>
      </c>
      <c r="V108" s="19" t="s">
        <v>70</v>
      </c>
      <c r="W108" s="19" t="s">
        <v>97</v>
      </c>
      <c r="X108" s="19" t="s">
        <v>98</v>
      </c>
      <c r="Y108" s="19"/>
      <c r="Z108" s="19" t="s">
        <v>637</v>
      </c>
      <c r="AA108" s="19">
        <v>2</v>
      </c>
      <c r="AB108" s="19">
        <v>2</v>
      </c>
      <c r="AC108" s="19" t="s">
        <v>58</v>
      </c>
      <c r="AD108" s="19" t="s">
        <v>107</v>
      </c>
      <c r="AE108" s="19" t="s">
        <v>100</v>
      </c>
      <c r="AF108" s="19" t="s">
        <v>638</v>
      </c>
    </row>
    <row r="109" spans="1:34">
      <c r="A109" s="19">
        <v>104</v>
      </c>
      <c r="B109" s="19" t="s">
        <v>179</v>
      </c>
      <c r="C109" s="19" t="s">
        <v>522</v>
      </c>
      <c r="D109" s="19" t="str">
        <f>HYPERLINK("http://henontech.com/fieldsafety/harzard/harzard_show.php?rid=3264&amp;url=harzardrecs.php","电缆盖板捆绑不牢固，遇大风刮离原来的位置，假如一名操作工巡检经过此处时，被掉落的盖板砸到头部，送医院检查，造成轻微脑震荡，回家休养10天后复工。")</f>
        <v>电缆盖板捆绑不牢固，遇大风刮离原来的位置，假如一名操作工巡检经过此处时，被掉落的盖板砸到头部，送医院检查，造成轻微脑震荡，回家休养10天后复工。</v>
      </c>
      <c r="E109" s="19" t="s">
        <v>639</v>
      </c>
      <c r="F109" s="20" t="s">
        <v>42</v>
      </c>
      <c r="G109" s="22" t="s">
        <v>77</v>
      </c>
      <c r="H109" s="19" t="s">
        <v>44</v>
      </c>
      <c r="I109" s="19" t="s">
        <v>90</v>
      </c>
      <c r="J109" s="19" t="s">
        <v>63</v>
      </c>
      <c r="K109" s="19" t="s">
        <v>138</v>
      </c>
      <c r="L109" s="19"/>
      <c r="M109" s="19" t="s">
        <v>75</v>
      </c>
      <c r="N109" s="19" t="s">
        <v>640</v>
      </c>
      <c r="O109" s="19" t="s">
        <v>75</v>
      </c>
      <c r="P109" s="19" t="s">
        <v>80</v>
      </c>
      <c r="Q109" s="19" t="s">
        <v>490</v>
      </c>
      <c r="R109" s="19" t="s">
        <v>641</v>
      </c>
      <c r="S109" s="19"/>
      <c r="T109" s="19" t="s">
        <v>68</v>
      </c>
      <c r="U109" s="19" t="s">
        <v>96</v>
      </c>
      <c r="V109" s="19" t="s">
        <v>70</v>
      </c>
      <c r="W109" s="19" t="s">
        <v>97</v>
      </c>
      <c r="X109" s="19"/>
      <c r="Y109" s="19"/>
      <c r="Z109" s="19" t="s">
        <v>642</v>
      </c>
      <c r="AA109" s="19">
        <v>1</v>
      </c>
      <c r="AB109" s="19">
        <v>1</v>
      </c>
      <c r="AC109" s="19" t="s">
        <v>58</v>
      </c>
      <c r="AD109" s="19" t="s">
        <v>80</v>
      </c>
      <c r="AE109" s="19" t="s">
        <v>86</v>
      </c>
      <c r="AF109" s="19"/>
    </row>
    <row r="110" spans="1:34">
      <c r="A110" s="19">
        <v>105</v>
      </c>
      <c r="B110" s="19" t="s">
        <v>179</v>
      </c>
      <c r="C110" s="19" t="s">
        <v>113</v>
      </c>
      <c r="D110" s="19" t="str">
        <f>HYPERLINK("http://henontech.com/fieldsafety/harzard/harzard_show.php?rid=3265&amp;url=harzardrecs.php","南风机水封槽顶部防雨棚支架腐蚀断裂，一名巡检人员如果在大风天气经过此处有可能会被大风吹掉落的铁管砸中肩部，造成肩部轻微擦伤")</f>
        <v>南风机水封槽顶部防雨棚支架腐蚀断裂，一名巡检人员如果在大风天气经过此处有可能会被大风吹掉落的铁管砸中肩部，造成肩部轻微擦伤</v>
      </c>
      <c r="E110" s="19" t="s">
        <v>643</v>
      </c>
      <c r="F110" s="20" t="s">
        <v>42</v>
      </c>
      <c r="G110" s="22" t="s">
        <v>77</v>
      </c>
      <c r="H110" s="19" t="s">
        <v>44</v>
      </c>
      <c r="I110" s="19" t="s">
        <v>90</v>
      </c>
      <c r="J110" s="19" t="s">
        <v>63</v>
      </c>
      <c r="K110" s="19" t="s">
        <v>199</v>
      </c>
      <c r="L110" s="19" t="s">
        <v>46</v>
      </c>
      <c r="M110" s="19" t="s">
        <v>75</v>
      </c>
      <c r="N110" s="19" t="s">
        <v>644</v>
      </c>
      <c r="O110" s="19" t="s">
        <v>75</v>
      </c>
      <c r="P110" s="19" t="s">
        <v>80</v>
      </c>
      <c r="Q110" s="19" t="s">
        <v>490</v>
      </c>
      <c r="R110" s="19" t="s">
        <v>645</v>
      </c>
      <c r="S110" s="19"/>
      <c r="T110" s="19" t="s">
        <v>68</v>
      </c>
      <c r="U110" s="19" t="s">
        <v>69</v>
      </c>
      <c r="V110" s="19" t="s">
        <v>70</v>
      </c>
      <c r="W110" s="19" t="s">
        <v>55</v>
      </c>
      <c r="X110" s="19"/>
      <c r="Y110" s="19"/>
      <c r="Z110" s="19" t="s">
        <v>646</v>
      </c>
      <c r="AA110" s="19">
        <v>1</v>
      </c>
      <c r="AB110" s="19">
        <v>1</v>
      </c>
      <c r="AC110" s="19" t="s">
        <v>58</v>
      </c>
      <c r="AD110" s="19" t="s">
        <v>80</v>
      </c>
      <c r="AE110" s="19" t="s">
        <v>647</v>
      </c>
      <c r="AF110" s="19"/>
    </row>
    <row r="111" spans="1:34">
      <c r="A111" s="19">
        <v>106</v>
      </c>
      <c r="B111" s="19" t="s">
        <v>179</v>
      </c>
      <c r="C111" s="19" t="s">
        <v>498</v>
      </c>
      <c r="D111" s="19" t="str">
        <f>HYPERLINK("http://henontech.com/fieldsafety/harzard/harzard_show.php?rid=3266&amp;url=harzardrecs.php","两盐北大门上方挡雨板脱落，挂在大门上方，一名操作工经过门口时，被大风刮落的铁皮擦伤面部，未影响正常工作。")</f>
        <v>两盐北大门上方挡雨板脱落，挂在大门上方，一名操作工经过门口时，被大风刮落的铁皮擦伤面部，未影响正常工作。</v>
      </c>
      <c r="E111" s="19" t="s">
        <v>648</v>
      </c>
      <c r="F111" s="20" t="s">
        <v>42</v>
      </c>
      <c r="G111" s="22" t="s">
        <v>77</v>
      </c>
      <c r="H111" s="19" t="s">
        <v>44</v>
      </c>
      <c r="I111" s="19" t="s">
        <v>45</v>
      </c>
      <c r="J111" s="19" t="s">
        <v>63</v>
      </c>
      <c r="K111" s="19" t="s">
        <v>199</v>
      </c>
      <c r="L111" s="19" t="s">
        <v>46</v>
      </c>
      <c r="M111" s="19" t="s">
        <v>75</v>
      </c>
      <c r="N111" s="19" t="s">
        <v>649</v>
      </c>
      <c r="O111" s="19" t="s">
        <v>75</v>
      </c>
      <c r="P111" s="19" t="s">
        <v>80</v>
      </c>
      <c r="Q111" s="19" t="s">
        <v>490</v>
      </c>
      <c r="R111" s="19" t="s">
        <v>650</v>
      </c>
      <c r="S111" s="19"/>
      <c r="T111" s="19" t="s">
        <v>68</v>
      </c>
      <c r="U111" s="19" t="s">
        <v>69</v>
      </c>
      <c r="V111" s="19" t="s">
        <v>70</v>
      </c>
      <c r="W111" s="19" t="s">
        <v>55</v>
      </c>
      <c r="X111" s="19"/>
      <c r="Y111" s="19"/>
      <c r="Z111" s="19" t="s">
        <v>651</v>
      </c>
      <c r="AA111" s="19">
        <v>1</v>
      </c>
      <c r="AB111" s="19">
        <v>1</v>
      </c>
      <c r="AC111" s="19" t="s">
        <v>58</v>
      </c>
      <c r="AD111" s="19" t="s">
        <v>80</v>
      </c>
      <c r="AE111" s="19" t="s">
        <v>652</v>
      </c>
      <c r="AF111" s="19"/>
    </row>
    <row r="112" spans="1:34">
      <c r="A112" s="19">
        <v>107</v>
      </c>
      <c r="B112" s="19" t="s">
        <v>179</v>
      </c>
      <c r="C112" s="19" t="s">
        <v>47</v>
      </c>
      <c r="D112" s="19" t="str">
        <f>HYPERLINK("http://henontech.com/fieldsafety/harzard/harzard_show.php?rid=3267&amp;url=harzardrecs.php","一名职工在机侧通廊巡检时，不慎被顶部脱落的水泥块砸重又臂，造成前小臂骨折，住院治疗15天，休养2个月。")</f>
        <v>一名职工在机侧通廊巡检时，不慎被顶部脱落的水泥块砸重又臂，造成前小臂骨折，住院治疗15天，休养2个月。</v>
      </c>
      <c r="E112" s="19" t="s">
        <v>653</v>
      </c>
      <c r="F112" s="26" t="s">
        <v>554</v>
      </c>
      <c r="G112" s="19"/>
      <c r="H112" s="19" t="s">
        <v>44</v>
      </c>
      <c r="I112" s="19" t="s">
        <v>115</v>
      </c>
      <c r="J112" s="19" t="s">
        <v>63</v>
      </c>
      <c r="K112" s="19" t="s">
        <v>199</v>
      </c>
      <c r="L112" s="19" t="s">
        <v>46</v>
      </c>
      <c r="M112" s="19" t="s">
        <v>47</v>
      </c>
      <c r="N112" s="19" t="s">
        <v>654</v>
      </c>
      <c r="O112" s="19"/>
      <c r="P112" s="19"/>
      <c r="Q112" s="19"/>
      <c r="R112" s="19" t="s">
        <v>655</v>
      </c>
      <c r="S112" s="19"/>
      <c r="T112" s="19" t="s">
        <v>68</v>
      </c>
      <c r="U112" s="19" t="s">
        <v>96</v>
      </c>
      <c r="V112" s="19" t="s">
        <v>182</v>
      </c>
      <c r="W112" s="19" t="s">
        <v>162</v>
      </c>
      <c r="X112" s="19"/>
      <c r="Y112" s="19"/>
      <c r="Z112" s="19"/>
      <c r="AA112" s="19"/>
      <c r="AB112" s="19"/>
      <c r="AC112" s="19" t="s">
        <v>266</v>
      </c>
      <c r="AD112" s="19"/>
      <c r="AE112" s="19"/>
      <c r="AF112" s="19"/>
    </row>
    <row r="113" spans="1:34" customHeight="1" ht="42">
      <c r="A113" s="19">
        <v>108</v>
      </c>
      <c r="B113" s="19" t="s">
        <v>179</v>
      </c>
      <c r="C113" s="19" t="s">
        <v>656</v>
      </c>
      <c r="D113" s="19" t="str">
        <f>HYPERLINK("http://henontech.com/fieldsafety/harzard/harzard_show.php?rid=3268&amp;url=harzardrecs.php","电力电缆未遮挡完全")</f>
        <v>电力电缆未遮挡完全</v>
      </c>
      <c r="E113" s="19" t="s">
        <v>657</v>
      </c>
      <c r="F113" s="20" t="s">
        <v>42</v>
      </c>
      <c r="G113" s="22" t="s">
        <v>77</v>
      </c>
      <c r="H113" s="19" t="s">
        <v>44</v>
      </c>
      <c r="I113" s="19" t="s">
        <v>658</v>
      </c>
      <c r="J113" s="19" t="s">
        <v>105</v>
      </c>
      <c r="K113" s="19" t="s">
        <v>138</v>
      </c>
      <c r="L113" s="19" t="s">
        <v>46</v>
      </c>
      <c r="M113" s="19" t="s">
        <v>91</v>
      </c>
      <c r="N113" s="19" t="s">
        <v>659</v>
      </c>
      <c r="O113" s="19" t="s">
        <v>91</v>
      </c>
      <c r="P113" s="19" t="s">
        <v>151</v>
      </c>
      <c r="Q113" s="19" t="s">
        <v>380</v>
      </c>
      <c r="R113" s="19" t="s">
        <v>656</v>
      </c>
      <c r="S113" s="19"/>
      <c r="T113" s="19" t="s">
        <v>68</v>
      </c>
      <c r="U113" s="19" t="s">
        <v>69</v>
      </c>
      <c r="V113" s="19" t="s">
        <v>70</v>
      </c>
      <c r="W113" s="19" t="s">
        <v>55</v>
      </c>
      <c r="X113" s="19" t="s">
        <v>98</v>
      </c>
      <c r="Y113" s="19"/>
      <c r="Z113" s="19" t="s">
        <v>660</v>
      </c>
      <c r="AA113" s="19">
        <v>2</v>
      </c>
      <c r="AB113" s="19">
        <v>2</v>
      </c>
      <c r="AC113" s="19" t="s">
        <v>58</v>
      </c>
      <c r="AD113" s="19" t="s">
        <v>151</v>
      </c>
      <c r="AE113" s="19" t="s">
        <v>190</v>
      </c>
      <c r="AF113" s="19" t="s">
        <v>661</v>
      </c>
    </row>
    <row r="114" spans="1:34">
      <c r="A114" s="19">
        <v>109</v>
      </c>
      <c r="B114" s="19" t="s">
        <v>179</v>
      </c>
      <c r="C114" s="19" t="s">
        <v>592</v>
      </c>
      <c r="D114" s="19" t="str">
        <f>HYPERLINK("http://henontech.com/fieldsafety/harzard/harzard_show.php?rid=3269&amp;url=harzardrecs.php","炉顶旋臂吊电缆管子脱节，电缆外漏氧化电线打火，烧坏电机")</f>
        <v>炉顶旋臂吊电缆管子脱节，电缆外漏氧化电线打火，烧坏电机</v>
      </c>
      <c r="E114" s="19" t="s">
        <v>662</v>
      </c>
      <c r="F114" s="26" t="s">
        <v>554</v>
      </c>
      <c r="G114" s="19"/>
      <c r="H114" s="19" t="s">
        <v>44</v>
      </c>
      <c r="I114" s="19" t="s">
        <v>45</v>
      </c>
      <c r="J114" s="19" t="s">
        <v>63</v>
      </c>
      <c r="K114" s="19" t="s">
        <v>138</v>
      </c>
      <c r="L114" s="19"/>
      <c r="M114" s="19" t="s">
        <v>47</v>
      </c>
      <c r="N114" s="19" t="s">
        <v>663</v>
      </c>
      <c r="O114" s="19"/>
      <c r="P114" s="19"/>
      <c r="Q114" s="19"/>
      <c r="R114" s="19" t="s">
        <v>577</v>
      </c>
      <c r="S114" s="19"/>
      <c r="T114" s="19" t="s">
        <v>52</v>
      </c>
      <c r="U114" s="19" t="s">
        <v>53</v>
      </c>
      <c r="V114" s="19" t="s">
        <v>84</v>
      </c>
      <c r="W114" s="19" t="s">
        <v>55</v>
      </c>
      <c r="X114" s="19"/>
      <c r="Y114" s="19"/>
      <c r="Z114" s="19"/>
      <c r="AA114" s="19"/>
      <c r="AB114" s="19"/>
      <c r="AC114" s="19" t="s">
        <v>266</v>
      </c>
      <c r="AD114" s="19"/>
      <c r="AE114" s="19"/>
      <c r="AF114" s="19"/>
    </row>
    <row r="115" spans="1:34">
      <c r="A115" s="19">
        <v>110</v>
      </c>
      <c r="B115" s="19" t="s">
        <v>179</v>
      </c>
      <c r="C115" s="19" t="s">
        <v>664</v>
      </c>
      <c r="D115" s="19" t="str">
        <f>HYPERLINK("http://henontech.com/fieldsafety/harzard/harzard_show.php?rid=3270&amp;url=harzardrecs.php","两盐配电室空调外机泄漏冷却液，如果发现不及时空调不制冷，造成配电室温度过高设备损坏停电事故，影响生产2小时损失2000元。")</f>
        <v>两盐配电室空调外机泄漏冷却液，如果发现不及时空调不制冷，造成配电室温度过高设备损坏停电事故，影响生产2小时损失2000元。</v>
      </c>
      <c r="E115" s="19" t="s">
        <v>665</v>
      </c>
      <c r="F115" s="20" t="s">
        <v>42</v>
      </c>
      <c r="G115" s="22" t="s">
        <v>77</v>
      </c>
      <c r="H115" s="19" t="s">
        <v>44</v>
      </c>
      <c r="I115" s="19" t="s">
        <v>90</v>
      </c>
      <c r="J115" s="19" t="s">
        <v>105</v>
      </c>
      <c r="K115" s="19" t="s">
        <v>138</v>
      </c>
      <c r="L115" s="19" t="s">
        <v>484</v>
      </c>
      <c r="M115" s="19" t="s">
        <v>75</v>
      </c>
      <c r="N115" s="19" t="s">
        <v>666</v>
      </c>
      <c r="O115" s="19" t="s">
        <v>75</v>
      </c>
      <c r="P115" s="19" t="s">
        <v>80</v>
      </c>
      <c r="Q115" s="19" t="s">
        <v>490</v>
      </c>
      <c r="R115" s="19" t="s">
        <v>667</v>
      </c>
      <c r="S115" s="19"/>
      <c r="T115" s="19" t="s">
        <v>52</v>
      </c>
      <c r="U115" s="19" t="s">
        <v>53</v>
      </c>
      <c r="V115" s="19" t="s">
        <v>70</v>
      </c>
      <c r="W115" s="19" t="s">
        <v>55</v>
      </c>
      <c r="X115" s="19"/>
      <c r="Y115" s="19"/>
      <c r="Z115" s="19" t="s">
        <v>668</v>
      </c>
      <c r="AA115" s="19">
        <v>1</v>
      </c>
      <c r="AB115" s="19">
        <v>1</v>
      </c>
      <c r="AC115" s="19" t="s">
        <v>58</v>
      </c>
      <c r="AD115" s="19" t="s">
        <v>80</v>
      </c>
      <c r="AE115" s="19" t="s">
        <v>591</v>
      </c>
      <c r="AF115" s="19"/>
    </row>
    <row r="116" spans="1:34">
      <c r="A116" s="19">
        <v>111</v>
      </c>
      <c r="B116" s="19" t="s">
        <v>243</v>
      </c>
      <c r="C116" s="19" t="s">
        <v>503</v>
      </c>
      <c r="D116" s="19" t="str">
        <f>HYPERLINK("http://henontech.com/fieldsafety/harzard/harzard_show.php?rid=3271&amp;url=harzardrecs.php","一名操作工夜间巡检上爬梯时，因爬梯无安全警示牌，自我安全意识较差，没有抓牢扶手，有可能滑倒在地，导致脚部骨折，送医院治疗。")</f>
        <v>一名操作工夜间巡检上爬梯时，因爬梯无安全警示牌，自我安全意识较差，没有抓牢扶手，有可能滑倒在地，导致脚部骨折，送医院治疗。</v>
      </c>
      <c r="E116" s="19" t="s">
        <v>669</v>
      </c>
      <c r="F116" s="20" t="s">
        <v>42</v>
      </c>
      <c r="G116" s="22" t="s">
        <v>77</v>
      </c>
      <c r="H116" s="19" t="s">
        <v>44</v>
      </c>
      <c r="I116" s="19" t="s">
        <v>90</v>
      </c>
      <c r="J116" s="19" t="s">
        <v>105</v>
      </c>
      <c r="K116" s="19" t="s">
        <v>138</v>
      </c>
      <c r="L116" s="19"/>
      <c r="M116" s="19" t="s">
        <v>75</v>
      </c>
      <c r="N116" s="19" t="s">
        <v>670</v>
      </c>
      <c r="O116" s="19" t="s">
        <v>75</v>
      </c>
      <c r="P116" s="19" t="s">
        <v>80</v>
      </c>
      <c r="Q116" s="19" t="s">
        <v>490</v>
      </c>
      <c r="R116" s="19" t="s">
        <v>671</v>
      </c>
      <c r="S116" s="19"/>
      <c r="T116" s="19" t="s">
        <v>68</v>
      </c>
      <c r="U116" s="19" t="s">
        <v>96</v>
      </c>
      <c r="V116" s="19" t="s">
        <v>70</v>
      </c>
      <c r="W116" s="19" t="s">
        <v>97</v>
      </c>
      <c r="X116" s="19"/>
      <c r="Y116" s="19"/>
      <c r="Z116" s="19" t="s">
        <v>672</v>
      </c>
      <c r="AA116" s="19">
        <v>1</v>
      </c>
      <c r="AB116" s="19">
        <v>1</v>
      </c>
      <c r="AC116" s="19" t="s">
        <v>58</v>
      </c>
      <c r="AD116" s="19" t="s">
        <v>80</v>
      </c>
      <c r="AE116" s="19" t="s">
        <v>591</v>
      </c>
      <c r="AF116" s="19"/>
    </row>
    <row r="117" spans="1:34">
      <c r="A117" s="19">
        <v>112</v>
      </c>
      <c r="B117" s="19" t="s">
        <v>243</v>
      </c>
      <c r="C117" s="19" t="s">
        <v>673</v>
      </c>
      <c r="D117" s="19" t="str">
        <f>HYPERLINK("http://henontech.com/fieldsafety/harzard/harzard_show.php?rid=3272&amp;url=harzardrecs.php","硫铵工段东饱和器煤气进口管线处有废弃木板搭建在管线上。管线会产生震动，造成木板坠落砸伤正在此处巡检人员，造成人员右臂骨折，住院治疗2个月康复。")</f>
        <v>硫铵工段东饱和器煤气进口管线处有废弃木板搭建在管线上。管线会产生震动，造成木板坠落砸伤正在此处巡检人员，造成人员右臂骨折，住院治疗2个月康复。</v>
      </c>
      <c r="E117" s="19" t="s">
        <v>674</v>
      </c>
      <c r="F117" s="24" t="s">
        <v>260</v>
      </c>
      <c r="G117" s="22" t="s">
        <v>77</v>
      </c>
      <c r="H117" s="19" t="s">
        <v>44</v>
      </c>
      <c r="I117" s="19" t="s">
        <v>45</v>
      </c>
      <c r="J117" s="19" t="s">
        <v>63</v>
      </c>
      <c r="K117" s="19" t="s">
        <v>116</v>
      </c>
      <c r="L117" s="19" t="s">
        <v>46</v>
      </c>
      <c r="M117" s="19" t="s">
        <v>75</v>
      </c>
      <c r="N117" s="19" t="s">
        <v>675</v>
      </c>
      <c r="O117" s="19" t="s">
        <v>75</v>
      </c>
      <c r="P117" s="19" t="s">
        <v>80</v>
      </c>
      <c r="Q117" s="19" t="s">
        <v>490</v>
      </c>
      <c r="R117" s="19" t="s">
        <v>622</v>
      </c>
      <c r="S117" s="19"/>
      <c r="T117" s="19" t="s">
        <v>68</v>
      </c>
      <c r="U117" s="19" t="s">
        <v>96</v>
      </c>
      <c r="V117" s="19" t="s">
        <v>70</v>
      </c>
      <c r="W117" s="19" t="s">
        <v>97</v>
      </c>
      <c r="X117" s="19"/>
      <c r="Y117" s="19"/>
      <c r="Z117" s="19" t="s">
        <v>676</v>
      </c>
      <c r="AA117" s="19">
        <v>1</v>
      </c>
      <c r="AB117" s="19"/>
      <c r="AC117" s="19" t="s">
        <v>266</v>
      </c>
      <c r="AD117" s="19"/>
      <c r="AE117" s="19"/>
      <c r="AF117" s="19"/>
    </row>
    <row r="118" spans="1:34" customHeight="1" ht="42">
      <c r="A118" s="19">
        <v>113</v>
      </c>
      <c r="B118" s="19" t="s">
        <v>243</v>
      </c>
      <c r="C118" s="19" t="s">
        <v>321</v>
      </c>
      <c r="D118" s="19" t="str">
        <f>HYPERLINK("http://henontech.com/fieldsafety/harzard/harzard_show.php?rid=3273&amp;url=harzardrecs.php","回转筛电机进油导致电机漏电，一操作工巡检导致操作工触电，送医院就医，住院治疗一周出院后复工，损工7天")</f>
        <v>回转筛电机进油导致电机漏电，一操作工巡检导致操作工触电，送医院就医，住院治疗一周出院后复工，损工7天</v>
      </c>
      <c r="E118" s="19" t="s">
        <v>677</v>
      </c>
      <c r="F118" s="20" t="s">
        <v>42</v>
      </c>
      <c r="G118" s="22" t="s">
        <v>77</v>
      </c>
      <c r="H118" s="19" t="s">
        <v>44</v>
      </c>
      <c r="I118" s="19"/>
      <c r="J118" s="19" t="s">
        <v>63</v>
      </c>
      <c r="K118" s="19" t="s">
        <v>199</v>
      </c>
      <c r="L118" s="19" t="s">
        <v>46</v>
      </c>
      <c r="M118" s="19" t="s">
        <v>91</v>
      </c>
      <c r="N118" s="19" t="s">
        <v>151</v>
      </c>
      <c r="O118" s="19" t="s">
        <v>91</v>
      </c>
      <c r="P118" s="19" t="s">
        <v>151</v>
      </c>
      <c r="Q118" s="19" t="s">
        <v>380</v>
      </c>
      <c r="R118" s="19" t="s">
        <v>678</v>
      </c>
      <c r="S118" s="19"/>
      <c r="T118" s="19" t="s">
        <v>68</v>
      </c>
      <c r="U118" s="19" t="s">
        <v>69</v>
      </c>
      <c r="V118" s="19" t="s">
        <v>182</v>
      </c>
      <c r="W118" s="19" t="s">
        <v>97</v>
      </c>
      <c r="X118" s="19" t="s">
        <v>98</v>
      </c>
      <c r="Y118" s="19"/>
      <c r="Z118" s="19" t="s">
        <v>679</v>
      </c>
      <c r="AA118" s="19">
        <v>2</v>
      </c>
      <c r="AB118" s="19">
        <v>2</v>
      </c>
      <c r="AC118" s="19" t="s">
        <v>58</v>
      </c>
      <c r="AD118" s="19" t="s">
        <v>151</v>
      </c>
      <c r="AE118" s="19" t="s">
        <v>680</v>
      </c>
      <c r="AF118" s="19" t="s">
        <v>681</v>
      </c>
    </row>
    <row r="119" spans="1:34">
      <c r="A119" s="19">
        <v>114</v>
      </c>
      <c r="B119" s="19" t="s">
        <v>243</v>
      </c>
      <c r="C119" s="19" t="s">
        <v>314</v>
      </c>
      <c r="D119" s="19" t="str">
        <f>HYPERLINK("http://henontech.com/fieldsafety/harzard/harzard_show.php?rid=3274&amp;url=harzardrecs.php","一名操作工站在料斗篦子上清理垃圾时，右腿不慎掉入篦子内，造成右小腿划伤，送医敷药包扎后，在家休养五天复工。")</f>
        <v>一名操作工站在料斗篦子上清理垃圾时，右腿不慎掉入篦子内，造成右小腿划伤，送医敷药包扎后，在家休养五天复工。</v>
      </c>
      <c r="E119" s="19" t="s">
        <v>682</v>
      </c>
      <c r="F119" s="20" t="s">
        <v>42</v>
      </c>
      <c r="G119" s="21" t="s">
        <v>43</v>
      </c>
      <c r="H119" s="19" t="s">
        <v>44</v>
      </c>
      <c r="I119" s="19" t="s">
        <v>90</v>
      </c>
      <c r="J119" s="19" t="s">
        <v>198</v>
      </c>
      <c r="K119" s="19" t="s">
        <v>64</v>
      </c>
      <c r="L119" s="19" t="s">
        <v>46</v>
      </c>
      <c r="M119" s="19" t="s">
        <v>210</v>
      </c>
      <c r="N119" s="19" t="s">
        <v>683</v>
      </c>
      <c r="O119" s="19" t="s">
        <v>210</v>
      </c>
      <c r="P119" s="19" t="s">
        <v>416</v>
      </c>
      <c r="Q119" s="19" t="s">
        <v>546</v>
      </c>
      <c r="R119" s="19" t="s">
        <v>684</v>
      </c>
      <c r="S119" s="19"/>
      <c r="T119" s="19" t="s">
        <v>68</v>
      </c>
      <c r="U119" s="19" t="s">
        <v>96</v>
      </c>
      <c r="V119" s="19" t="s">
        <v>182</v>
      </c>
      <c r="W119" s="19" t="s">
        <v>162</v>
      </c>
      <c r="X119" s="19"/>
      <c r="Y119" s="19"/>
      <c r="Z119" s="19" t="s">
        <v>685</v>
      </c>
      <c r="AA119" s="19">
        <v>1</v>
      </c>
      <c r="AB119" s="19">
        <v>1</v>
      </c>
      <c r="AC119" s="19" t="s">
        <v>58</v>
      </c>
      <c r="AD119" s="19" t="s">
        <v>416</v>
      </c>
      <c r="AE119" s="19" t="s">
        <v>546</v>
      </c>
      <c r="AF119" s="19"/>
    </row>
    <row r="120" spans="1:34">
      <c r="A120" s="19">
        <v>115</v>
      </c>
      <c r="B120" s="19" t="s">
        <v>243</v>
      </c>
      <c r="C120" s="19" t="s">
        <v>166</v>
      </c>
      <c r="D120" s="19" t="str">
        <f>HYPERLINK("http://henontech.com/fieldsafety/harzard/harzard_show.php?rid=3275&amp;url=harzardrecs.php","南脱硫通往循环罐爬梯踏板腐蚀严重，如果巡检工巡检到此处，不慎踩空，可能造成脚踝轻微扭伤，冷敷简单处理后可继续工作。")</f>
        <v>南脱硫通往循环罐爬梯踏板腐蚀严重，如果巡检工巡检到此处，不慎踩空，可能造成脚踝轻微扭伤，冷敷简单处理后可继续工作。</v>
      </c>
      <c r="E120" s="19" t="s">
        <v>686</v>
      </c>
      <c r="F120" s="24" t="s">
        <v>260</v>
      </c>
      <c r="G120" s="22" t="s">
        <v>77</v>
      </c>
      <c r="H120" s="19" t="s">
        <v>44</v>
      </c>
      <c r="I120" s="19" t="s">
        <v>115</v>
      </c>
      <c r="J120" s="19" t="s">
        <v>63</v>
      </c>
      <c r="K120" s="19" t="s">
        <v>199</v>
      </c>
      <c r="L120" s="19" t="s">
        <v>46</v>
      </c>
      <c r="M120" s="19" t="s">
        <v>75</v>
      </c>
      <c r="N120" s="19" t="s">
        <v>687</v>
      </c>
      <c r="O120" s="19" t="s">
        <v>75</v>
      </c>
      <c r="P120" s="19" t="s">
        <v>80</v>
      </c>
      <c r="Q120" s="19" t="s">
        <v>506</v>
      </c>
      <c r="R120" s="19" t="s">
        <v>688</v>
      </c>
      <c r="S120" s="19"/>
      <c r="T120" s="19" t="s">
        <v>68</v>
      </c>
      <c r="U120" s="19" t="s">
        <v>69</v>
      </c>
      <c r="V120" s="19" t="s">
        <v>70</v>
      </c>
      <c r="W120" s="19" t="s">
        <v>55</v>
      </c>
      <c r="X120" s="19"/>
      <c r="Y120" s="19"/>
      <c r="Z120" s="19" t="s">
        <v>689</v>
      </c>
      <c r="AA120" s="19">
        <v>1</v>
      </c>
      <c r="AB120" s="19"/>
      <c r="AC120" s="19" t="s">
        <v>266</v>
      </c>
      <c r="AD120" s="19"/>
      <c r="AE120" s="19"/>
      <c r="AF120" s="19"/>
    </row>
    <row r="121" spans="1:34">
      <c r="A121" s="19">
        <v>116</v>
      </c>
      <c r="B121" s="19" t="s">
        <v>243</v>
      </c>
      <c r="C121" s="19" t="s">
        <v>353</v>
      </c>
      <c r="D121" s="19" t="str">
        <f>HYPERLINK("http://henontech.com/fieldsafety/harzard/harzard_show.php?rid=3276&amp;url=harzardrecs.php","施工人员在离初冷器平台三米高的吊篮里检修作业，未悬挂安全带，如果吊篮脱钩掉落平台，会造成施工人员腿部骨折住院治疗。")</f>
        <v>施工人员在离初冷器平台三米高的吊篮里检修作业，未悬挂安全带，如果吊篮脱钩掉落平台，会造成施工人员腿部骨折住院治疗。</v>
      </c>
      <c r="E121" s="19" t="s">
        <v>690</v>
      </c>
      <c r="F121" s="20" t="s">
        <v>42</v>
      </c>
      <c r="G121" s="21" t="s">
        <v>43</v>
      </c>
      <c r="H121" s="19" t="s">
        <v>44</v>
      </c>
      <c r="I121" s="19" t="s">
        <v>115</v>
      </c>
      <c r="J121" s="19" t="s">
        <v>198</v>
      </c>
      <c r="K121" s="19" t="s">
        <v>186</v>
      </c>
      <c r="L121" s="19" t="s">
        <v>46</v>
      </c>
      <c r="M121" s="19" t="s">
        <v>75</v>
      </c>
      <c r="N121" s="19" t="s">
        <v>691</v>
      </c>
      <c r="O121" s="19" t="s">
        <v>75</v>
      </c>
      <c r="P121" s="19" t="s">
        <v>80</v>
      </c>
      <c r="Q121" s="19" t="s">
        <v>506</v>
      </c>
      <c r="R121" s="19" t="s">
        <v>692</v>
      </c>
      <c r="S121" s="19"/>
      <c r="T121" s="19" t="s">
        <v>68</v>
      </c>
      <c r="U121" s="19" t="s">
        <v>96</v>
      </c>
      <c r="V121" s="19" t="s">
        <v>182</v>
      </c>
      <c r="W121" s="19" t="s">
        <v>162</v>
      </c>
      <c r="X121" s="19"/>
      <c r="Y121" s="19"/>
      <c r="Z121" s="19" t="s">
        <v>693</v>
      </c>
      <c r="AA121" s="19">
        <v>1</v>
      </c>
      <c r="AB121" s="19">
        <v>1</v>
      </c>
      <c r="AC121" s="19" t="s">
        <v>58</v>
      </c>
      <c r="AD121" s="19" t="s">
        <v>80</v>
      </c>
      <c r="AE121" s="19" t="s">
        <v>647</v>
      </c>
      <c r="AF121" s="19"/>
    </row>
    <row r="122" spans="1:34" customHeight="1" ht="42">
      <c r="A122" s="19">
        <v>117</v>
      </c>
      <c r="B122" s="19" t="s">
        <v>243</v>
      </c>
      <c r="C122" s="19" t="s">
        <v>413</v>
      </c>
      <c r="D122" s="19" t="str">
        <f>HYPERLINK("http://henontech.com/fieldsafety/harzard/harzard_show.php?rid=3277&amp;url=harzardrecs.php","东四配料秤上的配重铁开焊，一员工在清理卫生时，配重铁掉落，砸中脚面，造成脚面骨折。")</f>
        <v>东四配料秤上的配重铁开焊，一员工在清理卫生时，配重铁掉落，砸中脚面，造成脚面骨折。</v>
      </c>
      <c r="E122" s="19" t="s">
        <v>694</v>
      </c>
      <c r="F122" s="20" t="s">
        <v>42</v>
      </c>
      <c r="G122" s="21" t="s">
        <v>43</v>
      </c>
      <c r="H122" s="19" t="s">
        <v>44</v>
      </c>
      <c r="I122" s="19" t="s">
        <v>45</v>
      </c>
      <c r="J122" s="19" t="s">
        <v>198</v>
      </c>
      <c r="K122" s="19" t="s">
        <v>199</v>
      </c>
      <c r="L122" s="19" t="s">
        <v>46</v>
      </c>
      <c r="M122" s="19" t="s">
        <v>210</v>
      </c>
      <c r="N122" s="19" t="s">
        <v>695</v>
      </c>
      <c r="O122" s="19" t="s">
        <v>210</v>
      </c>
      <c r="P122" s="19" t="s">
        <v>212</v>
      </c>
      <c r="Q122" s="19" t="s">
        <v>331</v>
      </c>
      <c r="R122" s="19" t="s">
        <v>696</v>
      </c>
      <c r="S122" s="19"/>
      <c r="T122" s="19" t="s">
        <v>68</v>
      </c>
      <c r="U122" s="19" t="s">
        <v>96</v>
      </c>
      <c r="V122" s="19" t="s">
        <v>70</v>
      </c>
      <c r="W122" s="19" t="s">
        <v>97</v>
      </c>
      <c r="X122" s="19" t="s">
        <v>204</v>
      </c>
      <c r="Y122" s="19" t="s">
        <v>204</v>
      </c>
      <c r="Z122" s="19" t="s">
        <v>697</v>
      </c>
      <c r="AA122" s="19">
        <v>2</v>
      </c>
      <c r="AB122" s="19">
        <v>2</v>
      </c>
      <c r="AC122" s="19" t="s">
        <v>58</v>
      </c>
      <c r="AD122" s="19" t="s">
        <v>212</v>
      </c>
      <c r="AE122" s="19" t="s">
        <v>86</v>
      </c>
      <c r="AF122" s="19"/>
    </row>
    <row r="123" spans="1:34">
      <c r="A123" s="19">
        <v>118</v>
      </c>
      <c r="B123" s="19" t="s">
        <v>546</v>
      </c>
      <c r="C123" s="19" t="s">
        <v>673</v>
      </c>
      <c r="D123" s="19" t="str">
        <f>HYPERLINK("http://henontech.com/fieldsafety/harzard/harzard_show.php?rid=3278&amp;url=harzardrecs.php","西风机配电室屋顶彩刚瓦被大风刮起，如果遇到大风天气，从此经过的人员可能被掉落的彩刚瓦所伤，致脸部胳膊多处轻微划伤，简单处理后能正常工作。")</f>
        <v>西风机配电室屋顶彩刚瓦被大风刮起，如果遇到大风天气，从此经过的人员可能被掉落的彩刚瓦所伤，致脸部胳膊多处轻微划伤，简单处理后能正常工作。</v>
      </c>
      <c r="E123" s="19" t="s">
        <v>698</v>
      </c>
      <c r="F123" s="20" t="s">
        <v>42</v>
      </c>
      <c r="G123" s="22" t="s">
        <v>77</v>
      </c>
      <c r="H123" s="19" t="s">
        <v>44</v>
      </c>
      <c r="I123" s="19" t="s">
        <v>90</v>
      </c>
      <c r="J123" s="19" t="s">
        <v>63</v>
      </c>
      <c r="K123" s="19" t="s">
        <v>138</v>
      </c>
      <c r="L123" s="19"/>
      <c r="M123" s="19" t="s">
        <v>75</v>
      </c>
      <c r="N123" s="19" t="s">
        <v>699</v>
      </c>
      <c r="O123" s="19" t="s">
        <v>75</v>
      </c>
      <c r="P123" s="19" t="s">
        <v>80</v>
      </c>
      <c r="Q123" s="19" t="s">
        <v>506</v>
      </c>
      <c r="R123" s="19" t="s">
        <v>700</v>
      </c>
      <c r="S123" s="19"/>
      <c r="T123" s="19" t="s">
        <v>68</v>
      </c>
      <c r="U123" s="19" t="s">
        <v>69</v>
      </c>
      <c r="V123" s="19" t="s">
        <v>70</v>
      </c>
      <c r="W123" s="19" t="s">
        <v>55</v>
      </c>
      <c r="X123" s="19"/>
      <c r="Y123" s="19"/>
      <c r="Z123" s="19" t="s">
        <v>701</v>
      </c>
      <c r="AA123" s="19">
        <v>1</v>
      </c>
      <c r="AB123" s="19">
        <v>1</v>
      </c>
      <c r="AC123" s="19" t="s">
        <v>58</v>
      </c>
      <c r="AD123" s="19" t="s">
        <v>80</v>
      </c>
      <c r="AE123" s="19" t="s">
        <v>591</v>
      </c>
      <c r="AF123" s="19"/>
    </row>
    <row r="124" spans="1:34">
      <c r="A124" s="19">
        <v>119</v>
      </c>
      <c r="B124" s="19" t="s">
        <v>546</v>
      </c>
      <c r="C124" s="19" t="s">
        <v>235</v>
      </c>
      <c r="D124" s="19" t="str">
        <f>HYPERLINK("http://henontech.com/fieldsafety/harzard/harzard_show.php?rid=3280&amp;url=harzardrecs.php","粗苯区域煤气取样管道与固定支撑腐蚀断裂，假如化验人员在取煤气样时因煤气管道固定不老造成煤气管道断裂2名化验人员煤气中毒，送医院治疗2天后正常上班")</f>
        <v>粗苯区域煤气取样管道与固定支撑腐蚀断裂，假如化验人员在取煤气样时因煤气管道固定不老造成煤气管道断裂2名化验人员煤气中毒，送医院治疗2天后正常上班</v>
      </c>
      <c r="E124" s="19" t="s">
        <v>702</v>
      </c>
      <c r="F124" s="24" t="s">
        <v>260</v>
      </c>
      <c r="G124" s="22" t="s">
        <v>77</v>
      </c>
      <c r="H124" s="19" t="s">
        <v>44</v>
      </c>
      <c r="I124" s="19" t="s">
        <v>45</v>
      </c>
      <c r="J124" s="19" t="s">
        <v>198</v>
      </c>
      <c r="K124" s="19" t="s">
        <v>138</v>
      </c>
      <c r="L124" s="19" t="s">
        <v>46</v>
      </c>
      <c r="M124" s="19" t="s">
        <v>75</v>
      </c>
      <c r="N124" s="19" t="s">
        <v>703</v>
      </c>
      <c r="O124" s="19" t="s">
        <v>75</v>
      </c>
      <c r="P124" s="19" t="s">
        <v>80</v>
      </c>
      <c r="Q124" s="19" t="s">
        <v>506</v>
      </c>
      <c r="R124" s="19" t="s">
        <v>704</v>
      </c>
      <c r="S124" s="19"/>
      <c r="T124" s="19" t="s">
        <v>68</v>
      </c>
      <c r="U124" s="19" t="s">
        <v>69</v>
      </c>
      <c r="V124" s="19" t="s">
        <v>70</v>
      </c>
      <c r="W124" s="19" t="s">
        <v>55</v>
      </c>
      <c r="X124" s="19"/>
      <c r="Y124" s="19"/>
      <c r="Z124" s="19" t="s">
        <v>705</v>
      </c>
      <c r="AA124" s="19">
        <v>1</v>
      </c>
      <c r="AB124" s="19"/>
      <c r="AC124" s="19" t="s">
        <v>266</v>
      </c>
      <c r="AD124" s="19"/>
      <c r="AE124" s="19"/>
      <c r="AF124" s="19"/>
    </row>
    <row r="125" spans="1:34">
      <c r="A125" s="19">
        <v>120</v>
      </c>
      <c r="B125" s="19" t="s">
        <v>546</v>
      </c>
      <c r="C125" s="19" t="s">
        <v>166</v>
      </c>
      <c r="D125" s="19" t="str">
        <f>HYPERLINK("http://henontech.com/fieldsafety/harzard/harzard_show.php?rid=3281&amp;url=harzardrecs.php","一辆外来施工车辆未按阻火帽进入脱硫低位槽附近作业。低位槽内氨气易挥发，浓度达到爆炸上限遇到火花会产生爆炸。当排气管内有火花掉落在低位槽内会引燃氨气形成爆炸。车辆驾驶员身体烧伤，送医院检查中度烧伤。")</f>
        <v>一辆外来施工车辆未按阻火帽进入脱硫低位槽附近作业。低位槽内氨气易挥发，浓度达到爆炸上限遇到火花会产生爆炸。当排气管内有火花掉落在低位槽内会引燃氨气形成爆炸。车辆驾驶员身体烧伤，送医院检查中度烧伤。</v>
      </c>
      <c r="E125" s="19" t="s">
        <v>706</v>
      </c>
      <c r="F125" s="20" t="s">
        <v>42</v>
      </c>
      <c r="G125" s="22" t="s">
        <v>77</v>
      </c>
      <c r="H125" s="19" t="s">
        <v>44</v>
      </c>
      <c r="I125" s="19"/>
      <c r="J125" s="19" t="s">
        <v>63</v>
      </c>
      <c r="K125" s="19"/>
      <c r="L125" s="19"/>
      <c r="M125" s="19" t="s">
        <v>75</v>
      </c>
      <c r="N125" s="19" t="s">
        <v>707</v>
      </c>
      <c r="O125" s="19" t="s">
        <v>75</v>
      </c>
      <c r="P125" s="19" t="s">
        <v>80</v>
      </c>
      <c r="Q125" s="19" t="s">
        <v>708</v>
      </c>
      <c r="R125" s="19" t="s">
        <v>688</v>
      </c>
      <c r="S125" s="19"/>
      <c r="T125" s="19" t="s">
        <v>68</v>
      </c>
      <c r="U125" s="19" t="s">
        <v>96</v>
      </c>
      <c r="V125" s="19" t="s">
        <v>182</v>
      </c>
      <c r="W125" s="19" t="s">
        <v>162</v>
      </c>
      <c r="X125" s="19"/>
      <c r="Y125" s="19"/>
      <c r="Z125" s="19" t="s">
        <v>709</v>
      </c>
      <c r="AA125" s="19">
        <v>1</v>
      </c>
      <c r="AB125" s="19">
        <v>1</v>
      </c>
      <c r="AC125" s="19" t="s">
        <v>58</v>
      </c>
      <c r="AD125" s="19" t="s">
        <v>80</v>
      </c>
      <c r="AE125" s="19" t="s">
        <v>591</v>
      </c>
      <c r="AF125" s="19"/>
    </row>
    <row r="126" spans="1:34">
      <c r="A126" s="19">
        <v>121</v>
      </c>
      <c r="B126" s="19" t="s">
        <v>546</v>
      </c>
      <c r="C126" s="19" t="s">
        <v>574</v>
      </c>
      <c r="D126" s="19" t="str">
        <f>HYPERLINK("http://henontech.com/fieldsafety/harzard/harzard_show.php?rid=3282&amp;url=harzardrecs.php","炉顶操作人员操作过程中，由于未发现护栏开焊，不慎坠落地面，头部着地，造成人身伤害！")</f>
        <v>炉顶操作人员操作过程中，由于未发现护栏开焊，不慎坠落地面，头部着地，造成人身伤害！</v>
      </c>
      <c r="E126" s="19" t="s">
        <v>710</v>
      </c>
      <c r="F126" s="26" t="s">
        <v>554</v>
      </c>
      <c r="G126" s="19"/>
      <c r="H126" s="19" t="s">
        <v>44</v>
      </c>
      <c r="I126" s="19" t="s">
        <v>711</v>
      </c>
      <c r="J126" s="19" t="s">
        <v>105</v>
      </c>
      <c r="K126" s="19" t="s">
        <v>138</v>
      </c>
      <c r="L126" s="19" t="s">
        <v>46</v>
      </c>
      <c r="M126" s="19" t="s">
        <v>47</v>
      </c>
      <c r="N126" s="19" t="s">
        <v>712</v>
      </c>
      <c r="O126" s="19"/>
      <c r="P126" s="19"/>
      <c r="Q126" s="19"/>
      <c r="R126" s="19" t="s">
        <v>713</v>
      </c>
      <c r="S126" s="19"/>
      <c r="T126" s="19" t="s">
        <v>68</v>
      </c>
      <c r="U126" s="19" t="s">
        <v>203</v>
      </c>
      <c r="V126" s="19" t="s">
        <v>182</v>
      </c>
      <c r="W126" s="19" t="s">
        <v>120</v>
      </c>
      <c r="X126" s="19"/>
      <c r="Y126" s="19"/>
      <c r="Z126" s="19"/>
      <c r="AA126" s="19"/>
      <c r="AB126" s="19"/>
      <c r="AC126" s="19" t="s">
        <v>266</v>
      </c>
      <c r="AD126" s="19"/>
      <c r="AE126" s="19"/>
      <c r="AF126" s="19"/>
    </row>
    <row r="127" spans="1:34">
      <c r="A127" s="19">
        <v>122</v>
      </c>
      <c r="B127" s="19" t="s">
        <v>546</v>
      </c>
      <c r="C127" s="19" t="s">
        <v>328</v>
      </c>
      <c r="D127" s="19" t="str">
        <f>HYPERLINK("http://henontech.com/fieldsafety/harzard/harzard_show.php?rid=3284&amp;url=harzardrecs.php","施工人员安全带低挂高用，如果脚底打滑踏空，坠落至滑轴线上触电昏迷不醒，送医抢救。")</f>
        <v>施工人员安全带低挂高用，如果脚底打滑踏空，坠落至滑轴线上触电昏迷不醒，送医抢救。</v>
      </c>
      <c r="E127" s="19" t="s">
        <v>714</v>
      </c>
      <c r="F127" s="26" t="s">
        <v>554</v>
      </c>
      <c r="G127" s="19"/>
      <c r="H127" s="19" t="s">
        <v>44</v>
      </c>
      <c r="I127" s="19" t="s">
        <v>115</v>
      </c>
      <c r="J127" s="19" t="s">
        <v>63</v>
      </c>
      <c r="K127" s="19" t="s">
        <v>138</v>
      </c>
      <c r="L127" s="19" t="s">
        <v>715</v>
      </c>
      <c r="M127" s="19" t="s">
        <v>47</v>
      </c>
      <c r="N127" s="19" t="s">
        <v>716</v>
      </c>
      <c r="O127" s="19"/>
      <c r="P127" s="19"/>
      <c r="Q127" s="19"/>
      <c r="R127" s="19" t="s">
        <v>717</v>
      </c>
      <c r="S127" s="19"/>
      <c r="T127" s="19" t="s">
        <v>68</v>
      </c>
      <c r="U127" s="19" t="s">
        <v>203</v>
      </c>
      <c r="V127" s="19" t="s">
        <v>182</v>
      </c>
      <c r="W127" s="19" t="s">
        <v>120</v>
      </c>
      <c r="X127" s="19"/>
      <c r="Y127" s="19"/>
      <c r="Z127" s="19"/>
      <c r="AA127" s="19"/>
      <c r="AB127" s="19"/>
      <c r="AC127" s="19" t="s">
        <v>266</v>
      </c>
      <c r="AD127" s="19"/>
      <c r="AE127" s="19"/>
      <c r="AF127" s="19"/>
    </row>
    <row r="128" spans="1:34">
      <c r="A128" s="19">
        <v>123</v>
      </c>
      <c r="B128" s="19" t="s">
        <v>546</v>
      </c>
      <c r="C128" s="19" t="s">
        <v>328</v>
      </c>
      <c r="D128" s="19" t="str">
        <f>HYPERLINK("http://henontech.com/fieldsafety/harzard/harzard_show.php?rid=3285&amp;url=harzardrecs.php","烟囱西端，夜间操作人员打扫卫生时，由于视线不好未发现铁架被绊倒，造成小腿受伤，送医救治！")</f>
        <v>烟囱西端，夜间操作人员打扫卫生时，由于视线不好未发现铁架被绊倒，造成小腿受伤，送医救治！</v>
      </c>
      <c r="E128" s="19" t="s">
        <v>718</v>
      </c>
      <c r="F128" s="26" t="s">
        <v>554</v>
      </c>
      <c r="G128" s="19"/>
      <c r="H128" s="19" t="s">
        <v>44</v>
      </c>
      <c r="I128" s="19" t="s">
        <v>115</v>
      </c>
      <c r="J128" s="19" t="s">
        <v>78</v>
      </c>
      <c r="K128" s="19" t="s">
        <v>138</v>
      </c>
      <c r="L128" s="19" t="s">
        <v>715</v>
      </c>
      <c r="M128" s="19" t="s">
        <v>47</v>
      </c>
      <c r="N128" s="19" t="s">
        <v>712</v>
      </c>
      <c r="O128" s="19"/>
      <c r="P128" s="19"/>
      <c r="Q128" s="19"/>
      <c r="R128" s="19" t="s">
        <v>719</v>
      </c>
      <c r="S128" s="19"/>
      <c r="T128" s="19" t="s">
        <v>68</v>
      </c>
      <c r="U128" s="19" t="s">
        <v>96</v>
      </c>
      <c r="V128" s="19" t="s">
        <v>182</v>
      </c>
      <c r="W128" s="19" t="s">
        <v>162</v>
      </c>
      <c r="X128" s="19"/>
      <c r="Y128" s="19"/>
      <c r="Z128" s="19"/>
      <c r="AA128" s="19"/>
      <c r="AB128" s="19"/>
      <c r="AC128" s="19" t="s">
        <v>266</v>
      </c>
      <c r="AD128" s="19"/>
      <c r="AE128" s="19"/>
      <c r="AF128" s="19"/>
    </row>
    <row r="129" spans="1:34">
      <c r="A129" s="19">
        <v>124</v>
      </c>
      <c r="B129" s="19" t="s">
        <v>720</v>
      </c>
      <c r="C129" s="19" t="s">
        <v>245</v>
      </c>
      <c r="D129" s="19" t="str">
        <f>HYPERLINK("http://henontech.com/fieldsafety/harzard/harzard_show.php?rid=3286&amp;url=harzardrecs.php","西满流槽平台护栏与饱和器底座连接处有废弃木板，当五级大风天气，木板被大风吹落，砸伤正在此处巡检的操作工，造成人员头部受击，送医检查轻微脑震荡，住院观察治疗一周后康复。")</f>
        <v>西满流槽平台护栏与饱和器底座连接处有废弃木板，当五级大风天气，木板被大风吹落，砸伤正在此处巡检的操作工，造成人员头部受击，送医检查轻微脑震荡，住院观察治疗一周后康复。</v>
      </c>
      <c r="E129" s="19" t="s">
        <v>721</v>
      </c>
      <c r="F129" s="20" t="s">
        <v>42</v>
      </c>
      <c r="G129" s="22" t="s">
        <v>77</v>
      </c>
      <c r="H129" s="19" t="s">
        <v>44</v>
      </c>
      <c r="I129" s="19" t="s">
        <v>45</v>
      </c>
      <c r="J129" s="19" t="s">
        <v>63</v>
      </c>
      <c r="K129" s="19" t="s">
        <v>138</v>
      </c>
      <c r="L129" s="19" t="s">
        <v>46</v>
      </c>
      <c r="M129" s="19" t="s">
        <v>75</v>
      </c>
      <c r="N129" s="19" t="s">
        <v>722</v>
      </c>
      <c r="O129" s="19" t="s">
        <v>75</v>
      </c>
      <c r="P129" s="19" t="s">
        <v>80</v>
      </c>
      <c r="Q129" s="19" t="s">
        <v>506</v>
      </c>
      <c r="R129" s="19" t="s">
        <v>622</v>
      </c>
      <c r="S129" s="19"/>
      <c r="T129" s="19" t="s">
        <v>68</v>
      </c>
      <c r="U129" s="19" t="s">
        <v>96</v>
      </c>
      <c r="V129" s="19" t="s">
        <v>70</v>
      </c>
      <c r="W129" s="19" t="s">
        <v>97</v>
      </c>
      <c r="X129" s="19"/>
      <c r="Y129" s="19"/>
      <c r="Z129" s="19" t="s">
        <v>723</v>
      </c>
      <c r="AA129" s="19">
        <v>1</v>
      </c>
      <c r="AB129" s="19">
        <v>1</v>
      </c>
      <c r="AC129" s="19" t="s">
        <v>58</v>
      </c>
      <c r="AD129" s="19" t="s">
        <v>80</v>
      </c>
      <c r="AE129" s="19" t="s">
        <v>591</v>
      </c>
      <c r="AF129" s="19"/>
    </row>
    <row r="130" spans="1:34" customHeight="1" ht="42">
      <c r="A130" s="19">
        <v>125</v>
      </c>
      <c r="B130" s="19" t="s">
        <v>720</v>
      </c>
      <c r="C130" s="19" t="s">
        <v>724</v>
      </c>
      <c r="D130" s="19" t="str">
        <f>HYPERLINK("http://henontech.com/fieldsafety/harzard/harzard_show.php?rid=3287&amp;url=harzardrecs.php","一名员工在开启背压排气阀门时 法兰垫子泄露蒸汽 员工躲闪及时 未造成人员伤亡")</f>
        <v>一名员工在开启背压排气阀门时 法兰垫子泄露蒸汽 员工躲闪及时 未造成人员伤亡</v>
      </c>
      <c r="E130" s="19" t="s">
        <v>725</v>
      </c>
      <c r="F130" s="20" t="s">
        <v>42</v>
      </c>
      <c r="G130" s="23" t="s">
        <v>137</v>
      </c>
      <c r="H130" s="19" t="s">
        <v>44</v>
      </c>
      <c r="I130" s="19" t="s">
        <v>90</v>
      </c>
      <c r="J130" s="19" t="s">
        <v>726</v>
      </c>
      <c r="K130" s="19" t="s">
        <v>64</v>
      </c>
      <c r="L130" s="19" t="s">
        <v>46</v>
      </c>
      <c r="M130" s="19" t="s">
        <v>91</v>
      </c>
      <c r="N130" s="19" t="s">
        <v>727</v>
      </c>
      <c r="O130" s="19" t="s">
        <v>91</v>
      </c>
      <c r="P130" s="19" t="s">
        <v>107</v>
      </c>
      <c r="Q130" s="19" t="s">
        <v>506</v>
      </c>
      <c r="R130" s="19" t="s">
        <v>728</v>
      </c>
      <c r="S130" s="19"/>
      <c r="T130" s="19" t="s">
        <v>68</v>
      </c>
      <c r="U130" s="19" t="s">
        <v>53</v>
      </c>
      <c r="V130" s="19" t="s">
        <v>70</v>
      </c>
      <c r="W130" s="19" t="s">
        <v>55</v>
      </c>
      <c r="X130" s="19"/>
      <c r="Y130" s="19"/>
      <c r="Z130" s="19" t="s">
        <v>729</v>
      </c>
      <c r="AA130" s="19">
        <v>2</v>
      </c>
      <c r="AB130" s="19">
        <v>2</v>
      </c>
      <c r="AC130" s="19" t="s">
        <v>58</v>
      </c>
      <c r="AD130" s="19" t="s">
        <v>107</v>
      </c>
      <c r="AE130" s="19" t="s">
        <v>306</v>
      </c>
      <c r="AF130" s="19" t="s">
        <v>730</v>
      </c>
    </row>
    <row r="131" spans="1:34" customHeight="1" ht="42">
      <c r="A131" s="19">
        <v>126</v>
      </c>
      <c r="B131" s="19" t="s">
        <v>720</v>
      </c>
      <c r="C131" s="19" t="s">
        <v>413</v>
      </c>
      <c r="D131" s="19" t="str">
        <f>HYPERLINK("http://henontech.com/fieldsafety/harzard/harzard_show.php?rid=3288&amp;url=harzardrecs.php","给料机固定拉杆开焊，运行中机体晃动，设备损坏事故。")</f>
        <v>给料机固定拉杆开焊，运行中机体晃动，设备损坏事故。</v>
      </c>
      <c r="E131" s="19" t="s">
        <v>561</v>
      </c>
      <c r="F131" s="20" t="s">
        <v>42</v>
      </c>
      <c r="G131" s="21" t="s">
        <v>43</v>
      </c>
      <c r="H131" s="19" t="s">
        <v>44</v>
      </c>
      <c r="I131" s="19" t="s">
        <v>731</v>
      </c>
      <c r="J131" s="19" t="s">
        <v>732</v>
      </c>
      <c r="K131" s="19"/>
      <c r="L131" s="19"/>
      <c r="M131" s="19" t="s">
        <v>210</v>
      </c>
      <c r="N131" s="19" t="s">
        <v>562</v>
      </c>
      <c r="O131" s="19" t="s">
        <v>210</v>
      </c>
      <c r="P131" s="19" t="s">
        <v>212</v>
      </c>
      <c r="Q131" s="19" t="s">
        <v>331</v>
      </c>
      <c r="R131" s="19" t="s">
        <v>733</v>
      </c>
      <c r="S131" s="19"/>
      <c r="T131" s="19" t="s">
        <v>52</v>
      </c>
      <c r="U131" s="19" t="s">
        <v>69</v>
      </c>
      <c r="V131" s="19" t="s">
        <v>70</v>
      </c>
      <c r="W131" s="19" t="s">
        <v>55</v>
      </c>
      <c r="X131" s="19" t="s">
        <v>98</v>
      </c>
      <c r="Y131" s="19" t="s">
        <v>98</v>
      </c>
      <c r="Z131" s="19" t="s">
        <v>734</v>
      </c>
      <c r="AA131" s="19">
        <v>2</v>
      </c>
      <c r="AB131" s="19">
        <v>2</v>
      </c>
      <c r="AC131" s="19" t="s">
        <v>58</v>
      </c>
      <c r="AD131" s="19" t="s">
        <v>212</v>
      </c>
      <c r="AE131" s="19" t="s">
        <v>217</v>
      </c>
      <c r="AF131" s="19"/>
    </row>
    <row r="132" spans="1:34">
      <c r="A132" s="19">
        <v>127</v>
      </c>
      <c r="B132" s="19" t="s">
        <v>141</v>
      </c>
      <c r="C132" s="19" t="s">
        <v>328</v>
      </c>
      <c r="D132" s="19" t="str">
        <f>HYPERLINK("http://henontech.com/fieldsafety/harzard/harzard_show.php?rid=3289&amp;url=harzardrecs.php","焦炉机侧生产现场备件摆放杂乱，操作工清理卫生时不慎拌倒磕伤头部，造成伤害。")</f>
        <v>焦炉机侧生产现场备件摆放杂乱，操作工清理卫生时不慎拌倒磕伤头部，造成伤害。</v>
      </c>
      <c r="E132" s="19" t="s">
        <v>735</v>
      </c>
      <c r="F132" s="26" t="s">
        <v>554</v>
      </c>
      <c r="G132" s="19"/>
      <c r="H132" s="19" t="s">
        <v>44</v>
      </c>
      <c r="I132" s="19" t="s">
        <v>90</v>
      </c>
      <c r="J132" s="19" t="s">
        <v>63</v>
      </c>
      <c r="K132" s="19" t="s">
        <v>138</v>
      </c>
      <c r="L132" s="19" t="s">
        <v>484</v>
      </c>
      <c r="M132" s="19" t="s">
        <v>47</v>
      </c>
      <c r="N132" s="19" t="s">
        <v>736</v>
      </c>
      <c r="O132" s="19"/>
      <c r="P132" s="19"/>
      <c r="Q132" s="19"/>
      <c r="R132" s="19" t="s">
        <v>737</v>
      </c>
      <c r="S132" s="19"/>
      <c r="T132" s="19" t="s">
        <v>68</v>
      </c>
      <c r="U132" s="19" t="s">
        <v>96</v>
      </c>
      <c r="V132" s="19" t="s">
        <v>182</v>
      </c>
      <c r="W132" s="19" t="s">
        <v>162</v>
      </c>
      <c r="X132" s="19"/>
      <c r="Y132" s="19"/>
      <c r="Z132" s="19"/>
      <c r="AA132" s="19"/>
      <c r="AB132" s="19"/>
      <c r="AC132" s="19" t="s">
        <v>266</v>
      </c>
      <c r="AD132" s="19"/>
      <c r="AE132" s="19"/>
      <c r="AF132" s="19"/>
    </row>
    <row r="133" spans="1:34">
      <c r="A133" s="19">
        <v>128</v>
      </c>
      <c r="B133" s="19" t="s">
        <v>141</v>
      </c>
      <c r="C133" s="19" t="s">
        <v>328</v>
      </c>
      <c r="D133" s="19" t="str">
        <f>HYPERLINK("http://henontech.com/fieldsafety/harzard/harzard_show.php?rid=3290&amp;url=harzardrecs.php","操作工更换除尘布袋时，由于护栏开焊不慎坠落高约五米的车辆平台，造成伤害")</f>
        <v>操作工更换除尘布袋时，由于护栏开焊不慎坠落高约五米的车辆平台，造成伤害</v>
      </c>
      <c r="E133" s="19" t="s">
        <v>738</v>
      </c>
      <c r="F133" s="26" t="s">
        <v>554</v>
      </c>
      <c r="G133" s="19"/>
      <c r="H133" s="19" t="s">
        <v>44</v>
      </c>
      <c r="I133" s="19" t="s">
        <v>90</v>
      </c>
      <c r="J133" s="19" t="s">
        <v>63</v>
      </c>
      <c r="K133" s="19" t="s">
        <v>138</v>
      </c>
      <c r="L133" s="19" t="s">
        <v>484</v>
      </c>
      <c r="M133" s="19" t="s">
        <v>47</v>
      </c>
      <c r="N133" s="19" t="s">
        <v>736</v>
      </c>
      <c r="O133" s="19"/>
      <c r="P133" s="19"/>
      <c r="Q133" s="19"/>
      <c r="R133" s="19" t="s">
        <v>606</v>
      </c>
      <c r="S133" s="19"/>
      <c r="T133" s="19" t="s">
        <v>68</v>
      </c>
      <c r="U133" s="19" t="s">
        <v>96</v>
      </c>
      <c r="V133" s="19" t="s">
        <v>54</v>
      </c>
      <c r="W133" s="19" t="s">
        <v>120</v>
      </c>
      <c r="X133" s="19"/>
      <c r="Y133" s="19"/>
      <c r="Z133" s="19"/>
      <c r="AA133" s="19"/>
      <c r="AB133" s="19"/>
      <c r="AC133" s="19" t="s">
        <v>266</v>
      </c>
      <c r="AD133" s="19"/>
      <c r="AE133" s="19"/>
      <c r="AF133" s="19"/>
    </row>
    <row r="134" spans="1:34">
      <c r="A134" s="19">
        <v>129</v>
      </c>
      <c r="B134" s="19" t="s">
        <v>141</v>
      </c>
      <c r="C134" s="19" t="s">
        <v>328</v>
      </c>
      <c r="D134" s="19" t="str">
        <f>HYPERLINK("http://henontech.com/fieldsafety/harzard/harzard_show.php?rid=3291&amp;url=harzardrecs.php","按装推焦车车载除尘场地货物杂乱，无明显警示标志，一名职工从此处行走时被杂物绊倒摔在铁件上，至面部等多处受伤。")</f>
        <v>按装推焦车车载除尘场地货物杂乱，无明显警示标志，一名职工从此处行走时被杂物绊倒摔在铁件上，至面部等多处受伤。</v>
      </c>
      <c r="E134" s="19" t="s">
        <v>739</v>
      </c>
      <c r="F134" s="26" t="s">
        <v>554</v>
      </c>
      <c r="G134" s="19"/>
      <c r="H134" s="19" t="s">
        <v>44</v>
      </c>
      <c r="I134" s="19" t="s">
        <v>115</v>
      </c>
      <c r="J134" s="19" t="s">
        <v>105</v>
      </c>
      <c r="K134" s="19" t="s">
        <v>138</v>
      </c>
      <c r="L134" s="19" t="s">
        <v>149</v>
      </c>
      <c r="M134" s="19" t="s">
        <v>47</v>
      </c>
      <c r="N134" s="19" t="s">
        <v>740</v>
      </c>
      <c r="O134" s="19"/>
      <c r="P134" s="19"/>
      <c r="Q134" s="19"/>
      <c r="R134" s="19" t="s">
        <v>741</v>
      </c>
      <c r="S134" s="19"/>
      <c r="T134" s="19" t="s">
        <v>68</v>
      </c>
      <c r="U134" s="19" t="s">
        <v>96</v>
      </c>
      <c r="V134" s="19" t="s">
        <v>182</v>
      </c>
      <c r="W134" s="19" t="s">
        <v>162</v>
      </c>
      <c r="X134" s="19"/>
      <c r="Y134" s="19"/>
      <c r="Z134" s="19"/>
      <c r="AA134" s="19"/>
      <c r="AB134" s="19"/>
      <c r="AC134" s="19" t="s">
        <v>266</v>
      </c>
      <c r="AD134" s="19"/>
      <c r="AE134" s="19"/>
      <c r="AF134" s="19"/>
    </row>
    <row r="135" spans="1:34">
      <c r="A135" s="19">
        <v>130</v>
      </c>
      <c r="B135" s="19" t="s">
        <v>141</v>
      </c>
      <c r="C135" s="19" t="s">
        <v>401</v>
      </c>
      <c r="D135" s="19" t="str">
        <f>HYPERLINK("http://henontech.com/fieldsafety/harzard/harzard_show.php?rid=3293&amp;url=harzardrecs.php","由于盖板缺失，职工巡检时跌落水沟内，造成右脚踝扭伤，入院治疗12天，回家休养20天痊愈。")</f>
        <v>由于盖板缺失，职工巡检时跌落水沟内，造成右脚踝扭伤，入院治疗12天，回家休养20天痊愈。</v>
      </c>
      <c r="E135" s="19" t="s">
        <v>742</v>
      </c>
      <c r="F135" s="20" t="s">
        <v>42</v>
      </c>
      <c r="G135" s="22" t="s">
        <v>77</v>
      </c>
      <c r="H135" s="19" t="s">
        <v>743</v>
      </c>
      <c r="I135" s="19" t="s">
        <v>45</v>
      </c>
      <c r="J135" s="19" t="s">
        <v>105</v>
      </c>
      <c r="K135" s="19" t="s">
        <v>199</v>
      </c>
      <c r="L135" s="19" t="s">
        <v>46</v>
      </c>
      <c r="M135" s="19" t="s">
        <v>91</v>
      </c>
      <c r="N135" s="19" t="s">
        <v>744</v>
      </c>
      <c r="O135" s="19" t="s">
        <v>91</v>
      </c>
      <c r="P135" s="19" t="s">
        <v>107</v>
      </c>
      <c r="Q135" s="19" t="s">
        <v>506</v>
      </c>
      <c r="R135" s="19" t="s">
        <v>745</v>
      </c>
      <c r="S135" s="19"/>
      <c r="T135" s="19" t="s">
        <v>68</v>
      </c>
      <c r="U135" s="19" t="s">
        <v>96</v>
      </c>
      <c r="V135" s="19" t="s">
        <v>182</v>
      </c>
      <c r="W135" s="19" t="s">
        <v>162</v>
      </c>
      <c r="X135" s="19"/>
      <c r="Y135" s="19"/>
      <c r="Z135" s="19" t="s">
        <v>746</v>
      </c>
      <c r="AA135" s="19">
        <v>1</v>
      </c>
      <c r="AB135" s="19">
        <v>1</v>
      </c>
      <c r="AC135" s="19" t="s">
        <v>58</v>
      </c>
      <c r="AD135" s="19" t="s">
        <v>107</v>
      </c>
      <c r="AE135" s="19" t="s">
        <v>572</v>
      </c>
      <c r="AF135" s="19" t="s">
        <v>747</v>
      </c>
    </row>
    <row r="136" spans="1:34" customHeight="1" ht="42">
      <c r="A136" s="19">
        <v>131</v>
      </c>
      <c r="B136" s="19" t="s">
        <v>748</v>
      </c>
      <c r="C136" s="19" t="s">
        <v>208</v>
      </c>
      <c r="D136" s="19" t="str">
        <f>HYPERLINK("http://henontech.com/fieldsafety/harzard/harzard_show.php?rid=3294&amp;url=harzardrecs.php","水沟盖板缺失夜班巡检人员掉落水沟造成伤害")</f>
        <v>水沟盖板缺失夜班巡检人员掉落水沟造成伤害</v>
      </c>
      <c r="E136" s="19" t="s">
        <v>749</v>
      </c>
      <c r="F136" s="24" t="s">
        <v>260</v>
      </c>
      <c r="G136" s="22" t="s">
        <v>77</v>
      </c>
      <c r="H136" s="19" t="s">
        <v>44</v>
      </c>
      <c r="I136" s="19" t="s">
        <v>115</v>
      </c>
      <c r="J136" s="19" t="s">
        <v>63</v>
      </c>
      <c r="K136" s="19"/>
      <c r="L136" s="19"/>
      <c r="M136" s="19" t="s">
        <v>210</v>
      </c>
      <c r="N136" s="19" t="s">
        <v>750</v>
      </c>
      <c r="O136" s="19" t="s">
        <v>210</v>
      </c>
      <c r="P136" s="19" t="s">
        <v>212</v>
      </c>
      <c r="Q136" s="19" t="s">
        <v>217</v>
      </c>
      <c r="R136" s="19" t="s">
        <v>751</v>
      </c>
      <c r="S136" s="19"/>
      <c r="T136" s="19" t="s">
        <v>68</v>
      </c>
      <c r="U136" s="19" t="s">
        <v>69</v>
      </c>
      <c r="V136" s="19" t="s">
        <v>70</v>
      </c>
      <c r="W136" s="19" t="s">
        <v>55</v>
      </c>
      <c r="X136" s="19" t="s">
        <v>204</v>
      </c>
      <c r="Y136" s="19" t="s">
        <v>204</v>
      </c>
      <c r="Z136" s="19" t="s">
        <v>752</v>
      </c>
      <c r="AA136" s="19">
        <v>2</v>
      </c>
      <c r="AB136" s="19"/>
      <c r="AC136" s="19" t="s">
        <v>266</v>
      </c>
      <c r="AD136" s="19"/>
      <c r="AE136" s="19"/>
      <c r="AF136" s="19"/>
    </row>
    <row r="137" spans="1:34">
      <c r="A137" s="19">
        <v>132</v>
      </c>
      <c r="B137" s="19" t="s">
        <v>248</v>
      </c>
      <c r="C137" s="19" t="s">
        <v>245</v>
      </c>
      <c r="D137" s="19" t="str">
        <f>HYPERLINK("http://henontech.com/fieldsafety/harzard/harzard_show.php?rid=3298&amp;url=harzardrecs.php","西硫铵东饱和器三层北平台，因安装管线开口后未进行封堵，如果一名操作工未系安全带经过此处时不小心踩空坠落，造成右腿和右胸肋骨骨折，住院治疗2个月并回家休养1个月后复工。")</f>
        <v>西硫铵东饱和器三层北平台，因安装管线开口后未进行封堵，如果一名操作工未系安全带经过此处时不小心踩空坠落，造成右腿和右胸肋骨骨折，住院治疗2个月并回家休养1个月后复工。</v>
      </c>
      <c r="E137" s="19" t="s">
        <v>753</v>
      </c>
      <c r="F137" s="20" t="s">
        <v>42</v>
      </c>
      <c r="G137" s="22" t="s">
        <v>77</v>
      </c>
      <c r="H137" s="19" t="s">
        <v>44</v>
      </c>
      <c r="I137" s="19" t="s">
        <v>90</v>
      </c>
      <c r="J137" s="19"/>
      <c r="K137" s="19" t="s">
        <v>186</v>
      </c>
      <c r="L137" s="19"/>
      <c r="M137" s="19" t="s">
        <v>75</v>
      </c>
      <c r="N137" s="19" t="s">
        <v>754</v>
      </c>
      <c r="O137" s="19" t="s">
        <v>75</v>
      </c>
      <c r="P137" s="19" t="s">
        <v>80</v>
      </c>
      <c r="Q137" s="19" t="s">
        <v>506</v>
      </c>
      <c r="R137" s="19" t="s">
        <v>755</v>
      </c>
      <c r="S137" s="19"/>
      <c r="T137" s="19" t="s">
        <v>68</v>
      </c>
      <c r="U137" s="19" t="s">
        <v>96</v>
      </c>
      <c r="V137" s="19" t="s">
        <v>182</v>
      </c>
      <c r="W137" s="19" t="s">
        <v>162</v>
      </c>
      <c r="X137" s="19"/>
      <c r="Y137" s="19"/>
      <c r="Z137" s="19" t="s">
        <v>756</v>
      </c>
      <c r="AA137" s="19">
        <v>1</v>
      </c>
      <c r="AB137" s="19">
        <v>1</v>
      </c>
      <c r="AC137" s="19" t="s">
        <v>58</v>
      </c>
      <c r="AD137" s="19" t="s">
        <v>80</v>
      </c>
      <c r="AE137" s="19" t="s">
        <v>591</v>
      </c>
      <c r="AF137" s="19"/>
    </row>
    <row r="138" spans="1:34">
      <c r="A138" s="19">
        <v>133</v>
      </c>
      <c r="B138" s="19" t="s">
        <v>248</v>
      </c>
      <c r="C138" s="19" t="s">
        <v>251</v>
      </c>
      <c r="D138" s="19" t="str">
        <f>HYPERLINK("http://henontech.com/fieldsafety/harzard/harzard_show.php?rid=3299&amp;url=harzardrecs.php","一名操作工在使用完锤子后随手将其放在暖气片上，再次经过时，锤子从暖气片上掉落，送医确诊，为右小腿腓骨轻微骨折，住院治疗3天回家休养22天后复工")</f>
        <v>一名操作工在使用完锤子后随手将其放在暖气片上，再次经过时，锤子从暖气片上掉落，送医确诊，为右小腿腓骨轻微骨折，住院治疗3天回家休养22天后复工</v>
      </c>
      <c r="E138" s="19" t="s">
        <v>757</v>
      </c>
      <c r="F138" s="20" t="s">
        <v>42</v>
      </c>
      <c r="G138" s="21" t="s">
        <v>43</v>
      </c>
      <c r="H138" s="19" t="s">
        <v>44</v>
      </c>
      <c r="I138" s="19" t="s">
        <v>90</v>
      </c>
      <c r="J138" s="19" t="s">
        <v>105</v>
      </c>
      <c r="K138" s="19" t="s">
        <v>64</v>
      </c>
      <c r="L138" s="19" t="s">
        <v>46</v>
      </c>
      <c r="M138" s="19" t="s">
        <v>210</v>
      </c>
      <c r="N138" s="19" t="s">
        <v>758</v>
      </c>
      <c r="O138" s="19" t="s">
        <v>210</v>
      </c>
      <c r="P138" s="19" t="s">
        <v>416</v>
      </c>
      <c r="Q138" s="19" t="s">
        <v>748</v>
      </c>
      <c r="R138" s="19" t="s">
        <v>759</v>
      </c>
      <c r="S138" s="19"/>
      <c r="T138" s="19" t="s">
        <v>68</v>
      </c>
      <c r="U138" s="19" t="s">
        <v>96</v>
      </c>
      <c r="V138" s="19" t="s">
        <v>182</v>
      </c>
      <c r="W138" s="19" t="s">
        <v>162</v>
      </c>
      <c r="X138" s="19"/>
      <c r="Y138" s="19"/>
      <c r="Z138" s="19" t="s">
        <v>632</v>
      </c>
      <c r="AA138" s="19">
        <v>1</v>
      </c>
      <c r="AB138" s="19">
        <v>1</v>
      </c>
      <c r="AC138" s="19" t="s">
        <v>58</v>
      </c>
      <c r="AD138" s="19" t="s">
        <v>416</v>
      </c>
      <c r="AE138" s="19" t="s">
        <v>748</v>
      </c>
      <c r="AF138" s="19"/>
    </row>
    <row r="139" spans="1:34" customHeight="1" ht="42">
      <c r="A139" s="19">
        <v>134</v>
      </c>
      <c r="B139" s="19" t="s">
        <v>248</v>
      </c>
      <c r="C139" s="19" t="s">
        <v>413</v>
      </c>
      <c r="D139" s="19" t="str">
        <f>HYPERLINK("http://henontech.com/fieldsafety/harzard/harzard_show.php?rid=3302&amp;url=harzardrecs.php","东三楼道一盏照明灯坏 操作工上下楼梯时 光线不好看不清脚下 不深踩空扭伤右脚脚踝 休息一会不影响工作")</f>
        <v>东三楼道一盏照明灯坏 操作工上下楼梯时 光线不好看不清脚下 不深踩空扭伤右脚脚踝 休息一会不影响工作</v>
      </c>
      <c r="E139" s="19" t="s">
        <v>760</v>
      </c>
      <c r="F139" s="20" t="s">
        <v>42</v>
      </c>
      <c r="G139" s="22" t="s">
        <v>77</v>
      </c>
      <c r="H139" s="19" t="s">
        <v>44</v>
      </c>
      <c r="I139" s="19" t="s">
        <v>45</v>
      </c>
      <c r="J139" s="19"/>
      <c r="K139" s="19" t="s">
        <v>64</v>
      </c>
      <c r="L139" s="19"/>
      <c r="M139" s="19" t="s">
        <v>210</v>
      </c>
      <c r="N139" s="19" t="s">
        <v>424</v>
      </c>
      <c r="O139" s="19" t="s">
        <v>210</v>
      </c>
      <c r="P139" s="19" t="s">
        <v>425</v>
      </c>
      <c r="Q139" s="19" t="s">
        <v>761</v>
      </c>
      <c r="R139" s="19" t="s">
        <v>762</v>
      </c>
      <c r="S139" s="19"/>
      <c r="T139" s="19" t="s">
        <v>68</v>
      </c>
      <c r="U139" s="19" t="s">
        <v>69</v>
      </c>
      <c r="V139" s="19" t="s">
        <v>70</v>
      </c>
      <c r="W139" s="19" t="s">
        <v>55</v>
      </c>
      <c r="X139" s="19"/>
      <c r="Y139" s="19"/>
      <c r="Z139" s="19" t="s">
        <v>428</v>
      </c>
      <c r="AA139" s="19">
        <v>2</v>
      </c>
      <c r="AB139" s="19">
        <v>2</v>
      </c>
      <c r="AC139" s="19" t="s">
        <v>58</v>
      </c>
      <c r="AD139" s="19" t="s">
        <v>425</v>
      </c>
      <c r="AE139" s="19" t="s">
        <v>306</v>
      </c>
      <c r="AF139" s="19"/>
    </row>
    <row r="140" spans="1:34">
      <c r="A140" s="19">
        <v>135</v>
      </c>
      <c r="B140" s="19" t="s">
        <v>248</v>
      </c>
      <c r="C140" s="19" t="s">
        <v>413</v>
      </c>
      <c r="D140" s="19" t="str">
        <f>HYPERLINK("http://henontech.com/fieldsafety/harzard/harzard_show.php?rid=3303&amp;url=harzardrecs.php","东五电动葫芦线皮破损 工作人员使用时 不慎触电 右手电伤 送医院治疗 住院一星期 在家修养一个月")</f>
        <v>东五电动葫芦线皮破损 工作人员使用时 不慎触电 右手电伤 送医院治疗 住院一星期 在家修养一个月</v>
      </c>
      <c r="E140" s="19" t="s">
        <v>763</v>
      </c>
      <c r="F140" s="20" t="s">
        <v>42</v>
      </c>
      <c r="G140" s="22" t="s">
        <v>77</v>
      </c>
      <c r="H140" s="19" t="s">
        <v>44</v>
      </c>
      <c r="I140" s="19" t="s">
        <v>90</v>
      </c>
      <c r="J140" s="19" t="s">
        <v>63</v>
      </c>
      <c r="K140" s="19" t="s">
        <v>199</v>
      </c>
      <c r="L140" s="19" t="s">
        <v>46</v>
      </c>
      <c r="M140" s="19" t="s">
        <v>210</v>
      </c>
      <c r="N140" s="19" t="s">
        <v>424</v>
      </c>
      <c r="O140" s="19" t="s">
        <v>210</v>
      </c>
      <c r="P140" s="19" t="s">
        <v>425</v>
      </c>
      <c r="Q140" s="19" t="s">
        <v>761</v>
      </c>
      <c r="R140" s="19" t="s">
        <v>563</v>
      </c>
      <c r="S140" s="19"/>
      <c r="T140" s="19" t="s">
        <v>68</v>
      </c>
      <c r="U140" s="19" t="s">
        <v>96</v>
      </c>
      <c r="V140" s="19" t="s">
        <v>70</v>
      </c>
      <c r="W140" s="19" t="s">
        <v>97</v>
      </c>
      <c r="X140" s="19"/>
      <c r="Y140" s="19"/>
      <c r="Z140" s="19" t="s">
        <v>764</v>
      </c>
      <c r="AA140" s="19">
        <v>1</v>
      </c>
      <c r="AB140" s="19">
        <v>1</v>
      </c>
      <c r="AC140" s="19" t="s">
        <v>58</v>
      </c>
      <c r="AD140" s="19" t="s">
        <v>425</v>
      </c>
      <c r="AE140" s="19" t="s">
        <v>306</v>
      </c>
      <c r="AF140" s="19"/>
    </row>
    <row r="141" spans="1:34">
      <c r="A141" s="19">
        <v>136</v>
      </c>
      <c r="B141" s="19" t="s">
        <v>248</v>
      </c>
      <c r="C141" s="19" t="s">
        <v>146</v>
      </c>
      <c r="D141" s="19" t="str">
        <f>HYPERLINK("http://henontech.com/fieldsafety/harzard/harzard_show.php?rid=3304&amp;url=harzardrecs.php","除尘器放灰口横栏过低放灰工推车放灰如果不注意面部碰在栏杆上造成伤害。")</f>
        <v>除尘器放灰口横栏过低放灰工推车放灰如果不注意面部碰在栏杆上造成伤害。</v>
      </c>
      <c r="E141" s="19" t="s">
        <v>765</v>
      </c>
      <c r="F141" s="20" t="s">
        <v>42</v>
      </c>
      <c r="G141" s="22" t="s">
        <v>77</v>
      </c>
      <c r="H141" s="19" t="s">
        <v>44</v>
      </c>
      <c r="I141" s="19" t="s">
        <v>90</v>
      </c>
      <c r="J141" s="19" t="s">
        <v>63</v>
      </c>
      <c r="K141" s="19"/>
      <c r="L141" s="19"/>
      <c r="M141" s="19" t="s">
        <v>91</v>
      </c>
      <c r="N141" s="19" t="s">
        <v>766</v>
      </c>
      <c r="O141" s="19" t="s">
        <v>91</v>
      </c>
      <c r="P141" s="19" t="s">
        <v>107</v>
      </c>
      <c r="Q141" s="19" t="s">
        <v>506</v>
      </c>
      <c r="R141" s="19" t="s">
        <v>767</v>
      </c>
      <c r="S141" s="19"/>
      <c r="T141" s="19" t="s">
        <v>68</v>
      </c>
      <c r="U141" s="19" t="s">
        <v>96</v>
      </c>
      <c r="V141" s="19" t="s">
        <v>70</v>
      </c>
      <c r="W141" s="19" t="s">
        <v>97</v>
      </c>
      <c r="X141" s="19"/>
      <c r="Y141" s="19"/>
      <c r="Z141" s="19" t="s">
        <v>768</v>
      </c>
      <c r="AA141" s="19">
        <v>1</v>
      </c>
      <c r="AB141" s="19">
        <v>0</v>
      </c>
      <c r="AC141" s="19" t="s">
        <v>58</v>
      </c>
      <c r="AD141" s="19" t="s">
        <v>107</v>
      </c>
      <c r="AE141" s="19" t="s">
        <v>591</v>
      </c>
      <c r="AF141" s="19" t="s">
        <v>769</v>
      </c>
    </row>
    <row r="142" spans="1:34" customHeight="1" ht="42">
      <c r="A142" s="19">
        <v>137</v>
      </c>
      <c r="B142" s="19" t="s">
        <v>248</v>
      </c>
      <c r="C142" s="19" t="s">
        <v>770</v>
      </c>
      <c r="D142" s="19" t="str">
        <f>HYPERLINK("http://henontech.com/fieldsafety/harzard/harzard_show.php?rid=3305&amp;url=harzardrecs.php","拆除锅炉人员车辆将地沟盖板压断未瓦时更换夜班巡检工刘如果不注意掉入地沟造成伤害。")</f>
        <v>拆除锅炉人员车辆将地沟盖板压断未瓦时更换夜班巡检工刘如果不注意掉入地沟造成伤害。</v>
      </c>
      <c r="E142" s="19" t="s">
        <v>771</v>
      </c>
      <c r="F142" s="20" t="s">
        <v>42</v>
      </c>
      <c r="G142" s="22" t="s">
        <v>77</v>
      </c>
      <c r="H142" s="19" t="s">
        <v>44</v>
      </c>
      <c r="I142" s="19" t="s">
        <v>115</v>
      </c>
      <c r="J142" s="19" t="s">
        <v>105</v>
      </c>
      <c r="K142" s="19"/>
      <c r="L142" s="19"/>
      <c r="M142" s="19" t="s">
        <v>91</v>
      </c>
      <c r="N142" s="19" t="s">
        <v>107</v>
      </c>
      <c r="O142" s="19" t="s">
        <v>91</v>
      </c>
      <c r="P142" s="19" t="s">
        <v>107</v>
      </c>
      <c r="Q142" s="19" t="s">
        <v>772</v>
      </c>
      <c r="R142" s="19" t="s">
        <v>773</v>
      </c>
      <c r="S142" s="19"/>
      <c r="T142" s="19" t="s">
        <v>68</v>
      </c>
      <c r="U142" s="19" t="s">
        <v>96</v>
      </c>
      <c r="V142" s="19" t="s">
        <v>182</v>
      </c>
      <c r="W142" s="19" t="s">
        <v>162</v>
      </c>
      <c r="X142" s="19" t="s">
        <v>98</v>
      </c>
      <c r="Y142" s="19" t="s">
        <v>98</v>
      </c>
      <c r="Z142" s="19" t="s">
        <v>774</v>
      </c>
      <c r="AA142" s="19">
        <v>2</v>
      </c>
      <c r="AB142" s="19">
        <v>2</v>
      </c>
      <c r="AC142" s="19" t="s">
        <v>58</v>
      </c>
      <c r="AD142" s="19" t="s">
        <v>107</v>
      </c>
      <c r="AE142" s="19" t="s">
        <v>680</v>
      </c>
      <c r="AF142" s="19" t="s">
        <v>775</v>
      </c>
    </row>
    <row r="143" spans="1:34">
      <c r="A143" s="19">
        <v>138</v>
      </c>
      <c r="B143" s="19" t="s">
        <v>306</v>
      </c>
      <c r="C143" s="19" t="s">
        <v>113</v>
      </c>
      <c r="D143" s="19" t="str">
        <f>HYPERLINK("http://henontech.com/fieldsafety/harzard/harzard_show.php?rid=3306&amp;url=harzardrecs.php","南风机2#初冷器检修时，一名外来施工人员安全带使用不规范存在低挂高用，如果检修过程中不慎脚下踩空掉落，安全带起到保护作用，但因安全带低挂高用造成小腿骨折，精神受到惊吓，送医院治疗包扎后在家休养3个月")</f>
        <v>南风机2#初冷器检修时，一名外来施工人员安全带使用不规范存在低挂高用，如果检修过程中不慎脚下踩空掉落，安全带起到保护作用，但因安全带低挂高用造成小腿骨折，精神受到惊吓，送医院治疗包扎后在家休养3个月</v>
      </c>
      <c r="E143" s="19" t="s">
        <v>776</v>
      </c>
      <c r="F143" s="24" t="s">
        <v>260</v>
      </c>
      <c r="G143" s="22" t="s">
        <v>77</v>
      </c>
      <c r="H143" s="19" t="s">
        <v>44</v>
      </c>
      <c r="I143" s="19"/>
      <c r="J143" s="19" t="s">
        <v>105</v>
      </c>
      <c r="K143" s="19" t="s">
        <v>138</v>
      </c>
      <c r="L143" s="19"/>
      <c r="M143" s="19" t="s">
        <v>75</v>
      </c>
      <c r="N143" s="19" t="s">
        <v>777</v>
      </c>
      <c r="O143" s="19" t="s">
        <v>75</v>
      </c>
      <c r="P143" s="19" t="s">
        <v>80</v>
      </c>
      <c r="Q143" s="19" t="s">
        <v>708</v>
      </c>
      <c r="R143" s="19" t="s">
        <v>468</v>
      </c>
      <c r="S143" s="19"/>
      <c r="T143" s="19" t="s">
        <v>68</v>
      </c>
      <c r="U143" s="19" t="s">
        <v>96</v>
      </c>
      <c r="V143" s="19" t="s">
        <v>70</v>
      </c>
      <c r="W143" s="19" t="s">
        <v>97</v>
      </c>
      <c r="X143" s="19"/>
      <c r="Y143" s="19"/>
      <c r="Z143" s="19" t="s">
        <v>778</v>
      </c>
      <c r="AA143" s="19">
        <v>1</v>
      </c>
      <c r="AB143" s="19"/>
      <c r="AC143" s="19" t="s">
        <v>266</v>
      </c>
      <c r="AD143" s="19"/>
      <c r="AE143" s="19"/>
      <c r="AF143" s="19"/>
    </row>
    <row r="144" spans="1:34">
      <c r="A144" s="19">
        <v>139</v>
      </c>
      <c r="B144" s="19" t="s">
        <v>306</v>
      </c>
      <c r="C144" s="19" t="s">
        <v>522</v>
      </c>
      <c r="D144" s="19" t="str">
        <f>HYPERLINK("http://henontech.com/fieldsafety/harzard/harzard_show.php?rid=3307&amp;url=harzardrecs.php","制氮机组空压机过道铁板未清理，一操作工夜间巡检时由于视线不好不慎被铁板绊倒，造成面部轻微擦伤，医务室简单处理后正常上班")</f>
        <v>制氮机组空压机过道铁板未清理，一操作工夜间巡检时由于视线不好不慎被铁板绊倒，造成面部轻微擦伤，医务室简单处理后正常上班</v>
      </c>
      <c r="E144" s="19" t="s">
        <v>779</v>
      </c>
      <c r="F144" s="25" t="s">
        <v>279</v>
      </c>
      <c r="G144" s="22" t="s">
        <v>77</v>
      </c>
      <c r="H144" s="19" t="s">
        <v>44</v>
      </c>
      <c r="I144" s="19" t="s">
        <v>90</v>
      </c>
      <c r="J144" s="19" t="s">
        <v>63</v>
      </c>
      <c r="K144" s="19" t="s">
        <v>199</v>
      </c>
      <c r="L144" s="19" t="s">
        <v>46</v>
      </c>
      <c r="M144" s="19" t="s">
        <v>75</v>
      </c>
      <c r="N144" s="19" t="s">
        <v>780</v>
      </c>
      <c r="O144" s="19"/>
      <c r="P144" s="19"/>
      <c r="Q144" s="19"/>
      <c r="R144" s="19" t="s">
        <v>781</v>
      </c>
      <c r="S144" s="19" t="s">
        <v>782</v>
      </c>
      <c r="T144" s="19" t="s">
        <v>68</v>
      </c>
      <c r="U144" s="19" t="s">
        <v>69</v>
      </c>
      <c r="V144" s="19" t="s">
        <v>70</v>
      </c>
      <c r="W144" s="19" t="s">
        <v>55</v>
      </c>
      <c r="X144" s="19"/>
      <c r="Y144" s="19"/>
      <c r="Z144" s="19"/>
      <c r="AA144" s="19">
        <v>0</v>
      </c>
      <c r="AB144" s="19"/>
      <c r="AC144" s="19" t="s">
        <v>266</v>
      </c>
      <c r="AD144" s="19"/>
      <c r="AE144" s="19"/>
      <c r="AF144" s="19"/>
    </row>
    <row r="145" spans="1:34">
      <c r="A145" s="19">
        <v>140</v>
      </c>
      <c r="B145" s="19" t="s">
        <v>306</v>
      </c>
      <c r="C145" s="19" t="s">
        <v>522</v>
      </c>
      <c r="D145" s="19" t="str">
        <f>HYPERLINK("http://henontech.com/fieldsafety/harzard/harzard_show.php?rid=3309&amp;url=harzardrecs.php","空压机过道铁板未清理，一操作工夜间巡检时由于视线不好不慎被铁板绊倒，造成面部轻微擦伤，医务室简单处理后正常上班")</f>
        <v>空压机过道铁板未清理，一操作工夜间巡检时由于视线不好不慎被铁板绊倒，造成面部轻微擦伤，医务室简单处理后正常上班</v>
      </c>
      <c r="E145" s="19" t="s">
        <v>783</v>
      </c>
      <c r="F145" s="20" t="s">
        <v>42</v>
      </c>
      <c r="G145" s="22" t="s">
        <v>77</v>
      </c>
      <c r="H145" s="19" t="s">
        <v>44</v>
      </c>
      <c r="I145" s="19" t="s">
        <v>90</v>
      </c>
      <c r="J145" s="19" t="s">
        <v>63</v>
      </c>
      <c r="K145" s="19" t="s">
        <v>199</v>
      </c>
      <c r="L145" s="19" t="s">
        <v>46</v>
      </c>
      <c r="M145" s="19" t="s">
        <v>75</v>
      </c>
      <c r="N145" s="19" t="s">
        <v>784</v>
      </c>
      <c r="O145" s="19" t="s">
        <v>75</v>
      </c>
      <c r="P145" s="19" t="s">
        <v>80</v>
      </c>
      <c r="Q145" s="19" t="s">
        <v>708</v>
      </c>
      <c r="R145" s="19" t="s">
        <v>781</v>
      </c>
      <c r="S145" s="19"/>
      <c r="T145" s="19" t="s">
        <v>68</v>
      </c>
      <c r="U145" s="19" t="s">
        <v>69</v>
      </c>
      <c r="V145" s="19" t="s">
        <v>70</v>
      </c>
      <c r="W145" s="19" t="s">
        <v>55</v>
      </c>
      <c r="X145" s="19"/>
      <c r="Y145" s="19"/>
      <c r="Z145" s="19" t="s">
        <v>785</v>
      </c>
      <c r="AA145" s="19">
        <v>1</v>
      </c>
      <c r="AB145" s="19">
        <v>1</v>
      </c>
      <c r="AC145" s="19" t="s">
        <v>58</v>
      </c>
      <c r="AD145" s="19" t="s">
        <v>80</v>
      </c>
      <c r="AE145" s="19" t="s">
        <v>591</v>
      </c>
      <c r="AF145" s="19"/>
    </row>
    <row r="146" spans="1:34" customHeight="1" ht="42">
      <c r="A146" s="19">
        <v>141</v>
      </c>
      <c r="B146" s="19" t="s">
        <v>748</v>
      </c>
      <c r="C146" s="19" t="s">
        <v>314</v>
      </c>
      <c r="D146" s="19" t="str">
        <f>HYPERLINK("http://henontech.com/fieldsafety/harzard/harzard_show.php?rid=3310&amp;url=harzardrecs.php","西五南侧水沟篦子掉落，一员工夜间巡检时造成轻微伤害事故")</f>
        <v>西五南侧水沟篦子掉落，一员工夜间巡检时造成轻微伤害事故</v>
      </c>
      <c r="E146" s="19" t="s">
        <v>786</v>
      </c>
      <c r="F146" s="20" t="s">
        <v>42</v>
      </c>
      <c r="G146" s="22" t="s">
        <v>77</v>
      </c>
      <c r="H146" s="19" t="s">
        <v>44</v>
      </c>
      <c r="I146" s="19" t="s">
        <v>45</v>
      </c>
      <c r="J146" s="19" t="s">
        <v>198</v>
      </c>
      <c r="K146" s="19" t="s">
        <v>138</v>
      </c>
      <c r="L146" s="19" t="s">
        <v>46</v>
      </c>
      <c r="M146" s="19" t="s">
        <v>210</v>
      </c>
      <c r="N146" s="19" t="s">
        <v>695</v>
      </c>
      <c r="O146" s="19" t="s">
        <v>210</v>
      </c>
      <c r="P146" s="19" t="s">
        <v>212</v>
      </c>
      <c r="Q146" s="19" t="s">
        <v>787</v>
      </c>
      <c r="R146" s="19" t="s">
        <v>788</v>
      </c>
      <c r="S146" s="19"/>
      <c r="T146" s="19" t="s">
        <v>68</v>
      </c>
      <c r="U146" s="19" t="s">
        <v>69</v>
      </c>
      <c r="V146" s="19" t="s">
        <v>70</v>
      </c>
      <c r="W146" s="19" t="s">
        <v>55</v>
      </c>
      <c r="X146" s="19" t="s">
        <v>204</v>
      </c>
      <c r="Y146" s="19" t="s">
        <v>204</v>
      </c>
      <c r="Z146" s="19" t="s">
        <v>789</v>
      </c>
      <c r="AA146" s="19">
        <v>2</v>
      </c>
      <c r="AB146" s="19">
        <v>2</v>
      </c>
      <c r="AC146" s="19" t="s">
        <v>58</v>
      </c>
      <c r="AD146" s="19" t="s">
        <v>212</v>
      </c>
      <c r="AE146" s="19" t="s">
        <v>86</v>
      </c>
      <c r="AF146" s="19"/>
    </row>
    <row r="147" spans="1:34">
      <c r="A147" s="19">
        <v>142</v>
      </c>
      <c r="B147" s="19" t="s">
        <v>748</v>
      </c>
      <c r="C147" s="19" t="s">
        <v>790</v>
      </c>
      <c r="D147" s="19" t="str">
        <f>HYPERLINK("http://henontech.com/fieldsafety/harzard/harzard_show.php?rid=3312&amp;url=harzardrecs.php","中控室玻璃压条松动脱落导致玻璃坠落，一人从下方经过时，玻璃碎片擦伤肩部，送医包扎，在家修养7天后复工。")</f>
        <v>中控室玻璃压条松动脱落导致玻璃坠落，一人从下方经过时，玻璃碎片擦伤肩部，送医包扎，在家修养7天后复工。</v>
      </c>
      <c r="E147" s="19" t="s">
        <v>791</v>
      </c>
      <c r="F147" s="20" t="s">
        <v>42</v>
      </c>
      <c r="G147" s="22" t="s">
        <v>77</v>
      </c>
      <c r="H147" s="19" t="s">
        <v>44</v>
      </c>
      <c r="I147" s="19" t="s">
        <v>45</v>
      </c>
      <c r="J147" s="19" t="s">
        <v>63</v>
      </c>
      <c r="K147" s="19" t="s">
        <v>64</v>
      </c>
      <c r="L147" s="19" t="s">
        <v>46</v>
      </c>
      <c r="M147" s="19" t="s">
        <v>75</v>
      </c>
      <c r="N147" s="19" t="s">
        <v>792</v>
      </c>
      <c r="O147" s="19" t="s">
        <v>75</v>
      </c>
      <c r="P147" s="19" t="s">
        <v>80</v>
      </c>
      <c r="Q147" s="19" t="s">
        <v>708</v>
      </c>
      <c r="R147" s="19" t="s">
        <v>790</v>
      </c>
      <c r="S147" s="19"/>
      <c r="T147" s="19" t="s">
        <v>68</v>
      </c>
      <c r="U147" s="19" t="s">
        <v>96</v>
      </c>
      <c r="V147" s="19" t="s">
        <v>182</v>
      </c>
      <c r="W147" s="19" t="s">
        <v>162</v>
      </c>
      <c r="X147" s="19"/>
      <c r="Y147" s="19"/>
      <c r="Z147" s="19" t="s">
        <v>793</v>
      </c>
      <c r="AA147" s="19">
        <v>1</v>
      </c>
      <c r="AB147" s="19">
        <v>1</v>
      </c>
      <c r="AC147" s="19" t="s">
        <v>58</v>
      </c>
      <c r="AD147" s="19" t="s">
        <v>80</v>
      </c>
      <c r="AE147" s="19" t="s">
        <v>591</v>
      </c>
      <c r="AF147" s="19"/>
    </row>
    <row r="148" spans="1:34">
      <c r="A148" s="19">
        <v>143</v>
      </c>
      <c r="B148" s="19" t="s">
        <v>585</v>
      </c>
      <c r="C148" s="19" t="s">
        <v>794</v>
      </c>
      <c r="D148" s="19" t="str">
        <f>HYPERLINK("http://henontech.com/fieldsafety/harzard/harzard_show.php?rid=3314&amp;url=harzardrecs.php","压滤机房排水沟盖板缺失，一操作工清理卫生时右脚不慎掉入地沟，造成右脚扭伤，就医，因脚踝扭伤肿胀需休养三天。")</f>
        <v>压滤机房排水沟盖板缺失，一操作工清理卫生时右脚不慎掉入地沟，造成右脚扭伤，就医，因脚踝扭伤肿胀需休养三天。</v>
      </c>
      <c r="E148" s="19" t="s">
        <v>795</v>
      </c>
      <c r="F148" s="20" t="s">
        <v>42</v>
      </c>
      <c r="G148" s="22" t="s">
        <v>77</v>
      </c>
      <c r="H148" s="19" t="s">
        <v>44</v>
      </c>
      <c r="I148" s="19" t="s">
        <v>90</v>
      </c>
      <c r="J148" s="19" t="s">
        <v>63</v>
      </c>
      <c r="K148" s="19" t="s">
        <v>64</v>
      </c>
      <c r="L148" s="19"/>
      <c r="M148" s="19" t="s">
        <v>345</v>
      </c>
      <c r="N148" s="19" t="s">
        <v>796</v>
      </c>
      <c r="O148" s="19" t="s">
        <v>345</v>
      </c>
      <c r="P148" s="19" t="s">
        <v>347</v>
      </c>
      <c r="Q148" s="19" t="s">
        <v>772</v>
      </c>
      <c r="R148" s="19" t="s">
        <v>797</v>
      </c>
      <c r="S148" s="19"/>
      <c r="T148" s="19" t="s">
        <v>68</v>
      </c>
      <c r="U148" s="19" t="s">
        <v>96</v>
      </c>
      <c r="V148" s="19" t="s">
        <v>182</v>
      </c>
      <c r="W148" s="19" t="s">
        <v>162</v>
      </c>
      <c r="X148" s="19" t="s">
        <v>98</v>
      </c>
      <c r="Y148" s="19" t="s">
        <v>98</v>
      </c>
      <c r="Z148" s="19" t="s">
        <v>798</v>
      </c>
      <c r="AA148" s="19">
        <v>1</v>
      </c>
      <c r="AB148" s="19">
        <v>1</v>
      </c>
      <c r="AC148" s="19" t="s">
        <v>58</v>
      </c>
      <c r="AD148" s="19" t="s">
        <v>347</v>
      </c>
      <c r="AE148" s="19" t="s">
        <v>506</v>
      </c>
      <c r="AF148" s="19"/>
    </row>
    <row r="149" spans="1:34" customHeight="1" ht="42">
      <c r="A149" s="19">
        <v>144</v>
      </c>
      <c r="B149" s="19" t="s">
        <v>585</v>
      </c>
      <c r="C149" s="19" t="s">
        <v>799</v>
      </c>
      <c r="D149" s="19" t="str">
        <f>HYPERLINK("http://henontech.com/fieldsafety/harzard/harzard_show.php?rid=3317&amp;url=harzardrecs.php","空压机房东电缆桥架盖板突然坠落，如果一巡检工巡检至此，造成左手臂砸伤，送医院就医后复工，无损工")</f>
        <v>空压机房东电缆桥架盖板突然坠落，如果一巡检工巡检至此，造成左手臂砸伤，送医院就医后复工，无损工</v>
      </c>
      <c r="E149" s="19" t="s">
        <v>800</v>
      </c>
      <c r="F149" s="20" t="s">
        <v>42</v>
      </c>
      <c r="G149" s="22" t="s">
        <v>77</v>
      </c>
      <c r="H149" s="19" t="s">
        <v>44</v>
      </c>
      <c r="I149" s="19" t="s">
        <v>115</v>
      </c>
      <c r="J149" s="19" t="s">
        <v>63</v>
      </c>
      <c r="K149" s="19" t="s">
        <v>64</v>
      </c>
      <c r="L149" s="19" t="s">
        <v>46</v>
      </c>
      <c r="M149" s="19" t="s">
        <v>91</v>
      </c>
      <c r="N149" s="19" t="s">
        <v>801</v>
      </c>
      <c r="O149" s="19" t="s">
        <v>91</v>
      </c>
      <c r="P149" s="19" t="s">
        <v>151</v>
      </c>
      <c r="Q149" s="19" t="s">
        <v>772</v>
      </c>
      <c r="R149" s="19" t="s">
        <v>802</v>
      </c>
      <c r="S149" s="19"/>
      <c r="T149" s="19" t="s">
        <v>68</v>
      </c>
      <c r="U149" s="19" t="s">
        <v>69</v>
      </c>
      <c r="V149" s="19" t="s">
        <v>70</v>
      </c>
      <c r="W149" s="19" t="s">
        <v>55</v>
      </c>
      <c r="X149" s="19" t="s">
        <v>98</v>
      </c>
      <c r="Y149" s="19" t="s">
        <v>98</v>
      </c>
      <c r="Z149" s="19" t="s">
        <v>803</v>
      </c>
      <c r="AA149" s="19">
        <v>2</v>
      </c>
      <c r="AB149" s="19">
        <v>2</v>
      </c>
      <c r="AC149" s="19" t="s">
        <v>58</v>
      </c>
      <c r="AD149" s="19" t="s">
        <v>151</v>
      </c>
      <c r="AE149" s="19" t="s">
        <v>100</v>
      </c>
      <c r="AF149" s="19" t="s">
        <v>804</v>
      </c>
    </row>
    <row r="150" spans="1:34">
      <c r="A150" s="19">
        <v>145</v>
      </c>
      <c r="B150" s="19" t="s">
        <v>585</v>
      </c>
      <c r="C150" s="19" t="s">
        <v>235</v>
      </c>
      <c r="D150" s="19" t="str">
        <f>HYPERLINK("http://henontech.com/fieldsafety/harzard/harzard_show.php?rid=3319&amp;url=harzardrecs.php","粗苯南管式炉蒸汽平台铝皮未清理，如果大风天气，一名巡检工从下部经过，铝皮掉落砸到巡检工身上，经送医诊断，巡检工肩部轻微伤")</f>
        <v>粗苯南管式炉蒸汽平台铝皮未清理，如果大风天气，一名巡检工从下部经过，铝皮掉落砸到巡检工身上，经送医诊断，巡检工肩部轻微伤</v>
      </c>
      <c r="E150" s="19" t="s">
        <v>805</v>
      </c>
      <c r="F150" s="20" t="s">
        <v>42</v>
      </c>
      <c r="G150" s="22" t="s">
        <v>77</v>
      </c>
      <c r="H150" s="19" t="s">
        <v>44</v>
      </c>
      <c r="I150" s="19" t="s">
        <v>115</v>
      </c>
      <c r="J150" s="19" t="s">
        <v>78</v>
      </c>
      <c r="K150" s="19" t="s">
        <v>138</v>
      </c>
      <c r="L150" s="19" t="s">
        <v>46</v>
      </c>
      <c r="M150" s="19" t="s">
        <v>75</v>
      </c>
      <c r="N150" s="19" t="s">
        <v>806</v>
      </c>
      <c r="O150" s="19" t="s">
        <v>75</v>
      </c>
      <c r="P150" s="19" t="s">
        <v>80</v>
      </c>
      <c r="Q150" s="19" t="s">
        <v>708</v>
      </c>
      <c r="R150" s="19" t="s">
        <v>807</v>
      </c>
      <c r="S150" s="19"/>
      <c r="T150" s="19" t="s">
        <v>68</v>
      </c>
      <c r="U150" s="19" t="s">
        <v>96</v>
      </c>
      <c r="V150" s="19" t="s">
        <v>70</v>
      </c>
      <c r="W150" s="19" t="s">
        <v>97</v>
      </c>
      <c r="X150" s="19"/>
      <c r="Y150" s="19"/>
      <c r="Z150" s="19" t="s">
        <v>808</v>
      </c>
      <c r="AA150" s="19">
        <v>1</v>
      </c>
      <c r="AB150" s="19">
        <v>1</v>
      </c>
      <c r="AC150" s="19" t="s">
        <v>58</v>
      </c>
      <c r="AD150" s="19" t="s">
        <v>80</v>
      </c>
      <c r="AE150" s="19" t="s">
        <v>122</v>
      </c>
      <c r="AF150" s="19"/>
    </row>
    <row r="151" spans="1:34">
      <c r="A151" s="19">
        <v>146</v>
      </c>
      <c r="B151" s="19" t="s">
        <v>585</v>
      </c>
      <c r="C151" s="19" t="s">
        <v>245</v>
      </c>
      <c r="D151" s="19" t="str">
        <f>HYPERLINK("http://henontech.com/fieldsafety/harzard/harzard_show.php?rid=3320&amp;url=harzardrecs.php","西硫铵更换砲合器场地物料杂乱，无明显警示标志，一名职工从此处经过时被杂物绊倒，造成面部轻微擦伤，到医务室简单处理后正常上班。")</f>
        <v>西硫铵更换砲合器场地物料杂乱，无明显警示标志，一名职工从此处经过时被杂物绊倒，造成面部轻微擦伤，到医务室简单处理后正常上班。</v>
      </c>
      <c r="E151" s="19" t="s">
        <v>809</v>
      </c>
      <c r="F151" s="20" t="s">
        <v>42</v>
      </c>
      <c r="G151" s="22" t="s">
        <v>77</v>
      </c>
      <c r="H151" s="19" t="s">
        <v>44</v>
      </c>
      <c r="I151" s="19"/>
      <c r="J151" s="19" t="s">
        <v>105</v>
      </c>
      <c r="K151" s="19" t="s">
        <v>138</v>
      </c>
      <c r="L151" s="19" t="s">
        <v>46</v>
      </c>
      <c r="M151" s="19" t="s">
        <v>75</v>
      </c>
      <c r="N151" s="19" t="s">
        <v>810</v>
      </c>
      <c r="O151" s="19" t="s">
        <v>75</v>
      </c>
      <c r="P151" s="19" t="s">
        <v>80</v>
      </c>
      <c r="Q151" s="19" t="s">
        <v>708</v>
      </c>
      <c r="R151" s="19" t="s">
        <v>811</v>
      </c>
      <c r="S151" s="19"/>
      <c r="T151" s="19" t="s">
        <v>68</v>
      </c>
      <c r="U151" s="19" t="s">
        <v>69</v>
      </c>
      <c r="V151" s="19" t="s">
        <v>182</v>
      </c>
      <c r="W151" s="19" t="s">
        <v>97</v>
      </c>
      <c r="X151" s="19"/>
      <c r="Y151" s="19"/>
      <c r="Z151" s="19" t="s">
        <v>812</v>
      </c>
      <c r="AA151" s="19">
        <v>1</v>
      </c>
      <c r="AB151" s="19">
        <v>1</v>
      </c>
      <c r="AC151" s="19" t="s">
        <v>58</v>
      </c>
      <c r="AD151" s="19" t="s">
        <v>80</v>
      </c>
      <c r="AE151" s="19" t="s">
        <v>122</v>
      </c>
      <c r="AF151" s="19"/>
    </row>
    <row r="152" spans="1:34">
      <c r="A152" s="19">
        <v>147</v>
      </c>
      <c r="B152" s="19" t="s">
        <v>86</v>
      </c>
      <c r="C152" s="19" t="s">
        <v>813</v>
      </c>
      <c r="D152" s="19" t="str">
        <f>HYPERLINK("http://henontech.com/fieldsafety/harzard/harzard_show.php?rid=3321&amp;url=harzardrecs.php","粗苯东管架上有废弃的电线，铁管等杂物，假如一操作工巡检经过时，由于大风导致铁管从框架上坠落砸伤一名操作工左肩肩部造成轻微砸伤，送医检查后继续上班，无损工")</f>
        <v>粗苯东管架上有废弃的电线，铁管等杂物，假如一操作工巡检经过时，由于大风导致铁管从框架上坠落砸伤一名操作工左肩肩部造成轻微砸伤，送医检查后继续上班，无损工</v>
      </c>
      <c r="E152" s="19" t="s">
        <v>814</v>
      </c>
      <c r="F152" s="20" t="s">
        <v>42</v>
      </c>
      <c r="G152" s="22" t="s">
        <v>77</v>
      </c>
      <c r="H152" s="19" t="s">
        <v>44</v>
      </c>
      <c r="I152" s="19" t="s">
        <v>90</v>
      </c>
      <c r="J152" s="19" t="s">
        <v>198</v>
      </c>
      <c r="K152" s="19" t="s">
        <v>199</v>
      </c>
      <c r="L152" s="19" t="s">
        <v>46</v>
      </c>
      <c r="M152" s="19" t="s">
        <v>75</v>
      </c>
      <c r="N152" s="19" t="s">
        <v>815</v>
      </c>
      <c r="O152" s="19" t="s">
        <v>75</v>
      </c>
      <c r="P152" s="19" t="s">
        <v>80</v>
      </c>
      <c r="Q152" s="19" t="s">
        <v>708</v>
      </c>
      <c r="R152" s="19" t="s">
        <v>816</v>
      </c>
      <c r="S152" s="19"/>
      <c r="T152" s="19" t="s">
        <v>68</v>
      </c>
      <c r="U152" s="19" t="s">
        <v>69</v>
      </c>
      <c r="V152" s="19" t="s">
        <v>70</v>
      </c>
      <c r="W152" s="19" t="s">
        <v>55</v>
      </c>
      <c r="X152" s="19"/>
      <c r="Y152" s="19"/>
      <c r="Z152" s="19" t="s">
        <v>817</v>
      </c>
      <c r="AA152" s="19">
        <v>1</v>
      </c>
      <c r="AB152" s="19">
        <v>1</v>
      </c>
      <c r="AC152" s="19" t="s">
        <v>58</v>
      </c>
      <c r="AD152" s="19" t="s">
        <v>80</v>
      </c>
      <c r="AE152" s="19" t="s">
        <v>122</v>
      </c>
      <c r="AF152" s="19"/>
    </row>
    <row r="153" spans="1:34">
      <c r="A153" s="19">
        <v>148</v>
      </c>
      <c r="B153" s="19" t="s">
        <v>585</v>
      </c>
      <c r="C153" s="19" t="s">
        <v>799</v>
      </c>
      <c r="D153" s="19" t="str">
        <f>HYPERLINK("http://henontech.com/fieldsafety/harzard/harzard_show.php?rid=3322&amp;url=harzardrecs.php","电仪人员维修设备电源模块时如果未做好断电措施，可能发生人员手臂触电，须送医院救治")</f>
        <v>电仪人员维修设备电源模块时如果未做好断电措施，可能发生人员手臂触电，须送医院救治</v>
      </c>
      <c r="E153" s="19" t="s">
        <v>818</v>
      </c>
      <c r="F153" s="26" t="s">
        <v>554</v>
      </c>
      <c r="G153" s="19"/>
      <c r="H153" s="19" t="s">
        <v>44</v>
      </c>
      <c r="I153" s="19" t="s">
        <v>115</v>
      </c>
      <c r="J153" s="19" t="s">
        <v>148</v>
      </c>
      <c r="K153" s="19" t="s">
        <v>199</v>
      </c>
      <c r="L153" s="19" t="s">
        <v>46</v>
      </c>
      <c r="M153" s="19" t="s">
        <v>91</v>
      </c>
      <c r="N153" s="19" t="s">
        <v>819</v>
      </c>
      <c r="O153" s="19"/>
      <c r="P153" s="19"/>
      <c r="Q153" s="19"/>
      <c r="R153" s="19" t="s">
        <v>820</v>
      </c>
      <c r="S153" s="19"/>
      <c r="T153" s="19" t="s">
        <v>68</v>
      </c>
      <c r="U153" s="19" t="s">
        <v>69</v>
      </c>
      <c r="V153" s="19" t="s">
        <v>182</v>
      </c>
      <c r="W153" s="19" t="s">
        <v>97</v>
      </c>
      <c r="X153" s="19"/>
      <c r="Y153" s="19"/>
      <c r="Z153" s="19"/>
      <c r="AA153" s="19"/>
      <c r="AB153" s="19"/>
      <c r="AC153" s="19" t="s">
        <v>266</v>
      </c>
      <c r="AD153" s="19"/>
      <c r="AE153" s="19"/>
      <c r="AF153" s="19"/>
    </row>
    <row r="154" spans="1:34">
      <c r="A154" s="19">
        <v>149</v>
      </c>
      <c r="B154" s="19" t="s">
        <v>86</v>
      </c>
      <c r="C154" s="19" t="s">
        <v>503</v>
      </c>
      <c r="D154" s="19" t="str">
        <f>HYPERLINK("http://henontech.com/fieldsafety/harzard/harzard_show.php?rid=3323&amp;url=harzardrecs.php","卸酸碱槽棚顶玻璃钢瓦被大风刮起脱落，一操作工巡检到此处时未发现被玻璃钢瓦砸中背部，造成背部划伤，送医护室简单处理后在家休息两天复工。")</f>
        <v>卸酸碱槽棚顶玻璃钢瓦被大风刮起脱落，一操作工巡检到此处时未发现被玻璃钢瓦砸中背部，造成背部划伤，送医护室简单处理后在家休息两天复工。</v>
      </c>
      <c r="E154" s="19" t="s">
        <v>821</v>
      </c>
      <c r="F154" s="20" t="s">
        <v>42</v>
      </c>
      <c r="G154" s="22" t="s">
        <v>77</v>
      </c>
      <c r="H154" s="19" t="s">
        <v>44</v>
      </c>
      <c r="I154" s="19" t="s">
        <v>45</v>
      </c>
      <c r="J154" s="19" t="s">
        <v>63</v>
      </c>
      <c r="K154" s="19" t="s">
        <v>138</v>
      </c>
      <c r="L154" s="19" t="s">
        <v>46</v>
      </c>
      <c r="M154" s="19" t="s">
        <v>75</v>
      </c>
      <c r="N154" s="19" t="s">
        <v>822</v>
      </c>
      <c r="O154" s="19" t="s">
        <v>75</v>
      </c>
      <c r="P154" s="19" t="s">
        <v>80</v>
      </c>
      <c r="Q154" s="19" t="s">
        <v>708</v>
      </c>
      <c r="R154" s="19" t="s">
        <v>823</v>
      </c>
      <c r="S154" s="19"/>
      <c r="T154" s="19" t="s">
        <v>68</v>
      </c>
      <c r="U154" s="19" t="s">
        <v>96</v>
      </c>
      <c r="V154" s="19" t="s">
        <v>70</v>
      </c>
      <c r="W154" s="19" t="s">
        <v>97</v>
      </c>
      <c r="X154" s="19"/>
      <c r="Y154" s="19"/>
      <c r="Z154" s="19" t="s">
        <v>824</v>
      </c>
      <c r="AA154" s="19">
        <v>1</v>
      </c>
      <c r="AB154" s="19">
        <v>1</v>
      </c>
      <c r="AC154" s="19" t="s">
        <v>58</v>
      </c>
      <c r="AD154" s="19" t="s">
        <v>80</v>
      </c>
      <c r="AE154" s="19" t="s">
        <v>825</v>
      </c>
      <c r="AF154" s="19"/>
    </row>
    <row r="155" spans="1:34">
      <c r="A155" s="19">
        <v>150</v>
      </c>
      <c r="B155" s="19" t="s">
        <v>585</v>
      </c>
      <c r="C155" s="19" t="s">
        <v>124</v>
      </c>
      <c r="D155" s="19" t="str">
        <f>HYPERLINK("http://henontech.com/fieldsafety/harzard/harzard_show.php?rid=3324&amp;url=harzardrecs.php","一巡检人员巡检至5号减温减压一层平台时，由于护栏底部腐蚀断裂，巡检人员扶空，导致从3米高平台坠落至地面，送医治疗。")</f>
        <v>一巡检人员巡检至5号减温减压一层平台时，由于护栏底部腐蚀断裂，巡检人员扶空，导致从3米高平台坠落至地面，送医治疗。</v>
      </c>
      <c r="E155" s="19" t="s">
        <v>826</v>
      </c>
      <c r="F155" s="24" t="s">
        <v>260</v>
      </c>
      <c r="G155" s="22" t="s">
        <v>77</v>
      </c>
      <c r="H155" s="19" t="s">
        <v>44</v>
      </c>
      <c r="I155" s="19" t="s">
        <v>90</v>
      </c>
      <c r="J155" s="19" t="s">
        <v>63</v>
      </c>
      <c r="K155" s="19" t="s">
        <v>186</v>
      </c>
      <c r="L155" s="19" t="s">
        <v>46</v>
      </c>
      <c r="M155" s="19" t="s">
        <v>47</v>
      </c>
      <c r="N155" s="19" t="s">
        <v>127</v>
      </c>
      <c r="O155" s="19" t="s">
        <v>47</v>
      </c>
      <c r="P155" s="19" t="s">
        <v>140</v>
      </c>
      <c r="Q155" s="19" t="s">
        <v>517</v>
      </c>
      <c r="R155" s="19" t="s">
        <v>827</v>
      </c>
      <c r="S155" s="19" t="s">
        <v>828</v>
      </c>
      <c r="T155" s="19" t="s">
        <v>68</v>
      </c>
      <c r="U155" s="19" t="s">
        <v>96</v>
      </c>
      <c r="V155" s="19" t="s">
        <v>54</v>
      </c>
      <c r="W155" s="19" t="s">
        <v>120</v>
      </c>
      <c r="X155" s="19" t="s">
        <v>98</v>
      </c>
      <c r="Y155" s="19"/>
      <c r="Z155" s="19" t="s">
        <v>829</v>
      </c>
      <c r="AA155" s="19">
        <v>1</v>
      </c>
      <c r="AB155" s="19"/>
      <c r="AC155" s="19" t="s">
        <v>266</v>
      </c>
      <c r="AD155" s="19"/>
      <c r="AE155" s="19"/>
      <c r="AF155" s="19"/>
    </row>
    <row r="156" spans="1:34">
      <c r="A156" s="19">
        <v>151</v>
      </c>
      <c r="B156" s="19" t="s">
        <v>190</v>
      </c>
      <c r="C156" s="19" t="s">
        <v>830</v>
      </c>
      <c r="D156" s="19" t="str">
        <f>HYPERLINK("http://henontech.com/fieldsafety/harzard/harzard_show.php?rid=3326&amp;url=harzardrecs.php","预处理混合池护栏开焊，一操作工夜间巡检时被管道绊倒从护栏开焊处3米平台跌下地面，造成右手臂骨折，右脚踝脱臼，送至医院救治住院20天在家修养3个月。")</f>
        <v>预处理混合池护栏开焊，一操作工夜间巡检时被管道绊倒从护栏开焊处3米平台跌下地面，造成右手臂骨折，右脚踝脱臼，送至医院救治住院20天在家修养3个月。</v>
      </c>
      <c r="E156" s="19" t="s">
        <v>831</v>
      </c>
      <c r="F156" s="20" t="s">
        <v>42</v>
      </c>
      <c r="G156" s="22" t="s">
        <v>77</v>
      </c>
      <c r="H156" s="19" t="s">
        <v>44</v>
      </c>
      <c r="I156" s="19" t="s">
        <v>90</v>
      </c>
      <c r="J156" s="19" t="s">
        <v>105</v>
      </c>
      <c r="K156" s="19"/>
      <c r="L156" s="19"/>
      <c r="M156" s="19" t="s">
        <v>345</v>
      </c>
      <c r="N156" s="19" t="s">
        <v>832</v>
      </c>
      <c r="O156" s="19" t="s">
        <v>345</v>
      </c>
      <c r="P156" s="19" t="s">
        <v>347</v>
      </c>
      <c r="Q156" s="19" t="s">
        <v>833</v>
      </c>
      <c r="R156" s="19" t="s">
        <v>834</v>
      </c>
      <c r="S156" s="19"/>
      <c r="T156" s="19" t="s">
        <v>68</v>
      </c>
      <c r="U156" s="19" t="s">
        <v>96</v>
      </c>
      <c r="V156" s="19" t="s">
        <v>182</v>
      </c>
      <c r="W156" s="19" t="s">
        <v>162</v>
      </c>
      <c r="X156" s="19" t="s">
        <v>98</v>
      </c>
      <c r="Y156" s="19" t="s">
        <v>98</v>
      </c>
      <c r="Z156" s="19" t="s">
        <v>835</v>
      </c>
      <c r="AA156" s="19">
        <v>1</v>
      </c>
      <c r="AB156" s="19">
        <v>1</v>
      </c>
      <c r="AC156" s="19" t="s">
        <v>58</v>
      </c>
      <c r="AD156" s="19" t="s">
        <v>347</v>
      </c>
      <c r="AE156" s="19" t="s">
        <v>351</v>
      </c>
      <c r="AF156" s="19"/>
    </row>
    <row r="157" spans="1:34">
      <c r="A157" s="19">
        <v>152</v>
      </c>
      <c r="B157" s="19" t="s">
        <v>86</v>
      </c>
      <c r="C157" s="19" t="s">
        <v>245</v>
      </c>
      <c r="D157" s="19" t="str">
        <f>HYPERLINK("http://henontech.com/fieldsafety/harzard/harzard_show.php?rid=3327&amp;url=harzardrecs.php","饱和器大母液泵反冲管管节腐蚀有漏点，若在中加酸时，母液温度过高容易造成pE管节断裂，一旦操作工从旁经过会造成使腿部灼伤，送医院治疗，休养三天。")</f>
        <v>饱和器大母液泵反冲管管节腐蚀有漏点，若在中加酸时，母液温度过高容易造成pE管节断裂，一旦操作工从旁经过会造成使腿部灼伤，送医院治疗，休养三天。</v>
      </c>
      <c r="E157" s="19" t="s">
        <v>836</v>
      </c>
      <c r="F157" s="20" t="s">
        <v>42</v>
      </c>
      <c r="G157" s="22" t="s">
        <v>77</v>
      </c>
      <c r="H157" s="19" t="s">
        <v>44</v>
      </c>
      <c r="I157" s="19" t="s">
        <v>90</v>
      </c>
      <c r="J157" s="19" t="s">
        <v>63</v>
      </c>
      <c r="K157" s="19" t="s">
        <v>138</v>
      </c>
      <c r="L157" s="19" t="s">
        <v>46</v>
      </c>
      <c r="M157" s="19" t="s">
        <v>75</v>
      </c>
      <c r="N157" s="19" t="s">
        <v>837</v>
      </c>
      <c r="O157" s="19" t="s">
        <v>75</v>
      </c>
      <c r="P157" s="19" t="s">
        <v>80</v>
      </c>
      <c r="Q157" s="19" t="s">
        <v>708</v>
      </c>
      <c r="R157" s="19" t="s">
        <v>838</v>
      </c>
      <c r="S157" s="19"/>
      <c r="T157" s="19" t="s">
        <v>68</v>
      </c>
      <c r="U157" s="19" t="s">
        <v>96</v>
      </c>
      <c r="V157" s="19" t="s">
        <v>70</v>
      </c>
      <c r="W157" s="19" t="s">
        <v>97</v>
      </c>
      <c r="X157" s="19"/>
      <c r="Y157" s="19"/>
      <c r="Z157" s="19" t="s">
        <v>839</v>
      </c>
      <c r="AA157" s="19">
        <v>1</v>
      </c>
      <c r="AB157" s="19">
        <v>1</v>
      </c>
      <c r="AC157" s="19" t="s">
        <v>58</v>
      </c>
      <c r="AD157" s="19" t="s">
        <v>80</v>
      </c>
      <c r="AE157" s="19" t="s">
        <v>217</v>
      </c>
      <c r="AF157" s="19"/>
    </row>
    <row r="158" spans="1:34" customHeight="1" ht="63">
      <c r="A158" s="19">
        <v>153</v>
      </c>
      <c r="B158" s="19" t="s">
        <v>190</v>
      </c>
      <c r="C158" s="19" t="s">
        <v>314</v>
      </c>
      <c r="D158" s="19" t="str">
        <f>HYPERLINK("http://henontech.com/fieldsafety/harzard/harzard_show.php?rid=3328&amp;url=harzardrecs.php","岗位人员在冲洗完拖把，违规将其挂在外部平台护栏上晾晒时，不慎从手中脱落于下方15米处员工头部的安全帽上，造成该员工颈部不适，送医确诊为颈椎轻微损伤，随后回岗位继续工作。")</f>
        <v>岗位人员在冲洗完拖把，违规将其挂在外部平台护栏上晾晒时，不慎从手中脱落于下方15米处员工头部的安全帽上，造成该员工颈部不适，送医确诊为颈椎轻微损伤，随后回岗位继续工作。</v>
      </c>
      <c r="E158" s="19" t="s">
        <v>840</v>
      </c>
      <c r="F158" s="20" t="s">
        <v>42</v>
      </c>
      <c r="G158" s="21" t="s">
        <v>43</v>
      </c>
      <c r="H158" s="19" t="s">
        <v>841</v>
      </c>
      <c r="I158" s="19" t="s">
        <v>115</v>
      </c>
      <c r="J158" s="19" t="s">
        <v>78</v>
      </c>
      <c r="K158" s="19" t="s">
        <v>138</v>
      </c>
      <c r="L158" s="19" t="s">
        <v>484</v>
      </c>
      <c r="M158" s="19" t="s">
        <v>210</v>
      </c>
      <c r="N158" s="19" t="s">
        <v>416</v>
      </c>
      <c r="O158" s="19" t="s">
        <v>210</v>
      </c>
      <c r="P158" s="19" t="s">
        <v>416</v>
      </c>
      <c r="Q158" s="19" t="s">
        <v>100</v>
      </c>
      <c r="R158" s="19" t="s">
        <v>842</v>
      </c>
      <c r="S158" s="19"/>
      <c r="T158" s="19" t="s">
        <v>68</v>
      </c>
      <c r="U158" s="19" t="s">
        <v>69</v>
      </c>
      <c r="V158" s="19" t="s">
        <v>182</v>
      </c>
      <c r="W158" s="19" t="s">
        <v>97</v>
      </c>
      <c r="X158" s="19"/>
      <c r="Y158" s="19"/>
      <c r="Z158" s="19" t="s">
        <v>843</v>
      </c>
      <c r="AA158" s="19">
        <v>3</v>
      </c>
      <c r="AB158" s="19">
        <v>3</v>
      </c>
      <c r="AC158" s="19" t="s">
        <v>58</v>
      </c>
      <c r="AD158" s="19" t="s">
        <v>416</v>
      </c>
      <c r="AE158" s="19" t="s">
        <v>100</v>
      </c>
      <c r="AF158" s="19"/>
    </row>
    <row r="159" spans="1:34">
      <c r="A159" s="19">
        <v>154</v>
      </c>
      <c r="B159" s="19" t="s">
        <v>190</v>
      </c>
      <c r="C159" s="19" t="s">
        <v>124</v>
      </c>
      <c r="D159" s="19" t="str">
        <f>HYPERLINK("http://henontech.com/fieldsafety/harzard/harzard_show.php?rid=3329&amp;url=harzardrecs.php","一人员行至二楼爬梯时，由于护栏开焊断裂，巡检人员扶空左腿失去重心滑倒跌至二楼平台，送医治疗。")</f>
        <v>一人员行至二楼爬梯时，由于护栏开焊断裂，巡检人员扶空左腿失去重心滑倒跌至二楼平台，送医治疗。</v>
      </c>
      <c r="E159" s="19" t="s">
        <v>844</v>
      </c>
      <c r="F159" s="24" t="s">
        <v>260</v>
      </c>
      <c r="G159" s="22" t="s">
        <v>77</v>
      </c>
      <c r="H159" s="19" t="s">
        <v>44</v>
      </c>
      <c r="I159" s="19" t="s">
        <v>90</v>
      </c>
      <c r="J159" s="19" t="s">
        <v>105</v>
      </c>
      <c r="K159" s="19"/>
      <c r="L159" s="19"/>
      <c r="M159" s="19" t="s">
        <v>47</v>
      </c>
      <c r="N159" s="19" t="s">
        <v>845</v>
      </c>
      <c r="O159" s="19" t="s">
        <v>47</v>
      </c>
      <c r="P159" s="19" t="s">
        <v>140</v>
      </c>
      <c r="Q159" s="19" t="s">
        <v>458</v>
      </c>
      <c r="R159" s="19" t="s">
        <v>846</v>
      </c>
      <c r="S159" s="19" t="s">
        <v>847</v>
      </c>
      <c r="T159" s="19" t="s">
        <v>68</v>
      </c>
      <c r="U159" s="19" t="s">
        <v>69</v>
      </c>
      <c r="V159" s="19" t="s">
        <v>182</v>
      </c>
      <c r="W159" s="19" t="s">
        <v>97</v>
      </c>
      <c r="X159" s="19" t="s">
        <v>98</v>
      </c>
      <c r="Y159" s="19"/>
      <c r="Z159" s="19" t="s">
        <v>848</v>
      </c>
      <c r="AA159" s="19">
        <v>1</v>
      </c>
      <c r="AB159" s="19"/>
      <c r="AC159" s="19" t="s">
        <v>266</v>
      </c>
      <c r="AD159" s="19"/>
      <c r="AE159" s="19"/>
      <c r="AF159" s="19"/>
    </row>
    <row r="160" spans="1:34" customHeight="1" ht="42">
      <c r="A160" s="19">
        <v>155</v>
      </c>
      <c r="B160" s="19" t="s">
        <v>190</v>
      </c>
      <c r="C160" s="19" t="s">
        <v>849</v>
      </c>
      <c r="D160" s="19" t="str">
        <f>HYPERLINK("http://henontech.com/fieldsafety/harzard/harzard_show.php?rid=3330&amp;url=harzardrecs.php","1#风机后下液管倒淋泄漏蒸汽，一名操作工经过时，被蒸汽烫伤颈部皮肤，去医务室简单治疗后回岗工作")</f>
        <v>1#风机后下液管倒淋泄漏蒸汽，一名操作工经过时，被蒸汽烫伤颈部皮肤，去医务室简单治疗后回岗工作</v>
      </c>
      <c r="E160" s="19" t="s">
        <v>850</v>
      </c>
      <c r="F160" s="20" t="s">
        <v>42</v>
      </c>
      <c r="G160" s="22" t="s">
        <v>77</v>
      </c>
      <c r="H160" s="19" t="s">
        <v>44</v>
      </c>
      <c r="I160" s="19"/>
      <c r="J160" s="19" t="s">
        <v>63</v>
      </c>
      <c r="K160" s="19"/>
      <c r="L160" s="19"/>
      <c r="M160" s="19" t="s">
        <v>75</v>
      </c>
      <c r="N160" s="19" t="s">
        <v>851</v>
      </c>
      <c r="O160" s="19" t="s">
        <v>75</v>
      </c>
      <c r="P160" s="19" t="s">
        <v>80</v>
      </c>
      <c r="Q160" s="19" t="s">
        <v>708</v>
      </c>
      <c r="R160" s="19" t="s">
        <v>852</v>
      </c>
      <c r="S160" s="19"/>
      <c r="T160" s="19" t="s">
        <v>68</v>
      </c>
      <c r="U160" s="19" t="s">
        <v>69</v>
      </c>
      <c r="V160" s="19" t="s">
        <v>182</v>
      </c>
      <c r="W160" s="19" t="s">
        <v>97</v>
      </c>
      <c r="X160" s="19"/>
      <c r="Y160" s="19"/>
      <c r="Z160" s="19" t="s">
        <v>853</v>
      </c>
      <c r="AA160" s="19">
        <v>2</v>
      </c>
      <c r="AB160" s="19">
        <v>2</v>
      </c>
      <c r="AC160" s="19" t="s">
        <v>58</v>
      </c>
      <c r="AD160" s="19" t="s">
        <v>80</v>
      </c>
      <c r="AE160" s="19" t="s">
        <v>86</v>
      </c>
      <c r="AF160" s="19"/>
    </row>
    <row r="161" spans="1:34">
      <c r="A161" s="19">
        <v>156</v>
      </c>
      <c r="B161" s="19" t="s">
        <v>190</v>
      </c>
      <c r="C161" s="19" t="s">
        <v>450</v>
      </c>
      <c r="D161" s="19" t="str">
        <f>HYPERLINK("http://henontech.com/fieldsafety/harzard/harzard_show.php?rid=3331&amp;url=harzardrecs.php","二级反渗透进水管管道井口未封盖，一员工清扫卫生时未注意脚下，不慎踩空坠落井口，导致右侧小腿骨折，送医治疗一个月，休养三个月")</f>
        <v>二级反渗透进水管管道井口未封盖，一员工清扫卫生时未注意脚下，不慎踩空坠落井口，导致右侧小腿骨折，送医治疗一个月，休养三个月</v>
      </c>
      <c r="E161" s="19" t="s">
        <v>854</v>
      </c>
      <c r="F161" s="24" t="s">
        <v>260</v>
      </c>
      <c r="G161" s="22" t="s">
        <v>77</v>
      </c>
      <c r="H161" s="19" t="s">
        <v>44</v>
      </c>
      <c r="I161" s="19"/>
      <c r="J161" s="19" t="s">
        <v>105</v>
      </c>
      <c r="K161" s="19" t="s">
        <v>64</v>
      </c>
      <c r="L161" s="19" t="s">
        <v>46</v>
      </c>
      <c r="M161" s="19" t="s">
        <v>47</v>
      </c>
      <c r="N161" s="19" t="s">
        <v>106</v>
      </c>
      <c r="O161" s="19" t="s">
        <v>47</v>
      </c>
      <c r="P161" s="19" t="s">
        <v>409</v>
      </c>
      <c r="Q161" s="19" t="s">
        <v>708</v>
      </c>
      <c r="R161" s="19" t="s">
        <v>855</v>
      </c>
      <c r="S161" s="19" t="s">
        <v>856</v>
      </c>
      <c r="T161" s="19" t="s">
        <v>68</v>
      </c>
      <c r="U161" s="19" t="s">
        <v>96</v>
      </c>
      <c r="V161" s="19" t="s">
        <v>182</v>
      </c>
      <c r="W161" s="19" t="s">
        <v>162</v>
      </c>
      <c r="X161" s="19" t="s">
        <v>98</v>
      </c>
      <c r="Y161" s="19"/>
      <c r="Z161" s="19" t="s">
        <v>857</v>
      </c>
      <c r="AA161" s="19">
        <v>1</v>
      </c>
      <c r="AB161" s="19"/>
      <c r="AC161" s="19" t="s">
        <v>266</v>
      </c>
      <c r="AD161" s="19"/>
      <c r="AE161" s="19"/>
      <c r="AF161" s="19"/>
    </row>
    <row r="162" spans="1:34">
      <c r="A162" s="19">
        <v>157</v>
      </c>
      <c r="B162" s="19" t="s">
        <v>190</v>
      </c>
      <c r="C162" s="19" t="s">
        <v>794</v>
      </c>
      <c r="D162" s="19" t="str">
        <f>HYPERLINK("http://henontech.com/fieldsafety/harzard/harzard_show.php?rid=3333&amp;url=harzardrecs.php","硫酸泵固定螺栓缺失，造成硫酸管道断裂，一名操作工在巡检时不慎喷在左脚上，灼伤左脚，入院治疗三天，回家休养15天，复工")</f>
        <v>硫酸泵固定螺栓缺失，造成硫酸管道断裂，一名操作工在巡检时不慎喷在左脚上，灼伤左脚，入院治疗三天，回家休养15天，复工</v>
      </c>
      <c r="E162" s="19" t="s">
        <v>858</v>
      </c>
      <c r="F162" s="24" t="s">
        <v>260</v>
      </c>
      <c r="G162" s="22" t="s">
        <v>77</v>
      </c>
      <c r="H162" s="19" t="s">
        <v>44</v>
      </c>
      <c r="I162" s="19" t="s">
        <v>90</v>
      </c>
      <c r="J162" s="19" t="s">
        <v>63</v>
      </c>
      <c r="K162" s="19" t="s">
        <v>64</v>
      </c>
      <c r="L162" s="19"/>
      <c r="M162" s="19" t="s">
        <v>345</v>
      </c>
      <c r="N162" s="19" t="s">
        <v>859</v>
      </c>
      <c r="O162" s="19" t="s">
        <v>345</v>
      </c>
      <c r="P162" s="19" t="s">
        <v>347</v>
      </c>
      <c r="Q162" s="19" t="s">
        <v>833</v>
      </c>
      <c r="R162" s="19" t="s">
        <v>860</v>
      </c>
      <c r="S162" s="19"/>
      <c r="T162" s="19" t="s">
        <v>68</v>
      </c>
      <c r="U162" s="19" t="s">
        <v>96</v>
      </c>
      <c r="V162" s="19" t="s">
        <v>182</v>
      </c>
      <c r="W162" s="19" t="s">
        <v>162</v>
      </c>
      <c r="X162" s="19" t="s">
        <v>98</v>
      </c>
      <c r="Y162" s="19" t="s">
        <v>98</v>
      </c>
      <c r="Z162" s="19" t="s">
        <v>861</v>
      </c>
      <c r="AA162" s="19">
        <v>1</v>
      </c>
      <c r="AB162" s="19"/>
      <c r="AC162" s="19" t="s">
        <v>266</v>
      </c>
      <c r="AD162" s="19"/>
      <c r="AE162" s="19"/>
      <c r="AF162" s="19"/>
    </row>
    <row r="163" spans="1:34">
      <c r="A163" s="19">
        <v>158</v>
      </c>
      <c r="B163" s="19" t="s">
        <v>680</v>
      </c>
      <c r="C163" s="19" t="s">
        <v>557</v>
      </c>
      <c r="D163" s="19" t="str">
        <f>HYPERLINK("http://henontech.com/fieldsafety/harzard/harzard_show.php?rid=3334&amp;url=harzardrecs.php","一操作工在经过缺失盖板的电缆槽沟右脚不慎进入槽沟将电源线勾断造成短暂触电倒地磕伤头部送医敷药包扎回家修养三天后复工")</f>
        <v>一操作工在经过缺失盖板的电缆槽沟右脚不慎进入槽沟将电源线勾断造成短暂触电倒地磕伤头部送医敷药包扎回家修养三天后复工</v>
      </c>
      <c r="E163" s="19" t="s">
        <v>862</v>
      </c>
      <c r="F163" s="20" t="s">
        <v>42</v>
      </c>
      <c r="G163" s="22" t="s">
        <v>77</v>
      </c>
      <c r="H163" s="19" t="s">
        <v>44</v>
      </c>
      <c r="I163" s="19" t="s">
        <v>90</v>
      </c>
      <c r="J163" s="19" t="s">
        <v>63</v>
      </c>
      <c r="K163" s="19" t="s">
        <v>64</v>
      </c>
      <c r="L163" s="19" t="s">
        <v>46</v>
      </c>
      <c r="M163" s="19" t="s">
        <v>210</v>
      </c>
      <c r="N163" s="19" t="s">
        <v>863</v>
      </c>
      <c r="O163" s="19" t="s">
        <v>210</v>
      </c>
      <c r="P163" s="19" t="s">
        <v>416</v>
      </c>
      <c r="Q163" s="19" t="s">
        <v>100</v>
      </c>
      <c r="R163" s="19" t="s">
        <v>813</v>
      </c>
      <c r="S163" s="19"/>
      <c r="T163" s="19" t="s">
        <v>68</v>
      </c>
      <c r="U163" s="19" t="s">
        <v>96</v>
      </c>
      <c r="V163" s="19" t="s">
        <v>182</v>
      </c>
      <c r="W163" s="19" t="s">
        <v>162</v>
      </c>
      <c r="X163" s="19"/>
      <c r="Y163" s="19"/>
      <c r="Z163" s="19" t="s">
        <v>864</v>
      </c>
      <c r="AA163" s="19">
        <v>1</v>
      </c>
      <c r="AB163" s="19">
        <v>1</v>
      </c>
      <c r="AC163" s="19" t="s">
        <v>58</v>
      </c>
      <c r="AD163" s="19" t="s">
        <v>416</v>
      </c>
      <c r="AE163" s="19" t="s">
        <v>100</v>
      </c>
      <c r="AF163" s="19"/>
    </row>
    <row r="164" spans="1:34">
      <c r="A164" s="19">
        <v>159</v>
      </c>
      <c r="B164" s="19" t="s">
        <v>680</v>
      </c>
      <c r="C164" s="19" t="s">
        <v>245</v>
      </c>
      <c r="D164" s="19" t="str">
        <f>HYPERLINK("http://henontech.com/fieldsafety/harzard/harzard_show.php?rid=3335&amp;url=harzardrecs.php","西硫铵更换饱和器时，外来施工电焊机电焊线老化冒烟，如若发现不及时，套在老化处胶皮管着火，造成电焊机电焊线损坏！")</f>
        <v>西硫铵更换饱和器时，外来施工电焊机电焊线老化冒烟，如若发现不及时，套在老化处胶皮管着火，造成电焊机电焊线损坏！</v>
      </c>
      <c r="E164" s="19" t="s">
        <v>865</v>
      </c>
      <c r="F164" s="20" t="s">
        <v>42</v>
      </c>
      <c r="G164" s="22" t="s">
        <v>77</v>
      </c>
      <c r="H164" s="19" t="s">
        <v>44</v>
      </c>
      <c r="I164" s="19" t="s">
        <v>45</v>
      </c>
      <c r="J164" s="19" t="s">
        <v>198</v>
      </c>
      <c r="K164" s="19" t="s">
        <v>64</v>
      </c>
      <c r="L164" s="19" t="s">
        <v>46</v>
      </c>
      <c r="M164" s="19" t="s">
        <v>75</v>
      </c>
      <c r="N164" s="19" t="s">
        <v>866</v>
      </c>
      <c r="O164" s="19" t="s">
        <v>75</v>
      </c>
      <c r="P164" s="19" t="s">
        <v>80</v>
      </c>
      <c r="Q164" s="19" t="s">
        <v>708</v>
      </c>
      <c r="R164" s="19" t="s">
        <v>622</v>
      </c>
      <c r="S164" s="19"/>
      <c r="T164" s="19" t="s">
        <v>52</v>
      </c>
      <c r="U164" s="19" t="s">
        <v>53</v>
      </c>
      <c r="V164" s="19" t="s">
        <v>182</v>
      </c>
      <c r="W164" s="19" t="s">
        <v>55</v>
      </c>
      <c r="X164" s="19"/>
      <c r="Y164" s="19"/>
      <c r="Z164" s="19" t="s">
        <v>867</v>
      </c>
      <c r="AA164" s="19">
        <v>1</v>
      </c>
      <c r="AB164" s="19">
        <v>1</v>
      </c>
      <c r="AC164" s="19" t="s">
        <v>58</v>
      </c>
      <c r="AD164" s="19" t="s">
        <v>80</v>
      </c>
      <c r="AE164" s="19" t="s">
        <v>86</v>
      </c>
      <c r="AF164" s="19"/>
    </row>
    <row r="165" spans="1:34">
      <c r="A165" s="19">
        <v>160</v>
      </c>
      <c r="B165" s="19" t="s">
        <v>680</v>
      </c>
      <c r="C165" s="19" t="s">
        <v>557</v>
      </c>
      <c r="D165" s="19" t="str">
        <f>HYPERLINK("http://henontech.com/fieldsafety/harzard/harzard_show.php?rid=3336&amp;url=harzardrecs.php","路面铁板一端翘起，一职工途经时被绊倒，致右手受伤，送医院确诊为右手手腕骨折，住院治疗15天，回家休养90天后复工。")</f>
        <v>路面铁板一端翘起，一职工途经时被绊倒，致右手受伤，送医院确诊为右手手腕骨折，住院治疗15天，回家休养90天后复工。</v>
      </c>
      <c r="E165" s="19" t="s">
        <v>868</v>
      </c>
      <c r="F165" s="20" t="s">
        <v>42</v>
      </c>
      <c r="G165" s="21" t="s">
        <v>43</v>
      </c>
      <c r="H165" s="19" t="s">
        <v>44</v>
      </c>
      <c r="I165" s="19" t="s">
        <v>90</v>
      </c>
      <c r="J165" s="19" t="s">
        <v>105</v>
      </c>
      <c r="K165" s="19" t="s">
        <v>199</v>
      </c>
      <c r="L165" s="19" t="s">
        <v>484</v>
      </c>
      <c r="M165" s="19" t="s">
        <v>210</v>
      </c>
      <c r="N165" s="19" t="s">
        <v>545</v>
      </c>
      <c r="O165" s="19" t="s">
        <v>210</v>
      </c>
      <c r="P165" s="19" t="s">
        <v>416</v>
      </c>
      <c r="Q165" s="19" t="s">
        <v>100</v>
      </c>
      <c r="R165" s="19" t="s">
        <v>869</v>
      </c>
      <c r="S165" s="19"/>
      <c r="T165" s="19" t="s">
        <v>68</v>
      </c>
      <c r="U165" s="19" t="s">
        <v>96</v>
      </c>
      <c r="V165" s="19" t="s">
        <v>182</v>
      </c>
      <c r="W165" s="19" t="s">
        <v>162</v>
      </c>
      <c r="X165" s="19"/>
      <c r="Y165" s="19"/>
      <c r="Z165" s="19" t="s">
        <v>870</v>
      </c>
      <c r="AA165" s="19">
        <v>1</v>
      </c>
      <c r="AB165" s="19">
        <v>1</v>
      </c>
      <c r="AC165" s="19" t="s">
        <v>58</v>
      </c>
      <c r="AD165" s="19" t="s">
        <v>416</v>
      </c>
      <c r="AE165" s="19" t="s">
        <v>100</v>
      </c>
      <c r="AF165" s="19"/>
    </row>
    <row r="166" spans="1:34">
      <c r="A166" s="19">
        <v>161</v>
      </c>
      <c r="B166" s="19" t="s">
        <v>680</v>
      </c>
      <c r="C166" s="19" t="s">
        <v>830</v>
      </c>
      <c r="D166" s="19" t="str">
        <f>HYPERLINK("http://henontech.com/fieldsafety/harzard/harzard_show.php?rid=3337&amp;url=harzardrecs.php","生化液碱罐积水坑盖板未盖，一名员工调节碱泵时不小心右脚掉入积水坑摔倒，造成右手腕部骨折住院治疗三个月")</f>
        <v>生化液碱罐积水坑盖板未盖，一名员工调节碱泵时不小心右脚掉入积水坑摔倒，造成右手腕部骨折住院治疗三个月</v>
      </c>
      <c r="E166" s="19" t="s">
        <v>871</v>
      </c>
      <c r="F166" s="20" t="s">
        <v>42</v>
      </c>
      <c r="G166" s="22" t="s">
        <v>77</v>
      </c>
      <c r="H166" s="19" t="s">
        <v>44</v>
      </c>
      <c r="I166" s="19" t="s">
        <v>115</v>
      </c>
      <c r="J166" s="19" t="s">
        <v>105</v>
      </c>
      <c r="K166" s="19" t="s">
        <v>64</v>
      </c>
      <c r="L166" s="19"/>
      <c r="M166" s="19" t="s">
        <v>345</v>
      </c>
      <c r="N166" s="19" t="s">
        <v>872</v>
      </c>
      <c r="O166" s="19" t="s">
        <v>345</v>
      </c>
      <c r="P166" s="19" t="s">
        <v>347</v>
      </c>
      <c r="Q166" s="19" t="s">
        <v>833</v>
      </c>
      <c r="R166" s="19" t="s">
        <v>873</v>
      </c>
      <c r="S166" s="19"/>
      <c r="T166" s="19" t="s">
        <v>68</v>
      </c>
      <c r="U166" s="19" t="s">
        <v>69</v>
      </c>
      <c r="V166" s="19" t="s">
        <v>70</v>
      </c>
      <c r="W166" s="19" t="s">
        <v>55</v>
      </c>
      <c r="X166" s="19" t="s">
        <v>98</v>
      </c>
      <c r="Y166" s="19" t="s">
        <v>98</v>
      </c>
      <c r="Z166" s="19" t="s">
        <v>874</v>
      </c>
      <c r="AA166" s="19">
        <v>1</v>
      </c>
      <c r="AB166" s="19">
        <v>1</v>
      </c>
      <c r="AC166" s="19" t="s">
        <v>58</v>
      </c>
      <c r="AD166" s="19" t="s">
        <v>347</v>
      </c>
      <c r="AE166" s="19" t="s">
        <v>506</v>
      </c>
      <c r="AF166" s="19"/>
    </row>
    <row r="167" spans="1:34" customHeight="1" ht="42">
      <c r="A167" s="19">
        <v>162</v>
      </c>
      <c r="B167" s="19" t="s">
        <v>680</v>
      </c>
      <c r="C167" s="19" t="s">
        <v>251</v>
      </c>
      <c r="D167" s="19" t="str">
        <f>HYPERLINK("http://henontech.com/fieldsafety/harzard/harzard_show.php?rid=3338&amp;url=harzardrecs.php","煤八后尾西侧门上玻璃破，在人员经过时恰巧掉下来，未伤到人。")</f>
        <v>煤八后尾西侧门上玻璃破，在人员经过时恰巧掉下来，未伤到人。</v>
      </c>
      <c r="E167" s="19" t="s">
        <v>875</v>
      </c>
      <c r="F167" s="20" t="s">
        <v>42</v>
      </c>
      <c r="G167" s="22" t="s">
        <v>77</v>
      </c>
      <c r="H167" s="19" t="s">
        <v>44</v>
      </c>
      <c r="I167" s="19"/>
      <c r="J167" s="19" t="s">
        <v>63</v>
      </c>
      <c r="K167" s="19" t="s">
        <v>138</v>
      </c>
      <c r="L167" s="19" t="s">
        <v>46</v>
      </c>
      <c r="M167" s="19" t="s">
        <v>210</v>
      </c>
      <c r="N167" s="19" t="s">
        <v>268</v>
      </c>
      <c r="O167" s="19" t="s">
        <v>210</v>
      </c>
      <c r="P167" s="19" t="s">
        <v>212</v>
      </c>
      <c r="Q167" s="19" t="s">
        <v>600</v>
      </c>
      <c r="R167" s="19" t="s">
        <v>270</v>
      </c>
      <c r="S167" s="19"/>
      <c r="T167" s="19" t="s">
        <v>68</v>
      </c>
      <c r="U167" s="19" t="s">
        <v>53</v>
      </c>
      <c r="V167" s="19" t="s">
        <v>54</v>
      </c>
      <c r="W167" s="19" t="s">
        <v>55</v>
      </c>
      <c r="X167" s="19" t="s">
        <v>204</v>
      </c>
      <c r="Y167" s="19" t="s">
        <v>204</v>
      </c>
      <c r="Z167" s="19" t="s">
        <v>876</v>
      </c>
      <c r="AA167" s="19">
        <v>2</v>
      </c>
      <c r="AB167" s="19">
        <v>2</v>
      </c>
      <c r="AC167" s="19" t="s">
        <v>58</v>
      </c>
      <c r="AD167" s="19" t="s">
        <v>212</v>
      </c>
      <c r="AE167" s="19" t="s">
        <v>217</v>
      </c>
      <c r="AF167" s="19"/>
    </row>
    <row r="168" spans="1:34">
      <c r="A168" s="19">
        <v>163</v>
      </c>
      <c r="B168" s="19" t="s">
        <v>86</v>
      </c>
      <c r="C168" s="19" t="s">
        <v>465</v>
      </c>
      <c r="D168" s="19" t="str">
        <f>HYPERLINK("http://henontech.com/fieldsafety/harzard/harzard_show.php?rid=3339&amp;url=harzardrecs.php","南风机2#电捕焦油器顶部有几块未清理废弃铝皮，如果一名巡检人员在大风天气巡检经过电捕焦油器下方时，铝皮被风吹落砸到巡检人员右肩部，造成一人右肩部轻微擦伤不影响正常工作。")</f>
        <v>南风机2#电捕焦油器顶部有几块未清理废弃铝皮，如果一名巡检人员在大风天气巡检经过电捕焦油器下方时，铝皮被风吹落砸到巡检人员右肩部，造成一人右肩部轻微擦伤不影响正常工作。</v>
      </c>
      <c r="E168" s="19" t="s">
        <v>877</v>
      </c>
      <c r="F168" s="20" t="s">
        <v>42</v>
      </c>
      <c r="G168" s="22" t="s">
        <v>77</v>
      </c>
      <c r="H168" s="19" t="s">
        <v>44</v>
      </c>
      <c r="I168" s="19" t="s">
        <v>45</v>
      </c>
      <c r="J168" s="19" t="s">
        <v>78</v>
      </c>
      <c r="K168" s="19" t="s">
        <v>138</v>
      </c>
      <c r="L168" s="19" t="s">
        <v>46</v>
      </c>
      <c r="M168" s="19" t="s">
        <v>75</v>
      </c>
      <c r="N168" s="19" t="s">
        <v>878</v>
      </c>
      <c r="O168" s="19" t="s">
        <v>75</v>
      </c>
      <c r="P168" s="19" t="s">
        <v>80</v>
      </c>
      <c r="Q168" s="19" t="s">
        <v>708</v>
      </c>
      <c r="R168" s="19" t="s">
        <v>879</v>
      </c>
      <c r="S168" s="19"/>
      <c r="T168" s="19" t="s">
        <v>68</v>
      </c>
      <c r="U168" s="19" t="s">
        <v>69</v>
      </c>
      <c r="V168" s="19" t="s">
        <v>182</v>
      </c>
      <c r="W168" s="19" t="s">
        <v>97</v>
      </c>
      <c r="X168" s="19"/>
      <c r="Y168" s="19"/>
      <c r="Z168" s="19" t="s">
        <v>880</v>
      </c>
      <c r="AA168" s="19">
        <v>1</v>
      </c>
      <c r="AB168" s="19">
        <v>1</v>
      </c>
      <c r="AC168" s="19" t="s">
        <v>58</v>
      </c>
      <c r="AD168" s="19" t="s">
        <v>80</v>
      </c>
      <c r="AE168" s="19" t="s">
        <v>86</v>
      </c>
      <c r="AF168" s="19"/>
    </row>
    <row r="169" spans="1:34" customHeight="1" ht="42">
      <c r="A169" s="19">
        <v>164</v>
      </c>
      <c r="B169" s="19" t="s">
        <v>680</v>
      </c>
      <c r="C169" s="19" t="s">
        <v>881</v>
      </c>
      <c r="D169" s="19" t="str">
        <f>HYPERLINK("http://henontech.com/fieldsafety/harzard/harzard_show.php?rid=3341&amp;url=harzardrecs.php","75T锅炉二楼平台旋分出灰管底部焊口开焊已多次焊接加固一且断裂失效造成停l炉事故")</f>
        <v>75T锅炉二楼平台旋分出灰管底部焊口开焊已多次焊接加固一且断裂失效造成停l炉事故</v>
      </c>
      <c r="E169" s="19" t="s">
        <v>882</v>
      </c>
      <c r="F169" s="20" t="s">
        <v>42</v>
      </c>
      <c r="G169" s="22" t="s">
        <v>77</v>
      </c>
      <c r="H169" s="19" t="s">
        <v>44</v>
      </c>
      <c r="I169" s="19"/>
      <c r="J169" s="19" t="s">
        <v>63</v>
      </c>
      <c r="K169" s="19" t="s">
        <v>186</v>
      </c>
      <c r="L169" s="19" t="s">
        <v>46</v>
      </c>
      <c r="M169" s="19" t="s">
        <v>91</v>
      </c>
      <c r="N169" s="19" t="s">
        <v>883</v>
      </c>
      <c r="O169" s="19" t="s">
        <v>91</v>
      </c>
      <c r="P169" s="19" t="s">
        <v>107</v>
      </c>
      <c r="Q169" s="19" t="s">
        <v>708</v>
      </c>
      <c r="R169" s="19" t="s">
        <v>881</v>
      </c>
      <c r="S169" s="19"/>
      <c r="T169" s="19" t="s">
        <v>68</v>
      </c>
      <c r="U169" s="19" t="s">
        <v>96</v>
      </c>
      <c r="V169" s="19" t="s">
        <v>70</v>
      </c>
      <c r="W169" s="19" t="s">
        <v>97</v>
      </c>
      <c r="X169" s="19" t="s">
        <v>98</v>
      </c>
      <c r="Y169" s="19"/>
      <c r="Z169" s="19" t="s">
        <v>884</v>
      </c>
      <c r="AA169" s="19">
        <v>2</v>
      </c>
      <c r="AB169" s="19">
        <v>2</v>
      </c>
      <c r="AC169" s="19" t="s">
        <v>58</v>
      </c>
      <c r="AD169" s="19" t="s">
        <v>107</v>
      </c>
      <c r="AE169" s="19" t="s">
        <v>572</v>
      </c>
      <c r="AF169" s="19" t="s">
        <v>885</v>
      </c>
    </row>
    <row r="170" spans="1:34">
      <c r="A170" s="19">
        <v>165</v>
      </c>
      <c r="B170" s="19" t="s">
        <v>680</v>
      </c>
      <c r="C170" s="19" t="s">
        <v>886</v>
      </c>
      <c r="D170" s="19" t="str">
        <f>HYPERLINK("http://henontech.com/fieldsafety/harzard/harzard_show.php?rid=3342&amp;url=harzardrecs.php","一次除尘顶部西侧电线穿线管高于平台20公分，若夜间巡检人员巡检时被绊倒，右膝盖着地造成轻微擦伤，送医务室消毒后继续工作")</f>
        <v>一次除尘顶部西侧电线穿线管高于平台20公分，若夜间巡检人员巡检时被绊倒，右膝盖着地造成轻微擦伤，送医务室消毒后继续工作</v>
      </c>
      <c r="E170" s="19" t="s">
        <v>887</v>
      </c>
      <c r="F170" s="24" t="s">
        <v>260</v>
      </c>
      <c r="G170" s="22" t="s">
        <v>77</v>
      </c>
      <c r="H170" s="19" t="s">
        <v>44</v>
      </c>
      <c r="I170" s="19" t="s">
        <v>45</v>
      </c>
      <c r="J170" s="19" t="s">
        <v>63</v>
      </c>
      <c r="K170" s="19" t="s">
        <v>138</v>
      </c>
      <c r="L170" s="19" t="s">
        <v>46</v>
      </c>
      <c r="M170" s="19" t="s">
        <v>47</v>
      </c>
      <c r="N170" s="19" t="s">
        <v>888</v>
      </c>
      <c r="O170" s="19" t="s">
        <v>47</v>
      </c>
      <c r="P170" s="19" t="s">
        <v>409</v>
      </c>
      <c r="Q170" s="19" t="s">
        <v>708</v>
      </c>
      <c r="R170" s="19" t="s">
        <v>889</v>
      </c>
      <c r="S170" s="19" t="s">
        <v>890</v>
      </c>
      <c r="T170" s="19" t="s">
        <v>68</v>
      </c>
      <c r="U170" s="19" t="s">
        <v>69</v>
      </c>
      <c r="V170" s="19" t="s">
        <v>182</v>
      </c>
      <c r="W170" s="19" t="s">
        <v>97</v>
      </c>
      <c r="X170" s="19" t="s">
        <v>56</v>
      </c>
      <c r="Y170" s="19"/>
      <c r="Z170" s="19" t="s">
        <v>891</v>
      </c>
      <c r="AA170" s="19">
        <v>1</v>
      </c>
      <c r="AB170" s="19"/>
      <c r="AC170" s="19" t="s">
        <v>266</v>
      </c>
      <c r="AD170" s="19"/>
      <c r="AE170" s="19"/>
      <c r="AF170" s="19"/>
    </row>
    <row r="171" spans="1:34">
      <c r="A171" s="19">
        <v>166</v>
      </c>
      <c r="B171" s="19" t="s">
        <v>680</v>
      </c>
      <c r="C171" s="19" t="s">
        <v>259</v>
      </c>
      <c r="D171" s="19" t="str">
        <f>HYPERLINK("http://henontech.com/fieldsafety/harzard/harzard_show.php?rid=3343&amp;url=harzardrecs.php","一次除尘放灰操作盘盖子锈蚀掉落，雨天操作盘无盖进水，操作盘电压380伏，操作工操作开关时，造成触电身亡。")</f>
        <v>一次除尘放灰操作盘盖子锈蚀掉落，雨天操作盘无盖进水，操作盘电压380伏，操作工操作开关时，造成触电身亡。</v>
      </c>
      <c r="E171" s="19" t="s">
        <v>892</v>
      </c>
      <c r="F171" s="24" t="s">
        <v>260</v>
      </c>
      <c r="G171" s="22" t="s">
        <v>77</v>
      </c>
      <c r="H171" s="19" t="s">
        <v>44</v>
      </c>
      <c r="I171" s="19" t="s">
        <v>45</v>
      </c>
      <c r="J171" s="19" t="s">
        <v>63</v>
      </c>
      <c r="K171" s="19" t="s">
        <v>138</v>
      </c>
      <c r="L171" s="19" t="s">
        <v>46</v>
      </c>
      <c r="M171" s="19" t="s">
        <v>47</v>
      </c>
      <c r="N171" s="19" t="s">
        <v>893</v>
      </c>
      <c r="O171" s="19" t="s">
        <v>47</v>
      </c>
      <c r="P171" s="19" t="s">
        <v>409</v>
      </c>
      <c r="Q171" s="19" t="s">
        <v>708</v>
      </c>
      <c r="R171" s="19" t="s">
        <v>894</v>
      </c>
      <c r="S171" s="19" t="s">
        <v>895</v>
      </c>
      <c r="T171" s="19" t="s">
        <v>68</v>
      </c>
      <c r="U171" s="19" t="s">
        <v>203</v>
      </c>
      <c r="V171" s="19" t="s">
        <v>182</v>
      </c>
      <c r="W171" s="19" t="s">
        <v>120</v>
      </c>
      <c r="X171" s="19" t="s">
        <v>98</v>
      </c>
      <c r="Y171" s="19"/>
      <c r="Z171" s="19" t="s">
        <v>896</v>
      </c>
      <c r="AA171" s="19">
        <v>1</v>
      </c>
      <c r="AB171" s="19"/>
      <c r="AC171" s="19" t="s">
        <v>266</v>
      </c>
      <c r="AD171" s="19"/>
      <c r="AE171" s="19"/>
      <c r="AF171" s="19"/>
    </row>
    <row r="172" spans="1:34">
      <c r="A172" s="19">
        <v>167</v>
      </c>
      <c r="B172" s="19" t="s">
        <v>680</v>
      </c>
      <c r="C172" s="19" t="s">
        <v>794</v>
      </c>
      <c r="D172" s="19" t="str">
        <f>HYPERLINK("http://henontech.com/fieldsafety/harzard/harzard_show.php?rid=3344&amp;url=harzardrecs.php","从过桥到高处工作平台没有爬梯，当管道被堵需要攀爬上去才能疏通，有高处坠落的危险，导致身体多处骨折，造成住院损工60天")</f>
        <v>从过桥到高处工作平台没有爬梯，当管道被堵需要攀爬上去才能疏通，有高处坠落的危险，导致身体多处骨折，造成住院损工60天</v>
      </c>
      <c r="E172" s="19" t="s">
        <v>897</v>
      </c>
      <c r="F172" s="24" t="s">
        <v>260</v>
      </c>
      <c r="G172" s="22" t="s">
        <v>77</v>
      </c>
      <c r="H172" s="19" t="s">
        <v>44</v>
      </c>
      <c r="I172" s="19" t="s">
        <v>45</v>
      </c>
      <c r="J172" s="19" t="s">
        <v>63</v>
      </c>
      <c r="K172" s="19" t="s">
        <v>116</v>
      </c>
      <c r="L172" s="19" t="s">
        <v>46</v>
      </c>
      <c r="M172" s="19" t="s">
        <v>345</v>
      </c>
      <c r="N172" s="19" t="s">
        <v>898</v>
      </c>
      <c r="O172" s="19" t="s">
        <v>345</v>
      </c>
      <c r="P172" s="19" t="s">
        <v>347</v>
      </c>
      <c r="Q172" s="19" t="s">
        <v>833</v>
      </c>
      <c r="R172" s="19" t="s">
        <v>899</v>
      </c>
      <c r="S172" s="19"/>
      <c r="T172" s="19" t="s">
        <v>68</v>
      </c>
      <c r="U172" s="19" t="s">
        <v>96</v>
      </c>
      <c r="V172" s="19" t="s">
        <v>182</v>
      </c>
      <c r="W172" s="19" t="s">
        <v>162</v>
      </c>
      <c r="X172" s="19" t="s">
        <v>98</v>
      </c>
      <c r="Y172" s="19" t="s">
        <v>98</v>
      </c>
      <c r="Z172" s="19" t="s">
        <v>900</v>
      </c>
      <c r="AA172" s="19">
        <v>1</v>
      </c>
      <c r="AB172" s="19"/>
      <c r="AC172" s="19" t="s">
        <v>266</v>
      </c>
      <c r="AD172" s="19"/>
      <c r="AE172" s="19"/>
      <c r="AF172" s="19"/>
    </row>
    <row r="173" spans="1:34" customHeight="1" ht="42">
      <c r="A173" s="19">
        <v>168</v>
      </c>
      <c r="B173" s="19" t="s">
        <v>680</v>
      </c>
      <c r="C173" s="19" t="s">
        <v>901</v>
      </c>
      <c r="D173" s="19" t="str">
        <f>HYPERLINK("http://henontech.com/fieldsafety/harzard/harzard_show.php?rid=3345&amp;url=harzardrecs.php","盖板破损，可能导致扭伤及摔伤。")</f>
        <v>盖板破损，可能导致扭伤及摔伤。</v>
      </c>
      <c r="E173" s="19" t="s">
        <v>902</v>
      </c>
      <c r="F173" s="20" t="s">
        <v>42</v>
      </c>
      <c r="G173" s="22" t="s">
        <v>77</v>
      </c>
      <c r="H173" s="19" t="s">
        <v>44</v>
      </c>
      <c r="I173" s="19" t="s">
        <v>45</v>
      </c>
      <c r="J173" s="19" t="s">
        <v>105</v>
      </c>
      <c r="K173" s="19" t="s">
        <v>186</v>
      </c>
      <c r="L173" s="19" t="s">
        <v>46</v>
      </c>
      <c r="M173" s="19" t="s">
        <v>91</v>
      </c>
      <c r="N173" s="19" t="s">
        <v>403</v>
      </c>
      <c r="O173" s="19" t="s">
        <v>91</v>
      </c>
      <c r="P173" s="19" t="s">
        <v>107</v>
      </c>
      <c r="Q173" s="19" t="s">
        <v>708</v>
      </c>
      <c r="R173" s="19" t="s">
        <v>903</v>
      </c>
      <c r="S173" s="19"/>
      <c r="T173" s="19" t="s">
        <v>68</v>
      </c>
      <c r="U173" s="19" t="s">
        <v>69</v>
      </c>
      <c r="V173" s="19" t="s">
        <v>182</v>
      </c>
      <c r="W173" s="19" t="s">
        <v>97</v>
      </c>
      <c r="X173" s="19" t="s">
        <v>98</v>
      </c>
      <c r="Y173" s="19"/>
      <c r="Z173" s="19" t="s">
        <v>774</v>
      </c>
      <c r="AA173" s="19">
        <v>2</v>
      </c>
      <c r="AB173" s="19">
        <v>2</v>
      </c>
      <c r="AC173" s="19" t="s">
        <v>58</v>
      </c>
      <c r="AD173" s="19" t="s">
        <v>107</v>
      </c>
      <c r="AE173" s="19" t="s">
        <v>100</v>
      </c>
      <c r="AF173" s="19" t="s">
        <v>904</v>
      </c>
    </row>
    <row r="174" spans="1:34" customHeight="1" ht="42">
      <c r="A174" s="19">
        <v>169</v>
      </c>
      <c r="B174" s="19" t="s">
        <v>680</v>
      </c>
      <c r="C174" s="19" t="s">
        <v>794</v>
      </c>
      <c r="D174" s="19" t="str">
        <f>HYPERLINK("http://henontech.com/fieldsafety/harzard/harzard_show.php?rid=3346&amp;url=harzardrecs.php","2#站好氧池过道上有一穿线管高于地面，如果一名操作人员在夜间巡检过程中经过被绊倒，造成手部轻微擦伤，送医务室处理后不影响工作。")</f>
        <v>2#站好氧池过道上有一穿线管高于地面，如果一名操作人员在夜间巡检过程中经过被绊倒，造成手部轻微擦伤，送医务室处理后不影响工作。</v>
      </c>
      <c r="E174" s="19" t="s">
        <v>905</v>
      </c>
      <c r="F174" s="24" t="s">
        <v>260</v>
      </c>
      <c r="G174" s="22" t="s">
        <v>77</v>
      </c>
      <c r="H174" s="19" t="s">
        <v>44</v>
      </c>
      <c r="I174" s="19"/>
      <c r="J174" s="19"/>
      <c r="K174" s="19" t="s">
        <v>138</v>
      </c>
      <c r="L174" s="19" t="s">
        <v>46</v>
      </c>
      <c r="M174" s="19" t="s">
        <v>345</v>
      </c>
      <c r="N174" s="19" t="s">
        <v>906</v>
      </c>
      <c r="O174" s="19" t="s">
        <v>345</v>
      </c>
      <c r="P174" s="19" t="s">
        <v>347</v>
      </c>
      <c r="Q174" s="19" t="s">
        <v>833</v>
      </c>
      <c r="R174" s="19" t="s">
        <v>907</v>
      </c>
      <c r="S174" s="19"/>
      <c r="T174" s="19" t="s">
        <v>68</v>
      </c>
      <c r="U174" s="19" t="s">
        <v>69</v>
      </c>
      <c r="V174" s="19" t="s">
        <v>182</v>
      </c>
      <c r="W174" s="19" t="s">
        <v>97</v>
      </c>
      <c r="X174" s="19" t="s">
        <v>98</v>
      </c>
      <c r="Y174" s="19" t="s">
        <v>98</v>
      </c>
      <c r="Z174" s="19" t="s">
        <v>908</v>
      </c>
      <c r="AA174" s="19">
        <v>2</v>
      </c>
      <c r="AB174" s="19"/>
      <c r="AC174" s="19" t="s">
        <v>266</v>
      </c>
      <c r="AD174" s="19"/>
      <c r="AE174" s="19"/>
      <c r="AF174" s="19"/>
    </row>
    <row r="175" spans="1:34">
      <c r="A175" s="19">
        <v>170</v>
      </c>
      <c r="B175" s="19" t="s">
        <v>572</v>
      </c>
      <c r="C175" s="19" t="s">
        <v>909</v>
      </c>
      <c r="D175" s="19" t="str">
        <f>HYPERLINK("http://henontech.com/fieldsafety/harzard/harzard_show.php?rid=3348&amp;url=harzardrecs.php","东二钎子，一操作工途径时被钎子绊倒，致右腿轻微擦伤，送医包扎处理，回家休养三天，损工三天")</f>
        <v>东二钎子，一操作工途径时被钎子绊倒，致右腿轻微擦伤，送医包扎处理，回家休养三天，损工三天</v>
      </c>
      <c r="E175" s="19" t="s">
        <v>910</v>
      </c>
      <c r="F175" s="26" t="s">
        <v>554</v>
      </c>
      <c r="G175" s="19"/>
      <c r="H175" s="19" t="s">
        <v>44</v>
      </c>
      <c r="I175" s="19" t="s">
        <v>115</v>
      </c>
      <c r="J175" s="19" t="s">
        <v>63</v>
      </c>
      <c r="K175" s="19" t="s">
        <v>64</v>
      </c>
      <c r="L175" s="19"/>
      <c r="M175" s="19" t="s">
        <v>210</v>
      </c>
      <c r="N175" s="19" t="s">
        <v>261</v>
      </c>
      <c r="O175" s="19"/>
      <c r="P175" s="19"/>
      <c r="Q175" s="19"/>
      <c r="R175" s="19" t="s">
        <v>911</v>
      </c>
      <c r="S175" s="19"/>
      <c r="T175" s="19" t="s">
        <v>68</v>
      </c>
      <c r="U175" s="19" t="s">
        <v>96</v>
      </c>
      <c r="V175" s="19" t="s">
        <v>182</v>
      </c>
      <c r="W175" s="19" t="s">
        <v>162</v>
      </c>
      <c r="X175" s="19"/>
      <c r="Y175" s="19"/>
      <c r="Z175" s="19"/>
      <c r="AA175" s="19"/>
      <c r="AB175" s="19"/>
      <c r="AC175" s="19" t="s">
        <v>266</v>
      </c>
      <c r="AD175" s="19"/>
      <c r="AE175" s="19"/>
      <c r="AF175" s="19"/>
    </row>
    <row r="176" spans="1:34">
      <c r="A176" s="19">
        <v>171</v>
      </c>
      <c r="B176" s="19" t="s">
        <v>86</v>
      </c>
      <c r="C176" s="19" t="s">
        <v>384</v>
      </c>
      <c r="D176" s="19" t="str">
        <f>HYPERLINK("http://henontech.com/fieldsafety/harzard/harzard_show.php?rid=3349&amp;url=harzardrecs.php","深度处理中水车间盐酸加药装置阻尼器因长时间腐蚀外漏喷溅,将正在巡检的操作人员喷溅至左脸，立即用清水冲洗，就医，经诊断左脸轻度灼伤，在家休养3天，复工。")</f>
        <v>深度处理中水车间盐酸加药装置阻尼器因长时间腐蚀外漏喷溅,将正在巡检的操作人员喷溅至左脸，立即用清水冲洗，就医，经诊断左脸轻度灼伤，在家休养3天，复工。</v>
      </c>
      <c r="E176" s="19" t="s">
        <v>912</v>
      </c>
      <c r="F176" s="20" t="s">
        <v>42</v>
      </c>
      <c r="G176" s="22" t="s">
        <v>77</v>
      </c>
      <c r="H176" s="19" t="s">
        <v>44</v>
      </c>
      <c r="I176" s="19"/>
      <c r="J176" s="19" t="s">
        <v>63</v>
      </c>
      <c r="K176" s="19"/>
      <c r="L176" s="19"/>
      <c r="M176" s="19" t="s">
        <v>345</v>
      </c>
      <c r="N176" s="19" t="s">
        <v>913</v>
      </c>
      <c r="O176" s="19" t="s">
        <v>345</v>
      </c>
      <c r="P176" s="19" t="s">
        <v>347</v>
      </c>
      <c r="Q176" s="19" t="s">
        <v>833</v>
      </c>
      <c r="R176" s="19" t="s">
        <v>914</v>
      </c>
      <c r="S176" s="19"/>
      <c r="T176" s="19" t="s">
        <v>68</v>
      </c>
      <c r="U176" s="19" t="s">
        <v>96</v>
      </c>
      <c r="V176" s="19" t="s">
        <v>182</v>
      </c>
      <c r="W176" s="19" t="s">
        <v>162</v>
      </c>
      <c r="X176" s="19" t="s">
        <v>98</v>
      </c>
      <c r="Y176" s="19" t="s">
        <v>98</v>
      </c>
      <c r="Z176" s="19" t="s">
        <v>915</v>
      </c>
      <c r="AA176" s="19">
        <v>1</v>
      </c>
      <c r="AB176" s="19">
        <v>1</v>
      </c>
      <c r="AC176" s="19" t="s">
        <v>58</v>
      </c>
      <c r="AD176" s="19" t="s">
        <v>347</v>
      </c>
      <c r="AE176" s="19" t="s">
        <v>351</v>
      </c>
      <c r="AF176" s="19"/>
    </row>
    <row r="177" spans="1:34" customHeight="1" ht="42">
      <c r="A177" s="19">
        <v>172</v>
      </c>
      <c r="B177" s="19" t="s">
        <v>86</v>
      </c>
      <c r="C177" s="19" t="s">
        <v>656</v>
      </c>
      <c r="D177" s="19" t="str">
        <f>HYPERLINK("http://henontech.com/fieldsafety/harzard/harzard_show.php?rid=3350&amp;url=harzardrecs.php","配电室插座固定不牢固，一维修工在插拔用电器时短路产生电火花，造成右手灼伤，送医院就医后出院，在家休养5天，损工5天")</f>
        <v>配电室插座固定不牢固，一维修工在插拔用电器时短路产生电火花，造成右手灼伤，送医院就医后出院，在家休养5天，损工5天</v>
      </c>
      <c r="E177" s="19" t="s">
        <v>916</v>
      </c>
      <c r="F177" s="20" t="s">
        <v>42</v>
      </c>
      <c r="G177" s="22" t="s">
        <v>77</v>
      </c>
      <c r="H177" s="19" t="s">
        <v>44</v>
      </c>
      <c r="I177" s="19" t="s">
        <v>115</v>
      </c>
      <c r="J177" s="19" t="s">
        <v>63</v>
      </c>
      <c r="K177" s="19" t="s">
        <v>64</v>
      </c>
      <c r="L177" s="19" t="s">
        <v>46</v>
      </c>
      <c r="M177" s="19" t="s">
        <v>91</v>
      </c>
      <c r="N177" s="19" t="s">
        <v>917</v>
      </c>
      <c r="O177" s="19" t="s">
        <v>91</v>
      </c>
      <c r="P177" s="19" t="s">
        <v>151</v>
      </c>
      <c r="Q177" s="19" t="s">
        <v>708</v>
      </c>
      <c r="R177" s="19" t="s">
        <v>918</v>
      </c>
      <c r="S177" s="19"/>
      <c r="T177" s="19" t="s">
        <v>68</v>
      </c>
      <c r="U177" s="19" t="s">
        <v>69</v>
      </c>
      <c r="V177" s="19" t="s">
        <v>70</v>
      </c>
      <c r="W177" s="19" t="s">
        <v>55</v>
      </c>
      <c r="X177" s="19" t="s">
        <v>98</v>
      </c>
      <c r="Y177" s="19"/>
      <c r="Z177" s="19" t="s">
        <v>919</v>
      </c>
      <c r="AA177" s="19">
        <v>2</v>
      </c>
      <c r="AB177" s="19">
        <v>2</v>
      </c>
      <c r="AC177" s="19" t="s">
        <v>58</v>
      </c>
      <c r="AD177" s="19" t="s">
        <v>151</v>
      </c>
      <c r="AE177" s="19" t="s">
        <v>100</v>
      </c>
      <c r="AF177" s="19" t="s">
        <v>920</v>
      </c>
    </row>
    <row r="178" spans="1:34" customHeight="1" ht="42">
      <c r="A178" s="19">
        <v>173</v>
      </c>
      <c r="B178" s="19" t="s">
        <v>86</v>
      </c>
      <c r="C178" s="19" t="s">
        <v>799</v>
      </c>
      <c r="D178" s="19" t="str">
        <f>HYPERLINK("http://henontech.com/fieldsafety/harzard/harzard_show.php?rid=3351&amp;url=harzardrecs.php","过滤器旁地沟盖板缺失，一巡检工巡检至此，造成左脚扭伤，送医院就医，住院七天，在家休养七天，损工14天")</f>
        <v>过滤器旁地沟盖板缺失，一巡检工巡检至此，造成左脚扭伤，送医院就医，住院七天，在家休养七天，损工14天</v>
      </c>
      <c r="E178" s="19" t="s">
        <v>921</v>
      </c>
      <c r="F178" s="20" t="s">
        <v>42</v>
      </c>
      <c r="G178" s="22" t="s">
        <v>77</v>
      </c>
      <c r="H178" s="19" t="s">
        <v>44</v>
      </c>
      <c r="I178" s="19" t="s">
        <v>115</v>
      </c>
      <c r="J178" s="19" t="s">
        <v>63</v>
      </c>
      <c r="K178" s="19" t="s">
        <v>138</v>
      </c>
      <c r="L178" s="19" t="s">
        <v>46</v>
      </c>
      <c r="M178" s="19" t="s">
        <v>91</v>
      </c>
      <c r="N178" s="19" t="s">
        <v>922</v>
      </c>
      <c r="O178" s="19" t="s">
        <v>91</v>
      </c>
      <c r="P178" s="19" t="s">
        <v>107</v>
      </c>
      <c r="Q178" s="19" t="s">
        <v>708</v>
      </c>
      <c r="R178" s="19" t="s">
        <v>923</v>
      </c>
      <c r="S178" s="19"/>
      <c r="T178" s="19" t="s">
        <v>68</v>
      </c>
      <c r="U178" s="19" t="s">
        <v>96</v>
      </c>
      <c r="V178" s="19" t="s">
        <v>70</v>
      </c>
      <c r="W178" s="19" t="s">
        <v>97</v>
      </c>
      <c r="X178" s="19" t="s">
        <v>98</v>
      </c>
      <c r="Y178" s="19"/>
      <c r="Z178" s="19" t="s">
        <v>774</v>
      </c>
      <c r="AA178" s="19">
        <v>2</v>
      </c>
      <c r="AB178" s="19">
        <v>2</v>
      </c>
      <c r="AC178" s="19" t="s">
        <v>58</v>
      </c>
      <c r="AD178" s="19" t="s">
        <v>107</v>
      </c>
      <c r="AE178" s="19" t="s">
        <v>572</v>
      </c>
      <c r="AF178" s="19" t="s">
        <v>924</v>
      </c>
    </row>
    <row r="179" spans="1:34" customHeight="1" ht="42">
      <c r="A179" s="19">
        <v>174</v>
      </c>
      <c r="B179" s="19" t="s">
        <v>86</v>
      </c>
      <c r="C179" s="19" t="s">
        <v>901</v>
      </c>
      <c r="D179" s="19" t="str">
        <f>HYPERLINK("http://henontech.com/fieldsafety/harzard/harzard_show.php?rid=3352&amp;url=harzardrecs.php","35吨锅炉上行爬梯顶部踏步开焊，巡检工走至此处，踏步断裂，导致小腿卡入铁板之间，造成小腿及脚踝受伤")</f>
        <v>35吨锅炉上行爬梯顶部踏步开焊，巡检工走至此处，踏步断裂，导致小腿卡入铁板之间，造成小腿及脚踝受伤</v>
      </c>
      <c r="E179" s="19" t="s">
        <v>925</v>
      </c>
      <c r="F179" s="20" t="s">
        <v>42</v>
      </c>
      <c r="G179" s="22" t="s">
        <v>77</v>
      </c>
      <c r="H179" s="19" t="s">
        <v>44</v>
      </c>
      <c r="I179" s="19" t="s">
        <v>90</v>
      </c>
      <c r="J179" s="19" t="s">
        <v>63</v>
      </c>
      <c r="K179" s="19"/>
      <c r="L179" s="19"/>
      <c r="M179" s="19" t="s">
        <v>91</v>
      </c>
      <c r="N179" s="19" t="s">
        <v>926</v>
      </c>
      <c r="O179" s="19" t="s">
        <v>91</v>
      </c>
      <c r="P179" s="19" t="s">
        <v>107</v>
      </c>
      <c r="Q179" s="19" t="s">
        <v>708</v>
      </c>
      <c r="R179" s="19" t="s">
        <v>927</v>
      </c>
      <c r="S179" s="19"/>
      <c r="T179" s="19" t="s">
        <v>68</v>
      </c>
      <c r="U179" s="19" t="s">
        <v>69</v>
      </c>
      <c r="V179" s="19" t="s">
        <v>54</v>
      </c>
      <c r="W179" s="19" t="s">
        <v>162</v>
      </c>
      <c r="X179" s="19" t="s">
        <v>98</v>
      </c>
      <c r="Y179" s="19"/>
      <c r="Z179" s="19" t="s">
        <v>928</v>
      </c>
      <c r="AA179" s="19">
        <v>2</v>
      </c>
      <c r="AB179" s="19">
        <v>2</v>
      </c>
      <c r="AC179" s="19" t="s">
        <v>58</v>
      </c>
      <c r="AD179" s="19" t="s">
        <v>107</v>
      </c>
      <c r="AE179" s="19" t="s">
        <v>572</v>
      </c>
      <c r="AF179" s="19" t="s">
        <v>929</v>
      </c>
    </row>
    <row r="180" spans="1:34" customHeight="1" ht="42">
      <c r="A180" s="19">
        <v>175</v>
      </c>
      <c r="B180" s="19" t="s">
        <v>86</v>
      </c>
      <c r="C180" s="19" t="s">
        <v>930</v>
      </c>
      <c r="D180" s="19" t="str">
        <f>HYPERLINK("http://henontech.com/fieldsafety/harzard/harzard_show.php?rid=3353&amp;url=harzardrecs.php","一名巡检工，巡检时不小心被穿线管绊倒，导致右手骨折，送医院就治。")</f>
        <v>一名巡检工，巡检时不小心被穿线管绊倒，导致右手骨折，送医院就治。</v>
      </c>
      <c r="E180" s="19" t="s">
        <v>931</v>
      </c>
      <c r="F180" s="24" t="s">
        <v>260</v>
      </c>
      <c r="G180" s="22" t="s">
        <v>77</v>
      </c>
      <c r="H180" s="19" t="s">
        <v>44</v>
      </c>
      <c r="I180" s="19" t="s">
        <v>90</v>
      </c>
      <c r="J180" s="19" t="s">
        <v>63</v>
      </c>
      <c r="K180" s="19" t="s">
        <v>138</v>
      </c>
      <c r="L180" s="19"/>
      <c r="M180" s="19" t="s">
        <v>91</v>
      </c>
      <c r="N180" s="19" t="s">
        <v>932</v>
      </c>
      <c r="O180" s="19" t="s">
        <v>91</v>
      </c>
      <c r="P180" s="19" t="s">
        <v>107</v>
      </c>
      <c r="Q180" s="19" t="s">
        <v>933</v>
      </c>
      <c r="R180" s="19" t="s">
        <v>934</v>
      </c>
      <c r="S180" s="19"/>
      <c r="T180" s="19" t="s">
        <v>68</v>
      </c>
      <c r="U180" s="19" t="s">
        <v>96</v>
      </c>
      <c r="V180" s="19" t="s">
        <v>182</v>
      </c>
      <c r="W180" s="19" t="s">
        <v>162</v>
      </c>
      <c r="X180" s="19"/>
      <c r="Y180" s="19"/>
      <c r="Z180" s="19" t="s">
        <v>935</v>
      </c>
      <c r="AA180" s="19">
        <v>2</v>
      </c>
      <c r="AB180" s="19"/>
      <c r="AC180" s="19" t="s">
        <v>266</v>
      </c>
      <c r="AD180" s="19"/>
      <c r="AE180" s="19"/>
      <c r="AF180" s="19"/>
    </row>
    <row r="181" spans="1:34">
      <c r="A181" s="19">
        <v>176</v>
      </c>
      <c r="B181" s="19" t="s">
        <v>100</v>
      </c>
      <c r="C181" s="19" t="s">
        <v>413</v>
      </c>
      <c r="D181" s="19" t="str">
        <f>HYPERLINK("http://henontech.com/fieldsafety/harzard/harzard_show.php?rid=3354&amp;url=harzardrecs.php","过桥未设安全警示标识，操作工在经过过桥时，头部不慎碰到上方的电缆桥架，送医务室检查为颈部挫伤，回家休养3天后复工。")</f>
        <v>过桥未设安全警示标识，操作工在经过过桥时，头部不慎碰到上方的电缆桥架，送医务室检查为颈部挫伤，回家休养3天后复工。</v>
      </c>
      <c r="E181" s="19" t="s">
        <v>936</v>
      </c>
      <c r="F181" s="20" t="s">
        <v>42</v>
      </c>
      <c r="G181" s="21" t="s">
        <v>43</v>
      </c>
      <c r="H181" s="19" t="s">
        <v>44</v>
      </c>
      <c r="I181" s="19" t="s">
        <v>90</v>
      </c>
      <c r="J181" s="19" t="s">
        <v>63</v>
      </c>
      <c r="K181" s="19" t="s">
        <v>64</v>
      </c>
      <c r="L181" s="19" t="s">
        <v>46</v>
      </c>
      <c r="M181" s="19" t="s">
        <v>210</v>
      </c>
      <c r="N181" s="19" t="s">
        <v>937</v>
      </c>
      <c r="O181" s="19" t="s">
        <v>210</v>
      </c>
      <c r="P181" s="19" t="s">
        <v>416</v>
      </c>
      <c r="Q181" s="19" t="s">
        <v>938</v>
      </c>
      <c r="R181" s="19" t="s">
        <v>939</v>
      </c>
      <c r="S181" s="19"/>
      <c r="T181" s="19" t="s">
        <v>68</v>
      </c>
      <c r="U181" s="19" t="s">
        <v>69</v>
      </c>
      <c r="V181" s="19" t="s">
        <v>54</v>
      </c>
      <c r="W181" s="19" t="s">
        <v>162</v>
      </c>
      <c r="X181" s="19"/>
      <c r="Y181" s="19"/>
      <c r="Z181" s="19" t="s">
        <v>940</v>
      </c>
      <c r="AA181" s="19">
        <v>1</v>
      </c>
      <c r="AB181" s="19">
        <v>1</v>
      </c>
      <c r="AC181" s="19" t="s">
        <v>58</v>
      </c>
      <c r="AD181" s="19" t="s">
        <v>416</v>
      </c>
      <c r="AE181" s="19" t="s">
        <v>362</v>
      </c>
      <c r="AF181" s="19"/>
    </row>
    <row r="182" spans="1:34">
      <c r="A182" s="19">
        <v>177</v>
      </c>
      <c r="B182" s="19" t="s">
        <v>100</v>
      </c>
      <c r="C182" s="19" t="s">
        <v>251</v>
      </c>
      <c r="D182" s="19" t="str">
        <f>HYPERLINK("http://henontech.com/fieldsafety/harzard/harzard_show.php?rid=3355&amp;url=harzardrecs.php","1618破碎机液压油缸油管外皮破损 使用时液压油漏到地上清理不及时 人员经过时不深踩到 脚底打滑摔倒 造成右前臂骨折 送医治疗 住院一个月 在家修养91天")</f>
        <v>1618破碎机液压油缸油管外皮破损 使用时液压油漏到地上清理不及时 人员经过时不深踩到 脚底打滑摔倒 造成右前臂骨折 送医治疗 住院一个月 在家修养91天</v>
      </c>
      <c r="E182" s="19" t="s">
        <v>941</v>
      </c>
      <c r="F182" s="20" t="s">
        <v>42</v>
      </c>
      <c r="G182" s="22" t="s">
        <v>77</v>
      </c>
      <c r="H182" s="19" t="s">
        <v>44</v>
      </c>
      <c r="I182" s="19" t="s">
        <v>90</v>
      </c>
      <c r="J182" s="19"/>
      <c r="K182" s="19" t="s">
        <v>199</v>
      </c>
      <c r="L182" s="19"/>
      <c r="M182" s="19" t="s">
        <v>210</v>
      </c>
      <c r="N182" s="19" t="s">
        <v>424</v>
      </c>
      <c r="O182" s="19" t="s">
        <v>210</v>
      </c>
      <c r="P182" s="19" t="s">
        <v>425</v>
      </c>
      <c r="Q182" s="19" t="s">
        <v>825</v>
      </c>
      <c r="R182" s="19" t="s">
        <v>427</v>
      </c>
      <c r="S182" s="19"/>
      <c r="T182" s="19" t="s">
        <v>68</v>
      </c>
      <c r="U182" s="19" t="s">
        <v>96</v>
      </c>
      <c r="V182" s="19" t="s">
        <v>70</v>
      </c>
      <c r="W182" s="19" t="s">
        <v>97</v>
      </c>
      <c r="X182" s="19"/>
      <c r="Y182" s="19"/>
      <c r="Z182" s="19" t="s">
        <v>942</v>
      </c>
      <c r="AA182" s="19">
        <v>1</v>
      </c>
      <c r="AB182" s="19">
        <v>1</v>
      </c>
      <c r="AC182" s="19" t="s">
        <v>58</v>
      </c>
      <c r="AD182" s="19" t="s">
        <v>425</v>
      </c>
      <c r="AE182" s="19" t="s">
        <v>938</v>
      </c>
      <c r="AF182" s="19"/>
    </row>
    <row r="183" spans="1:34" customHeight="1" ht="42">
      <c r="A183" s="19">
        <v>178</v>
      </c>
      <c r="B183" s="19" t="s">
        <v>100</v>
      </c>
      <c r="C183" s="19" t="s">
        <v>251</v>
      </c>
      <c r="D183" s="19" t="str">
        <f>HYPERLINK("http://henontech.com/fieldsafety/harzard/harzard_show.php?rid=3356&amp;url=harzardrecs.php","煤十料仓通风管道防雨罩掉落 遇到大风天气 防雨罩被从楼顶吹落 下方正好人员经过 砸到头上 送医院抢救无效死亡")</f>
        <v>煤十料仓通风管道防雨罩掉落 遇到大风天气 防雨罩被从楼顶吹落 下方正好人员经过 砸到头上 送医院抢救无效死亡</v>
      </c>
      <c r="E183" s="19" t="s">
        <v>943</v>
      </c>
      <c r="F183" s="20" t="s">
        <v>42</v>
      </c>
      <c r="G183" s="22" t="s">
        <v>77</v>
      </c>
      <c r="H183" s="19" t="s">
        <v>44</v>
      </c>
      <c r="I183" s="19"/>
      <c r="J183" s="19" t="s">
        <v>63</v>
      </c>
      <c r="K183" s="19" t="s">
        <v>199</v>
      </c>
      <c r="L183" s="19" t="s">
        <v>46</v>
      </c>
      <c r="M183" s="19" t="s">
        <v>210</v>
      </c>
      <c r="N183" s="19" t="s">
        <v>424</v>
      </c>
      <c r="O183" s="19" t="s">
        <v>210</v>
      </c>
      <c r="P183" s="19" t="s">
        <v>425</v>
      </c>
      <c r="Q183" s="19" t="s">
        <v>825</v>
      </c>
      <c r="R183" s="19" t="s">
        <v>944</v>
      </c>
      <c r="S183" s="19"/>
      <c r="T183" s="19" t="s">
        <v>68</v>
      </c>
      <c r="U183" s="19" t="s">
        <v>203</v>
      </c>
      <c r="V183" s="19" t="s">
        <v>70</v>
      </c>
      <c r="W183" s="19" t="s">
        <v>162</v>
      </c>
      <c r="X183" s="19"/>
      <c r="Y183" s="19"/>
      <c r="Z183" s="19" t="s">
        <v>945</v>
      </c>
      <c r="AA183" s="19">
        <v>2</v>
      </c>
      <c r="AB183" s="19">
        <v>2</v>
      </c>
      <c r="AC183" s="19" t="s">
        <v>58</v>
      </c>
      <c r="AD183" s="19" t="s">
        <v>425</v>
      </c>
      <c r="AE183" s="19" t="s">
        <v>938</v>
      </c>
      <c r="AF183" s="19"/>
    </row>
    <row r="184" spans="1:34" customHeight="1" ht="42">
      <c r="A184" s="19">
        <v>179</v>
      </c>
      <c r="B184" s="19" t="s">
        <v>100</v>
      </c>
      <c r="C184" s="19" t="s">
        <v>251</v>
      </c>
      <c r="D184" s="19" t="str">
        <f>HYPERLINK("http://henontech.com/fieldsafety/harzard/harzard_show.php?rid=3357&amp;url=harzardrecs.php","皮带机后尾西侧护板腐烂，挡皮磨损严重漏煤，皮带运行中造成皮带偏带磨损撕裂事故")</f>
        <v>皮带机后尾西侧护板腐烂，挡皮磨损严重漏煤，皮带运行中造成皮带偏带磨损撕裂事故</v>
      </c>
      <c r="E184" s="19" t="s">
        <v>946</v>
      </c>
      <c r="F184" s="20" t="s">
        <v>42</v>
      </c>
      <c r="G184" s="21" t="s">
        <v>43</v>
      </c>
      <c r="H184" s="19" t="s">
        <v>44</v>
      </c>
      <c r="I184" s="19" t="s">
        <v>45</v>
      </c>
      <c r="J184" s="19" t="s">
        <v>63</v>
      </c>
      <c r="K184" s="19" t="s">
        <v>64</v>
      </c>
      <c r="L184" s="19"/>
      <c r="M184" s="19" t="s">
        <v>210</v>
      </c>
      <c r="N184" s="19" t="s">
        <v>947</v>
      </c>
      <c r="O184" s="19" t="s">
        <v>210</v>
      </c>
      <c r="P184" s="19" t="s">
        <v>212</v>
      </c>
      <c r="Q184" s="19" t="s">
        <v>458</v>
      </c>
      <c r="R184" s="19" t="s">
        <v>948</v>
      </c>
      <c r="S184" s="19"/>
      <c r="T184" s="19" t="s">
        <v>52</v>
      </c>
      <c r="U184" s="19" t="s">
        <v>53</v>
      </c>
      <c r="V184" s="19" t="s">
        <v>70</v>
      </c>
      <c r="W184" s="19" t="s">
        <v>55</v>
      </c>
      <c r="X184" s="19" t="s">
        <v>98</v>
      </c>
      <c r="Y184" s="19" t="s">
        <v>98</v>
      </c>
      <c r="Z184" s="19" t="s">
        <v>949</v>
      </c>
      <c r="AA184" s="19">
        <v>2</v>
      </c>
      <c r="AB184" s="19">
        <v>2</v>
      </c>
      <c r="AC184" s="19" t="s">
        <v>58</v>
      </c>
      <c r="AD184" s="19" t="s">
        <v>212</v>
      </c>
      <c r="AE184" s="19" t="s">
        <v>217</v>
      </c>
      <c r="AF184" s="19"/>
    </row>
    <row r="185" spans="1:34" customHeight="1" ht="42">
      <c r="A185" s="19">
        <v>180</v>
      </c>
      <c r="B185" s="19" t="s">
        <v>100</v>
      </c>
      <c r="C185" s="19" t="s">
        <v>251</v>
      </c>
      <c r="D185" s="19" t="str">
        <f>HYPERLINK("http://henontech.com/fieldsafety/harzard/harzard_show.php?rid=3358&amp;url=harzardrecs.php","煤九通廊彩钢包边撕裂，从高空吹落，将在下方行走的行人砸伤，导致右侧锁骨骨折，住院治疗15天，在家修养3个月。")</f>
        <v>煤九通廊彩钢包边撕裂，从高空吹落，将在下方行走的行人砸伤，导致右侧锁骨骨折，住院治疗15天，在家修养3个月。</v>
      </c>
      <c r="E185" s="19" t="s">
        <v>950</v>
      </c>
      <c r="F185" s="20" t="s">
        <v>42</v>
      </c>
      <c r="G185" s="21" t="s">
        <v>43</v>
      </c>
      <c r="H185" s="19" t="s">
        <v>44</v>
      </c>
      <c r="I185" s="19"/>
      <c r="J185" s="19"/>
      <c r="K185" s="19"/>
      <c r="L185" s="19" t="s">
        <v>46</v>
      </c>
      <c r="M185" s="19" t="s">
        <v>210</v>
      </c>
      <c r="N185" s="19" t="s">
        <v>951</v>
      </c>
      <c r="O185" s="19" t="s">
        <v>210</v>
      </c>
      <c r="P185" s="19" t="s">
        <v>212</v>
      </c>
      <c r="Q185" s="19" t="s">
        <v>647</v>
      </c>
      <c r="R185" s="19" t="s">
        <v>952</v>
      </c>
      <c r="S185" s="19"/>
      <c r="T185" s="19" t="s">
        <v>68</v>
      </c>
      <c r="U185" s="19" t="s">
        <v>96</v>
      </c>
      <c r="V185" s="19" t="s">
        <v>54</v>
      </c>
      <c r="W185" s="19" t="s">
        <v>120</v>
      </c>
      <c r="X185" s="19"/>
      <c r="Y185" s="19"/>
      <c r="Z185" s="19" t="s">
        <v>953</v>
      </c>
      <c r="AA185" s="19">
        <v>2</v>
      </c>
      <c r="AB185" s="19">
        <v>2</v>
      </c>
      <c r="AC185" s="19" t="s">
        <v>58</v>
      </c>
      <c r="AD185" s="19" t="s">
        <v>212</v>
      </c>
      <c r="AE185" s="19" t="s">
        <v>217</v>
      </c>
      <c r="AF185" s="19"/>
    </row>
    <row r="186" spans="1:34">
      <c r="A186" s="19">
        <v>181</v>
      </c>
      <c r="B186" s="19" t="s">
        <v>100</v>
      </c>
      <c r="C186" s="19" t="s">
        <v>954</v>
      </c>
      <c r="D186" s="19" t="str">
        <f>HYPERLINK("http://henontech.com/fieldsafety/harzard/harzard_show.php?rid=3359&amp;url=harzardrecs.php","乙炔瓶出口管未装管卡")</f>
        <v>乙炔瓶出口管未装管卡</v>
      </c>
      <c r="E186" s="19" t="s">
        <v>955</v>
      </c>
      <c r="F186" s="20" t="s">
        <v>42</v>
      </c>
      <c r="G186" s="22" t="s">
        <v>77</v>
      </c>
      <c r="H186" s="19" t="s">
        <v>44</v>
      </c>
      <c r="I186" s="19"/>
      <c r="J186" s="19" t="s">
        <v>63</v>
      </c>
      <c r="K186" s="19" t="s">
        <v>138</v>
      </c>
      <c r="L186" s="19"/>
      <c r="M186" s="19" t="s">
        <v>91</v>
      </c>
      <c r="N186" s="19" t="s">
        <v>956</v>
      </c>
      <c r="O186" s="19" t="s">
        <v>91</v>
      </c>
      <c r="P186" s="19" t="s">
        <v>107</v>
      </c>
      <c r="Q186" s="19" t="s">
        <v>351</v>
      </c>
      <c r="R186" s="19" t="s">
        <v>957</v>
      </c>
      <c r="S186" s="19"/>
      <c r="T186" s="19" t="s">
        <v>68</v>
      </c>
      <c r="U186" s="19" t="s">
        <v>96</v>
      </c>
      <c r="V186" s="19" t="s">
        <v>70</v>
      </c>
      <c r="W186" s="19" t="s">
        <v>97</v>
      </c>
      <c r="X186" s="19"/>
      <c r="Y186" s="19"/>
      <c r="Z186" s="19" t="s">
        <v>958</v>
      </c>
      <c r="AA186" s="19">
        <v>1</v>
      </c>
      <c r="AB186" s="19">
        <v>1</v>
      </c>
      <c r="AC186" s="19" t="s">
        <v>58</v>
      </c>
      <c r="AD186" s="19" t="s">
        <v>107</v>
      </c>
      <c r="AE186" s="19" t="s">
        <v>591</v>
      </c>
      <c r="AF186" s="19"/>
    </row>
    <row r="187" spans="1:34">
      <c r="A187" s="19">
        <v>182</v>
      </c>
      <c r="B187" s="19" t="s">
        <v>572</v>
      </c>
      <c r="C187" s="19" t="s">
        <v>909</v>
      </c>
      <c r="D187" s="19" t="str">
        <f>HYPERLINK("http://henontech.com/fieldsafety/harzard/harzard_show.php?rid=3361&amp;url=harzardrecs.php","东二工具乱摆乱放，有一操作工在巡检被纤子绊倒，造成人身伤害。")</f>
        <v>东二工具乱摆乱放，有一操作工在巡检被纤子绊倒，造成人身伤害。</v>
      </c>
      <c r="E187" s="19" t="s">
        <v>959</v>
      </c>
      <c r="F187" s="26" t="s">
        <v>554</v>
      </c>
      <c r="G187" s="19"/>
      <c r="H187" s="19" t="s">
        <v>44</v>
      </c>
      <c r="I187" s="19"/>
      <c r="J187" s="19" t="s">
        <v>63</v>
      </c>
      <c r="K187" s="19"/>
      <c r="L187" s="19"/>
      <c r="M187" s="19" t="s">
        <v>210</v>
      </c>
      <c r="N187" s="19" t="s">
        <v>261</v>
      </c>
      <c r="O187" s="19"/>
      <c r="P187" s="19"/>
      <c r="Q187" s="19"/>
      <c r="R187" s="19" t="s">
        <v>911</v>
      </c>
      <c r="S187" s="19"/>
      <c r="T187" s="19" t="s">
        <v>68</v>
      </c>
      <c r="U187" s="19" t="s">
        <v>69</v>
      </c>
      <c r="V187" s="19" t="s">
        <v>182</v>
      </c>
      <c r="W187" s="19" t="s">
        <v>97</v>
      </c>
      <c r="X187" s="19"/>
      <c r="Y187" s="19"/>
      <c r="Z187" s="19"/>
      <c r="AA187" s="19"/>
      <c r="AB187" s="19"/>
      <c r="AC187" s="19" t="s">
        <v>266</v>
      </c>
      <c r="AD187" s="19"/>
      <c r="AE187" s="19"/>
      <c r="AF187" s="19"/>
    </row>
    <row r="188" spans="1:34">
      <c r="A188" s="19">
        <v>183</v>
      </c>
      <c r="B188" s="19" t="s">
        <v>572</v>
      </c>
      <c r="C188" s="19" t="s">
        <v>909</v>
      </c>
      <c r="D188" s="19" t="str">
        <f>HYPERLINK("http://henontech.com/fieldsafety/harzard/harzard_show.php?rid=3362&amp;url=harzardrecs.php","东二钎子，操作工在途径时容易被纤子绊倒，造成人员伤害。")</f>
        <v>东二钎子，操作工在途径时容易被纤子绊倒，造成人员伤害。</v>
      </c>
      <c r="E188" s="19" t="s">
        <v>959</v>
      </c>
      <c r="F188" s="26" t="s">
        <v>554</v>
      </c>
      <c r="G188" s="19"/>
      <c r="H188" s="19" t="s">
        <v>44</v>
      </c>
      <c r="I188" s="19" t="s">
        <v>115</v>
      </c>
      <c r="J188" s="19"/>
      <c r="K188" s="19"/>
      <c r="L188" s="19"/>
      <c r="M188" s="19" t="s">
        <v>210</v>
      </c>
      <c r="N188" s="19" t="s">
        <v>261</v>
      </c>
      <c r="O188" s="19"/>
      <c r="P188" s="19"/>
      <c r="Q188" s="19"/>
      <c r="R188" s="19" t="s">
        <v>911</v>
      </c>
      <c r="S188" s="19"/>
      <c r="T188" s="19" t="s">
        <v>68</v>
      </c>
      <c r="U188" s="19" t="s">
        <v>69</v>
      </c>
      <c r="V188" s="19" t="s">
        <v>70</v>
      </c>
      <c r="W188" s="19" t="s">
        <v>55</v>
      </c>
      <c r="X188" s="19"/>
      <c r="Y188" s="19"/>
      <c r="Z188" s="19"/>
      <c r="AA188" s="19"/>
      <c r="AB188" s="19"/>
      <c r="AC188" s="19" t="s">
        <v>266</v>
      </c>
      <c r="AD188" s="19"/>
      <c r="AE188" s="19"/>
      <c r="AF188" s="19"/>
    </row>
    <row r="189" spans="1:34" customHeight="1" ht="42">
      <c r="A189" s="19">
        <v>184</v>
      </c>
      <c r="B189" s="19" t="s">
        <v>572</v>
      </c>
      <c r="C189" s="19" t="s">
        <v>413</v>
      </c>
      <c r="D189" s="19" t="str">
        <f>HYPERLINK("http://henontech.com/fieldsafety/harzard/harzard_show.php?rid=3363&amp;url=harzardrecs.php","东三工具乱摆乱放，一操作工在巡检是，不慎被工具绊倒，造成手部擦伤，送医包扎，回家修养三天，损工三天")</f>
        <v>东三工具乱摆乱放，一操作工在巡检是，不慎被工具绊倒，造成手部擦伤，送医包扎，回家修养三天，损工三天</v>
      </c>
      <c r="E189" s="19" t="s">
        <v>960</v>
      </c>
      <c r="F189" s="20" t="s">
        <v>42</v>
      </c>
      <c r="G189" s="22" t="s">
        <v>77</v>
      </c>
      <c r="H189" s="19" t="s">
        <v>44</v>
      </c>
      <c r="I189" s="19" t="s">
        <v>45</v>
      </c>
      <c r="J189" s="19" t="s">
        <v>198</v>
      </c>
      <c r="K189" s="19" t="s">
        <v>199</v>
      </c>
      <c r="L189" s="19"/>
      <c r="M189" s="19" t="s">
        <v>210</v>
      </c>
      <c r="N189" s="19" t="s">
        <v>261</v>
      </c>
      <c r="O189" s="19" t="s">
        <v>210</v>
      </c>
      <c r="P189" s="19" t="s">
        <v>212</v>
      </c>
      <c r="Q189" s="19" t="s">
        <v>933</v>
      </c>
      <c r="R189" s="19" t="s">
        <v>961</v>
      </c>
      <c r="S189" s="19"/>
      <c r="T189" s="19" t="s">
        <v>68</v>
      </c>
      <c r="U189" s="19" t="s">
        <v>69</v>
      </c>
      <c r="V189" s="19" t="s">
        <v>182</v>
      </c>
      <c r="W189" s="19" t="s">
        <v>97</v>
      </c>
      <c r="X189" s="19"/>
      <c r="Y189" s="19"/>
      <c r="Z189" s="19" t="s">
        <v>962</v>
      </c>
      <c r="AA189" s="19">
        <v>2</v>
      </c>
      <c r="AB189" s="19">
        <v>2</v>
      </c>
      <c r="AC189" s="19" t="s">
        <v>58</v>
      </c>
      <c r="AD189" s="19" t="s">
        <v>212</v>
      </c>
      <c r="AE189" s="19" t="s">
        <v>217</v>
      </c>
      <c r="AF189" s="19"/>
    </row>
    <row r="190" spans="1:34" customHeight="1" ht="42">
      <c r="A190" s="19">
        <v>185</v>
      </c>
      <c r="B190" s="19" t="s">
        <v>572</v>
      </c>
      <c r="C190" s="19" t="s">
        <v>314</v>
      </c>
      <c r="D190" s="19" t="str">
        <f>HYPERLINK("http://henontech.com/fieldsafety/harzard/harzard_show.php?rid=3364&amp;url=harzardrecs.php","空气炮下方焊接开裂，空气炮使用过程中震动较大，会导致设备的损坏自己以及停工情况。")</f>
        <v>空气炮下方焊接开裂，空气炮使用过程中震动较大，会导致设备的损坏自己以及停工情况。</v>
      </c>
      <c r="E190" s="19" t="s">
        <v>963</v>
      </c>
      <c r="F190" s="20" t="s">
        <v>42</v>
      </c>
      <c r="G190" s="22" t="s">
        <v>77</v>
      </c>
      <c r="H190" s="19" t="s">
        <v>44</v>
      </c>
      <c r="I190" s="19" t="s">
        <v>45</v>
      </c>
      <c r="J190" s="19" t="s">
        <v>63</v>
      </c>
      <c r="K190" s="19" t="s">
        <v>199</v>
      </c>
      <c r="L190" s="19" t="s">
        <v>46</v>
      </c>
      <c r="M190" s="19" t="s">
        <v>210</v>
      </c>
      <c r="N190" s="19" t="s">
        <v>964</v>
      </c>
      <c r="O190" s="19" t="s">
        <v>210</v>
      </c>
      <c r="P190" s="19" t="s">
        <v>212</v>
      </c>
      <c r="Q190" s="19" t="s">
        <v>965</v>
      </c>
      <c r="R190" s="19" t="s">
        <v>317</v>
      </c>
      <c r="S190" s="19"/>
      <c r="T190" s="19" t="s">
        <v>52</v>
      </c>
      <c r="U190" s="19" t="s">
        <v>53</v>
      </c>
      <c r="V190" s="19" t="s">
        <v>70</v>
      </c>
      <c r="W190" s="19" t="s">
        <v>55</v>
      </c>
      <c r="X190" s="19" t="s">
        <v>204</v>
      </c>
      <c r="Y190" s="19" t="s">
        <v>204</v>
      </c>
      <c r="Z190" s="19" t="s">
        <v>966</v>
      </c>
      <c r="AA190" s="19">
        <v>2</v>
      </c>
      <c r="AB190" s="19">
        <v>2</v>
      </c>
      <c r="AC190" s="19" t="s">
        <v>58</v>
      </c>
      <c r="AD190" s="19" t="s">
        <v>212</v>
      </c>
      <c r="AE190" s="19" t="s">
        <v>217</v>
      </c>
      <c r="AF190" s="19"/>
    </row>
    <row r="191" spans="1:34">
      <c r="A191" s="19">
        <v>186</v>
      </c>
      <c r="B191" s="19" t="s">
        <v>572</v>
      </c>
      <c r="C191" s="19" t="s">
        <v>314</v>
      </c>
      <c r="D191" s="19" t="str">
        <f>HYPERLINK("http://henontech.com/fieldsafety/harzard/harzard_show.php?rid=3365&amp;url=harzardrecs.php","西一皮带机除铁器下部托辊损坏，支架腐烂，运行中易造成胶带磨损撕裂。")</f>
        <v>西一皮带机除铁器下部托辊损坏，支架腐烂，运行中易造成胶带磨损撕裂。</v>
      </c>
      <c r="E191" s="19" t="s">
        <v>967</v>
      </c>
      <c r="F191" s="20" t="s">
        <v>42</v>
      </c>
      <c r="G191" s="21" t="s">
        <v>43</v>
      </c>
      <c r="H191" s="19" t="s">
        <v>44</v>
      </c>
      <c r="I191" s="19"/>
      <c r="J191" s="19" t="s">
        <v>78</v>
      </c>
      <c r="K191" s="19" t="s">
        <v>199</v>
      </c>
      <c r="L191" s="19"/>
      <c r="M191" s="19" t="s">
        <v>210</v>
      </c>
      <c r="N191" s="19" t="s">
        <v>438</v>
      </c>
      <c r="O191" s="19" t="s">
        <v>210</v>
      </c>
      <c r="P191" s="19" t="s">
        <v>416</v>
      </c>
      <c r="Q191" s="19" t="s">
        <v>938</v>
      </c>
      <c r="R191" s="19" t="s">
        <v>968</v>
      </c>
      <c r="S191" s="19"/>
      <c r="T191" s="19" t="s">
        <v>52</v>
      </c>
      <c r="U191" s="19" t="s">
        <v>69</v>
      </c>
      <c r="V191" s="19" t="s">
        <v>70</v>
      </c>
      <c r="W191" s="19" t="s">
        <v>55</v>
      </c>
      <c r="X191" s="19"/>
      <c r="Y191" s="19"/>
      <c r="Z191" s="19" t="s">
        <v>969</v>
      </c>
      <c r="AA191" s="19">
        <v>1</v>
      </c>
      <c r="AB191" s="19">
        <v>1</v>
      </c>
      <c r="AC191" s="19" t="s">
        <v>58</v>
      </c>
      <c r="AD191" s="19" t="s">
        <v>416</v>
      </c>
      <c r="AE191" s="19" t="s">
        <v>938</v>
      </c>
      <c r="AF191" s="19"/>
    </row>
    <row r="192" spans="1:34">
      <c r="A192" s="19">
        <v>187</v>
      </c>
      <c r="B192" s="19" t="s">
        <v>572</v>
      </c>
      <c r="C192" s="19" t="s">
        <v>413</v>
      </c>
      <c r="D192" s="19" t="str">
        <f>HYPERLINK("http://henontech.com/fieldsafety/harzard/harzard_show.php?rid=3366&amp;url=harzardrecs.php","煤五北路面钢筋裸露，一员工路经此处，不慎绊倒，造成右腿膝盖皮肤划伤，送医敷药包扎后，回岗位继续工作。")</f>
        <v>煤五北路面钢筋裸露，一员工路经此处，不慎绊倒，造成右腿膝盖皮肤划伤，送医敷药包扎后，回岗位继续工作。</v>
      </c>
      <c r="E192" s="19" t="s">
        <v>970</v>
      </c>
      <c r="F192" s="20" t="s">
        <v>42</v>
      </c>
      <c r="G192" s="21" t="s">
        <v>43</v>
      </c>
      <c r="H192" s="19" t="s">
        <v>44</v>
      </c>
      <c r="I192" s="19" t="s">
        <v>45</v>
      </c>
      <c r="J192" s="19" t="s">
        <v>198</v>
      </c>
      <c r="K192" s="19" t="s">
        <v>138</v>
      </c>
      <c r="L192" s="19" t="s">
        <v>46</v>
      </c>
      <c r="M192" s="19" t="s">
        <v>210</v>
      </c>
      <c r="N192" s="19" t="s">
        <v>420</v>
      </c>
      <c r="O192" s="19" t="s">
        <v>210</v>
      </c>
      <c r="P192" s="19" t="s">
        <v>416</v>
      </c>
      <c r="Q192" s="19" t="s">
        <v>938</v>
      </c>
      <c r="R192" s="19" t="s">
        <v>971</v>
      </c>
      <c r="S192" s="19"/>
      <c r="T192" s="19" t="s">
        <v>68</v>
      </c>
      <c r="U192" s="19" t="s">
        <v>69</v>
      </c>
      <c r="V192" s="19" t="s">
        <v>182</v>
      </c>
      <c r="W192" s="19" t="s">
        <v>97</v>
      </c>
      <c r="X192" s="19"/>
      <c r="Y192" s="19"/>
      <c r="Z192" s="19" t="s">
        <v>972</v>
      </c>
      <c r="AA192" s="19">
        <v>1</v>
      </c>
      <c r="AB192" s="19">
        <v>1</v>
      </c>
      <c r="AC192" s="19" t="s">
        <v>58</v>
      </c>
      <c r="AD192" s="19" t="s">
        <v>416</v>
      </c>
      <c r="AE192" s="19" t="s">
        <v>938</v>
      </c>
      <c r="AF192" s="19"/>
    </row>
    <row r="193" spans="1:34">
      <c r="A193" s="19">
        <v>188</v>
      </c>
      <c r="B193" s="19" t="s">
        <v>572</v>
      </c>
      <c r="C193" s="19" t="s">
        <v>359</v>
      </c>
      <c r="D193" s="19" t="str">
        <f>HYPERLINK("http://henontech.com/fieldsafety/harzard/harzard_show.php?rid=3367&amp;url=harzardrecs.php","维修大屋后电缆桥架盖板松动悬挂，当大风天气，一名操作工从下方经过电缆桥架下方时，桥架盖板掉落砸到操作工头部安全帽上，操作工受到惊吓，休息一会后复工，未造成人员受伤。")</f>
        <v>维修大屋后电缆桥架盖板松动悬挂，当大风天气，一名操作工从下方经过电缆桥架下方时，桥架盖板掉落砸到操作工头部安全帽上，操作工受到惊吓，休息一会后复工，未造成人员受伤。</v>
      </c>
      <c r="E193" s="19" t="s">
        <v>973</v>
      </c>
      <c r="F193" s="20" t="s">
        <v>42</v>
      </c>
      <c r="G193" s="22" t="s">
        <v>77</v>
      </c>
      <c r="H193" s="19" t="s">
        <v>44</v>
      </c>
      <c r="I193" s="19" t="s">
        <v>90</v>
      </c>
      <c r="J193" s="19" t="s">
        <v>63</v>
      </c>
      <c r="K193" s="19" t="s">
        <v>138</v>
      </c>
      <c r="L193" s="19" t="s">
        <v>46</v>
      </c>
      <c r="M193" s="19" t="s">
        <v>75</v>
      </c>
      <c r="N193" s="19" t="s">
        <v>974</v>
      </c>
      <c r="O193" s="19" t="s">
        <v>75</v>
      </c>
      <c r="P193" s="19" t="s">
        <v>80</v>
      </c>
      <c r="Q193" s="19" t="s">
        <v>351</v>
      </c>
      <c r="R193" s="19" t="s">
        <v>975</v>
      </c>
      <c r="S193" s="19"/>
      <c r="T193" s="19" t="s">
        <v>68</v>
      </c>
      <c r="U193" s="19" t="s">
        <v>69</v>
      </c>
      <c r="V193" s="19" t="s">
        <v>70</v>
      </c>
      <c r="W193" s="19" t="s">
        <v>55</v>
      </c>
      <c r="X193" s="19"/>
      <c r="Y193" s="19"/>
      <c r="Z193" s="19" t="s">
        <v>976</v>
      </c>
      <c r="AA193" s="19">
        <v>1</v>
      </c>
      <c r="AB193" s="19">
        <v>1</v>
      </c>
      <c r="AC193" s="19" t="s">
        <v>58</v>
      </c>
      <c r="AD193" s="19" t="s">
        <v>80</v>
      </c>
      <c r="AE193" s="19" t="s">
        <v>591</v>
      </c>
      <c r="AF193" s="19"/>
    </row>
    <row r="194" spans="1:34">
      <c r="A194" s="19">
        <v>189</v>
      </c>
      <c r="B194" s="19" t="s">
        <v>572</v>
      </c>
      <c r="C194" s="19" t="s">
        <v>799</v>
      </c>
      <c r="D194" s="19" t="str">
        <f>HYPERLINK("http://henontech.com/fieldsafety/harzard/harzard_show.php?rid=3368&amp;url=harzardrecs.php","热力化学水二号超滤反洗管老化破裂，致使锅炉无水可用全厂停车，造成重大经济损失")</f>
        <v>热力化学水二号超滤反洗管老化破裂，致使锅炉无水可用全厂停车，造成重大经济损失</v>
      </c>
      <c r="E194" s="19" t="s">
        <v>977</v>
      </c>
      <c r="F194" s="20" t="s">
        <v>42</v>
      </c>
      <c r="G194" s="23" t="s">
        <v>137</v>
      </c>
      <c r="H194" s="19" t="s">
        <v>44</v>
      </c>
      <c r="I194" s="19" t="s">
        <v>45</v>
      </c>
      <c r="J194" s="19" t="s">
        <v>63</v>
      </c>
      <c r="K194" s="19" t="s">
        <v>978</v>
      </c>
      <c r="L194" s="19" t="s">
        <v>46</v>
      </c>
      <c r="M194" s="19" t="s">
        <v>91</v>
      </c>
      <c r="N194" s="19" t="s">
        <v>335</v>
      </c>
      <c r="O194" s="19" t="s">
        <v>91</v>
      </c>
      <c r="P194" s="19" t="s">
        <v>107</v>
      </c>
      <c r="Q194" s="19" t="s">
        <v>351</v>
      </c>
      <c r="R194" s="19" t="s">
        <v>979</v>
      </c>
      <c r="S194" s="19"/>
      <c r="T194" s="19" t="s">
        <v>52</v>
      </c>
      <c r="U194" s="19" t="s">
        <v>53</v>
      </c>
      <c r="V194" s="19" t="s">
        <v>70</v>
      </c>
      <c r="W194" s="19" t="s">
        <v>55</v>
      </c>
      <c r="X194" s="19"/>
      <c r="Y194" s="19"/>
      <c r="Z194" s="19" t="s">
        <v>980</v>
      </c>
      <c r="AA194" s="19">
        <v>1</v>
      </c>
      <c r="AB194" s="19">
        <v>1</v>
      </c>
      <c r="AC194" s="19" t="s">
        <v>58</v>
      </c>
      <c r="AD194" s="19" t="s">
        <v>107</v>
      </c>
      <c r="AE194" s="19" t="s">
        <v>591</v>
      </c>
      <c r="AF194" s="19" t="s">
        <v>981</v>
      </c>
    </row>
    <row r="195" spans="1:34">
      <c r="A195" s="19">
        <v>190</v>
      </c>
      <c r="B195" s="19" t="s">
        <v>938</v>
      </c>
      <c r="C195" s="19" t="s">
        <v>235</v>
      </c>
      <c r="D195" s="19" t="str">
        <f>HYPERLINK("http://henontech.com/fieldsafety/harzard/harzard_show.php?rid=3369&amp;url=harzardrecs.php","粗苯管式炉东侧电缆桥架盖板坠落，悬挂在半空，一名操作工在经过桥架下方时被坠落的电缆桥架盖板砸伤头部，未影响正常工作。")</f>
        <v>粗苯管式炉东侧电缆桥架盖板坠落，悬挂在半空，一名操作工在经过桥架下方时被坠落的电缆桥架盖板砸伤头部，未影响正常工作。</v>
      </c>
      <c r="E195" s="19" t="s">
        <v>982</v>
      </c>
      <c r="F195" s="20" t="s">
        <v>42</v>
      </c>
      <c r="G195" s="22" t="s">
        <v>77</v>
      </c>
      <c r="H195" s="19" t="s">
        <v>44</v>
      </c>
      <c r="I195" s="19" t="s">
        <v>45</v>
      </c>
      <c r="J195" s="19" t="s">
        <v>63</v>
      </c>
      <c r="K195" s="19" t="s">
        <v>199</v>
      </c>
      <c r="L195" s="19" t="s">
        <v>46</v>
      </c>
      <c r="M195" s="19" t="s">
        <v>75</v>
      </c>
      <c r="N195" s="19" t="s">
        <v>649</v>
      </c>
      <c r="O195" s="19" t="s">
        <v>75</v>
      </c>
      <c r="P195" s="19" t="s">
        <v>80</v>
      </c>
      <c r="Q195" s="19" t="s">
        <v>351</v>
      </c>
      <c r="R195" s="19" t="s">
        <v>983</v>
      </c>
      <c r="S195" s="19"/>
      <c r="T195" s="19" t="s">
        <v>68</v>
      </c>
      <c r="U195" s="19" t="s">
        <v>69</v>
      </c>
      <c r="V195" s="19" t="s">
        <v>70</v>
      </c>
      <c r="W195" s="19" t="s">
        <v>55</v>
      </c>
      <c r="X195" s="19"/>
      <c r="Y195" s="19"/>
      <c r="Z195" s="19" t="s">
        <v>984</v>
      </c>
      <c r="AA195" s="19">
        <v>1</v>
      </c>
      <c r="AB195" s="19">
        <v>1</v>
      </c>
      <c r="AC195" s="19" t="s">
        <v>58</v>
      </c>
      <c r="AD195" s="19" t="s">
        <v>80</v>
      </c>
      <c r="AE195" s="19" t="s">
        <v>985</v>
      </c>
      <c r="AF195" s="19"/>
    </row>
    <row r="196" spans="1:34">
      <c r="A196" s="19">
        <v>191</v>
      </c>
      <c r="B196" s="19" t="s">
        <v>938</v>
      </c>
      <c r="C196" s="19" t="s">
        <v>235</v>
      </c>
      <c r="D196" s="19" t="str">
        <f>HYPERLINK("http://henontech.com/fieldsafety/harzard/harzard_show.php?rid=3370&amp;url=harzardrecs.php","粗苯北区地下放空槽防雨棚未固定牢固，大风天气容易刮落，操作工在巡检的过程中被大风刮落的彩钢板砸伤，休息片刻后继续工作。")</f>
        <v>粗苯北区地下放空槽防雨棚未固定牢固，大风天气容易刮落，操作工在巡检的过程中被大风刮落的彩钢板砸伤，休息片刻后继续工作。</v>
      </c>
      <c r="E196" s="19" t="s">
        <v>986</v>
      </c>
      <c r="F196" s="20" t="s">
        <v>42</v>
      </c>
      <c r="G196" s="22" t="s">
        <v>77</v>
      </c>
      <c r="H196" s="19" t="s">
        <v>44</v>
      </c>
      <c r="I196" s="19" t="s">
        <v>45</v>
      </c>
      <c r="J196" s="19" t="s">
        <v>63</v>
      </c>
      <c r="K196" s="19" t="s">
        <v>199</v>
      </c>
      <c r="L196" s="19" t="s">
        <v>46</v>
      </c>
      <c r="M196" s="19" t="s">
        <v>75</v>
      </c>
      <c r="N196" s="19" t="s">
        <v>296</v>
      </c>
      <c r="O196" s="19" t="s">
        <v>75</v>
      </c>
      <c r="P196" s="19" t="s">
        <v>80</v>
      </c>
      <c r="Q196" s="19" t="s">
        <v>351</v>
      </c>
      <c r="R196" s="19" t="s">
        <v>987</v>
      </c>
      <c r="S196" s="19"/>
      <c r="T196" s="19" t="s">
        <v>68</v>
      </c>
      <c r="U196" s="19" t="s">
        <v>69</v>
      </c>
      <c r="V196" s="19" t="s">
        <v>70</v>
      </c>
      <c r="W196" s="19" t="s">
        <v>55</v>
      </c>
      <c r="X196" s="19"/>
      <c r="Y196" s="19"/>
      <c r="Z196" s="19" t="s">
        <v>988</v>
      </c>
      <c r="AA196" s="19">
        <v>1</v>
      </c>
      <c r="AB196" s="19">
        <v>1</v>
      </c>
      <c r="AC196" s="19" t="s">
        <v>58</v>
      </c>
      <c r="AD196" s="19" t="s">
        <v>80</v>
      </c>
      <c r="AE196" s="19" t="s">
        <v>591</v>
      </c>
      <c r="AF196" s="19"/>
    </row>
    <row r="197" spans="1:34">
      <c r="A197" s="19">
        <v>192</v>
      </c>
      <c r="B197" s="19" t="s">
        <v>938</v>
      </c>
      <c r="C197" s="19" t="s">
        <v>277</v>
      </c>
      <c r="D197" s="19" t="str">
        <f>HYPERLINK("http://henontech.com/fieldsafety/harzard/harzard_show.php?rid=3371&amp;url=harzardrecs.php","一名员工在巡检除氧器时，由于铁板腐蚀严重，一脚踏在腐蚀严重的平台铁板上，操作工左腿掉入平台底部，造成左脚脚踝骨折，送医后住院治疗")</f>
        <v>一名员工在巡检除氧器时，由于铁板腐蚀严重，一脚踏在腐蚀严重的平台铁板上，操作工左腿掉入平台底部，造成左脚脚踝骨折，送医后住院治疗</v>
      </c>
      <c r="E197" s="19" t="s">
        <v>989</v>
      </c>
      <c r="F197" s="24" t="s">
        <v>260</v>
      </c>
      <c r="G197" s="22" t="s">
        <v>77</v>
      </c>
      <c r="H197" s="19" t="s">
        <v>44</v>
      </c>
      <c r="I197" s="19" t="s">
        <v>115</v>
      </c>
      <c r="J197" s="19" t="s">
        <v>63</v>
      </c>
      <c r="K197" s="19" t="s">
        <v>138</v>
      </c>
      <c r="L197" s="19" t="s">
        <v>46</v>
      </c>
      <c r="M197" s="19" t="s">
        <v>47</v>
      </c>
      <c r="N197" s="19" t="s">
        <v>990</v>
      </c>
      <c r="O197" s="19" t="s">
        <v>47</v>
      </c>
      <c r="P197" s="19" t="s">
        <v>991</v>
      </c>
      <c r="Q197" s="19" t="s">
        <v>992</v>
      </c>
      <c r="R197" s="19" t="s">
        <v>993</v>
      </c>
      <c r="S197" s="19" t="s">
        <v>994</v>
      </c>
      <c r="T197" s="19" t="s">
        <v>68</v>
      </c>
      <c r="U197" s="19" t="s">
        <v>96</v>
      </c>
      <c r="V197" s="19" t="s">
        <v>70</v>
      </c>
      <c r="W197" s="19" t="s">
        <v>97</v>
      </c>
      <c r="X197" s="19" t="s">
        <v>98</v>
      </c>
      <c r="Y197" s="19" t="s">
        <v>98</v>
      </c>
      <c r="Z197" s="19" t="s">
        <v>995</v>
      </c>
      <c r="AA197" s="19">
        <v>1</v>
      </c>
      <c r="AB197" s="19"/>
      <c r="AC197" s="19" t="s">
        <v>266</v>
      </c>
      <c r="AD197" s="19"/>
      <c r="AE197" s="19"/>
      <c r="AF197" s="19"/>
    </row>
    <row r="198" spans="1:34">
      <c r="A198" s="19">
        <v>193</v>
      </c>
      <c r="B198" s="19" t="s">
        <v>938</v>
      </c>
      <c r="C198" s="19" t="s">
        <v>277</v>
      </c>
      <c r="D198" s="19" t="str">
        <f>HYPERLINK("http://henontech.com/fieldsafety/harzard/harzard_show.php?rid=3372&amp;url=harzardrecs.php","干熄炉三层平台铁板开焊翘起，一操作工巡检时不慎被翘起的铁板拌倒，人员扑倒在地面上，面部着地，造成面部擦伤，鼻骨骨折，送医治疗。")</f>
        <v>干熄炉三层平台铁板开焊翘起，一操作工巡检时不慎被翘起的铁板拌倒，人员扑倒在地面上，面部着地，造成面部擦伤，鼻骨骨折，送医治疗。</v>
      </c>
      <c r="E198" s="19" t="s">
        <v>996</v>
      </c>
      <c r="F198" s="24" t="s">
        <v>260</v>
      </c>
      <c r="G198" s="22" t="s">
        <v>77</v>
      </c>
      <c r="H198" s="19" t="s">
        <v>44</v>
      </c>
      <c r="I198" s="19" t="s">
        <v>115</v>
      </c>
      <c r="J198" s="19" t="s">
        <v>63</v>
      </c>
      <c r="K198" s="19"/>
      <c r="L198" s="19"/>
      <c r="M198" s="19" t="s">
        <v>47</v>
      </c>
      <c r="N198" s="19" t="s">
        <v>991</v>
      </c>
      <c r="O198" s="19" t="s">
        <v>47</v>
      </c>
      <c r="P198" s="19" t="s">
        <v>127</v>
      </c>
      <c r="Q198" s="19" t="s">
        <v>992</v>
      </c>
      <c r="R198" s="19" t="s">
        <v>997</v>
      </c>
      <c r="S198" s="19" t="s">
        <v>998</v>
      </c>
      <c r="T198" s="19" t="s">
        <v>68</v>
      </c>
      <c r="U198" s="19" t="s">
        <v>96</v>
      </c>
      <c r="V198" s="19" t="s">
        <v>182</v>
      </c>
      <c r="W198" s="19" t="s">
        <v>162</v>
      </c>
      <c r="X198" s="19" t="s">
        <v>98</v>
      </c>
      <c r="Y198" s="19" t="s">
        <v>98</v>
      </c>
      <c r="Z198" s="19" t="s">
        <v>999</v>
      </c>
      <c r="AA198" s="19">
        <v>1</v>
      </c>
      <c r="AB198" s="19"/>
      <c r="AC198" s="19" t="s">
        <v>266</v>
      </c>
      <c r="AD198" s="19"/>
      <c r="AE198" s="19"/>
      <c r="AF198" s="19"/>
    </row>
    <row r="199" spans="1:34">
      <c r="A199" s="19">
        <v>194</v>
      </c>
      <c r="B199" s="19" t="s">
        <v>938</v>
      </c>
      <c r="C199" s="19" t="s">
        <v>1000</v>
      </c>
      <c r="D199" s="19" t="str">
        <f>HYPERLINK("http://henontech.com/fieldsafety/harzard/harzard_show.php?rid=3373&amp;url=harzardrecs.php","汽轮机房三楼平台至主控楼楼顶楼梯台阶无防滑条，一名员工巡检过程中下楼梯时，脚底打滑跌倒，造成左脚脚踝扭伤，送医治疗。")</f>
        <v>汽轮机房三楼平台至主控楼楼顶楼梯台阶无防滑条，一名员工巡检过程中下楼梯时，脚底打滑跌倒，造成左脚脚踝扭伤，送医治疗。</v>
      </c>
      <c r="E199" s="19" t="s">
        <v>1001</v>
      </c>
      <c r="F199" s="24" t="s">
        <v>260</v>
      </c>
      <c r="G199" s="22" t="s">
        <v>77</v>
      </c>
      <c r="H199" s="19" t="s">
        <v>44</v>
      </c>
      <c r="I199" s="19" t="s">
        <v>90</v>
      </c>
      <c r="J199" s="19" t="s">
        <v>63</v>
      </c>
      <c r="K199" s="19" t="s">
        <v>116</v>
      </c>
      <c r="L199" s="19" t="s">
        <v>46</v>
      </c>
      <c r="M199" s="19" t="s">
        <v>47</v>
      </c>
      <c r="N199" s="19" t="s">
        <v>1002</v>
      </c>
      <c r="O199" s="19" t="s">
        <v>47</v>
      </c>
      <c r="P199" s="19" t="s">
        <v>991</v>
      </c>
      <c r="Q199" s="19" t="s">
        <v>351</v>
      </c>
      <c r="R199" s="19" t="s">
        <v>1003</v>
      </c>
      <c r="S199" s="19" t="s">
        <v>1004</v>
      </c>
      <c r="T199" s="19" t="s">
        <v>68</v>
      </c>
      <c r="U199" s="19" t="s">
        <v>96</v>
      </c>
      <c r="V199" s="19" t="s">
        <v>70</v>
      </c>
      <c r="W199" s="19" t="s">
        <v>97</v>
      </c>
      <c r="X199" s="19" t="s">
        <v>56</v>
      </c>
      <c r="Y199" s="19"/>
      <c r="Z199" s="19" t="s">
        <v>1005</v>
      </c>
      <c r="AA199" s="19">
        <v>1</v>
      </c>
      <c r="AB199" s="19"/>
      <c r="AC199" s="19" t="s">
        <v>266</v>
      </c>
      <c r="AD199" s="19"/>
      <c r="AE199" s="19"/>
      <c r="AF199" s="19"/>
    </row>
    <row r="200" spans="1:34">
      <c r="A200" s="19">
        <v>195</v>
      </c>
      <c r="B200" s="19" t="s">
        <v>938</v>
      </c>
      <c r="C200" s="19" t="s">
        <v>1006</v>
      </c>
      <c r="D200" s="19" t="str">
        <f>HYPERLINK("http://henontech.com/fieldsafety/harzard/harzard_show.php?rid=3374&amp;url=harzardrecs.php","一次水池西侧地沟盖板缺失，地沟深度1米，一名员工巡检一次水池西侧时，右脚不慎踩入地沟，身体倾斜，致使右侧肋骨处与地沟檐发生碰撞，造成右侧两根肋骨骨折，送医治疗。")</f>
        <v>一次水池西侧地沟盖板缺失，地沟深度1米，一名员工巡检一次水池西侧时，右脚不慎踩入地沟，身体倾斜，致使右侧肋骨处与地沟檐发生碰撞，造成右侧两根肋骨骨折，送医治疗。</v>
      </c>
      <c r="E200" s="19" t="s">
        <v>1007</v>
      </c>
      <c r="F200" s="26" t="s">
        <v>554</v>
      </c>
      <c r="G200" s="19"/>
      <c r="H200" s="19" t="s">
        <v>44</v>
      </c>
      <c r="I200" s="19" t="s">
        <v>115</v>
      </c>
      <c r="J200" s="19" t="s">
        <v>63</v>
      </c>
      <c r="K200" s="19" t="s">
        <v>138</v>
      </c>
      <c r="L200" s="19" t="s">
        <v>46</v>
      </c>
      <c r="M200" s="19" t="s">
        <v>47</v>
      </c>
      <c r="N200" s="19" t="s">
        <v>1008</v>
      </c>
      <c r="O200" s="19"/>
      <c r="P200" s="19"/>
      <c r="Q200" s="19"/>
      <c r="R200" s="19" t="s">
        <v>1009</v>
      </c>
      <c r="S200" s="19"/>
      <c r="T200" s="19" t="s">
        <v>68</v>
      </c>
      <c r="U200" s="19" t="s">
        <v>96</v>
      </c>
      <c r="V200" s="19" t="s">
        <v>70</v>
      </c>
      <c r="W200" s="19" t="s">
        <v>97</v>
      </c>
      <c r="X200" s="19"/>
      <c r="Y200" s="19"/>
      <c r="Z200" s="19"/>
      <c r="AA200" s="19"/>
      <c r="AB200" s="19"/>
      <c r="AC200" s="19" t="s">
        <v>266</v>
      </c>
      <c r="AD200" s="19"/>
      <c r="AE200" s="19"/>
      <c r="AF200" s="19"/>
    </row>
    <row r="201" spans="1:34">
      <c r="A201" s="19">
        <v>196</v>
      </c>
      <c r="B201" s="19" t="s">
        <v>938</v>
      </c>
      <c r="C201" s="19" t="s">
        <v>1010</v>
      </c>
      <c r="D201" s="19" t="str">
        <f>HYPERLINK("http://henontech.com/fieldsafety/harzard/harzard_show.php?rid=3375&amp;url=harzardrecs.php","操作室西侧路旁雨水外排井盖板不规范，雨水坑部分外露，把手没有全部放到底。假如一名操作工巡检经过此处，右脚不慎掉入井坑内，右脚扭伤，两胳膊多处擦伤，送医务室简单处理，休息三日后上班。")</f>
        <v>操作室西侧路旁雨水外排井盖板不规范，雨水坑部分外露，把手没有全部放到底。假如一名操作工巡检经过此处，右脚不慎掉入井坑内，右脚扭伤，两胳膊多处擦伤，送医务室简单处理，休息三日后上班。</v>
      </c>
      <c r="E201" s="19" t="s">
        <v>1011</v>
      </c>
      <c r="F201" s="20" t="s">
        <v>42</v>
      </c>
      <c r="G201" s="22" t="s">
        <v>77</v>
      </c>
      <c r="H201" s="19" t="s">
        <v>44</v>
      </c>
      <c r="I201" s="19" t="s">
        <v>45</v>
      </c>
      <c r="J201" s="19" t="s">
        <v>198</v>
      </c>
      <c r="K201" s="19" t="s">
        <v>199</v>
      </c>
      <c r="L201" s="19" t="s">
        <v>46</v>
      </c>
      <c r="M201" s="19" t="s">
        <v>75</v>
      </c>
      <c r="N201" s="19" t="s">
        <v>1012</v>
      </c>
      <c r="O201" s="19" t="s">
        <v>75</v>
      </c>
      <c r="P201" s="19" t="s">
        <v>80</v>
      </c>
      <c r="Q201" s="19" t="s">
        <v>351</v>
      </c>
      <c r="R201" s="19" t="s">
        <v>1013</v>
      </c>
      <c r="S201" s="19"/>
      <c r="T201" s="19" t="s">
        <v>68</v>
      </c>
      <c r="U201" s="19" t="s">
        <v>96</v>
      </c>
      <c r="V201" s="19" t="s">
        <v>70</v>
      </c>
      <c r="W201" s="19" t="s">
        <v>97</v>
      </c>
      <c r="X201" s="19"/>
      <c r="Y201" s="19"/>
      <c r="Z201" s="19" t="s">
        <v>1014</v>
      </c>
      <c r="AA201" s="19">
        <v>1</v>
      </c>
      <c r="AB201" s="19">
        <v>1</v>
      </c>
      <c r="AC201" s="19" t="s">
        <v>58</v>
      </c>
      <c r="AD201" s="19" t="s">
        <v>80</v>
      </c>
      <c r="AE201" s="19" t="s">
        <v>591</v>
      </c>
      <c r="AF201" s="19"/>
    </row>
    <row r="202" spans="1:34">
      <c r="A202" s="19">
        <v>197</v>
      </c>
      <c r="B202" s="19" t="s">
        <v>938</v>
      </c>
      <c r="C202" s="19" t="s">
        <v>622</v>
      </c>
      <c r="D202" s="19" t="str">
        <f>HYPERLINK("http://henontech.com/fieldsafety/harzard/harzard_show.php?rid=3376&amp;url=harzardrecs.php","西硫铵东花砖路管架上有一废弃不用的铁管，如果一名操作工经过此处，因风大刮落砸中操作工左肩，送医院诊断为左肩轻微骨折，在家休养7天，损工7天。")</f>
        <v>西硫铵东花砖路管架上有一废弃不用的铁管，如果一名操作工经过此处，因风大刮落砸中操作工左肩，送医院诊断为左肩轻微骨折，在家休养7天，损工7天。</v>
      </c>
      <c r="E202" s="19" t="s">
        <v>1015</v>
      </c>
      <c r="F202" s="20" t="s">
        <v>42</v>
      </c>
      <c r="G202" s="22" t="s">
        <v>77</v>
      </c>
      <c r="H202" s="19" t="s">
        <v>44</v>
      </c>
      <c r="I202" s="19" t="s">
        <v>90</v>
      </c>
      <c r="J202" s="19" t="s">
        <v>63</v>
      </c>
      <c r="K202" s="19" t="s">
        <v>138</v>
      </c>
      <c r="L202" s="19" t="s">
        <v>46</v>
      </c>
      <c r="M202" s="19" t="s">
        <v>75</v>
      </c>
      <c r="N202" s="19" t="s">
        <v>1016</v>
      </c>
      <c r="O202" s="19" t="s">
        <v>75</v>
      </c>
      <c r="P202" s="19" t="s">
        <v>80</v>
      </c>
      <c r="Q202" s="19" t="s">
        <v>351</v>
      </c>
      <c r="R202" s="19" t="s">
        <v>1017</v>
      </c>
      <c r="S202" s="19"/>
      <c r="T202" s="19" t="s">
        <v>68</v>
      </c>
      <c r="U202" s="19" t="s">
        <v>96</v>
      </c>
      <c r="V202" s="19" t="s">
        <v>182</v>
      </c>
      <c r="W202" s="19" t="s">
        <v>162</v>
      </c>
      <c r="X202" s="19"/>
      <c r="Y202" s="19"/>
      <c r="Z202" s="19" t="s">
        <v>1018</v>
      </c>
      <c r="AA202" s="19">
        <v>1</v>
      </c>
      <c r="AB202" s="19">
        <v>1</v>
      </c>
      <c r="AC202" s="19" t="s">
        <v>58</v>
      </c>
      <c r="AD202" s="19" t="s">
        <v>80</v>
      </c>
      <c r="AE202" s="19" t="s">
        <v>371</v>
      </c>
      <c r="AF202" s="19"/>
    </row>
    <row r="203" spans="1:34">
      <c r="A203" s="19">
        <v>198</v>
      </c>
      <c r="B203" s="19" t="s">
        <v>938</v>
      </c>
      <c r="C203" s="19" t="s">
        <v>259</v>
      </c>
      <c r="D203" s="19" t="str">
        <f>HYPERLINK("http://henontech.com/fieldsafety/harzard/harzard_show.php?rid=3377&amp;url=harzardrecs.php","一操作工下地下室时，因爬梯未安装防滑条，操作工脚底打滑，不慎从四米高爬梯摔落至下方地面，送医救治，诊断为左小腿骨折，住院治疗20天，休养三个月。")</f>
        <v>一操作工下地下室时，因爬梯未安装防滑条，操作工脚底打滑，不慎从四米高爬梯摔落至下方地面，送医救治，诊断为左小腿骨折，住院治疗20天，休养三个月。</v>
      </c>
      <c r="E203" s="19" t="s">
        <v>1019</v>
      </c>
      <c r="F203" s="24" t="s">
        <v>260</v>
      </c>
      <c r="G203" s="22" t="s">
        <v>77</v>
      </c>
      <c r="H203" s="19" t="s">
        <v>44</v>
      </c>
      <c r="I203" s="19"/>
      <c r="J203" s="19" t="s">
        <v>105</v>
      </c>
      <c r="K203" s="19" t="s">
        <v>138</v>
      </c>
      <c r="L203" s="19"/>
      <c r="M203" s="19" t="s">
        <v>47</v>
      </c>
      <c r="N203" s="19" t="s">
        <v>1020</v>
      </c>
      <c r="O203" s="19" t="s">
        <v>47</v>
      </c>
      <c r="P203" s="19" t="s">
        <v>1021</v>
      </c>
      <c r="Q203" s="19" t="s">
        <v>351</v>
      </c>
      <c r="R203" s="19" t="s">
        <v>1022</v>
      </c>
      <c r="S203" s="19" t="s">
        <v>1023</v>
      </c>
      <c r="T203" s="19" t="s">
        <v>68</v>
      </c>
      <c r="U203" s="19" t="s">
        <v>96</v>
      </c>
      <c r="V203" s="19" t="s">
        <v>182</v>
      </c>
      <c r="W203" s="19" t="s">
        <v>162</v>
      </c>
      <c r="X203" s="19" t="s">
        <v>56</v>
      </c>
      <c r="Y203" s="19"/>
      <c r="Z203" s="19" t="s">
        <v>1005</v>
      </c>
      <c r="AA203" s="19">
        <v>1</v>
      </c>
      <c r="AB203" s="19"/>
      <c r="AC203" s="19" t="s">
        <v>266</v>
      </c>
      <c r="AD203" s="19"/>
      <c r="AE203" s="19"/>
      <c r="AF203" s="19"/>
    </row>
    <row r="204" spans="1:34">
      <c r="A204" s="19">
        <v>199</v>
      </c>
      <c r="B204" s="19" t="s">
        <v>938</v>
      </c>
      <c r="C204" s="19" t="s">
        <v>166</v>
      </c>
      <c r="D204" s="19" t="str">
        <f>HYPERLINK("http://henontech.com/fieldsafety/harzard/harzard_show.php?rid=3378&amp;url=harzardrecs.php","南班长室前地面有一铝皮，如果因夜间照明不好，一名操作工被铝皮绊倒，造成右手腕扭伤，在家休养两天，损工两天")</f>
        <v>南班长室前地面有一铝皮，如果因夜间照明不好，一名操作工被铝皮绊倒，造成右手腕扭伤，在家休养两天，损工两天</v>
      </c>
      <c r="E204" s="19" t="s">
        <v>1024</v>
      </c>
      <c r="F204" s="24" t="s">
        <v>260</v>
      </c>
      <c r="G204" s="22" t="s">
        <v>77</v>
      </c>
      <c r="H204" s="19" t="s">
        <v>44</v>
      </c>
      <c r="I204" s="19"/>
      <c r="J204" s="19"/>
      <c r="K204" s="19" t="s">
        <v>138</v>
      </c>
      <c r="L204" s="19"/>
      <c r="M204" s="19" t="s">
        <v>75</v>
      </c>
      <c r="N204" s="19" t="s">
        <v>247</v>
      </c>
      <c r="O204" s="19" t="s">
        <v>75</v>
      </c>
      <c r="P204" s="19" t="s">
        <v>80</v>
      </c>
      <c r="Q204" s="19" t="s">
        <v>351</v>
      </c>
      <c r="R204" s="19" t="s">
        <v>1025</v>
      </c>
      <c r="S204" s="19"/>
      <c r="T204" s="19" t="s">
        <v>68</v>
      </c>
      <c r="U204" s="19" t="s">
        <v>96</v>
      </c>
      <c r="V204" s="19" t="s">
        <v>70</v>
      </c>
      <c r="W204" s="19" t="s">
        <v>97</v>
      </c>
      <c r="X204" s="19"/>
      <c r="Y204" s="19"/>
      <c r="Z204" s="19" t="s">
        <v>1026</v>
      </c>
      <c r="AA204" s="19">
        <v>1</v>
      </c>
      <c r="AB204" s="19"/>
      <c r="AC204" s="19" t="s">
        <v>266</v>
      </c>
      <c r="AD204" s="19"/>
      <c r="AE204" s="19"/>
      <c r="AF204" s="19"/>
    </row>
    <row r="205" spans="1:34">
      <c r="A205" s="19">
        <v>200</v>
      </c>
      <c r="B205" s="19" t="s">
        <v>938</v>
      </c>
      <c r="C205" s="19" t="s">
        <v>1027</v>
      </c>
      <c r="D205" s="19" t="str">
        <f>HYPERLINK("http://henontech.com/fieldsafety/harzard/harzard_show.php?rid=3379&amp;url=harzardrecs.php","高压配电室母联柜在线测温装置温度显示异常，员工巡查设备时无法判定触头温度是否正常，如温度过高发生断路器触头烧损，会引起设备停电造成财产损失。")</f>
        <v>高压配电室母联柜在线测温装置温度显示异常，员工巡查设备时无法判定触头温度是否正常，如温度过高发生断路器触头烧损，会引起设备停电造成财产损失。</v>
      </c>
      <c r="E205" s="19" t="s">
        <v>1028</v>
      </c>
      <c r="F205" s="26" t="s">
        <v>554</v>
      </c>
      <c r="G205" s="19"/>
      <c r="H205" s="19" t="s">
        <v>44</v>
      </c>
      <c r="I205" s="19" t="s">
        <v>45</v>
      </c>
      <c r="J205" s="19" t="s">
        <v>63</v>
      </c>
      <c r="K205" s="19" t="s">
        <v>199</v>
      </c>
      <c r="L205" s="19" t="s">
        <v>46</v>
      </c>
      <c r="M205" s="19" t="s">
        <v>47</v>
      </c>
      <c r="N205" s="19" t="s">
        <v>1029</v>
      </c>
      <c r="O205" s="19"/>
      <c r="P205" s="19"/>
      <c r="Q205" s="19"/>
      <c r="R205" s="19" t="s">
        <v>1030</v>
      </c>
      <c r="S205" s="19"/>
      <c r="T205" s="19" t="s">
        <v>52</v>
      </c>
      <c r="U205" s="19" t="s">
        <v>53</v>
      </c>
      <c r="V205" s="19" t="s">
        <v>182</v>
      </c>
      <c r="W205" s="19" t="s">
        <v>55</v>
      </c>
      <c r="X205" s="19"/>
      <c r="Y205" s="19"/>
      <c r="Z205" s="19"/>
      <c r="AA205" s="19"/>
      <c r="AB205" s="19"/>
      <c r="AC205" s="19" t="s">
        <v>266</v>
      </c>
      <c r="AD205" s="19"/>
      <c r="AE205" s="19"/>
      <c r="AF205" s="19"/>
    </row>
    <row r="206" spans="1:34">
      <c r="A206" s="19">
        <v>201</v>
      </c>
      <c r="B206" s="19" t="s">
        <v>591</v>
      </c>
      <c r="C206" s="19" t="s">
        <v>277</v>
      </c>
      <c r="D206" s="19" t="str">
        <f>HYPERLINK("http://henontech.com/fieldsafety/harzard/harzard_show.php?rid=3380&amp;url=harzardrecs.php","西侧管架管线铝皮严重松动，遇大风天气，一名职工从附近经过，铝皮被风刮落砸到职工头上，脸部皮肤被铝皮轻微划伤，送医包扎。")</f>
        <v>西侧管架管线铝皮严重松动，遇大风天气，一名职工从附近经过，铝皮被风刮落砸到职工头上，脸部皮肤被铝皮轻微划伤，送医包扎。</v>
      </c>
      <c r="E206" s="19" t="s">
        <v>1031</v>
      </c>
      <c r="F206" s="24" t="s">
        <v>260</v>
      </c>
      <c r="G206" s="22" t="s">
        <v>77</v>
      </c>
      <c r="H206" s="19" t="s">
        <v>44</v>
      </c>
      <c r="I206" s="19" t="s">
        <v>45</v>
      </c>
      <c r="J206" s="19" t="s">
        <v>63</v>
      </c>
      <c r="K206" s="19" t="s">
        <v>138</v>
      </c>
      <c r="L206" s="19"/>
      <c r="M206" s="19" t="s">
        <v>47</v>
      </c>
      <c r="N206" s="19" t="s">
        <v>1032</v>
      </c>
      <c r="O206" s="19" t="s">
        <v>47</v>
      </c>
      <c r="P206" s="19" t="s">
        <v>991</v>
      </c>
      <c r="Q206" s="19" t="s">
        <v>351</v>
      </c>
      <c r="R206" s="19" t="s">
        <v>1033</v>
      </c>
      <c r="S206" s="19" t="s">
        <v>1034</v>
      </c>
      <c r="T206" s="19" t="s">
        <v>68</v>
      </c>
      <c r="U206" s="19" t="s">
        <v>69</v>
      </c>
      <c r="V206" s="19" t="s">
        <v>182</v>
      </c>
      <c r="W206" s="19" t="s">
        <v>97</v>
      </c>
      <c r="X206" s="19" t="s">
        <v>98</v>
      </c>
      <c r="Y206" s="19"/>
      <c r="Z206" s="19" t="s">
        <v>1035</v>
      </c>
      <c r="AA206" s="19">
        <v>1</v>
      </c>
      <c r="AB206" s="19"/>
      <c r="AC206" s="19" t="s">
        <v>266</v>
      </c>
      <c r="AD206" s="19"/>
      <c r="AE206" s="19"/>
      <c r="AF206" s="19"/>
    </row>
    <row r="207" spans="1:34">
      <c r="A207" s="19">
        <v>202</v>
      </c>
      <c r="B207" s="19" t="s">
        <v>591</v>
      </c>
      <c r="C207" s="19" t="s">
        <v>277</v>
      </c>
      <c r="D207" s="19" t="str">
        <f>HYPERLINK("http://henontech.com/fieldsafety/harzard/harzard_show.php?rid=3381&amp;url=harzardrecs.php","干熄焦巡检工到加药间巡检时，经过门口时由于斜铁障碍，不慎绊倒，造成面部擦伤，上肢骨折，送医院治疗。")</f>
        <v>干熄焦巡检工到加药间巡检时，经过门口时由于斜铁障碍，不慎绊倒，造成面部擦伤，上肢骨折，送医院治疗。</v>
      </c>
      <c r="E207" s="19" t="s">
        <v>1036</v>
      </c>
      <c r="F207" s="24" t="s">
        <v>260</v>
      </c>
      <c r="G207" s="22" t="s">
        <v>77</v>
      </c>
      <c r="H207" s="19" t="s">
        <v>528</v>
      </c>
      <c r="I207" s="19"/>
      <c r="J207" s="19" t="s">
        <v>63</v>
      </c>
      <c r="K207" s="19" t="s">
        <v>138</v>
      </c>
      <c r="L207" s="19" t="s">
        <v>1037</v>
      </c>
      <c r="M207" s="19" t="s">
        <v>47</v>
      </c>
      <c r="N207" s="19" t="s">
        <v>1038</v>
      </c>
      <c r="O207" s="19" t="s">
        <v>47</v>
      </c>
      <c r="P207" s="19" t="s">
        <v>1021</v>
      </c>
      <c r="Q207" s="19" t="s">
        <v>351</v>
      </c>
      <c r="R207" s="19" t="s">
        <v>1039</v>
      </c>
      <c r="S207" s="19" t="s">
        <v>1040</v>
      </c>
      <c r="T207" s="19" t="s">
        <v>68</v>
      </c>
      <c r="U207" s="19" t="s">
        <v>96</v>
      </c>
      <c r="V207" s="19" t="s">
        <v>182</v>
      </c>
      <c r="W207" s="19" t="s">
        <v>162</v>
      </c>
      <c r="X207" s="19" t="s">
        <v>56</v>
      </c>
      <c r="Y207" s="19"/>
      <c r="Z207" s="19" t="s">
        <v>1041</v>
      </c>
      <c r="AA207" s="19">
        <v>1</v>
      </c>
      <c r="AB207" s="19"/>
      <c r="AC207" s="19" t="s">
        <v>266</v>
      </c>
      <c r="AD207" s="19"/>
      <c r="AE207" s="19"/>
      <c r="AF207" s="19"/>
    </row>
    <row r="208" spans="1:34" customHeight="1" ht="42">
      <c r="A208" s="19">
        <v>203</v>
      </c>
      <c r="B208" s="19" t="s">
        <v>591</v>
      </c>
      <c r="C208" s="19" t="s">
        <v>166</v>
      </c>
      <c r="D208" s="19" t="str">
        <f>HYPERLINK("http://henontech.com/fieldsafety/harzard/harzard_show.php?rid=3382&amp;url=harzardrecs.php","催化剂储槽活化完催化剂后，未把铁板及时盖上，气味严重，造成环境污染，使用过的催化剂桶东倒西歪混乱一片，给工作带来不便。")</f>
        <v>催化剂储槽活化完催化剂后，未把铁板及时盖上，气味严重，造成环境污染，使用过的催化剂桶东倒西歪混乱一片，给工作带来不便。</v>
      </c>
      <c r="E208" s="19" t="s">
        <v>1042</v>
      </c>
      <c r="F208" s="20" t="s">
        <v>42</v>
      </c>
      <c r="G208" s="22" t="s">
        <v>77</v>
      </c>
      <c r="H208" s="19" t="s">
        <v>44</v>
      </c>
      <c r="I208" s="19" t="s">
        <v>45</v>
      </c>
      <c r="J208" s="19" t="s">
        <v>198</v>
      </c>
      <c r="K208" s="19" t="s">
        <v>138</v>
      </c>
      <c r="L208" s="19"/>
      <c r="M208" s="19" t="s">
        <v>75</v>
      </c>
      <c r="N208" s="19" t="s">
        <v>1043</v>
      </c>
      <c r="O208" s="19" t="s">
        <v>75</v>
      </c>
      <c r="P208" s="19" t="s">
        <v>80</v>
      </c>
      <c r="Q208" s="19" t="s">
        <v>351</v>
      </c>
      <c r="R208" s="19" t="s">
        <v>1044</v>
      </c>
      <c r="S208" s="19"/>
      <c r="T208" s="19" t="s">
        <v>83</v>
      </c>
      <c r="U208" s="19" t="s">
        <v>53</v>
      </c>
      <c r="V208" s="19" t="s">
        <v>54</v>
      </c>
      <c r="W208" s="19" t="s">
        <v>55</v>
      </c>
      <c r="X208" s="19"/>
      <c r="Y208" s="19"/>
      <c r="Z208" s="19" t="s">
        <v>1045</v>
      </c>
      <c r="AA208" s="19">
        <v>2</v>
      </c>
      <c r="AB208" s="19">
        <v>2</v>
      </c>
      <c r="AC208" s="19" t="s">
        <v>58</v>
      </c>
      <c r="AD208" s="19" t="s">
        <v>80</v>
      </c>
      <c r="AE208" s="19" t="s">
        <v>122</v>
      </c>
      <c r="AF208" s="19"/>
    </row>
    <row r="209" spans="1:34">
      <c r="A209" s="19">
        <v>204</v>
      </c>
      <c r="B209" s="19" t="s">
        <v>591</v>
      </c>
      <c r="C209" s="19" t="s">
        <v>1046</v>
      </c>
      <c r="D209" s="19" t="str">
        <f>HYPERLINK("http://henontech.com/fieldsafety/harzard/harzard_show.php?rid=3383&amp;url=harzardrecs.php","因提升机七层东侧护栏踢脚板开焊，起不到防护作用，一巡检工夜间巡检时经过此处，不慎将一铁件从护栏开焊处踢落，铁件从36米高处坠落将下方行人头部砸伤，送医院抢救无效死亡。")</f>
        <v>因提升机七层东侧护栏踢脚板开焊，起不到防护作用，一巡检工夜间巡检时经过此处，不慎将一铁件从护栏开焊处踢落，铁件从36米高处坠落将下方行人头部砸伤，送医院抢救无效死亡。</v>
      </c>
      <c r="E209" s="19" t="s">
        <v>1047</v>
      </c>
      <c r="F209" s="24" t="s">
        <v>260</v>
      </c>
      <c r="G209" s="22" t="s">
        <v>77</v>
      </c>
      <c r="H209" s="19" t="s">
        <v>44</v>
      </c>
      <c r="I209" s="19" t="s">
        <v>45</v>
      </c>
      <c r="J209" s="19" t="s">
        <v>63</v>
      </c>
      <c r="K209" s="19" t="s">
        <v>138</v>
      </c>
      <c r="L209" s="19" t="s">
        <v>46</v>
      </c>
      <c r="M209" s="19" t="s">
        <v>47</v>
      </c>
      <c r="N209" s="19" t="s">
        <v>1048</v>
      </c>
      <c r="O209" s="19" t="s">
        <v>47</v>
      </c>
      <c r="P209" s="19" t="s">
        <v>1021</v>
      </c>
      <c r="Q209" s="19" t="s">
        <v>992</v>
      </c>
      <c r="R209" s="19" t="s">
        <v>1049</v>
      </c>
      <c r="S209" s="19" t="s">
        <v>1050</v>
      </c>
      <c r="T209" s="19" t="s">
        <v>68</v>
      </c>
      <c r="U209" s="19" t="s">
        <v>203</v>
      </c>
      <c r="V209" s="19" t="s">
        <v>182</v>
      </c>
      <c r="W209" s="19" t="s">
        <v>120</v>
      </c>
      <c r="X209" s="19" t="s">
        <v>98</v>
      </c>
      <c r="Y209" s="19" t="s">
        <v>98</v>
      </c>
      <c r="Z209" s="19" t="s">
        <v>1051</v>
      </c>
      <c r="AA209" s="19">
        <v>1</v>
      </c>
      <c r="AB209" s="19"/>
      <c r="AC209" s="19" t="s">
        <v>266</v>
      </c>
      <c r="AD209" s="19"/>
      <c r="AE209" s="19"/>
      <c r="AF209" s="19"/>
    </row>
    <row r="210" spans="1:34">
      <c r="A210" s="19">
        <v>205</v>
      </c>
      <c r="B210" s="19" t="s">
        <v>591</v>
      </c>
      <c r="C210" s="19" t="s">
        <v>1052</v>
      </c>
      <c r="D210" s="19" t="str">
        <f>HYPERLINK("http://henontech.com/fieldsafety/harzard/harzard_show.php?rid=3385&amp;url=harzardrecs.php","循环水冷却塔爬梯无防滑条，冷却塔地面湿滑，爬梯陡  高，一员工在巡检过程中从此经过，脚底打滑 不慎从四米高处跌落地面，送医救治  诊断为右脚脚踝处骨折，住院20天  休养三个月  损工110天 。")</f>
        <v>循环水冷却塔爬梯无防滑条，冷却塔地面湿滑，爬梯陡  高，一员工在巡检过程中从此经过，脚底打滑 不慎从四米高处跌落地面，送医救治  诊断为右脚脚踝处骨折，住院20天  休养三个月  损工110天 。</v>
      </c>
      <c r="E210" s="19" t="s">
        <v>1053</v>
      </c>
      <c r="F210" s="26" t="s">
        <v>554</v>
      </c>
      <c r="G210" s="19"/>
      <c r="H210" s="19" t="s">
        <v>44</v>
      </c>
      <c r="I210" s="19" t="s">
        <v>45</v>
      </c>
      <c r="J210" s="19" t="s">
        <v>63</v>
      </c>
      <c r="K210" s="19" t="s">
        <v>116</v>
      </c>
      <c r="L210" s="19" t="s">
        <v>46</v>
      </c>
      <c r="M210" s="19" t="s">
        <v>47</v>
      </c>
      <c r="N210" s="19" t="s">
        <v>1054</v>
      </c>
      <c r="O210" s="19"/>
      <c r="P210" s="19"/>
      <c r="Q210" s="19"/>
      <c r="R210" s="19" t="s">
        <v>1055</v>
      </c>
      <c r="S210" s="19"/>
      <c r="T210" s="19" t="s">
        <v>68</v>
      </c>
      <c r="U210" s="19" t="s">
        <v>96</v>
      </c>
      <c r="V210" s="19" t="s">
        <v>182</v>
      </c>
      <c r="W210" s="19" t="s">
        <v>162</v>
      </c>
      <c r="X210" s="19"/>
      <c r="Y210" s="19"/>
      <c r="Z210" s="19"/>
      <c r="AA210" s="19"/>
      <c r="AB210" s="19"/>
      <c r="AC210" s="19" t="s">
        <v>266</v>
      </c>
      <c r="AD210" s="19"/>
      <c r="AE210" s="19"/>
      <c r="AF210" s="19"/>
    </row>
    <row r="211" spans="1:34">
      <c r="A211" s="19">
        <v>206</v>
      </c>
      <c r="B211" s="19" t="s">
        <v>1056</v>
      </c>
      <c r="C211" s="19" t="s">
        <v>512</v>
      </c>
      <c r="D211" s="19" t="str">
        <f>HYPERLINK("http://henontech.com/fieldsafety/harzard/harzard_show.php?rid=3387&amp;url=harzardrecs.php","南脱硫2#脱硫塔水封蒸汽管道铝皮破损，巡检工在开关阀门时，造成手部轻微划伤，医务室简单处理后正常上班。")</f>
        <v>南脱硫2#脱硫塔水封蒸汽管道铝皮破损，巡检工在开关阀门时，造成手部轻微划伤，医务室简单处理后正常上班。</v>
      </c>
      <c r="E211" s="19" t="s">
        <v>1057</v>
      </c>
      <c r="F211" s="20" t="s">
        <v>42</v>
      </c>
      <c r="G211" s="22" t="s">
        <v>77</v>
      </c>
      <c r="H211" s="19" t="s">
        <v>44</v>
      </c>
      <c r="I211" s="19"/>
      <c r="J211" s="19" t="s">
        <v>63</v>
      </c>
      <c r="K211" s="19"/>
      <c r="L211" s="19"/>
      <c r="M211" s="19" t="s">
        <v>75</v>
      </c>
      <c r="N211" s="19" t="s">
        <v>1058</v>
      </c>
      <c r="O211" s="19" t="s">
        <v>75</v>
      </c>
      <c r="P211" s="19" t="s">
        <v>80</v>
      </c>
      <c r="Q211" s="19" t="s">
        <v>1059</v>
      </c>
      <c r="R211" s="19" t="s">
        <v>1060</v>
      </c>
      <c r="S211" s="19"/>
      <c r="T211" s="19" t="s">
        <v>68</v>
      </c>
      <c r="U211" s="19" t="s">
        <v>69</v>
      </c>
      <c r="V211" s="19" t="s">
        <v>70</v>
      </c>
      <c r="W211" s="19" t="s">
        <v>55</v>
      </c>
      <c r="X211" s="19"/>
      <c r="Y211" s="19"/>
      <c r="Z211" s="19" t="s">
        <v>1061</v>
      </c>
      <c r="AA211" s="19">
        <v>1</v>
      </c>
      <c r="AB211" s="19">
        <v>1</v>
      </c>
      <c r="AC211" s="19" t="s">
        <v>58</v>
      </c>
      <c r="AD211" s="19" t="s">
        <v>80</v>
      </c>
      <c r="AE211" s="19" t="s">
        <v>652</v>
      </c>
      <c r="AF211" s="19"/>
    </row>
    <row r="212" spans="1:34">
      <c r="A212" s="19">
        <v>207</v>
      </c>
      <c r="B212" s="19" t="s">
        <v>1056</v>
      </c>
      <c r="C212" s="19" t="s">
        <v>166</v>
      </c>
      <c r="D212" s="19" t="str">
        <f>HYPERLINK("http://henontech.com/fieldsafety/harzard/harzard_show.php?rid=3388&amp;url=harzardrecs.php","南脱硫西侧护栏破损，如果一人晚上巡检从此处经过，因晚上视线不好，被破损的护栏擦伤大腿。")</f>
        <v>南脱硫西侧护栏破损，如果一人晚上巡检从此处经过，因晚上视线不好，被破损的护栏擦伤大腿。</v>
      </c>
      <c r="E212" s="19" t="s">
        <v>1062</v>
      </c>
      <c r="F212" s="24" t="s">
        <v>260</v>
      </c>
      <c r="G212" s="22" t="s">
        <v>77</v>
      </c>
      <c r="H212" s="19" t="s">
        <v>44</v>
      </c>
      <c r="I212" s="19" t="s">
        <v>115</v>
      </c>
      <c r="J212" s="19" t="s">
        <v>63</v>
      </c>
      <c r="K212" s="19" t="s">
        <v>186</v>
      </c>
      <c r="L212" s="19"/>
      <c r="M212" s="19" t="s">
        <v>75</v>
      </c>
      <c r="N212" s="19" t="s">
        <v>1063</v>
      </c>
      <c r="O212" s="19" t="s">
        <v>75</v>
      </c>
      <c r="P212" s="19" t="s">
        <v>80</v>
      </c>
      <c r="Q212" s="19" t="s">
        <v>1059</v>
      </c>
      <c r="R212" s="19" t="s">
        <v>1064</v>
      </c>
      <c r="S212" s="19"/>
      <c r="T212" s="19" t="s">
        <v>68</v>
      </c>
      <c r="U212" s="19" t="s">
        <v>69</v>
      </c>
      <c r="V212" s="19" t="s">
        <v>182</v>
      </c>
      <c r="W212" s="19" t="s">
        <v>97</v>
      </c>
      <c r="X212" s="19"/>
      <c r="Y212" s="19"/>
      <c r="Z212" s="19" t="s">
        <v>1065</v>
      </c>
      <c r="AA212" s="19">
        <v>1</v>
      </c>
      <c r="AB212" s="19"/>
      <c r="AC212" s="19" t="s">
        <v>266</v>
      </c>
      <c r="AD212" s="19"/>
      <c r="AE212" s="19"/>
      <c r="AF212" s="19"/>
    </row>
    <row r="213" spans="1:34">
      <c r="A213" s="19">
        <v>208</v>
      </c>
      <c r="B213" s="19" t="s">
        <v>1056</v>
      </c>
      <c r="C213" s="19" t="s">
        <v>849</v>
      </c>
      <c r="D213" s="19" t="str">
        <f>HYPERLINK("http://henontech.com/fieldsafety/harzard/harzard_show.php?rid=3389&amp;url=harzardrecs.php","初冷器南侧过路管架一铁皮字牌固定物脱落欲坠，假如突然坠落正巧砸中一经过下方的操作工，造成右前臂挫裂伤，就医缝三针，包扎后当即返岗。")</f>
        <v>初冷器南侧过路管架一铁皮字牌固定物脱落欲坠，假如突然坠落正巧砸中一经过下方的操作工，造成右前臂挫裂伤，就医缝三针，包扎后当即返岗。</v>
      </c>
      <c r="E213" s="19" t="s">
        <v>1066</v>
      </c>
      <c r="F213" s="20" t="s">
        <v>42</v>
      </c>
      <c r="G213" s="22" t="s">
        <v>77</v>
      </c>
      <c r="H213" s="19" t="s">
        <v>44</v>
      </c>
      <c r="I213" s="19" t="s">
        <v>90</v>
      </c>
      <c r="J213" s="19" t="s">
        <v>63</v>
      </c>
      <c r="K213" s="19" t="s">
        <v>186</v>
      </c>
      <c r="L213" s="19" t="s">
        <v>46</v>
      </c>
      <c r="M213" s="19" t="s">
        <v>75</v>
      </c>
      <c r="N213" s="19" t="s">
        <v>1067</v>
      </c>
      <c r="O213" s="19" t="s">
        <v>75</v>
      </c>
      <c r="P213" s="19" t="s">
        <v>80</v>
      </c>
      <c r="Q213" s="19" t="s">
        <v>1059</v>
      </c>
      <c r="R213" s="19" t="s">
        <v>1068</v>
      </c>
      <c r="S213" s="19"/>
      <c r="T213" s="19" t="s">
        <v>68</v>
      </c>
      <c r="U213" s="19" t="s">
        <v>69</v>
      </c>
      <c r="V213" s="19" t="s">
        <v>182</v>
      </c>
      <c r="W213" s="19" t="s">
        <v>97</v>
      </c>
      <c r="X213" s="19"/>
      <c r="Y213" s="19"/>
      <c r="Z213" s="19" t="s">
        <v>1069</v>
      </c>
      <c r="AA213" s="19">
        <v>1</v>
      </c>
      <c r="AB213" s="19">
        <v>1</v>
      </c>
      <c r="AC213" s="19" t="s">
        <v>58</v>
      </c>
      <c r="AD213" s="19" t="s">
        <v>80</v>
      </c>
      <c r="AE213" s="19" t="s">
        <v>217</v>
      </c>
      <c r="AF213" s="19"/>
    </row>
    <row r="214" spans="1:34">
      <c r="A214" s="19">
        <v>209</v>
      </c>
      <c r="B214" s="19" t="s">
        <v>1056</v>
      </c>
      <c r="C214" s="19" t="s">
        <v>146</v>
      </c>
      <c r="D214" s="19" t="str">
        <f>HYPERLINK("http://henontech.com/fieldsafety/harzard/harzard_show.php?rid=3390&amp;url=harzardrecs.php","75吨锅炉煤仓上方无护栏无安全警示，一名锅炉操作工在巡检时不慎掉入煤仓内，造成左胳膊前臂骨折。")</f>
        <v>75吨锅炉煤仓上方无护栏无安全警示，一名锅炉操作工在巡检时不慎掉入煤仓内，造成左胳膊前臂骨折。</v>
      </c>
      <c r="E214" s="19" t="s">
        <v>1070</v>
      </c>
      <c r="F214" s="20" t="s">
        <v>42</v>
      </c>
      <c r="G214" s="21" t="s">
        <v>43</v>
      </c>
      <c r="H214" s="19" t="s">
        <v>44</v>
      </c>
      <c r="I214" s="19" t="s">
        <v>90</v>
      </c>
      <c r="J214" s="19" t="s">
        <v>63</v>
      </c>
      <c r="K214" s="19"/>
      <c r="L214" s="19"/>
      <c r="M214" s="19" t="s">
        <v>91</v>
      </c>
      <c r="N214" s="19" t="s">
        <v>1071</v>
      </c>
      <c r="O214" s="19" t="s">
        <v>91</v>
      </c>
      <c r="P214" s="19" t="s">
        <v>107</v>
      </c>
      <c r="Q214" s="19" t="s">
        <v>1072</v>
      </c>
      <c r="R214" s="19" t="s">
        <v>1073</v>
      </c>
      <c r="S214" s="19"/>
      <c r="T214" s="19" t="s">
        <v>68</v>
      </c>
      <c r="U214" s="19" t="s">
        <v>96</v>
      </c>
      <c r="V214" s="19" t="s">
        <v>182</v>
      </c>
      <c r="W214" s="19" t="s">
        <v>162</v>
      </c>
      <c r="X214" s="19"/>
      <c r="Y214" s="19"/>
      <c r="Z214" s="19" t="s">
        <v>1074</v>
      </c>
      <c r="AA214" s="19">
        <v>1</v>
      </c>
      <c r="AB214" s="19">
        <v>1</v>
      </c>
      <c r="AC214" s="19" t="s">
        <v>58</v>
      </c>
      <c r="AD214" s="19" t="s">
        <v>107</v>
      </c>
      <c r="AE214" s="19" t="s">
        <v>647</v>
      </c>
      <c r="AF214" s="19"/>
    </row>
    <row r="215" spans="1:34">
      <c r="A215" s="19">
        <v>210</v>
      </c>
      <c r="B215" s="19" t="s">
        <v>1056</v>
      </c>
      <c r="C215" s="19" t="s">
        <v>1075</v>
      </c>
      <c r="D215" s="19" t="str">
        <f>HYPERLINK("http://henontech.com/fieldsafety/harzard/harzard_show.php?rid=3392&amp;url=harzardrecs.php","循环水老凉水架西南角上侧有玻璃钢瓦固定不牢，如果在五级大风天气凉水架上方的玻璃钢瓦被大风吹落，划伤正在此处巡检人员的左脸部，送医检查后无碍，简单包扎后，正常工作。")</f>
        <v>循环水老凉水架西南角上侧有玻璃钢瓦固定不牢，如果在五级大风天气凉水架上方的玻璃钢瓦被大风吹落，划伤正在此处巡检人员的左脸部，送医检查后无碍，简单包扎后，正常工作。</v>
      </c>
      <c r="E215" s="19" t="s">
        <v>1076</v>
      </c>
      <c r="F215" s="20" t="s">
        <v>42</v>
      </c>
      <c r="G215" s="22" t="s">
        <v>77</v>
      </c>
      <c r="H215" s="19" t="s">
        <v>44</v>
      </c>
      <c r="I215" s="19" t="s">
        <v>45</v>
      </c>
      <c r="J215" s="19" t="s">
        <v>63</v>
      </c>
      <c r="K215" s="19" t="s">
        <v>138</v>
      </c>
      <c r="L215" s="19" t="s">
        <v>46</v>
      </c>
      <c r="M215" s="19" t="s">
        <v>75</v>
      </c>
      <c r="N215" s="19" t="s">
        <v>1077</v>
      </c>
      <c r="O215" s="19" t="s">
        <v>75</v>
      </c>
      <c r="P215" s="19" t="s">
        <v>80</v>
      </c>
      <c r="Q215" s="19" t="s">
        <v>1059</v>
      </c>
      <c r="R215" s="19" t="s">
        <v>1078</v>
      </c>
      <c r="S215" s="19"/>
      <c r="T215" s="19" t="s">
        <v>68</v>
      </c>
      <c r="U215" s="19" t="s">
        <v>69</v>
      </c>
      <c r="V215" s="19" t="s">
        <v>70</v>
      </c>
      <c r="W215" s="19" t="s">
        <v>55</v>
      </c>
      <c r="X215" s="19"/>
      <c r="Y215" s="19"/>
      <c r="Z215" s="19" t="s">
        <v>1079</v>
      </c>
      <c r="AA215" s="19">
        <v>1</v>
      </c>
      <c r="AB215" s="19">
        <v>1</v>
      </c>
      <c r="AC215" s="19" t="s">
        <v>58</v>
      </c>
      <c r="AD215" s="19" t="s">
        <v>80</v>
      </c>
      <c r="AE215" s="19" t="s">
        <v>217</v>
      </c>
      <c r="AF215" s="19"/>
    </row>
    <row r="216" spans="1:34">
      <c r="A216" s="19">
        <v>211</v>
      </c>
      <c r="B216" s="19" t="s">
        <v>1056</v>
      </c>
      <c r="C216" s="19" t="s">
        <v>245</v>
      </c>
      <c r="D216" s="19" t="str">
        <f>HYPERLINK("http://henontech.com/fieldsafety/harzard/harzard_show.php?rid=3393&amp;url=harzardrecs.php","西硫铵东管架，管道腐蚀漏水，操作工巡查时由于路面湿滑不小心滑倒轻微扭伤，休息后不影响上班")</f>
        <v>西硫铵东管架，管道腐蚀漏水，操作工巡查时由于路面湿滑不小心滑倒轻微扭伤，休息后不影响上班</v>
      </c>
      <c r="E216" s="19" t="s">
        <v>1080</v>
      </c>
      <c r="F216" s="24" t="s">
        <v>260</v>
      </c>
      <c r="G216" s="22" t="s">
        <v>77</v>
      </c>
      <c r="H216" s="19" t="s">
        <v>44</v>
      </c>
      <c r="I216" s="19" t="s">
        <v>90</v>
      </c>
      <c r="J216" s="19" t="s">
        <v>63</v>
      </c>
      <c r="K216" s="19" t="s">
        <v>138</v>
      </c>
      <c r="L216" s="19"/>
      <c r="M216" s="19" t="s">
        <v>75</v>
      </c>
      <c r="N216" s="19" t="s">
        <v>1081</v>
      </c>
      <c r="O216" s="19" t="s">
        <v>75</v>
      </c>
      <c r="P216" s="19" t="s">
        <v>80</v>
      </c>
      <c r="Q216" s="19" t="s">
        <v>1059</v>
      </c>
      <c r="R216" s="19" t="s">
        <v>1082</v>
      </c>
      <c r="S216" s="19"/>
      <c r="T216" s="19" t="s">
        <v>68</v>
      </c>
      <c r="U216" s="19" t="s">
        <v>69</v>
      </c>
      <c r="V216" s="19" t="s">
        <v>70</v>
      </c>
      <c r="W216" s="19" t="s">
        <v>55</v>
      </c>
      <c r="X216" s="19"/>
      <c r="Y216" s="19"/>
      <c r="Z216" s="19" t="s">
        <v>1083</v>
      </c>
      <c r="AA216" s="19">
        <v>1</v>
      </c>
      <c r="AB216" s="19"/>
      <c r="AC216" s="19" t="s">
        <v>266</v>
      </c>
      <c r="AD216" s="19"/>
      <c r="AE216" s="19"/>
      <c r="AF216" s="19"/>
    </row>
    <row r="217" spans="1:34">
      <c r="A217" s="19">
        <v>212</v>
      </c>
      <c r="B217" s="19" t="s">
        <v>1056</v>
      </c>
      <c r="C217" s="19" t="s">
        <v>1084</v>
      </c>
      <c r="D217" s="19" t="str">
        <f>HYPERLINK("http://henontech.com/fieldsafety/harzard/harzard_show.php?rid=3394&amp;url=harzardrecs.php","操作工在巡检工作时，倚靠护栏，由于护栏根部长年腐蚀烂断，人和护栏一起歪倒，左手被护栏压到骨折，休息一个月，损工30天。")</f>
        <v>操作工在巡检工作时，倚靠护栏，由于护栏根部长年腐蚀烂断，人和护栏一起歪倒，左手被护栏压到骨折，休息一个月，损工30天。</v>
      </c>
      <c r="E217" s="19" t="s">
        <v>1085</v>
      </c>
      <c r="F217" s="24" t="s">
        <v>260</v>
      </c>
      <c r="G217" s="22" t="s">
        <v>77</v>
      </c>
      <c r="H217" s="19" t="s">
        <v>44</v>
      </c>
      <c r="I217" s="19" t="s">
        <v>1086</v>
      </c>
      <c r="J217" s="19" t="s">
        <v>105</v>
      </c>
      <c r="K217" s="19" t="s">
        <v>186</v>
      </c>
      <c r="L217" s="19"/>
      <c r="M217" s="19" t="s">
        <v>345</v>
      </c>
      <c r="N217" s="19" t="s">
        <v>1087</v>
      </c>
      <c r="O217" s="19" t="s">
        <v>345</v>
      </c>
      <c r="P217" s="19" t="s">
        <v>347</v>
      </c>
      <c r="Q217" s="19" t="s">
        <v>933</v>
      </c>
      <c r="R217" s="19" t="s">
        <v>1088</v>
      </c>
      <c r="S217" s="19"/>
      <c r="T217" s="19" t="s">
        <v>68</v>
      </c>
      <c r="U217" s="19" t="s">
        <v>96</v>
      </c>
      <c r="V217" s="19" t="s">
        <v>182</v>
      </c>
      <c r="W217" s="19" t="s">
        <v>162</v>
      </c>
      <c r="X217" s="19" t="s">
        <v>98</v>
      </c>
      <c r="Y217" s="19" t="s">
        <v>98</v>
      </c>
      <c r="Z217" s="19" t="s">
        <v>1089</v>
      </c>
      <c r="AA217" s="19">
        <v>1</v>
      </c>
      <c r="AB217" s="19"/>
      <c r="AC217" s="19" t="s">
        <v>266</v>
      </c>
      <c r="AD217" s="19"/>
      <c r="AE217" s="19"/>
      <c r="AF217" s="19"/>
    </row>
    <row r="218" spans="1:34">
      <c r="A218" s="19">
        <v>213</v>
      </c>
      <c r="B218" s="19" t="s">
        <v>1056</v>
      </c>
      <c r="C218" s="19" t="s">
        <v>794</v>
      </c>
      <c r="D218" s="19" t="str">
        <f>HYPERLINK("http://henontech.com/fieldsafety/harzard/harzard_show.php?rid=3395&amp;url=harzardrecs.php","阀门井盖板腐烂严重，一名操作工巡检时不慎踩上去，摔入阀门井中，送医治疗确诊左腿骨折，住院15天，回家修养3个月复工。")</f>
        <v>阀门井盖板腐烂严重，一名操作工巡检时不慎踩上去，摔入阀门井中，送医治疗确诊左腿骨折，住院15天，回家修养3个月复工。</v>
      </c>
      <c r="E218" s="19" t="s">
        <v>1090</v>
      </c>
      <c r="F218" s="24" t="s">
        <v>260</v>
      </c>
      <c r="G218" s="22" t="s">
        <v>77</v>
      </c>
      <c r="H218" s="19" t="s">
        <v>44</v>
      </c>
      <c r="I218" s="19" t="s">
        <v>90</v>
      </c>
      <c r="J218" s="19" t="s">
        <v>105</v>
      </c>
      <c r="K218" s="19" t="s">
        <v>138</v>
      </c>
      <c r="L218" s="19"/>
      <c r="M218" s="19" t="s">
        <v>345</v>
      </c>
      <c r="N218" s="19" t="s">
        <v>859</v>
      </c>
      <c r="O218" s="19" t="s">
        <v>345</v>
      </c>
      <c r="P218" s="19" t="s">
        <v>347</v>
      </c>
      <c r="Q218" s="19" t="s">
        <v>933</v>
      </c>
      <c r="R218" s="19" t="s">
        <v>1091</v>
      </c>
      <c r="S218" s="19"/>
      <c r="T218" s="19" t="s">
        <v>68</v>
      </c>
      <c r="U218" s="19" t="s">
        <v>96</v>
      </c>
      <c r="V218" s="19" t="s">
        <v>182</v>
      </c>
      <c r="W218" s="19" t="s">
        <v>162</v>
      </c>
      <c r="X218" s="19" t="s">
        <v>98</v>
      </c>
      <c r="Y218" s="19" t="s">
        <v>98</v>
      </c>
      <c r="Z218" s="19" t="s">
        <v>1092</v>
      </c>
      <c r="AA218" s="19">
        <v>1</v>
      </c>
      <c r="AB218" s="19"/>
      <c r="AC218" s="19" t="s">
        <v>266</v>
      </c>
      <c r="AD218" s="19"/>
      <c r="AE218" s="19"/>
      <c r="AF218" s="19"/>
    </row>
    <row r="219" spans="1:34">
      <c r="A219" s="19">
        <v>214</v>
      </c>
      <c r="B219" s="19" t="s">
        <v>1056</v>
      </c>
      <c r="C219" s="19" t="s">
        <v>1093</v>
      </c>
      <c r="D219" s="19" t="str">
        <f>HYPERLINK("http://henontech.com/fieldsafety/harzard/harzard_show.php?rid=3396&amp;url=harzardrecs.php","焦油罐区域内管架腐蚀角钢开裂脱落，操作工在巡查时，角钢脱落砸伤脚趾，医院包扎治疗后回家休养5天，损工5天")</f>
        <v>焦油罐区域内管架腐蚀角钢开裂脱落，操作工在巡查时，角钢脱落砸伤脚趾，医院包扎治疗后回家休养5天，损工5天</v>
      </c>
      <c r="E219" s="19" t="s">
        <v>1094</v>
      </c>
      <c r="F219" s="24" t="s">
        <v>260</v>
      </c>
      <c r="G219" s="22" t="s">
        <v>77</v>
      </c>
      <c r="H219" s="19" t="s">
        <v>44</v>
      </c>
      <c r="I219" s="19" t="s">
        <v>90</v>
      </c>
      <c r="J219" s="19" t="s">
        <v>63</v>
      </c>
      <c r="K219" s="19" t="s">
        <v>138</v>
      </c>
      <c r="L219" s="19" t="s">
        <v>46</v>
      </c>
      <c r="M219" s="19" t="s">
        <v>75</v>
      </c>
      <c r="N219" s="19" t="s">
        <v>1081</v>
      </c>
      <c r="O219" s="19" t="s">
        <v>75</v>
      </c>
      <c r="P219" s="19" t="s">
        <v>80</v>
      </c>
      <c r="Q219" s="19" t="s">
        <v>1059</v>
      </c>
      <c r="R219" s="19" t="s">
        <v>1093</v>
      </c>
      <c r="S219" s="19"/>
      <c r="T219" s="19" t="s">
        <v>68</v>
      </c>
      <c r="U219" s="19" t="s">
        <v>96</v>
      </c>
      <c r="V219" s="19" t="s">
        <v>182</v>
      </c>
      <c r="W219" s="19" t="s">
        <v>162</v>
      </c>
      <c r="X219" s="19"/>
      <c r="Y219" s="19"/>
      <c r="Z219" s="19" t="s">
        <v>1095</v>
      </c>
      <c r="AA219" s="19">
        <v>1</v>
      </c>
      <c r="AB219" s="19"/>
      <c r="AC219" s="19" t="s">
        <v>266</v>
      </c>
      <c r="AD219" s="19"/>
      <c r="AE219" s="19"/>
      <c r="AF219" s="19"/>
    </row>
    <row r="220" spans="1:34">
      <c r="A220" s="19">
        <v>215</v>
      </c>
      <c r="B220" s="19" t="s">
        <v>1056</v>
      </c>
      <c r="C220" s="19" t="s">
        <v>75</v>
      </c>
      <c r="D220" s="19" t="str">
        <f>HYPERLINK("http://henontech.com/fieldsafety/harzard/harzard_show.php?rid=3397&amp;url=harzardrecs.php","北脱硫煤气下液管阀门螺栓套管未套牢，如果一名操作工巡检经过此处，因大风天气刮落砸中操作工右肩，送往医务室诊治轻微伤简单包扎后复工。")</f>
        <v>北脱硫煤气下液管阀门螺栓套管未套牢，如果一名操作工巡检经过此处，因大风天气刮落砸中操作工右肩，送往医务室诊治轻微伤简单包扎后复工。</v>
      </c>
      <c r="E220" s="19" t="s">
        <v>1096</v>
      </c>
      <c r="F220" s="20" t="s">
        <v>42</v>
      </c>
      <c r="G220" s="22" t="s">
        <v>77</v>
      </c>
      <c r="H220" s="19" t="s">
        <v>44</v>
      </c>
      <c r="I220" s="19" t="s">
        <v>90</v>
      </c>
      <c r="J220" s="19" t="s">
        <v>63</v>
      </c>
      <c r="K220" s="19" t="s">
        <v>138</v>
      </c>
      <c r="L220" s="19" t="s">
        <v>46</v>
      </c>
      <c r="M220" s="19" t="s">
        <v>75</v>
      </c>
      <c r="N220" s="19" t="s">
        <v>1097</v>
      </c>
      <c r="O220" s="19" t="s">
        <v>75</v>
      </c>
      <c r="P220" s="19" t="s">
        <v>80</v>
      </c>
      <c r="Q220" s="19" t="s">
        <v>1059</v>
      </c>
      <c r="R220" s="19" t="s">
        <v>1098</v>
      </c>
      <c r="S220" s="19"/>
      <c r="T220" s="19" t="s">
        <v>68</v>
      </c>
      <c r="U220" s="19" t="s">
        <v>69</v>
      </c>
      <c r="V220" s="19" t="s">
        <v>182</v>
      </c>
      <c r="W220" s="19" t="s">
        <v>97</v>
      </c>
      <c r="X220" s="19"/>
      <c r="Y220" s="19"/>
      <c r="Z220" s="19" t="s">
        <v>1099</v>
      </c>
      <c r="AA220" s="19">
        <v>1</v>
      </c>
      <c r="AB220" s="19">
        <v>1</v>
      </c>
      <c r="AC220" s="19" t="s">
        <v>58</v>
      </c>
      <c r="AD220" s="19" t="s">
        <v>80</v>
      </c>
      <c r="AE220" s="19" t="s">
        <v>122</v>
      </c>
      <c r="AF220" s="19"/>
    </row>
    <row r="221" spans="1:34">
      <c r="A221" s="19">
        <v>216</v>
      </c>
      <c r="B221" s="19" t="s">
        <v>1056</v>
      </c>
      <c r="C221" s="19" t="s">
        <v>799</v>
      </c>
      <c r="D221" s="19" t="str">
        <f>HYPERLINK("http://henontech.com/fieldsafety/harzard/harzard_show.php?rid=3398&amp;url=harzardrecs.php","絮凝剂管线漏液，由于操作工没有带护目镜，操作工在操作过程中絮凝剂药液溅入眼中")</f>
        <v>絮凝剂管线漏液，由于操作工没有带护目镜，操作工在操作过程中絮凝剂药液溅入眼中</v>
      </c>
      <c r="E221" s="19" t="s">
        <v>1100</v>
      </c>
      <c r="F221" s="20" t="s">
        <v>42</v>
      </c>
      <c r="G221" s="23" t="s">
        <v>137</v>
      </c>
      <c r="H221" s="19" t="s">
        <v>44</v>
      </c>
      <c r="I221" s="19" t="s">
        <v>90</v>
      </c>
      <c r="J221" s="19" t="s">
        <v>1101</v>
      </c>
      <c r="K221" s="19" t="s">
        <v>64</v>
      </c>
      <c r="L221" s="19"/>
      <c r="M221" s="19" t="s">
        <v>91</v>
      </c>
      <c r="N221" s="19" t="s">
        <v>302</v>
      </c>
      <c r="O221" s="19" t="s">
        <v>91</v>
      </c>
      <c r="P221" s="19" t="s">
        <v>107</v>
      </c>
      <c r="Q221" s="19" t="s">
        <v>933</v>
      </c>
      <c r="R221" s="19" t="s">
        <v>799</v>
      </c>
      <c r="S221" s="19"/>
      <c r="T221" s="19" t="s">
        <v>68</v>
      </c>
      <c r="U221" s="19" t="s">
        <v>69</v>
      </c>
      <c r="V221" s="19" t="s">
        <v>182</v>
      </c>
      <c r="W221" s="19" t="s">
        <v>97</v>
      </c>
      <c r="X221" s="19"/>
      <c r="Y221" s="19"/>
      <c r="Z221" s="19" t="s">
        <v>1102</v>
      </c>
      <c r="AA221" s="19">
        <v>1</v>
      </c>
      <c r="AB221" s="19">
        <v>1</v>
      </c>
      <c r="AC221" s="19" t="s">
        <v>58</v>
      </c>
      <c r="AD221" s="19" t="s">
        <v>107</v>
      </c>
      <c r="AE221" s="19" t="s">
        <v>371</v>
      </c>
      <c r="AF221" s="19" t="s">
        <v>1103</v>
      </c>
    </row>
    <row r="222" spans="1:34">
      <c r="A222" s="19">
        <v>217</v>
      </c>
      <c r="B222" s="19" t="s">
        <v>1056</v>
      </c>
      <c r="C222" s="19" t="s">
        <v>113</v>
      </c>
      <c r="D222" s="19" t="str">
        <f>HYPERLINK("http://henontech.com/fieldsafety/harzard/harzard_show.php?rid=3399&amp;url=harzardrecs.php","南风机初冷器三层平台下段喷洒管蒸汽吹扫管法兰漏蒸汽，假如在巡检过程中路过可能会造成手臂轻微烫伤，及时对烫伤处用冷水冷却 ，不用就诊没有损工")</f>
        <v>南风机初冷器三层平台下段喷洒管蒸汽吹扫管法兰漏蒸汽，假如在巡检过程中路过可能会造成手臂轻微烫伤，及时对烫伤处用冷水冷却 ，不用就诊没有损工</v>
      </c>
      <c r="E222" s="19" t="s">
        <v>1104</v>
      </c>
      <c r="F222" s="20" t="s">
        <v>42</v>
      </c>
      <c r="G222" s="22" t="s">
        <v>77</v>
      </c>
      <c r="H222" s="19" t="s">
        <v>44</v>
      </c>
      <c r="I222" s="19" t="s">
        <v>45</v>
      </c>
      <c r="J222" s="19"/>
      <c r="K222" s="19" t="s">
        <v>138</v>
      </c>
      <c r="L222" s="19" t="s">
        <v>46</v>
      </c>
      <c r="M222" s="19" t="s">
        <v>75</v>
      </c>
      <c r="N222" s="19" t="s">
        <v>1105</v>
      </c>
      <c r="O222" s="19" t="s">
        <v>75</v>
      </c>
      <c r="P222" s="19" t="s">
        <v>80</v>
      </c>
      <c r="Q222" s="19" t="s">
        <v>1059</v>
      </c>
      <c r="R222" s="19" t="s">
        <v>1106</v>
      </c>
      <c r="S222" s="19"/>
      <c r="T222" s="19" t="s">
        <v>68</v>
      </c>
      <c r="U222" s="19" t="s">
        <v>53</v>
      </c>
      <c r="V222" s="19" t="s">
        <v>84</v>
      </c>
      <c r="W222" s="19" t="s">
        <v>55</v>
      </c>
      <c r="X222" s="19"/>
      <c r="Y222" s="19"/>
      <c r="Z222" s="19" t="s">
        <v>1107</v>
      </c>
      <c r="AA222" s="19">
        <v>1</v>
      </c>
      <c r="AB222" s="19">
        <v>1</v>
      </c>
      <c r="AC222" s="19" t="s">
        <v>58</v>
      </c>
      <c r="AD222" s="19" t="s">
        <v>80</v>
      </c>
      <c r="AE222" s="19" t="s">
        <v>122</v>
      </c>
      <c r="AF222" s="19"/>
    </row>
    <row r="223" spans="1:34">
      <c r="A223" s="19">
        <v>218</v>
      </c>
      <c r="B223" s="19" t="s">
        <v>1056</v>
      </c>
      <c r="C223" s="19" t="s">
        <v>1075</v>
      </c>
      <c r="D223" s="19" t="str">
        <f>HYPERLINK("http://henontech.com/fieldsafety/harzard/harzard_show.php?rid=3400&amp;url=harzardrecs.php","原料氨水泵上方管架油漆工遗留废弃油漆桶一只。假如大风天气一名操作工巡检此处时，可能被掉落的油漆桶砸伤操作工的左臂，送往医务室诊治轻微伤简单包扎后复工")</f>
        <v>原料氨水泵上方管架油漆工遗留废弃油漆桶一只。假如大风天气一名操作工巡检此处时，可能被掉落的油漆桶砸伤操作工的左臂，送往医务室诊治轻微伤简单包扎后复工</v>
      </c>
      <c r="E223" s="19" t="s">
        <v>1108</v>
      </c>
      <c r="F223" s="20" t="s">
        <v>42</v>
      </c>
      <c r="G223" s="22" t="s">
        <v>77</v>
      </c>
      <c r="H223" s="19" t="s">
        <v>44</v>
      </c>
      <c r="I223" s="19" t="s">
        <v>90</v>
      </c>
      <c r="J223" s="19" t="s">
        <v>63</v>
      </c>
      <c r="K223" s="19" t="s">
        <v>138</v>
      </c>
      <c r="L223" s="19" t="s">
        <v>46</v>
      </c>
      <c r="M223" s="19" t="s">
        <v>75</v>
      </c>
      <c r="N223" s="19" t="s">
        <v>1109</v>
      </c>
      <c r="O223" s="19" t="s">
        <v>75</v>
      </c>
      <c r="P223" s="19" t="s">
        <v>80</v>
      </c>
      <c r="Q223" s="19" t="s">
        <v>1059</v>
      </c>
      <c r="R223" s="19" t="s">
        <v>1098</v>
      </c>
      <c r="S223" s="19"/>
      <c r="T223" s="19" t="s">
        <v>68</v>
      </c>
      <c r="U223" s="19" t="s">
        <v>69</v>
      </c>
      <c r="V223" s="19" t="s">
        <v>182</v>
      </c>
      <c r="W223" s="19" t="s">
        <v>97</v>
      </c>
      <c r="X223" s="19"/>
      <c r="Y223" s="19"/>
      <c r="Z223" s="19" t="s">
        <v>1110</v>
      </c>
      <c r="AA223" s="19">
        <v>1</v>
      </c>
      <c r="AB223" s="19">
        <v>1</v>
      </c>
      <c r="AC223" s="19" t="s">
        <v>58</v>
      </c>
      <c r="AD223" s="19" t="s">
        <v>80</v>
      </c>
      <c r="AE223" s="19" t="s">
        <v>600</v>
      </c>
      <c r="AF223" s="19"/>
    </row>
    <row r="224" spans="1:34">
      <c r="A224" s="19">
        <v>219</v>
      </c>
      <c r="B224" s="19" t="s">
        <v>132</v>
      </c>
      <c r="C224" s="19" t="s">
        <v>235</v>
      </c>
      <c r="D224" s="19" t="str">
        <f>HYPERLINK("http://henontech.com/fieldsafety/harzard/harzard_show.php?rid=3401&amp;url=harzardrecs.php","粗苯泵房北侧电缆桥架上方有一扁铲，操作工在下方经过时，被坠落的扁铲砸伤头部，造成轻微脑振荡，住院三天后康复出院。")</f>
        <v>粗苯泵房北侧电缆桥架上方有一扁铲，操作工在下方经过时，被坠落的扁铲砸伤头部，造成轻微脑振荡，住院三天后康复出院。</v>
      </c>
      <c r="E224" s="19" t="s">
        <v>1111</v>
      </c>
      <c r="F224" s="20" t="s">
        <v>42</v>
      </c>
      <c r="G224" s="22" t="s">
        <v>77</v>
      </c>
      <c r="H224" s="19" t="s">
        <v>44</v>
      </c>
      <c r="I224" s="19" t="s">
        <v>45</v>
      </c>
      <c r="J224" s="19" t="s">
        <v>198</v>
      </c>
      <c r="K224" s="19" t="s">
        <v>199</v>
      </c>
      <c r="L224" s="19" t="s">
        <v>46</v>
      </c>
      <c r="M224" s="19" t="s">
        <v>75</v>
      </c>
      <c r="N224" s="19" t="s">
        <v>1112</v>
      </c>
      <c r="O224" s="19" t="s">
        <v>75</v>
      </c>
      <c r="P224" s="19" t="s">
        <v>80</v>
      </c>
      <c r="Q224" s="19" t="s">
        <v>1059</v>
      </c>
      <c r="R224" s="19" t="s">
        <v>1113</v>
      </c>
      <c r="S224" s="19"/>
      <c r="T224" s="19" t="s">
        <v>68</v>
      </c>
      <c r="U224" s="19" t="s">
        <v>96</v>
      </c>
      <c r="V224" s="19" t="s">
        <v>182</v>
      </c>
      <c r="W224" s="19" t="s">
        <v>162</v>
      </c>
      <c r="X224" s="19"/>
      <c r="Y224" s="19"/>
      <c r="Z224" s="19" t="s">
        <v>1114</v>
      </c>
      <c r="AA224" s="19">
        <v>1</v>
      </c>
      <c r="AB224" s="19">
        <v>1</v>
      </c>
      <c r="AC224" s="19" t="s">
        <v>58</v>
      </c>
      <c r="AD224" s="19" t="s">
        <v>80</v>
      </c>
      <c r="AE224" s="19" t="s">
        <v>217</v>
      </c>
      <c r="AF224" s="19"/>
    </row>
    <row r="225" spans="1:34">
      <c r="A225" s="19">
        <v>220</v>
      </c>
      <c r="B225" s="19" t="s">
        <v>132</v>
      </c>
      <c r="C225" s="19" t="s">
        <v>1115</v>
      </c>
      <c r="D225" s="19" t="str">
        <f>HYPERLINK("http://henontech.com/fieldsafety/harzard/harzard_show.php?rid=3405&amp;url=harzardrecs.php","一人上煤时，观察1号下料口时来回经过煤西边煤仓口有坠落伤害")</f>
        <v>一人上煤时，观察1号下料口时来回经过煤西边煤仓口有坠落伤害</v>
      </c>
      <c r="E225" s="19" t="s">
        <v>1116</v>
      </c>
      <c r="F225" s="20" t="s">
        <v>42</v>
      </c>
      <c r="G225" s="21" t="s">
        <v>43</v>
      </c>
      <c r="H225" s="19" t="s">
        <v>44</v>
      </c>
      <c r="I225" s="19" t="s">
        <v>115</v>
      </c>
      <c r="J225" s="19" t="s">
        <v>63</v>
      </c>
      <c r="K225" s="19" t="s">
        <v>64</v>
      </c>
      <c r="L225" s="19"/>
      <c r="M225" s="19" t="s">
        <v>91</v>
      </c>
      <c r="N225" s="19" t="s">
        <v>1117</v>
      </c>
      <c r="O225" s="19" t="s">
        <v>91</v>
      </c>
      <c r="P225" s="19" t="s">
        <v>107</v>
      </c>
      <c r="Q225" s="19" t="s">
        <v>933</v>
      </c>
      <c r="R225" s="19" t="s">
        <v>1118</v>
      </c>
      <c r="S225" s="19"/>
      <c r="T225" s="19" t="s">
        <v>68</v>
      </c>
      <c r="U225" s="19" t="s">
        <v>69</v>
      </c>
      <c r="V225" s="19" t="s">
        <v>70</v>
      </c>
      <c r="W225" s="19" t="s">
        <v>55</v>
      </c>
      <c r="X225" s="19"/>
      <c r="Y225" s="19"/>
      <c r="Z225" s="19" t="s">
        <v>1119</v>
      </c>
      <c r="AA225" s="19">
        <v>1</v>
      </c>
      <c r="AB225" s="19">
        <v>1</v>
      </c>
      <c r="AC225" s="19" t="s">
        <v>58</v>
      </c>
      <c r="AD225" s="19" t="s">
        <v>107</v>
      </c>
      <c r="AE225" s="19" t="s">
        <v>371</v>
      </c>
      <c r="AF225" s="19" t="s">
        <v>1120</v>
      </c>
    </row>
    <row r="226" spans="1:34">
      <c r="A226" s="19">
        <v>221</v>
      </c>
      <c r="B226" s="19" t="s">
        <v>132</v>
      </c>
      <c r="C226" s="19" t="s">
        <v>1075</v>
      </c>
      <c r="D226" s="19" t="str">
        <f>HYPERLINK("http://henontech.com/fieldsafety/harzard/harzard_show.php?rid=3413&amp;url=harzardrecs.php","一铁板在两千方水池边缘，一旦巡检人员在开关水池阀门时，不小心碰到，被掉落的铁板砸伤脚面，送往医院包扎，在家休养7天后康复，造成一人损工事故")</f>
        <v>一铁板在两千方水池边缘，一旦巡检人员在开关水池阀门时，不小心碰到，被掉落的铁板砸伤脚面，送往医院包扎，在家休养7天后康复，造成一人损工事故</v>
      </c>
      <c r="E226" s="19" t="s">
        <v>1121</v>
      </c>
      <c r="F226" s="20" t="s">
        <v>42</v>
      </c>
      <c r="G226" s="22" t="s">
        <v>77</v>
      </c>
      <c r="H226" s="19" t="s">
        <v>44</v>
      </c>
      <c r="I226" s="19" t="s">
        <v>90</v>
      </c>
      <c r="J226" s="19" t="s">
        <v>63</v>
      </c>
      <c r="K226" s="19" t="s">
        <v>138</v>
      </c>
      <c r="L226" s="19" t="s">
        <v>46</v>
      </c>
      <c r="M226" s="19" t="s">
        <v>75</v>
      </c>
      <c r="N226" s="19" t="s">
        <v>1122</v>
      </c>
      <c r="O226" s="19" t="s">
        <v>75</v>
      </c>
      <c r="P226" s="19" t="s">
        <v>80</v>
      </c>
      <c r="Q226" s="19" t="s">
        <v>1059</v>
      </c>
      <c r="R226" s="19" t="s">
        <v>1123</v>
      </c>
      <c r="S226" s="19"/>
      <c r="T226" s="19" t="s">
        <v>68</v>
      </c>
      <c r="U226" s="19" t="s">
        <v>96</v>
      </c>
      <c r="V226" s="19" t="s">
        <v>70</v>
      </c>
      <c r="W226" s="19" t="s">
        <v>97</v>
      </c>
      <c r="X226" s="19"/>
      <c r="Y226" s="19"/>
      <c r="Z226" s="19" t="s">
        <v>1124</v>
      </c>
      <c r="AA226" s="19">
        <v>1</v>
      </c>
      <c r="AB226" s="19">
        <v>1</v>
      </c>
      <c r="AC226" s="19" t="s">
        <v>58</v>
      </c>
      <c r="AD226" s="19" t="s">
        <v>80</v>
      </c>
      <c r="AE226" s="19" t="s">
        <v>217</v>
      </c>
      <c r="AF226" s="19"/>
    </row>
    <row r="227" spans="1:34">
      <c r="A227" s="19">
        <v>222</v>
      </c>
      <c r="B227" s="19" t="s">
        <v>132</v>
      </c>
      <c r="C227" s="19" t="s">
        <v>1125</v>
      </c>
      <c r="D227" s="19" t="str">
        <f>HYPERLINK("http://henontech.com/fieldsafety/harzard/harzard_show.php?rid=3419&amp;url=harzardrecs.php","棚顶有杂物，如果在大风天气，一名操作工巡检到这里杂物被风吹下，可能造成操作工手臂划伤，现场止血后送医。")</f>
        <v>棚顶有杂物，如果在大风天气，一名操作工巡检到这里杂物被风吹下，可能造成操作工手臂划伤，现场止血后送医。</v>
      </c>
      <c r="E227" s="19" t="s">
        <v>1126</v>
      </c>
      <c r="F227" s="20" t="s">
        <v>42</v>
      </c>
      <c r="G227" s="22" t="s">
        <v>77</v>
      </c>
      <c r="H227" s="19" t="s">
        <v>44</v>
      </c>
      <c r="I227" s="19"/>
      <c r="J227" s="19" t="s">
        <v>78</v>
      </c>
      <c r="K227" s="19"/>
      <c r="L227" s="19"/>
      <c r="M227" s="19" t="s">
        <v>75</v>
      </c>
      <c r="N227" s="19" t="s">
        <v>1127</v>
      </c>
      <c r="O227" s="19" t="s">
        <v>75</v>
      </c>
      <c r="P227" s="19" t="s">
        <v>80</v>
      </c>
      <c r="Q227" s="19" t="s">
        <v>1059</v>
      </c>
      <c r="R227" s="19" t="s">
        <v>1128</v>
      </c>
      <c r="S227" s="19"/>
      <c r="T227" s="19" t="s">
        <v>68</v>
      </c>
      <c r="U227" s="19" t="s">
        <v>96</v>
      </c>
      <c r="V227" s="19" t="s">
        <v>70</v>
      </c>
      <c r="W227" s="19" t="s">
        <v>97</v>
      </c>
      <c r="X227" s="19"/>
      <c r="Y227" s="19"/>
      <c r="Z227" s="19" t="s">
        <v>1129</v>
      </c>
      <c r="AA227" s="19">
        <v>1</v>
      </c>
      <c r="AB227" s="19">
        <v>1</v>
      </c>
      <c r="AC227" s="19" t="s">
        <v>58</v>
      </c>
      <c r="AD227" s="19" t="s">
        <v>80</v>
      </c>
      <c r="AE227" s="19" t="s">
        <v>517</v>
      </c>
      <c r="AF227" s="19"/>
    </row>
    <row r="228" spans="1:34">
      <c r="A228" s="19">
        <v>223</v>
      </c>
      <c r="B228" s="19" t="s">
        <v>132</v>
      </c>
      <c r="C228" s="19" t="s">
        <v>389</v>
      </c>
      <c r="D228" s="19" t="str">
        <f>HYPERLINK("http://henontech.com/fieldsafety/harzard/harzard_show.php?rid=3421&amp;url=harzardrecs.php","深度处理加药间，盐酸泵进口阀漏液，操作人员发现及时立即通知维修人员。维修人员在检修时未带护目镜，盐酸泵压力上升，外溅起的盐酸喷溅到维修人员的右眼，立即用清水冲洗。送医经诊断右眼轻度灼伤，在家休养3日")</f>
        <v>深度处理加药间，盐酸泵进口阀漏液，操作人员发现及时立即通知维修人员。维修人员在检修时未带护目镜，盐酸泵压力上升，外溅起的盐酸喷溅到维修人员的右眼，立即用清水冲洗。送医经诊断右眼轻度灼伤，在家休养3日</v>
      </c>
      <c r="E228" s="19" t="s">
        <v>1130</v>
      </c>
      <c r="F228" s="20" t="s">
        <v>42</v>
      </c>
      <c r="G228" s="22" t="s">
        <v>77</v>
      </c>
      <c r="H228" s="19" t="s">
        <v>44</v>
      </c>
      <c r="I228" s="19" t="s">
        <v>90</v>
      </c>
      <c r="J228" s="19" t="s">
        <v>63</v>
      </c>
      <c r="K228" s="19"/>
      <c r="L228" s="19"/>
      <c r="M228" s="19" t="s">
        <v>345</v>
      </c>
      <c r="N228" s="19" t="s">
        <v>1131</v>
      </c>
      <c r="O228" s="19" t="s">
        <v>345</v>
      </c>
      <c r="P228" s="19" t="s">
        <v>347</v>
      </c>
      <c r="Q228" s="19" t="s">
        <v>371</v>
      </c>
      <c r="R228" s="19" t="s">
        <v>1132</v>
      </c>
      <c r="S228" s="19" t="s">
        <v>1133</v>
      </c>
      <c r="T228" s="19" t="s">
        <v>68</v>
      </c>
      <c r="U228" s="19" t="s">
        <v>96</v>
      </c>
      <c r="V228" s="19" t="s">
        <v>70</v>
      </c>
      <c r="W228" s="19" t="s">
        <v>97</v>
      </c>
      <c r="X228" s="19" t="s">
        <v>1134</v>
      </c>
      <c r="Y228" s="19" t="s">
        <v>1134</v>
      </c>
      <c r="Z228" s="19" t="s">
        <v>1135</v>
      </c>
      <c r="AA228" s="19">
        <v>1</v>
      </c>
      <c r="AB228" s="19">
        <v>1</v>
      </c>
      <c r="AC228" s="19" t="s">
        <v>58</v>
      </c>
      <c r="AD228" s="19" t="s">
        <v>347</v>
      </c>
      <c r="AE228" s="19" t="s">
        <v>351</v>
      </c>
      <c r="AF228" s="19" t="s">
        <v>1133</v>
      </c>
    </row>
    <row r="229" spans="1:34" customHeight="1" ht="42">
      <c r="A229" s="19">
        <v>224</v>
      </c>
      <c r="B229" s="19" t="s">
        <v>122</v>
      </c>
      <c r="C229" s="19" t="s">
        <v>413</v>
      </c>
      <c r="D229" s="19" t="str">
        <f>HYPERLINK("http://henontech.com/fieldsafety/harzard/harzard_show.php?rid=3423&amp;url=harzardrecs.php","控制开关线头裸露一操作工开启控制开关时被电伤，送医救治诊断为轻微灼伤，在家休养7天康复，造成一损工事故。")</f>
        <v>控制开关线头裸露一操作工开启控制开关时被电伤，送医救治诊断为轻微灼伤，在家休养7天康复，造成一损工事故。</v>
      </c>
      <c r="E229" s="19" t="s">
        <v>1136</v>
      </c>
      <c r="F229" s="20" t="s">
        <v>42</v>
      </c>
      <c r="G229" s="22" t="s">
        <v>77</v>
      </c>
      <c r="H229" s="19" t="s">
        <v>44</v>
      </c>
      <c r="I229" s="19"/>
      <c r="J229" s="19" t="s">
        <v>148</v>
      </c>
      <c r="K229" s="19" t="s">
        <v>64</v>
      </c>
      <c r="L229" s="19" t="s">
        <v>46</v>
      </c>
      <c r="M229" s="19" t="s">
        <v>210</v>
      </c>
      <c r="N229" s="19" t="s">
        <v>1137</v>
      </c>
      <c r="O229" s="19" t="s">
        <v>210</v>
      </c>
      <c r="P229" s="19" t="s">
        <v>212</v>
      </c>
      <c r="Q229" s="19" t="s">
        <v>985</v>
      </c>
      <c r="R229" s="19" t="s">
        <v>1138</v>
      </c>
      <c r="S229" s="19"/>
      <c r="T229" s="19" t="s">
        <v>68</v>
      </c>
      <c r="U229" s="19" t="s">
        <v>69</v>
      </c>
      <c r="V229" s="19" t="s">
        <v>70</v>
      </c>
      <c r="W229" s="19" t="s">
        <v>55</v>
      </c>
      <c r="X229" s="19" t="s">
        <v>204</v>
      </c>
      <c r="Y229" s="19" t="s">
        <v>204</v>
      </c>
      <c r="Z229" s="19" t="s">
        <v>1139</v>
      </c>
      <c r="AA229" s="19">
        <v>2</v>
      </c>
      <c r="AB229" s="19">
        <v>2</v>
      </c>
      <c r="AC229" s="19" t="s">
        <v>58</v>
      </c>
      <c r="AD229" s="19" t="s">
        <v>212</v>
      </c>
      <c r="AE229" s="19" t="s">
        <v>217</v>
      </c>
      <c r="AF229" s="19"/>
    </row>
    <row r="230" spans="1:34" customHeight="1" ht="42">
      <c r="A230" s="19">
        <v>225</v>
      </c>
      <c r="B230" s="19" t="s">
        <v>122</v>
      </c>
      <c r="C230" s="19" t="s">
        <v>208</v>
      </c>
      <c r="D230" s="19" t="str">
        <f>HYPERLINK("http://henontech.com/fieldsafety/harzard/harzard_show.php?rid=3425&amp;url=harzardrecs.php","煤场北侧污水池一漏电保护器破损，人员合闸，未伤到人")</f>
        <v>煤场北侧污水池一漏电保护器破损，人员合闸，未伤到人</v>
      </c>
      <c r="E230" s="19" t="s">
        <v>1140</v>
      </c>
      <c r="F230" s="24" t="s">
        <v>260</v>
      </c>
      <c r="G230" s="22" t="s">
        <v>77</v>
      </c>
      <c r="H230" s="19" t="s">
        <v>44</v>
      </c>
      <c r="I230" s="19"/>
      <c r="J230" s="19" t="s">
        <v>63</v>
      </c>
      <c r="K230" s="19" t="s">
        <v>199</v>
      </c>
      <c r="L230" s="19" t="s">
        <v>46</v>
      </c>
      <c r="M230" s="19" t="s">
        <v>210</v>
      </c>
      <c r="N230" s="19" t="s">
        <v>1141</v>
      </c>
      <c r="O230" s="19" t="s">
        <v>210</v>
      </c>
      <c r="P230" s="19" t="s">
        <v>212</v>
      </c>
      <c r="Q230" s="19" t="s">
        <v>1142</v>
      </c>
      <c r="R230" s="19" t="s">
        <v>1143</v>
      </c>
      <c r="S230" s="19"/>
      <c r="T230" s="19" t="s">
        <v>68</v>
      </c>
      <c r="U230" s="19" t="s">
        <v>53</v>
      </c>
      <c r="V230" s="19" t="s">
        <v>54</v>
      </c>
      <c r="W230" s="19" t="s">
        <v>55</v>
      </c>
      <c r="X230" s="19" t="s">
        <v>204</v>
      </c>
      <c r="Y230" s="19" t="s">
        <v>204</v>
      </c>
      <c r="Z230" s="19" t="s">
        <v>1144</v>
      </c>
      <c r="AA230" s="19">
        <v>2</v>
      </c>
      <c r="AB230" s="19"/>
      <c r="AC230" s="19" t="s">
        <v>266</v>
      </c>
      <c r="AD230" s="19"/>
      <c r="AE230" s="19"/>
      <c r="AF230" s="19"/>
    </row>
    <row r="231" spans="1:34" customHeight="1" ht="42">
      <c r="A231" s="19">
        <v>226</v>
      </c>
      <c r="B231" s="19" t="s">
        <v>122</v>
      </c>
      <c r="C231" s="19" t="s">
        <v>799</v>
      </c>
      <c r="D231" s="19" t="str">
        <f>HYPERLINK("http://henontech.com/fieldsafety/harzard/harzard_show.php?rid=3431&amp;url=harzardrecs.php","老化水工业水泵接触器连接线接点发热")</f>
        <v>老化水工业水泵接触器连接线接点发热</v>
      </c>
      <c r="E231" s="19" t="s">
        <v>1145</v>
      </c>
      <c r="F231" s="24" t="s">
        <v>260</v>
      </c>
      <c r="G231" s="22" t="s">
        <v>77</v>
      </c>
      <c r="H231" s="19" t="s">
        <v>44</v>
      </c>
      <c r="I231" s="19"/>
      <c r="J231" s="19"/>
      <c r="K231" s="19"/>
      <c r="L231" s="19" t="s">
        <v>46</v>
      </c>
      <c r="M231" s="19" t="s">
        <v>91</v>
      </c>
      <c r="N231" s="19" t="s">
        <v>151</v>
      </c>
      <c r="O231" s="19" t="s">
        <v>91</v>
      </c>
      <c r="P231" s="19" t="s">
        <v>151</v>
      </c>
      <c r="Q231" s="19" t="s">
        <v>1146</v>
      </c>
      <c r="R231" s="19" t="s">
        <v>1147</v>
      </c>
      <c r="S231" s="19"/>
      <c r="T231" s="19" t="s">
        <v>52</v>
      </c>
      <c r="U231" s="19" t="s">
        <v>53</v>
      </c>
      <c r="V231" s="19" t="s">
        <v>70</v>
      </c>
      <c r="W231" s="19" t="s">
        <v>55</v>
      </c>
      <c r="X231" s="19" t="s">
        <v>98</v>
      </c>
      <c r="Y231" s="19"/>
      <c r="Z231" s="19" t="s">
        <v>1148</v>
      </c>
      <c r="AA231" s="19">
        <v>2</v>
      </c>
      <c r="AB231" s="19"/>
      <c r="AC231" s="19" t="s">
        <v>266</v>
      </c>
      <c r="AD231" s="19"/>
      <c r="AE231" s="19"/>
      <c r="AF231" s="19"/>
    </row>
    <row r="232" spans="1:34">
      <c r="A232" s="19">
        <v>227</v>
      </c>
      <c r="B232" s="19" t="s">
        <v>122</v>
      </c>
      <c r="C232" s="19" t="s">
        <v>166</v>
      </c>
      <c r="D232" s="19" t="str">
        <f>HYPERLINK("http://henontech.com/fieldsafety/harzard/harzard_show.php?rid=3432&amp;url=harzardrecs.php","如果下雨时，淋到液下泵电机上，造成设备损坏，发现后及时更换电机，没有造成生产事故")</f>
        <v>如果下雨时，淋到液下泵电机上，造成设备损坏，发现后及时更换电机，没有造成生产事故</v>
      </c>
      <c r="E232" s="19" t="s">
        <v>1149</v>
      </c>
      <c r="F232" s="20" t="s">
        <v>42</v>
      </c>
      <c r="G232" s="22" t="s">
        <v>77</v>
      </c>
      <c r="H232" s="19" t="s">
        <v>44</v>
      </c>
      <c r="I232" s="19" t="s">
        <v>90</v>
      </c>
      <c r="J232" s="19" t="s">
        <v>63</v>
      </c>
      <c r="K232" s="19" t="s">
        <v>199</v>
      </c>
      <c r="L232" s="19" t="s">
        <v>46</v>
      </c>
      <c r="M232" s="19" t="s">
        <v>75</v>
      </c>
      <c r="N232" s="19" t="s">
        <v>366</v>
      </c>
      <c r="O232" s="19" t="s">
        <v>75</v>
      </c>
      <c r="P232" s="19" t="s">
        <v>80</v>
      </c>
      <c r="Q232" s="19" t="s">
        <v>1059</v>
      </c>
      <c r="R232" s="19" t="s">
        <v>1150</v>
      </c>
      <c r="S232" s="19"/>
      <c r="T232" s="19" t="s">
        <v>52</v>
      </c>
      <c r="U232" s="19" t="s">
        <v>53</v>
      </c>
      <c r="V232" s="19" t="s">
        <v>54</v>
      </c>
      <c r="W232" s="19" t="s">
        <v>55</v>
      </c>
      <c r="X232" s="19"/>
      <c r="Y232" s="19"/>
      <c r="Z232" s="19" t="s">
        <v>1151</v>
      </c>
      <c r="AA232" s="19">
        <v>1</v>
      </c>
      <c r="AB232" s="19">
        <v>1</v>
      </c>
      <c r="AC232" s="19" t="s">
        <v>58</v>
      </c>
      <c r="AD232" s="19" t="s">
        <v>80</v>
      </c>
      <c r="AE232" s="19" t="s">
        <v>217</v>
      </c>
      <c r="AF232" s="19"/>
    </row>
    <row r="233" spans="1:34">
      <c r="A233" s="19">
        <v>228</v>
      </c>
      <c r="B233" s="19" t="s">
        <v>122</v>
      </c>
      <c r="C233" s="19" t="s">
        <v>343</v>
      </c>
      <c r="D233" s="19" t="str">
        <f>HYPERLINK("http://henontech.com/fieldsafety/harzard/harzard_show.php?rid=3440&amp;url=harzardrecs.php","3#站废弃蒸氨系统一平台护栏缺失，如果一名维修人员在拆除设备过程中不慎扶空从此处跌落，造成右脚踝扭伤，送医处理后在家休息3天后复工。")</f>
        <v>3#站废弃蒸氨系统一平台护栏缺失，如果一名维修人员在拆除设备过程中不慎扶空从此处跌落，造成右脚踝扭伤，送医处理后在家休息3天后复工。</v>
      </c>
      <c r="E233" s="19" t="s">
        <v>1152</v>
      </c>
      <c r="F233" s="20" t="s">
        <v>42</v>
      </c>
      <c r="G233" s="22" t="s">
        <v>77</v>
      </c>
      <c r="H233" s="19" t="s">
        <v>44</v>
      </c>
      <c r="I233" s="19"/>
      <c r="J233" s="19" t="s">
        <v>105</v>
      </c>
      <c r="K233" s="19" t="s">
        <v>138</v>
      </c>
      <c r="L233" s="19" t="s">
        <v>46</v>
      </c>
      <c r="M233" s="19" t="s">
        <v>345</v>
      </c>
      <c r="N233" s="19" t="s">
        <v>1153</v>
      </c>
      <c r="O233" s="19" t="s">
        <v>345</v>
      </c>
      <c r="P233" s="19" t="s">
        <v>347</v>
      </c>
      <c r="Q233" s="19" t="s">
        <v>1059</v>
      </c>
      <c r="R233" s="19" t="s">
        <v>1154</v>
      </c>
      <c r="S233" s="19"/>
      <c r="T233" s="19" t="s">
        <v>68</v>
      </c>
      <c r="U233" s="19" t="s">
        <v>96</v>
      </c>
      <c r="V233" s="19" t="s">
        <v>70</v>
      </c>
      <c r="W233" s="19" t="s">
        <v>97</v>
      </c>
      <c r="X233" s="19" t="s">
        <v>98</v>
      </c>
      <c r="Y233" s="19" t="s">
        <v>98</v>
      </c>
      <c r="Z233" s="19" t="s">
        <v>1155</v>
      </c>
      <c r="AA233" s="19">
        <v>1</v>
      </c>
      <c r="AB233" s="19">
        <v>1</v>
      </c>
      <c r="AC233" s="19" t="s">
        <v>58</v>
      </c>
      <c r="AD233" s="19" t="s">
        <v>347</v>
      </c>
      <c r="AE233" s="19" t="s">
        <v>122</v>
      </c>
      <c r="AF233" s="19"/>
    </row>
    <row r="234" spans="1:34">
      <c r="A234" s="19">
        <v>229</v>
      </c>
      <c r="B234" s="19" t="s">
        <v>122</v>
      </c>
      <c r="C234" s="19" t="s">
        <v>673</v>
      </c>
      <c r="D234" s="19" t="str">
        <f>HYPERLINK("http://henontech.com/fieldsafety/harzard/harzard_show.php?rid=3444&amp;url=harzardrecs.php","外来施工临时用电配电箱接地不规范，假如一名外协人员在用电合闸时，断路器突然损坏，接地线没有接在接地网络上，不能及时导走漏电，造成人员触电，虽然及时断总闸后进行心肺复苏术，但送医院紧急抢救依然死亡。")</f>
        <v>外来施工临时用电配电箱接地不规范，假如一名外协人员在用电合闸时，断路器突然损坏，接地线没有接在接地网络上，不能及时导走漏电，造成人员触电，虽然及时断总闸后进行心肺复苏术，但送医院紧急抢救依然死亡。</v>
      </c>
      <c r="E234" s="19" t="s">
        <v>1156</v>
      </c>
      <c r="F234" s="20" t="s">
        <v>42</v>
      </c>
      <c r="G234" s="22" t="s">
        <v>77</v>
      </c>
      <c r="H234" s="19" t="s">
        <v>44</v>
      </c>
      <c r="I234" s="19" t="s">
        <v>90</v>
      </c>
      <c r="J234" s="19" t="s">
        <v>63</v>
      </c>
      <c r="K234" s="19" t="s">
        <v>138</v>
      </c>
      <c r="L234" s="19"/>
      <c r="M234" s="19" t="s">
        <v>75</v>
      </c>
      <c r="N234" s="19" t="s">
        <v>1157</v>
      </c>
      <c r="O234" s="19" t="s">
        <v>75</v>
      </c>
      <c r="P234" s="19" t="s">
        <v>80</v>
      </c>
      <c r="Q234" s="19" t="s">
        <v>1059</v>
      </c>
      <c r="R234" s="19" t="s">
        <v>1158</v>
      </c>
      <c r="S234" s="19"/>
      <c r="T234" s="19" t="s">
        <v>68</v>
      </c>
      <c r="U234" s="19" t="s">
        <v>203</v>
      </c>
      <c r="V234" s="19" t="s">
        <v>182</v>
      </c>
      <c r="W234" s="19" t="s">
        <v>120</v>
      </c>
      <c r="X234" s="19"/>
      <c r="Y234" s="19"/>
      <c r="Z234" s="19" t="s">
        <v>1159</v>
      </c>
      <c r="AA234" s="19">
        <v>1</v>
      </c>
      <c r="AB234" s="19">
        <v>1</v>
      </c>
      <c r="AC234" s="19" t="s">
        <v>58</v>
      </c>
      <c r="AD234" s="19" t="s">
        <v>80</v>
      </c>
      <c r="AE234" s="19" t="s">
        <v>217</v>
      </c>
      <c r="AF234" s="19"/>
    </row>
    <row r="235" spans="1:34">
      <c r="A235" s="19">
        <v>230</v>
      </c>
      <c r="B235" s="19" t="s">
        <v>297</v>
      </c>
      <c r="C235" s="19" t="s">
        <v>909</v>
      </c>
      <c r="D235" s="19" t="str">
        <f>HYPERLINK("http://henontech.com/fieldsafety/harzard/harzard_show.php?rid=3470&amp;url=harzardrecs.php","煤九外部护栏开焊，清理平台卫生，开焊的护栏拌倒操作工")</f>
        <v>煤九外部护栏开焊，清理平台卫生，开焊的护栏拌倒操作工</v>
      </c>
      <c r="E235" s="19" t="s">
        <v>1160</v>
      </c>
      <c r="F235" s="26" t="s">
        <v>554</v>
      </c>
      <c r="G235" s="19"/>
      <c r="H235" s="19" t="s">
        <v>743</v>
      </c>
      <c r="I235" s="19" t="s">
        <v>45</v>
      </c>
      <c r="J235" s="19" t="s">
        <v>105</v>
      </c>
      <c r="K235" s="19" t="s">
        <v>138</v>
      </c>
      <c r="L235" s="19" t="s">
        <v>46</v>
      </c>
      <c r="M235" s="19" t="s">
        <v>210</v>
      </c>
      <c r="N235" s="19" t="s">
        <v>1161</v>
      </c>
      <c r="O235" s="19"/>
      <c r="P235" s="19"/>
      <c r="Q235" s="19"/>
      <c r="R235" s="19" t="s">
        <v>1162</v>
      </c>
      <c r="S235" s="19"/>
      <c r="T235" s="19" t="s">
        <v>68</v>
      </c>
      <c r="U235" s="19" t="s">
        <v>69</v>
      </c>
      <c r="V235" s="19" t="s">
        <v>54</v>
      </c>
      <c r="W235" s="19" t="s">
        <v>162</v>
      </c>
      <c r="X235" s="19"/>
      <c r="Y235" s="19"/>
      <c r="Z235" s="19"/>
      <c r="AA235" s="19"/>
      <c r="AB235" s="19"/>
      <c r="AC235" s="19" t="s">
        <v>266</v>
      </c>
      <c r="AD235" s="19"/>
      <c r="AE235" s="19"/>
      <c r="AF235" s="19"/>
    </row>
    <row r="236" spans="1:34">
      <c r="A236" s="19">
        <v>231</v>
      </c>
      <c r="B236" s="19" t="s">
        <v>297</v>
      </c>
      <c r="C236" s="19" t="s">
        <v>229</v>
      </c>
      <c r="D236" s="19" t="str">
        <f>HYPERLINK("http://henontech.com/fieldsafety/harzard/harzard_show.php?rid=3492&amp;url=harzardrecs.php","粗苯操作室东侧框架上方有坠落的铝皮，大风天气，铝皮刮落划伤从下方经过的操作工，面部轻微擦伤，未影响工作。")</f>
        <v>粗苯操作室东侧框架上方有坠落的铝皮，大风天气，铝皮刮落划伤从下方经过的操作工，面部轻微擦伤，未影响工作。</v>
      </c>
      <c r="E236" s="19" t="s">
        <v>1163</v>
      </c>
      <c r="F236" s="20" t="s">
        <v>42</v>
      </c>
      <c r="G236" s="22" t="s">
        <v>77</v>
      </c>
      <c r="H236" s="19" t="s">
        <v>44</v>
      </c>
      <c r="I236" s="19" t="s">
        <v>45</v>
      </c>
      <c r="J236" s="19" t="s">
        <v>198</v>
      </c>
      <c r="K236" s="19" t="s">
        <v>199</v>
      </c>
      <c r="L236" s="19" t="s">
        <v>46</v>
      </c>
      <c r="M236" s="19" t="s">
        <v>75</v>
      </c>
      <c r="N236" s="19" t="s">
        <v>1164</v>
      </c>
      <c r="O236" s="19" t="s">
        <v>75</v>
      </c>
      <c r="P236" s="19" t="s">
        <v>80</v>
      </c>
      <c r="Q236" s="19" t="s">
        <v>1142</v>
      </c>
      <c r="R236" s="19" t="s">
        <v>1165</v>
      </c>
      <c r="S236" s="19"/>
      <c r="T236" s="19" t="s">
        <v>68</v>
      </c>
      <c r="U236" s="19" t="s">
        <v>69</v>
      </c>
      <c r="V236" s="19" t="s">
        <v>54</v>
      </c>
      <c r="W236" s="19" t="s">
        <v>162</v>
      </c>
      <c r="X236" s="19"/>
      <c r="Y236" s="19"/>
      <c r="Z236" s="19" t="s">
        <v>1166</v>
      </c>
      <c r="AA236" s="19">
        <v>1</v>
      </c>
      <c r="AB236" s="19">
        <v>1</v>
      </c>
      <c r="AC236" s="19" t="s">
        <v>58</v>
      </c>
      <c r="AD236" s="19" t="s">
        <v>80</v>
      </c>
      <c r="AE236" s="19" t="s">
        <v>217</v>
      </c>
      <c r="AF236" s="19"/>
    </row>
    <row r="237" spans="1:34">
      <c r="A237" s="19">
        <v>232</v>
      </c>
      <c r="B237" s="19" t="s">
        <v>297</v>
      </c>
      <c r="C237" s="19" t="s">
        <v>359</v>
      </c>
      <c r="D237" s="19" t="str">
        <f>HYPERLINK("http://henontech.com/fieldsafety/harzard/harzard_show.php?rid=3494&amp;url=harzardrecs.php","遇大风天气，假如有一名操作人员从平台下经过。被松动的钢瓦砸伤右肩，造成局部红肿，简单处理后不影响正常工作")</f>
        <v>遇大风天气，假如有一名操作人员从平台下经过。被松动的钢瓦砸伤右肩，造成局部红肿，简单处理后不影响正常工作</v>
      </c>
      <c r="E237" s="19" t="s">
        <v>1167</v>
      </c>
      <c r="F237" s="20" t="s">
        <v>42</v>
      </c>
      <c r="G237" s="22" t="s">
        <v>77</v>
      </c>
      <c r="H237" s="19" t="s">
        <v>44</v>
      </c>
      <c r="I237" s="19" t="s">
        <v>45</v>
      </c>
      <c r="J237" s="19" t="s">
        <v>198</v>
      </c>
      <c r="K237" s="19" t="s">
        <v>138</v>
      </c>
      <c r="L237" s="19" t="s">
        <v>46</v>
      </c>
      <c r="M237" s="19" t="s">
        <v>75</v>
      </c>
      <c r="N237" s="19" t="s">
        <v>361</v>
      </c>
      <c r="O237" s="19" t="s">
        <v>75</v>
      </c>
      <c r="P237" s="19" t="s">
        <v>80</v>
      </c>
      <c r="Q237" s="19" t="s">
        <v>1142</v>
      </c>
      <c r="R237" s="19" t="s">
        <v>1168</v>
      </c>
      <c r="S237" s="19"/>
      <c r="T237" s="19" t="s">
        <v>68</v>
      </c>
      <c r="U237" s="19" t="s">
        <v>69</v>
      </c>
      <c r="V237" s="19" t="s">
        <v>182</v>
      </c>
      <c r="W237" s="19" t="s">
        <v>97</v>
      </c>
      <c r="X237" s="19"/>
      <c r="Y237" s="19"/>
      <c r="Z237" s="19" t="s">
        <v>701</v>
      </c>
      <c r="AA237" s="19">
        <v>1</v>
      </c>
      <c r="AB237" s="19">
        <v>1</v>
      </c>
      <c r="AC237" s="19" t="s">
        <v>58</v>
      </c>
      <c r="AD237" s="19" t="s">
        <v>80</v>
      </c>
      <c r="AE237" s="19" t="s">
        <v>517</v>
      </c>
      <c r="AF237" s="19"/>
    </row>
    <row r="238" spans="1:34">
      <c r="A238" s="19">
        <v>233</v>
      </c>
      <c r="B238" s="19" t="s">
        <v>297</v>
      </c>
      <c r="C238" s="19" t="s">
        <v>314</v>
      </c>
      <c r="D238" s="19" t="str">
        <f>HYPERLINK("http://henontech.com/fieldsafety/harzard/harzard_show.php?rid=3495&amp;url=harzardrecs.php","料口处有一裸露钢筋，一员工在投煤作业时不慎拌倒造成右小腿受伤，送医确诊为右小腿骨折，医治20天休养90天后复工。")</f>
        <v>料口处有一裸露钢筋，一员工在投煤作业时不慎拌倒造成右小腿受伤，送医确诊为右小腿骨折，医治20天休养90天后复工。</v>
      </c>
      <c r="E238" s="19" t="s">
        <v>1169</v>
      </c>
      <c r="F238" s="20" t="s">
        <v>42</v>
      </c>
      <c r="G238" s="21" t="s">
        <v>43</v>
      </c>
      <c r="H238" s="19" t="s">
        <v>44</v>
      </c>
      <c r="I238" s="19" t="s">
        <v>45</v>
      </c>
      <c r="J238" s="19" t="s">
        <v>198</v>
      </c>
      <c r="K238" s="19" t="s">
        <v>138</v>
      </c>
      <c r="L238" s="19" t="s">
        <v>46</v>
      </c>
      <c r="M238" s="19" t="s">
        <v>210</v>
      </c>
      <c r="N238" s="19" t="s">
        <v>415</v>
      </c>
      <c r="O238" s="19" t="s">
        <v>210</v>
      </c>
      <c r="P238" s="19" t="s">
        <v>416</v>
      </c>
      <c r="Q238" s="19" t="s">
        <v>362</v>
      </c>
      <c r="R238" s="19" t="s">
        <v>214</v>
      </c>
      <c r="S238" s="19"/>
      <c r="T238" s="19" t="s">
        <v>68</v>
      </c>
      <c r="U238" s="19" t="s">
        <v>96</v>
      </c>
      <c r="V238" s="19" t="s">
        <v>182</v>
      </c>
      <c r="W238" s="19" t="s">
        <v>162</v>
      </c>
      <c r="X238" s="19"/>
      <c r="Y238" s="19"/>
      <c r="Z238" s="19" t="s">
        <v>1170</v>
      </c>
      <c r="AA238" s="19">
        <v>1</v>
      </c>
      <c r="AB238" s="19">
        <v>1</v>
      </c>
      <c r="AC238" s="19" t="s">
        <v>58</v>
      </c>
      <c r="AD238" s="19" t="s">
        <v>416</v>
      </c>
      <c r="AE238" s="19" t="s">
        <v>362</v>
      </c>
      <c r="AF238" s="19"/>
    </row>
    <row r="239" spans="1:34">
      <c r="A239" s="19">
        <v>234</v>
      </c>
      <c r="B239" s="19" t="s">
        <v>297</v>
      </c>
      <c r="C239" s="19" t="s">
        <v>251</v>
      </c>
      <c r="D239" s="19" t="str">
        <f>HYPERLINK("http://henontech.com/fieldsafety/harzard/harzard_show.php?rid=3496&amp;url=harzardrecs.php","吊装装置倒链未放入倒链盒，操作工巡检时被其绊倒，造成左手掌皮肤挫伤，到医务室清洗包扎后回岗位继续工作继续工作。")</f>
        <v>吊装装置倒链未放入倒链盒，操作工巡检时被其绊倒，造成左手掌皮肤挫伤，到医务室清洗包扎后回岗位继续工作继续工作。</v>
      </c>
      <c r="E239" s="19" t="s">
        <v>1171</v>
      </c>
      <c r="F239" s="20" t="s">
        <v>42</v>
      </c>
      <c r="G239" s="21" t="s">
        <v>43</v>
      </c>
      <c r="H239" s="19" t="s">
        <v>44</v>
      </c>
      <c r="I239" s="19" t="s">
        <v>90</v>
      </c>
      <c r="J239" s="19" t="s">
        <v>198</v>
      </c>
      <c r="K239" s="19" t="s">
        <v>199</v>
      </c>
      <c r="L239" s="19" t="s">
        <v>46</v>
      </c>
      <c r="M239" s="19" t="s">
        <v>210</v>
      </c>
      <c r="N239" s="19" t="s">
        <v>628</v>
      </c>
      <c r="O239" s="19" t="s">
        <v>210</v>
      </c>
      <c r="P239" s="19" t="s">
        <v>416</v>
      </c>
      <c r="Q239" s="19" t="s">
        <v>362</v>
      </c>
      <c r="R239" s="19" t="s">
        <v>1172</v>
      </c>
      <c r="S239" s="19"/>
      <c r="T239" s="19" t="s">
        <v>68</v>
      </c>
      <c r="U239" s="19" t="s">
        <v>69</v>
      </c>
      <c r="V239" s="19" t="s">
        <v>70</v>
      </c>
      <c r="W239" s="19" t="s">
        <v>55</v>
      </c>
      <c r="X239" s="19"/>
      <c r="Y239" s="19"/>
      <c r="Z239" s="19" t="s">
        <v>1173</v>
      </c>
      <c r="AA239" s="19">
        <v>1</v>
      </c>
      <c r="AB239" s="19">
        <v>1</v>
      </c>
      <c r="AC239" s="19" t="s">
        <v>58</v>
      </c>
      <c r="AD239" s="19" t="s">
        <v>416</v>
      </c>
      <c r="AE239" s="19" t="s">
        <v>362</v>
      </c>
      <c r="AF239" s="19"/>
    </row>
    <row r="240" spans="1:34">
      <c r="A240" s="19">
        <v>235</v>
      </c>
      <c r="B240" s="19" t="s">
        <v>297</v>
      </c>
      <c r="C240" s="19" t="s">
        <v>413</v>
      </c>
      <c r="D240" s="19" t="str">
        <f>HYPERLINK("http://henontech.com/fieldsafety/harzard/harzard_show.php?rid=3498&amp;url=harzardrecs.php","一名员工在巡检时，不慎被刮煤板把手绊倒，导致下颌受伤，送医确诊为下颌皮肤深度挫裂，缝合五针，住院治疗三天，回家休养七天后复工")</f>
        <v>一名员工在巡检时，不慎被刮煤板把手绊倒，导致下颌受伤，送医确诊为下颌皮肤深度挫裂，缝合五针，住院治疗三天，回家休养七天后复工</v>
      </c>
      <c r="E240" s="19" t="s">
        <v>1174</v>
      </c>
      <c r="F240" s="20" t="s">
        <v>42</v>
      </c>
      <c r="G240" s="21" t="s">
        <v>43</v>
      </c>
      <c r="H240" s="19" t="s">
        <v>44</v>
      </c>
      <c r="I240" s="19" t="s">
        <v>90</v>
      </c>
      <c r="J240" s="19" t="s">
        <v>198</v>
      </c>
      <c r="K240" s="19" t="s">
        <v>199</v>
      </c>
      <c r="L240" s="19" t="s">
        <v>46</v>
      </c>
      <c r="M240" s="19" t="s">
        <v>210</v>
      </c>
      <c r="N240" s="19" t="s">
        <v>1175</v>
      </c>
      <c r="O240" s="19" t="s">
        <v>210</v>
      </c>
      <c r="P240" s="19" t="s">
        <v>416</v>
      </c>
      <c r="Q240" s="19" t="s">
        <v>362</v>
      </c>
      <c r="R240" s="19" t="s">
        <v>1176</v>
      </c>
      <c r="S240" s="19"/>
      <c r="T240" s="19" t="s">
        <v>68</v>
      </c>
      <c r="U240" s="19" t="s">
        <v>96</v>
      </c>
      <c r="V240" s="19" t="s">
        <v>182</v>
      </c>
      <c r="W240" s="19" t="s">
        <v>162</v>
      </c>
      <c r="X240" s="19"/>
      <c r="Y240" s="19"/>
      <c r="Z240" s="19" t="s">
        <v>1177</v>
      </c>
      <c r="AA240" s="19">
        <v>1</v>
      </c>
      <c r="AB240" s="19">
        <v>1</v>
      </c>
      <c r="AC240" s="19" t="s">
        <v>58</v>
      </c>
      <c r="AD240" s="19" t="s">
        <v>416</v>
      </c>
      <c r="AE240" s="19" t="s">
        <v>362</v>
      </c>
      <c r="AF240" s="19"/>
    </row>
    <row r="241" spans="1:34">
      <c r="A241" s="19">
        <v>236</v>
      </c>
      <c r="B241" s="19" t="s">
        <v>297</v>
      </c>
      <c r="C241" s="19" t="s">
        <v>328</v>
      </c>
      <c r="D241" s="19" t="str">
        <f>HYPERLINK("http://henontech.com/fieldsafety/harzard/harzard_show.php?rid=3499&amp;url=harzardrecs.php","5.5米焦炉熄焦池抓斗操作平台缺少踢脚板，安全防护措施缺陷，雨雪天气操作工在平台操作脚底出现打滑，从护栏空隙跌落。")</f>
        <v>5.5米焦炉熄焦池抓斗操作平台缺少踢脚板，安全防护措施缺陷，雨雪天气操作工在平台操作脚底出现打滑，从护栏空隙跌落。</v>
      </c>
      <c r="E241" s="19" t="s">
        <v>1178</v>
      </c>
      <c r="F241" s="26" t="s">
        <v>554</v>
      </c>
      <c r="G241" s="19"/>
      <c r="H241" s="19" t="s">
        <v>44</v>
      </c>
      <c r="I241" s="19" t="s">
        <v>45</v>
      </c>
      <c r="J241" s="19" t="s">
        <v>63</v>
      </c>
      <c r="K241" s="19" t="s">
        <v>116</v>
      </c>
      <c r="L241" s="19"/>
      <c r="M241" s="19" t="s">
        <v>47</v>
      </c>
      <c r="N241" s="19" t="s">
        <v>1179</v>
      </c>
      <c r="O241" s="19"/>
      <c r="P241" s="19"/>
      <c r="Q241" s="19"/>
      <c r="R241" s="19" t="s">
        <v>1180</v>
      </c>
      <c r="S241" s="19"/>
      <c r="T241" s="19" t="s">
        <v>68</v>
      </c>
      <c r="U241" s="19" t="s">
        <v>96</v>
      </c>
      <c r="V241" s="19" t="s">
        <v>182</v>
      </c>
      <c r="W241" s="19" t="s">
        <v>162</v>
      </c>
      <c r="X241" s="19"/>
      <c r="Y241" s="19"/>
      <c r="Z241" s="19"/>
      <c r="AA241" s="19"/>
      <c r="AB241" s="19"/>
      <c r="AC241" s="19" t="s">
        <v>266</v>
      </c>
      <c r="AD241" s="19"/>
      <c r="AE241" s="19"/>
      <c r="AF241" s="19"/>
    </row>
    <row r="242" spans="1:34">
      <c r="A242" s="19">
        <v>237</v>
      </c>
      <c r="B242" s="19" t="s">
        <v>297</v>
      </c>
      <c r="C242" s="19" t="s">
        <v>673</v>
      </c>
      <c r="D242" s="19" t="str">
        <f>HYPERLINK("http://henontech.com/fieldsafety/harzard/harzard_show.php?rid=3502&amp;url=harzardrecs.php","4楼一蒸汽吹扫管焊接处开焊，蒸汽喷出，一名操作工从此经过时被蒸汽烫伤到左腿，立即用大量冷水冲洗烫伤的地方进行降温并防止热量往里扩散。经过处理后无大碍不影响工作")</f>
        <v>4楼一蒸汽吹扫管焊接处开焊，蒸汽喷出，一名操作工从此经过时被蒸汽烫伤到左腿，立即用大量冷水冲洗烫伤的地方进行降温并防止热量往里扩散。经过处理后无大碍不影响工作</v>
      </c>
      <c r="E242" s="19" t="s">
        <v>1181</v>
      </c>
      <c r="F242" s="20" t="s">
        <v>42</v>
      </c>
      <c r="G242" s="22" t="s">
        <v>77</v>
      </c>
      <c r="H242" s="19" t="s">
        <v>44</v>
      </c>
      <c r="I242" s="19" t="s">
        <v>45</v>
      </c>
      <c r="J242" s="19" t="s">
        <v>63</v>
      </c>
      <c r="K242" s="19" t="s">
        <v>64</v>
      </c>
      <c r="L242" s="19" t="s">
        <v>46</v>
      </c>
      <c r="M242" s="19" t="s">
        <v>75</v>
      </c>
      <c r="N242" s="19" t="s">
        <v>375</v>
      </c>
      <c r="O242" s="19" t="s">
        <v>75</v>
      </c>
      <c r="P242" s="19" t="s">
        <v>80</v>
      </c>
      <c r="Q242" s="19" t="s">
        <v>1142</v>
      </c>
      <c r="R242" s="19" t="s">
        <v>1182</v>
      </c>
      <c r="S242" s="19"/>
      <c r="T242" s="19" t="s">
        <v>68</v>
      </c>
      <c r="U242" s="19" t="s">
        <v>69</v>
      </c>
      <c r="V242" s="19" t="s">
        <v>54</v>
      </c>
      <c r="W242" s="19" t="s">
        <v>162</v>
      </c>
      <c r="X242" s="19"/>
      <c r="Y242" s="19"/>
      <c r="Z242" s="19" t="s">
        <v>1183</v>
      </c>
      <c r="AA242" s="19">
        <v>1</v>
      </c>
      <c r="AB242" s="19">
        <v>1</v>
      </c>
      <c r="AC242" s="19" t="s">
        <v>58</v>
      </c>
      <c r="AD242" s="19" t="s">
        <v>80</v>
      </c>
      <c r="AE242" s="19" t="s">
        <v>371</v>
      </c>
      <c r="AF242" s="19"/>
    </row>
    <row r="243" spans="1:34" customHeight="1" ht="42">
      <c r="A243" s="19">
        <v>238</v>
      </c>
      <c r="B243" s="19" t="s">
        <v>217</v>
      </c>
      <c r="C243" s="19" t="s">
        <v>909</v>
      </c>
      <c r="D243" s="19" t="str">
        <f>HYPERLINK("http://henontech.com/fieldsafety/harzard/harzard_show.php?rid=3518&amp;url=harzardrecs.php","清理卫生时，一只脚不小心滑入污水泵小井中，造成小腿部擦伤，自行处理简单包扎")</f>
        <v>清理卫生时，一只脚不小心滑入污水泵小井中，造成小腿部擦伤，自行处理简单包扎</v>
      </c>
      <c r="E243" s="19" t="s">
        <v>1184</v>
      </c>
      <c r="F243" s="24" t="s">
        <v>260</v>
      </c>
      <c r="G243" s="22" t="s">
        <v>77</v>
      </c>
      <c r="H243" s="19" t="s">
        <v>44</v>
      </c>
      <c r="I243" s="19" t="s">
        <v>45</v>
      </c>
      <c r="J243" s="19" t="s">
        <v>63</v>
      </c>
      <c r="K243" s="19" t="s">
        <v>199</v>
      </c>
      <c r="L243" s="19" t="s">
        <v>46</v>
      </c>
      <c r="M243" s="19" t="s">
        <v>210</v>
      </c>
      <c r="N243" s="19" t="s">
        <v>1185</v>
      </c>
      <c r="O243" s="19" t="s">
        <v>210</v>
      </c>
      <c r="P243" s="19" t="s">
        <v>212</v>
      </c>
      <c r="Q243" s="19" t="s">
        <v>787</v>
      </c>
      <c r="R243" s="19" t="s">
        <v>1186</v>
      </c>
      <c r="S243" s="19"/>
      <c r="T243" s="19" t="s">
        <v>68</v>
      </c>
      <c r="U243" s="19" t="s">
        <v>69</v>
      </c>
      <c r="V243" s="19" t="s">
        <v>70</v>
      </c>
      <c r="W243" s="19" t="s">
        <v>55</v>
      </c>
      <c r="X243" s="19" t="s">
        <v>204</v>
      </c>
      <c r="Y243" s="19" t="s">
        <v>204</v>
      </c>
      <c r="Z243" s="19" t="s">
        <v>1187</v>
      </c>
      <c r="AA243" s="19">
        <v>2</v>
      </c>
      <c r="AB243" s="19"/>
      <c r="AC243" s="19" t="s">
        <v>266</v>
      </c>
      <c r="AD243" s="19"/>
      <c r="AE243" s="19"/>
      <c r="AF243" s="19"/>
    </row>
    <row r="244" spans="1:34">
      <c r="A244" s="19">
        <v>239</v>
      </c>
      <c r="B244" s="19" t="s">
        <v>331</v>
      </c>
      <c r="C244" s="19" t="s">
        <v>799</v>
      </c>
      <c r="D244" s="19" t="str">
        <f>HYPERLINK("http://henontech.com/fieldsafety/harzard/harzard_show.php?rid=3522&amp;url=harzardrecs.php","污水反渗透浓水管固定卡掉落导致运行中浓水管断裂至其设备停运3小时")</f>
        <v>污水反渗透浓水管固定卡掉落导致运行中浓水管断裂至其设备停运3小时</v>
      </c>
      <c r="E244" s="19" t="s">
        <v>1188</v>
      </c>
      <c r="F244" s="20" t="s">
        <v>42</v>
      </c>
      <c r="G244" s="21" t="s">
        <v>43</v>
      </c>
      <c r="H244" s="19" t="s">
        <v>44</v>
      </c>
      <c r="I244" s="19" t="s">
        <v>45</v>
      </c>
      <c r="J244" s="19" t="s">
        <v>63</v>
      </c>
      <c r="K244" s="19" t="s">
        <v>64</v>
      </c>
      <c r="L244" s="19" t="s">
        <v>46</v>
      </c>
      <c r="M244" s="19" t="s">
        <v>91</v>
      </c>
      <c r="N244" s="19" t="s">
        <v>285</v>
      </c>
      <c r="O244" s="19" t="s">
        <v>91</v>
      </c>
      <c r="P244" s="19" t="s">
        <v>107</v>
      </c>
      <c r="Q244" s="19" t="s">
        <v>933</v>
      </c>
      <c r="R244" s="19" t="s">
        <v>1189</v>
      </c>
      <c r="S244" s="19"/>
      <c r="T244" s="19" t="s">
        <v>52</v>
      </c>
      <c r="U244" s="19" t="s">
        <v>53</v>
      </c>
      <c r="V244" s="19" t="s">
        <v>70</v>
      </c>
      <c r="W244" s="19" t="s">
        <v>55</v>
      </c>
      <c r="X244" s="19"/>
      <c r="Y244" s="19"/>
      <c r="Z244" s="19" t="s">
        <v>1190</v>
      </c>
      <c r="AA244" s="19">
        <v>1</v>
      </c>
      <c r="AB244" s="19">
        <v>1</v>
      </c>
      <c r="AC244" s="19" t="s">
        <v>58</v>
      </c>
      <c r="AD244" s="19" t="s">
        <v>107</v>
      </c>
      <c r="AE244" s="19" t="s">
        <v>371</v>
      </c>
      <c r="AF244" s="19" t="s">
        <v>1191</v>
      </c>
    </row>
    <row r="245" spans="1:34">
      <c r="A245" s="19">
        <v>240</v>
      </c>
      <c r="B245" s="19" t="s">
        <v>331</v>
      </c>
      <c r="C245" s="19" t="s">
        <v>1192</v>
      </c>
      <c r="D245" s="19" t="str">
        <f>HYPERLINK("http://henontech.com/fieldsafety/harzard/harzard_show.php?rid=3524&amp;url=harzardrecs.php","南脱硫预冷塔二层平台处有一块废弃铝皮，如果一名操作人员巡检经过该处时，铝皮从二层平台掉落砸中操作人员左肩部，造成一人左肩部轻微擦伤，经简单处理后不影响正常工作。")</f>
        <v>南脱硫预冷塔二层平台处有一块废弃铝皮，如果一名操作人员巡检经过该处时，铝皮从二层平台掉落砸中操作人员左肩部，造成一人左肩部轻微擦伤，经简单处理后不影响正常工作。</v>
      </c>
      <c r="E245" s="19" t="s">
        <v>1193</v>
      </c>
      <c r="F245" s="20" t="s">
        <v>42</v>
      </c>
      <c r="G245" s="22" t="s">
        <v>77</v>
      </c>
      <c r="H245" s="19" t="s">
        <v>44</v>
      </c>
      <c r="I245" s="19" t="s">
        <v>90</v>
      </c>
      <c r="J245" s="19" t="s">
        <v>198</v>
      </c>
      <c r="K245" s="19" t="s">
        <v>138</v>
      </c>
      <c r="L245" s="19" t="s">
        <v>46</v>
      </c>
      <c r="M245" s="19" t="s">
        <v>75</v>
      </c>
      <c r="N245" s="19" t="s">
        <v>1194</v>
      </c>
      <c r="O245" s="19" t="s">
        <v>75</v>
      </c>
      <c r="P245" s="19" t="s">
        <v>80</v>
      </c>
      <c r="Q245" s="19" t="s">
        <v>1142</v>
      </c>
      <c r="R245" s="19" t="s">
        <v>1195</v>
      </c>
      <c r="S245" s="19"/>
      <c r="T245" s="19" t="s">
        <v>68</v>
      </c>
      <c r="U245" s="19" t="s">
        <v>69</v>
      </c>
      <c r="V245" s="19" t="s">
        <v>182</v>
      </c>
      <c r="W245" s="19" t="s">
        <v>97</v>
      </c>
      <c r="X245" s="19"/>
      <c r="Y245" s="19"/>
      <c r="Z245" s="19" t="s">
        <v>1196</v>
      </c>
      <c r="AA245" s="19">
        <v>1</v>
      </c>
      <c r="AB245" s="19">
        <v>1</v>
      </c>
      <c r="AC245" s="19" t="s">
        <v>58</v>
      </c>
      <c r="AD245" s="19" t="s">
        <v>80</v>
      </c>
      <c r="AE245" s="19" t="s">
        <v>1197</v>
      </c>
      <c r="AF245" s="19"/>
    </row>
    <row r="246" spans="1:34">
      <c r="A246" s="19">
        <v>241</v>
      </c>
      <c r="B246" s="19" t="s">
        <v>331</v>
      </c>
      <c r="C246" s="19" t="s">
        <v>251</v>
      </c>
      <c r="D246" s="19" t="str">
        <f>HYPERLINK("http://henontech.com/fieldsafety/harzard/harzard_show.php?rid=3526&amp;url=harzardrecs.php","1618散热轴流风机电源线未套管 电源线没有套管保护 搬动时线皮磨损  人员经过时不慎踩到触电倒地 送医院治疗 住院20天 在家修养一个月")</f>
        <v>1618散热轴流风机电源线未套管 电源线没有套管保护 搬动时线皮磨损  人员经过时不慎踩到触电倒地 送医院治疗 住院20天 在家修养一个月</v>
      </c>
      <c r="E246" s="19" t="s">
        <v>1198</v>
      </c>
      <c r="F246" s="20" t="s">
        <v>42</v>
      </c>
      <c r="G246" s="22" t="s">
        <v>77</v>
      </c>
      <c r="H246" s="19" t="s">
        <v>44</v>
      </c>
      <c r="I246" s="19" t="s">
        <v>90</v>
      </c>
      <c r="J246" s="19" t="s">
        <v>63</v>
      </c>
      <c r="K246" s="19" t="s">
        <v>199</v>
      </c>
      <c r="L246" s="19" t="s">
        <v>46</v>
      </c>
      <c r="M246" s="19" t="s">
        <v>210</v>
      </c>
      <c r="N246" s="19" t="s">
        <v>424</v>
      </c>
      <c r="O246" s="19" t="s">
        <v>210</v>
      </c>
      <c r="P246" s="19" t="s">
        <v>425</v>
      </c>
      <c r="Q246" s="19" t="s">
        <v>1142</v>
      </c>
      <c r="R246" s="19">
        <v>1618</v>
      </c>
      <c r="S246" s="19"/>
      <c r="T246" s="19" t="s">
        <v>68</v>
      </c>
      <c r="U246" s="19" t="s">
        <v>96</v>
      </c>
      <c r="V246" s="19" t="s">
        <v>70</v>
      </c>
      <c r="W246" s="19" t="s">
        <v>97</v>
      </c>
      <c r="X246" s="19"/>
      <c r="Y246" s="19"/>
      <c r="Z246" s="19" t="s">
        <v>1199</v>
      </c>
      <c r="AA246" s="19">
        <v>1</v>
      </c>
      <c r="AB246" s="19">
        <v>1</v>
      </c>
      <c r="AC246" s="19" t="s">
        <v>58</v>
      </c>
      <c r="AD246" s="19" t="s">
        <v>425</v>
      </c>
      <c r="AE246" s="19" t="s">
        <v>217</v>
      </c>
      <c r="AF246" s="19"/>
    </row>
    <row r="247" spans="1:34" customHeight="1" ht="42">
      <c r="A247" s="19">
        <v>242</v>
      </c>
      <c r="B247" s="19" t="s">
        <v>331</v>
      </c>
      <c r="C247" s="19" t="s">
        <v>251</v>
      </c>
      <c r="D247" s="19" t="str">
        <f>HYPERLINK("http://henontech.com/fieldsafety/harzard/harzard_show.php?rid=3527&amp;url=harzardrecs.php","煤九铁爬梯桥架盖板脱落  有人员经过时盖板被大风吹落 砸到头上送医治疗抢救无效死亡")</f>
        <v>煤九铁爬梯桥架盖板脱落  有人员经过时盖板被大风吹落 砸到头上送医治疗抢救无效死亡</v>
      </c>
      <c r="E247" s="19" t="s">
        <v>197</v>
      </c>
      <c r="F247" s="20" t="s">
        <v>42</v>
      </c>
      <c r="G247" s="22" t="s">
        <v>77</v>
      </c>
      <c r="H247" s="19" t="s">
        <v>44</v>
      </c>
      <c r="I247" s="19"/>
      <c r="J247" s="19" t="s">
        <v>198</v>
      </c>
      <c r="K247" s="19" t="s">
        <v>199</v>
      </c>
      <c r="L247" s="19" t="s">
        <v>46</v>
      </c>
      <c r="M247" s="19" t="s">
        <v>210</v>
      </c>
      <c r="N247" s="19" t="s">
        <v>424</v>
      </c>
      <c r="O247" s="19" t="s">
        <v>210</v>
      </c>
      <c r="P247" s="19" t="s">
        <v>425</v>
      </c>
      <c r="Q247" s="19" t="s">
        <v>1142</v>
      </c>
      <c r="R247" s="19" t="s">
        <v>1200</v>
      </c>
      <c r="S247" s="19"/>
      <c r="T247" s="19" t="s">
        <v>68</v>
      </c>
      <c r="U247" s="19" t="s">
        <v>203</v>
      </c>
      <c r="V247" s="19" t="s">
        <v>70</v>
      </c>
      <c r="W247" s="19" t="s">
        <v>162</v>
      </c>
      <c r="X247" s="19"/>
      <c r="Y247" s="19"/>
      <c r="Z247" s="19" t="s">
        <v>945</v>
      </c>
      <c r="AA247" s="19">
        <v>2</v>
      </c>
      <c r="AB247" s="19">
        <v>2</v>
      </c>
      <c r="AC247" s="19" t="s">
        <v>58</v>
      </c>
      <c r="AD247" s="19" t="s">
        <v>425</v>
      </c>
      <c r="AE247" s="19" t="s">
        <v>217</v>
      </c>
      <c r="AF247" s="19"/>
    </row>
    <row r="248" spans="1:34">
      <c r="A248" s="19">
        <v>243</v>
      </c>
      <c r="B248" s="19" t="s">
        <v>331</v>
      </c>
      <c r="C248" s="19" t="s">
        <v>146</v>
      </c>
      <c r="D248" s="19" t="str">
        <f>HYPERLINK("http://henontech.com/fieldsafety/harzard/harzard_show.php?rid=3532&amp;url=harzardrecs.php","75吨锅炉炉门处高温，无警示标识 ，一名巡检工经过时不慎手部触碰此处，导致人员烫伤，送医治疗七天后恢复健康出院。")</f>
        <v>75吨锅炉炉门处高温，无警示标识 ，一名巡检工经过时不慎手部触碰此处，导致人员烫伤，送医治疗七天后恢复健康出院。</v>
      </c>
      <c r="E248" s="19" t="s">
        <v>1201</v>
      </c>
      <c r="F248" s="20" t="s">
        <v>42</v>
      </c>
      <c r="G248" s="22" t="s">
        <v>77</v>
      </c>
      <c r="H248" s="19" t="s">
        <v>44</v>
      </c>
      <c r="I248" s="19"/>
      <c r="J248" s="19" t="s">
        <v>726</v>
      </c>
      <c r="K248" s="19"/>
      <c r="L248" s="19"/>
      <c r="M248" s="19" t="s">
        <v>386</v>
      </c>
      <c r="N248" s="19" t="s">
        <v>397</v>
      </c>
      <c r="O248" s="19" t="s">
        <v>91</v>
      </c>
      <c r="P248" s="19" t="s">
        <v>107</v>
      </c>
      <c r="Q248" s="19" t="s">
        <v>1072</v>
      </c>
      <c r="R248" s="19" t="s">
        <v>398</v>
      </c>
      <c r="S248" s="19"/>
      <c r="T248" s="19" t="s">
        <v>68</v>
      </c>
      <c r="U248" s="19" t="s">
        <v>96</v>
      </c>
      <c r="V248" s="19" t="s">
        <v>182</v>
      </c>
      <c r="W248" s="19" t="s">
        <v>162</v>
      </c>
      <c r="X248" s="19"/>
      <c r="Y248" s="19"/>
      <c r="Z248" s="19" t="s">
        <v>326</v>
      </c>
      <c r="AA248" s="19">
        <v>1</v>
      </c>
      <c r="AB248" s="19">
        <v>1</v>
      </c>
      <c r="AC248" s="19" t="s">
        <v>58</v>
      </c>
      <c r="AD248" s="19" t="s">
        <v>107</v>
      </c>
      <c r="AE248" s="19" t="s">
        <v>458</v>
      </c>
      <c r="AF248" s="19"/>
    </row>
    <row r="249" spans="1:34">
      <c r="A249" s="19">
        <v>244</v>
      </c>
      <c r="B249" s="19" t="s">
        <v>331</v>
      </c>
      <c r="C249" s="19" t="s">
        <v>799</v>
      </c>
      <c r="D249" s="19" t="str">
        <f>HYPERLINK("http://henontech.com/fieldsafety/harzard/harzard_show.php?rid=3533&amp;url=harzardrecs.php","火灾报警器旁边堆积杂物，当附近发生火灾时操作工急忙去按报警器被拌倒磕伤膝盖未及时撤出，全身轻度烧伤，住院治疗一个月")</f>
        <v>火灾报警器旁边堆积杂物，当附近发生火灾时操作工急忙去按报警器被拌倒磕伤膝盖未及时撤出，全身轻度烧伤，住院治疗一个月</v>
      </c>
      <c r="E249" s="19" t="s">
        <v>1202</v>
      </c>
      <c r="F249" s="20" t="s">
        <v>42</v>
      </c>
      <c r="G249" s="22" t="s">
        <v>77</v>
      </c>
      <c r="H249" s="19" t="s">
        <v>44</v>
      </c>
      <c r="I249" s="19"/>
      <c r="J249" s="19"/>
      <c r="K249" s="19" t="s">
        <v>64</v>
      </c>
      <c r="L249" s="19"/>
      <c r="M249" s="19" t="s">
        <v>1203</v>
      </c>
      <c r="N249" s="19" t="s">
        <v>1204</v>
      </c>
      <c r="O249" s="19" t="s">
        <v>91</v>
      </c>
      <c r="P249" s="19" t="s">
        <v>107</v>
      </c>
      <c r="Q249" s="19" t="s">
        <v>1072</v>
      </c>
      <c r="R249" s="19" t="s">
        <v>398</v>
      </c>
      <c r="S249" s="19"/>
      <c r="T249" s="19" t="s">
        <v>68</v>
      </c>
      <c r="U249" s="19" t="s">
        <v>96</v>
      </c>
      <c r="V249" s="19" t="s">
        <v>182</v>
      </c>
      <c r="W249" s="19" t="s">
        <v>162</v>
      </c>
      <c r="X249" s="19"/>
      <c r="Y249" s="19"/>
      <c r="Z249" s="19" t="s">
        <v>1205</v>
      </c>
      <c r="AA249" s="19">
        <v>1</v>
      </c>
      <c r="AB249" s="19">
        <v>1</v>
      </c>
      <c r="AC249" s="19" t="s">
        <v>58</v>
      </c>
      <c r="AD249" s="19" t="s">
        <v>107</v>
      </c>
      <c r="AE249" s="19" t="s">
        <v>647</v>
      </c>
      <c r="AF249" s="19" t="s">
        <v>1206</v>
      </c>
    </row>
    <row r="250" spans="1:34">
      <c r="A250" s="19">
        <v>245</v>
      </c>
      <c r="B250" s="19" t="s">
        <v>331</v>
      </c>
      <c r="C250" s="19" t="s">
        <v>314</v>
      </c>
      <c r="D250" s="19" t="str">
        <f>HYPERLINK("http://henontech.com/fieldsafety/harzard/harzard_show.php?rid=3534&amp;url=harzardrecs.php","一名操作工巡检煤场，不慎被裸露在外的钢筋绊倒，左手腕受伤，送医确诊，左手手腕骨折，住院治疗15天，回家休养30天后复工。")</f>
        <v>一名操作工巡检煤场，不慎被裸露在外的钢筋绊倒，左手腕受伤，送医确诊，左手手腕骨折，住院治疗15天，回家休养30天后复工。</v>
      </c>
      <c r="E250" s="19" t="s">
        <v>1207</v>
      </c>
      <c r="F250" s="20" t="s">
        <v>42</v>
      </c>
      <c r="G250" s="21" t="s">
        <v>43</v>
      </c>
      <c r="H250" s="19" t="s">
        <v>44</v>
      </c>
      <c r="I250" s="19" t="s">
        <v>45</v>
      </c>
      <c r="J250" s="19" t="s">
        <v>198</v>
      </c>
      <c r="K250" s="19" t="s">
        <v>138</v>
      </c>
      <c r="L250" s="19" t="s">
        <v>46</v>
      </c>
      <c r="M250" s="19" t="s">
        <v>210</v>
      </c>
      <c r="N250" s="19" t="s">
        <v>1208</v>
      </c>
      <c r="O250" s="19" t="s">
        <v>210</v>
      </c>
      <c r="P250" s="19" t="s">
        <v>416</v>
      </c>
      <c r="Q250" s="19" t="s">
        <v>362</v>
      </c>
      <c r="R250" s="19" t="s">
        <v>214</v>
      </c>
      <c r="S250" s="19"/>
      <c r="T250" s="19" t="s">
        <v>68</v>
      </c>
      <c r="U250" s="19" t="s">
        <v>96</v>
      </c>
      <c r="V250" s="19" t="s">
        <v>182</v>
      </c>
      <c r="W250" s="19" t="s">
        <v>162</v>
      </c>
      <c r="X250" s="19"/>
      <c r="Y250" s="19"/>
      <c r="Z250" s="19" t="s">
        <v>1209</v>
      </c>
      <c r="AA250" s="19">
        <v>1</v>
      </c>
      <c r="AB250" s="19">
        <v>1</v>
      </c>
      <c r="AC250" s="19" t="s">
        <v>58</v>
      </c>
      <c r="AD250" s="19" t="s">
        <v>416</v>
      </c>
      <c r="AE250" s="19" t="s">
        <v>362</v>
      </c>
      <c r="AF250" s="19"/>
    </row>
    <row r="251" spans="1:34">
      <c r="A251" s="19">
        <v>246</v>
      </c>
      <c r="B251" s="19" t="s">
        <v>331</v>
      </c>
      <c r="C251" s="19" t="s">
        <v>314</v>
      </c>
      <c r="D251" s="19" t="str">
        <f>HYPERLINK("http://henontech.com/fieldsafety/harzard/harzard_show.php?rid=3535&amp;url=harzardrecs.php","一人巡检时，由于水沟缺失盖板，不慎左腿跌入其中，造成腿不划伤，经公司医务室简单处理后，继续工作。")</f>
        <v>一人巡检时，由于水沟缺失盖板，不慎左腿跌入其中，造成腿不划伤，经公司医务室简单处理后，继续工作。</v>
      </c>
      <c r="E251" s="19" t="s">
        <v>1210</v>
      </c>
      <c r="F251" s="20" t="s">
        <v>42</v>
      </c>
      <c r="G251" s="21" t="s">
        <v>43</v>
      </c>
      <c r="H251" s="19" t="s">
        <v>44</v>
      </c>
      <c r="I251" s="19" t="s">
        <v>90</v>
      </c>
      <c r="J251" s="19" t="s">
        <v>198</v>
      </c>
      <c r="K251" s="19" t="s">
        <v>199</v>
      </c>
      <c r="L251" s="19" t="s">
        <v>46</v>
      </c>
      <c r="M251" s="19" t="s">
        <v>210</v>
      </c>
      <c r="N251" s="19" t="s">
        <v>596</v>
      </c>
      <c r="O251" s="19" t="s">
        <v>210</v>
      </c>
      <c r="P251" s="19" t="s">
        <v>416</v>
      </c>
      <c r="Q251" s="19" t="s">
        <v>362</v>
      </c>
      <c r="R251" s="19" t="s">
        <v>1211</v>
      </c>
      <c r="S251" s="19"/>
      <c r="T251" s="19" t="s">
        <v>68</v>
      </c>
      <c r="U251" s="19" t="s">
        <v>69</v>
      </c>
      <c r="V251" s="19" t="s">
        <v>182</v>
      </c>
      <c r="W251" s="19" t="s">
        <v>97</v>
      </c>
      <c r="X251" s="19"/>
      <c r="Y251" s="19"/>
      <c r="Z251" s="19" t="s">
        <v>1212</v>
      </c>
      <c r="AA251" s="19">
        <v>1</v>
      </c>
      <c r="AB251" s="19">
        <v>1</v>
      </c>
      <c r="AC251" s="19" t="s">
        <v>58</v>
      </c>
      <c r="AD251" s="19" t="s">
        <v>416</v>
      </c>
      <c r="AE251" s="19" t="s">
        <v>362</v>
      </c>
      <c r="AF251" s="19"/>
    </row>
    <row r="252" spans="1:34">
      <c r="A252" s="19">
        <v>247</v>
      </c>
      <c r="B252" s="19" t="s">
        <v>217</v>
      </c>
      <c r="C252" s="19" t="s">
        <v>1046</v>
      </c>
      <c r="D252" s="19" t="str">
        <f>HYPERLINK("http://henontech.com/fieldsafety/harzard/harzard_show.php?rid=3542&amp;url=harzardrecs.php","干熄焦提升机五层上方框架角铁焊接部位腐蚀严重，提升机运行时振动掉落，将下方5米处平台上经过的一名巡检工砸中头部的安全帽上，角铁从安全帽滑落砸在该员工肩膀，受伤出血被送医院")</f>
        <v>干熄焦提升机五层上方框架角铁焊接部位腐蚀严重，提升机运行时振动掉落，将下方5米处平台上经过的一名巡检工砸中头部的安全帽上，角铁从安全帽滑落砸在该员工肩膀，受伤出血被送医院</v>
      </c>
      <c r="E252" s="19" t="s">
        <v>1213</v>
      </c>
      <c r="F252" s="26" t="s">
        <v>554</v>
      </c>
      <c r="G252" s="19"/>
      <c r="H252" s="19" t="s">
        <v>44</v>
      </c>
      <c r="I252" s="19" t="s">
        <v>45</v>
      </c>
      <c r="J252" s="19" t="s">
        <v>63</v>
      </c>
      <c r="K252" s="19"/>
      <c r="L252" s="19" t="s">
        <v>46</v>
      </c>
      <c r="M252" s="19" t="s">
        <v>47</v>
      </c>
      <c r="N252" s="19" t="s">
        <v>408</v>
      </c>
      <c r="O252" s="19"/>
      <c r="P252" s="19"/>
      <c r="Q252" s="19"/>
      <c r="R252" s="19" t="s">
        <v>1214</v>
      </c>
      <c r="S252" s="19"/>
      <c r="T252" s="19" t="s">
        <v>68</v>
      </c>
      <c r="U252" s="19" t="s">
        <v>96</v>
      </c>
      <c r="V252" s="19" t="s">
        <v>182</v>
      </c>
      <c r="W252" s="19" t="s">
        <v>162</v>
      </c>
      <c r="X252" s="19"/>
      <c r="Y252" s="19"/>
      <c r="Z252" s="19"/>
      <c r="AA252" s="19"/>
      <c r="AB252" s="19"/>
      <c r="AC252" s="19" t="s">
        <v>266</v>
      </c>
      <c r="AD252" s="19"/>
      <c r="AE252" s="19"/>
      <c r="AF252" s="19"/>
    </row>
    <row r="253" spans="1:34">
      <c r="A253" s="19">
        <v>248</v>
      </c>
      <c r="B253" s="19" t="s">
        <v>217</v>
      </c>
      <c r="C253" s="19" t="s">
        <v>113</v>
      </c>
      <c r="D253" s="19" t="str">
        <f>HYPERLINK("http://henontech.com/fieldsafety/harzard/harzard_show.php?rid=3543&amp;url=harzardrecs.php","一名职工在巡检测氧仪过程中上部照明灯自由接线盒断裂灯罩掉落砸到职工头部造成轻微擦伤，经医务室简单处理后继续上班")</f>
        <v>一名职工在巡检测氧仪过程中上部照明灯自由接线盒断裂灯罩掉落砸到职工头部造成轻微擦伤，经医务室简单处理后继续上班</v>
      </c>
      <c r="E253" s="19" t="s">
        <v>1215</v>
      </c>
      <c r="F253" s="24" t="s">
        <v>260</v>
      </c>
      <c r="G253" s="22" t="s">
        <v>77</v>
      </c>
      <c r="H253" s="19" t="s">
        <v>44</v>
      </c>
      <c r="I253" s="19" t="s">
        <v>90</v>
      </c>
      <c r="J253" s="19" t="s">
        <v>63</v>
      </c>
      <c r="K253" s="19" t="s">
        <v>64</v>
      </c>
      <c r="L253" s="19" t="s">
        <v>46</v>
      </c>
      <c r="M253" s="19" t="s">
        <v>75</v>
      </c>
      <c r="N253" s="19" t="s">
        <v>1216</v>
      </c>
      <c r="O253" s="19" t="s">
        <v>75</v>
      </c>
      <c r="P253" s="19" t="s">
        <v>80</v>
      </c>
      <c r="Q253" s="19" t="s">
        <v>1142</v>
      </c>
      <c r="R253" s="19" t="s">
        <v>1217</v>
      </c>
      <c r="S253" s="19"/>
      <c r="T253" s="19" t="s">
        <v>68</v>
      </c>
      <c r="U253" s="19" t="s">
        <v>53</v>
      </c>
      <c r="V253" s="19" t="s">
        <v>54</v>
      </c>
      <c r="W253" s="19" t="s">
        <v>55</v>
      </c>
      <c r="X253" s="19"/>
      <c r="Y253" s="19"/>
      <c r="Z253" s="19" t="s">
        <v>1218</v>
      </c>
      <c r="AA253" s="19">
        <v>1</v>
      </c>
      <c r="AB253" s="19"/>
      <c r="AC253" s="19" t="s">
        <v>266</v>
      </c>
      <c r="AD253" s="19"/>
      <c r="AE253" s="19"/>
      <c r="AF253" s="19"/>
    </row>
    <row r="254" spans="1:34">
      <c r="A254" s="19">
        <v>249</v>
      </c>
      <c r="B254" s="19" t="s">
        <v>217</v>
      </c>
      <c r="C254" s="19" t="s">
        <v>1219</v>
      </c>
      <c r="D254" s="19" t="str">
        <f>HYPERLINK("http://henontech.com/fieldsafety/harzard/harzard_show.php?rid=3545&amp;url=harzardrecs.php","洗脱苯一名操作工巡检北管式炉，因电缆桥架盖板未固定，遇大风天气吹落，划伤操作工后颈部！")</f>
        <v>洗脱苯一名操作工巡检北管式炉，因电缆桥架盖板未固定，遇大风天气吹落，划伤操作工后颈部！</v>
      </c>
      <c r="E254" s="19" t="s">
        <v>1220</v>
      </c>
      <c r="F254" s="20" t="s">
        <v>42</v>
      </c>
      <c r="G254" s="22" t="s">
        <v>77</v>
      </c>
      <c r="H254" s="19" t="s">
        <v>44</v>
      </c>
      <c r="I254" s="19" t="s">
        <v>90</v>
      </c>
      <c r="J254" s="19" t="s">
        <v>63</v>
      </c>
      <c r="K254" s="19" t="s">
        <v>138</v>
      </c>
      <c r="L254" s="19" t="s">
        <v>46</v>
      </c>
      <c r="M254" s="19" t="s">
        <v>75</v>
      </c>
      <c r="N254" s="19" t="s">
        <v>1221</v>
      </c>
      <c r="O254" s="19" t="s">
        <v>75</v>
      </c>
      <c r="P254" s="19" t="s">
        <v>80</v>
      </c>
      <c r="Q254" s="19" t="s">
        <v>1222</v>
      </c>
      <c r="R254" s="19" t="s">
        <v>1223</v>
      </c>
      <c r="S254" s="19"/>
      <c r="T254" s="19" t="s">
        <v>68</v>
      </c>
      <c r="U254" s="19" t="s">
        <v>96</v>
      </c>
      <c r="V254" s="19" t="s">
        <v>70</v>
      </c>
      <c r="W254" s="19" t="s">
        <v>97</v>
      </c>
      <c r="X254" s="19"/>
      <c r="Y254" s="19"/>
      <c r="Z254" s="19" t="s">
        <v>1224</v>
      </c>
      <c r="AA254" s="19">
        <v>1</v>
      </c>
      <c r="AB254" s="19">
        <v>1</v>
      </c>
      <c r="AC254" s="19" t="s">
        <v>58</v>
      </c>
      <c r="AD254" s="19" t="s">
        <v>80</v>
      </c>
      <c r="AE254" s="19" t="s">
        <v>985</v>
      </c>
      <c r="AF254" s="19"/>
    </row>
    <row r="255" spans="1:34">
      <c r="A255" s="19">
        <v>250</v>
      </c>
      <c r="B255" s="19" t="s">
        <v>217</v>
      </c>
      <c r="C255" s="19" t="s">
        <v>1225</v>
      </c>
      <c r="D255" s="19" t="str">
        <f>HYPERLINK("http://henontech.com/fieldsafety/harzard/harzard_show.php?rid=3547&amp;url=harzardrecs.php","2#站低浓度管道流量计前法兰焊接处渗漏")</f>
        <v>2#站低浓度管道流量计前法兰焊接处渗漏</v>
      </c>
      <c r="E255" s="19" t="s">
        <v>1226</v>
      </c>
      <c r="F255" s="24" t="s">
        <v>260</v>
      </c>
      <c r="G255" s="22" t="s">
        <v>77</v>
      </c>
      <c r="H255" s="19" t="s">
        <v>44</v>
      </c>
      <c r="I255" s="19"/>
      <c r="J255" s="19" t="s">
        <v>63</v>
      </c>
      <c r="K255" s="19" t="s">
        <v>199</v>
      </c>
      <c r="L255" s="19"/>
      <c r="M255" s="19" t="s">
        <v>345</v>
      </c>
      <c r="N255" s="19" t="s">
        <v>1227</v>
      </c>
      <c r="O255" s="19" t="s">
        <v>345</v>
      </c>
      <c r="P255" s="19" t="s">
        <v>347</v>
      </c>
      <c r="Q255" s="19" t="s">
        <v>933</v>
      </c>
      <c r="R255" s="19" t="s">
        <v>1228</v>
      </c>
      <c r="S255" s="19" t="s">
        <v>1229</v>
      </c>
      <c r="T255" s="19" t="s">
        <v>83</v>
      </c>
      <c r="U255" s="19" t="s">
        <v>53</v>
      </c>
      <c r="V255" s="19" t="s">
        <v>54</v>
      </c>
      <c r="W255" s="19" t="s">
        <v>55</v>
      </c>
      <c r="X255" s="19" t="s">
        <v>98</v>
      </c>
      <c r="Y255" s="19" t="s">
        <v>98</v>
      </c>
      <c r="Z255" s="19" t="s">
        <v>1230</v>
      </c>
      <c r="AA255" s="19">
        <v>1</v>
      </c>
      <c r="AB255" s="19"/>
      <c r="AC255" s="19" t="s">
        <v>266</v>
      </c>
      <c r="AD255" s="19"/>
      <c r="AE255" s="19"/>
      <c r="AF255" s="19"/>
    </row>
    <row r="256" spans="1:34">
      <c r="A256" s="19">
        <v>251</v>
      </c>
      <c r="B256" s="19" t="s">
        <v>217</v>
      </c>
      <c r="C256" s="19" t="s">
        <v>1231</v>
      </c>
      <c r="D256" s="19" t="str">
        <f>HYPERLINK("http://henontech.com/fieldsafety/harzard/harzard_show.php?rid=3548&amp;url=harzardrecs.php","管式炉水封槽盖板未盖，可能造成操作人员夜间巡检时因视线不清陷落池内，造成小腿摔伤")</f>
        <v>管式炉水封槽盖板未盖，可能造成操作人员夜间巡检时因视线不清陷落池内，造成小腿摔伤</v>
      </c>
      <c r="E256" s="19" t="s">
        <v>1232</v>
      </c>
      <c r="F256" s="20" t="s">
        <v>42</v>
      </c>
      <c r="G256" s="22" t="s">
        <v>77</v>
      </c>
      <c r="H256" s="19" t="s">
        <v>44</v>
      </c>
      <c r="I256" s="19" t="s">
        <v>90</v>
      </c>
      <c r="J256" s="19" t="s">
        <v>105</v>
      </c>
      <c r="K256" s="19" t="s">
        <v>138</v>
      </c>
      <c r="L256" s="19" t="s">
        <v>46</v>
      </c>
      <c r="M256" s="19" t="s">
        <v>75</v>
      </c>
      <c r="N256" s="19" t="s">
        <v>1233</v>
      </c>
      <c r="O256" s="19" t="s">
        <v>75</v>
      </c>
      <c r="P256" s="19" t="s">
        <v>80</v>
      </c>
      <c r="Q256" s="19" t="s">
        <v>1234</v>
      </c>
      <c r="R256" s="19" t="s">
        <v>1235</v>
      </c>
      <c r="S256" s="19"/>
      <c r="T256" s="19" t="s">
        <v>68</v>
      </c>
      <c r="U256" s="19" t="s">
        <v>96</v>
      </c>
      <c r="V256" s="19" t="s">
        <v>182</v>
      </c>
      <c r="W256" s="19" t="s">
        <v>162</v>
      </c>
      <c r="X256" s="19"/>
      <c r="Y256" s="19"/>
      <c r="Z256" s="19" t="s">
        <v>1236</v>
      </c>
      <c r="AA256" s="19">
        <v>1</v>
      </c>
      <c r="AB256" s="19">
        <v>1</v>
      </c>
      <c r="AC256" s="19" t="s">
        <v>58</v>
      </c>
      <c r="AD256" s="19" t="s">
        <v>80</v>
      </c>
      <c r="AE256" s="19" t="s">
        <v>652</v>
      </c>
      <c r="AF256" s="19"/>
    </row>
    <row r="257" spans="1:34">
      <c r="A257" s="19">
        <v>252</v>
      </c>
      <c r="B257" s="19" t="s">
        <v>217</v>
      </c>
      <c r="C257" s="19" t="s">
        <v>1237</v>
      </c>
      <c r="D257" s="19" t="str">
        <f>HYPERLINK("http://henontech.com/fieldsafety/harzard/harzard_show.php?rid=3549&amp;url=harzardrecs.php","筛焦楼1号放焦观察口无防护装置，一名操作人员工作时没注意脚下，一只脚踩到观察口处，人员歪倒致使尾骨受伤。")</f>
        <v>筛焦楼1号放焦观察口无防护装置，一名操作人员工作时没注意脚下，一只脚踩到观察口处，人员歪倒致使尾骨受伤。</v>
      </c>
      <c r="E257" s="19" t="s">
        <v>1238</v>
      </c>
      <c r="F257" s="26" t="s">
        <v>554</v>
      </c>
      <c r="G257" s="19"/>
      <c r="H257" s="19" t="s">
        <v>44</v>
      </c>
      <c r="I257" s="19" t="s">
        <v>90</v>
      </c>
      <c r="J257" s="19" t="s">
        <v>63</v>
      </c>
      <c r="K257" s="19" t="s">
        <v>64</v>
      </c>
      <c r="L257" s="19" t="s">
        <v>46</v>
      </c>
      <c r="M257" s="19" t="s">
        <v>47</v>
      </c>
      <c r="N257" s="19" t="s">
        <v>1239</v>
      </c>
      <c r="O257" s="19"/>
      <c r="P257" s="19"/>
      <c r="Q257" s="19"/>
      <c r="R257" s="19" t="s">
        <v>1240</v>
      </c>
      <c r="S257" s="19"/>
      <c r="T257" s="19" t="s">
        <v>68</v>
      </c>
      <c r="U257" s="19" t="s">
        <v>96</v>
      </c>
      <c r="V257" s="19" t="s">
        <v>182</v>
      </c>
      <c r="W257" s="19" t="s">
        <v>162</v>
      </c>
      <c r="X257" s="19"/>
      <c r="Y257" s="19"/>
      <c r="Z257" s="19"/>
      <c r="AA257" s="19"/>
      <c r="AB257" s="19"/>
      <c r="AC257" s="19" t="s">
        <v>266</v>
      </c>
      <c r="AD257" s="19"/>
      <c r="AE257" s="19"/>
      <c r="AF257" s="19"/>
    </row>
    <row r="258" spans="1:34">
      <c r="A258" s="19">
        <v>253</v>
      </c>
      <c r="B258" s="19" t="s">
        <v>217</v>
      </c>
      <c r="C258" s="19" t="s">
        <v>208</v>
      </c>
      <c r="D258" s="19" t="str">
        <f>HYPERLINK("http://henontech.com/fieldsafety/harzard/harzard_show.php?rid=3550&amp;url=harzardrecs.php","一名操作工在煤场巡查作业期间，不慎被煤棚上方坠落物砸伤肩部，导致左手肩部骨折。治疗一个月，在家休养四个月。")</f>
        <v>一名操作工在煤场巡查作业期间，不慎被煤棚上方坠落物砸伤肩部，导致左手肩部骨折。治疗一个月，在家休养四个月。</v>
      </c>
      <c r="E258" s="19" t="s">
        <v>1241</v>
      </c>
      <c r="F258" s="26" t="s">
        <v>554</v>
      </c>
      <c r="G258" s="19"/>
      <c r="H258" s="19" t="s">
        <v>528</v>
      </c>
      <c r="I258" s="19" t="s">
        <v>45</v>
      </c>
      <c r="J258" s="19" t="s">
        <v>63</v>
      </c>
      <c r="K258" s="19" t="s">
        <v>199</v>
      </c>
      <c r="L258" s="19" t="s">
        <v>46</v>
      </c>
      <c r="M258" s="19" t="s">
        <v>210</v>
      </c>
      <c r="N258" s="19" t="s">
        <v>211</v>
      </c>
      <c r="O258" s="19"/>
      <c r="P258" s="19"/>
      <c r="Q258" s="19"/>
      <c r="R258" s="19" t="s">
        <v>1242</v>
      </c>
      <c r="S258" s="19"/>
      <c r="T258" s="19" t="s">
        <v>68</v>
      </c>
      <c r="U258" s="19" t="s">
        <v>96</v>
      </c>
      <c r="V258" s="19" t="s">
        <v>70</v>
      </c>
      <c r="W258" s="19" t="s">
        <v>97</v>
      </c>
      <c r="X258" s="19"/>
      <c r="Y258" s="19"/>
      <c r="Z258" s="19"/>
      <c r="AA258" s="19"/>
      <c r="AB258" s="19"/>
      <c r="AC258" s="19" t="s">
        <v>266</v>
      </c>
      <c r="AD258" s="19"/>
      <c r="AE258" s="19"/>
      <c r="AF258" s="19"/>
    </row>
    <row r="259" spans="1:34">
      <c r="A259" s="19">
        <v>254</v>
      </c>
      <c r="B259" s="19" t="s">
        <v>217</v>
      </c>
      <c r="C259" s="19" t="s">
        <v>328</v>
      </c>
      <c r="D259" s="19" t="str">
        <f>HYPERLINK("http://henontech.com/fieldsafety/harzard/harzard_show.php?rid=3551&amp;url=harzardrecs.php","5.5米焦炉2名操作工，在除尘干管进行清理作业，高度5米，1人未系安全带，假如从管道边缘踩空坠落，可能会造成颈部着地，发生一人死亡事故")</f>
        <v>5.5米焦炉2名操作工，在除尘干管进行清理作业，高度5米，1人未系安全带，假如从管道边缘踩空坠落，可能会造成颈部着地，发生一人死亡事故</v>
      </c>
      <c r="E259" s="19" t="s">
        <v>1243</v>
      </c>
      <c r="F259" s="26" t="s">
        <v>554</v>
      </c>
      <c r="G259" s="19"/>
      <c r="H259" s="19" t="s">
        <v>44</v>
      </c>
      <c r="I259" s="19"/>
      <c r="J259" s="19" t="s">
        <v>63</v>
      </c>
      <c r="K259" s="19" t="s">
        <v>199</v>
      </c>
      <c r="L259" s="19" t="s">
        <v>46</v>
      </c>
      <c r="M259" s="19" t="s">
        <v>47</v>
      </c>
      <c r="N259" s="19" t="s">
        <v>1244</v>
      </c>
      <c r="O259" s="19"/>
      <c r="P259" s="19"/>
      <c r="Q259" s="19"/>
      <c r="R259" s="19" t="s">
        <v>1245</v>
      </c>
      <c r="S259" s="19"/>
      <c r="T259" s="19" t="s">
        <v>68</v>
      </c>
      <c r="U259" s="19" t="s">
        <v>203</v>
      </c>
      <c r="V259" s="19" t="s">
        <v>54</v>
      </c>
      <c r="W259" s="19" t="s">
        <v>120</v>
      </c>
      <c r="X259" s="19"/>
      <c r="Y259" s="19"/>
      <c r="Z259" s="19"/>
      <c r="AA259" s="19"/>
      <c r="AB259" s="19"/>
      <c r="AC259" s="19" t="s">
        <v>266</v>
      </c>
      <c r="AD259" s="19"/>
      <c r="AE259" s="19"/>
      <c r="AF259" s="19"/>
    </row>
    <row r="260" spans="1:34">
      <c r="A260" s="19">
        <v>255</v>
      </c>
      <c r="B260" s="19" t="s">
        <v>217</v>
      </c>
      <c r="C260" s="19" t="s">
        <v>328</v>
      </c>
      <c r="D260" s="19" t="str">
        <f>HYPERLINK("http://henontech.com/fieldsafety/harzard/harzard_show.php?rid=3552&amp;url=harzardrecs.php","5.5米推焦车，一名外协人员，在无人监护，无本单位电工接电的情况下私自接电，不慎触电，造成一名外协人员触电死亡。")</f>
        <v>5.5米推焦车，一名外协人员，在无人监护，无本单位电工接电的情况下私自接电，不慎触电，造成一名外协人员触电死亡。</v>
      </c>
      <c r="E260" s="19" t="s">
        <v>1246</v>
      </c>
      <c r="F260" s="26" t="s">
        <v>554</v>
      </c>
      <c r="G260" s="19"/>
      <c r="H260" s="19" t="s">
        <v>44</v>
      </c>
      <c r="I260" s="19"/>
      <c r="J260" s="19" t="s">
        <v>148</v>
      </c>
      <c r="K260" s="19" t="s">
        <v>199</v>
      </c>
      <c r="L260" s="19" t="s">
        <v>46</v>
      </c>
      <c r="M260" s="19" t="s">
        <v>47</v>
      </c>
      <c r="N260" s="19" t="s">
        <v>1247</v>
      </c>
      <c r="O260" s="19"/>
      <c r="P260" s="19"/>
      <c r="Q260" s="19"/>
      <c r="R260" s="19" t="s">
        <v>1248</v>
      </c>
      <c r="S260" s="19"/>
      <c r="T260" s="19" t="s">
        <v>68</v>
      </c>
      <c r="U260" s="19" t="s">
        <v>203</v>
      </c>
      <c r="V260" s="19" t="s">
        <v>54</v>
      </c>
      <c r="W260" s="19" t="s">
        <v>120</v>
      </c>
      <c r="X260" s="19"/>
      <c r="Y260" s="19"/>
      <c r="Z260" s="19"/>
      <c r="AA260" s="19"/>
      <c r="AB260" s="19"/>
      <c r="AC260" s="19" t="s">
        <v>266</v>
      </c>
      <c r="AD260" s="19"/>
      <c r="AE260" s="19"/>
      <c r="AF260" s="19"/>
    </row>
    <row r="261" spans="1:34" customHeight="1" ht="42">
      <c r="A261" s="19">
        <v>256</v>
      </c>
      <c r="B261" s="19" t="s">
        <v>217</v>
      </c>
      <c r="C261" s="19" t="s">
        <v>413</v>
      </c>
      <c r="D261" s="19" t="str">
        <f>HYPERLINK("http://henontech.com/fieldsafety/harzard/harzard_show.php?rid=3554&amp;url=harzardrecs.php","皮带运输机托辊磨破，容易造成磨带划带")</f>
        <v>皮带运输机托辊磨破，容易造成磨带划带</v>
      </c>
      <c r="E261" s="19" t="s">
        <v>1249</v>
      </c>
      <c r="F261" s="20" t="s">
        <v>42</v>
      </c>
      <c r="G261" s="21" t="s">
        <v>43</v>
      </c>
      <c r="H261" s="19" t="s">
        <v>44</v>
      </c>
      <c r="I261" s="19" t="s">
        <v>45</v>
      </c>
      <c r="J261" s="19" t="s">
        <v>63</v>
      </c>
      <c r="K261" s="19" t="s">
        <v>186</v>
      </c>
      <c r="L261" s="19" t="s">
        <v>46</v>
      </c>
      <c r="M261" s="19" t="s">
        <v>210</v>
      </c>
      <c r="N261" s="19" t="s">
        <v>1250</v>
      </c>
      <c r="O261" s="19" t="s">
        <v>210</v>
      </c>
      <c r="P261" s="19" t="s">
        <v>212</v>
      </c>
      <c r="Q261" s="19" t="s">
        <v>985</v>
      </c>
      <c r="R261" s="19" t="s">
        <v>566</v>
      </c>
      <c r="S261" s="19"/>
      <c r="T261" s="19" t="s">
        <v>52</v>
      </c>
      <c r="U261" s="19" t="s">
        <v>53</v>
      </c>
      <c r="V261" s="19" t="s">
        <v>54</v>
      </c>
      <c r="W261" s="19" t="s">
        <v>55</v>
      </c>
      <c r="X261" s="19" t="s">
        <v>204</v>
      </c>
      <c r="Y261" s="19" t="s">
        <v>204</v>
      </c>
      <c r="Z261" s="19" t="s">
        <v>1251</v>
      </c>
      <c r="AA261" s="19">
        <v>2</v>
      </c>
      <c r="AB261" s="19">
        <v>2</v>
      </c>
      <c r="AC261" s="19" t="s">
        <v>58</v>
      </c>
      <c r="AD261" s="19" t="s">
        <v>212</v>
      </c>
      <c r="AE261" s="19" t="s">
        <v>985</v>
      </c>
      <c r="AF261" s="19"/>
    </row>
    <row r="262" spans="1:34">
      <c r="A262" s="19">
        <v>257</v>
      </c>
      <c r="B262" s="19" t="s">
        <v>217</v>
      </c>
      <c r="C262" s="19" t="s">
        <v>328</v>
      </c>
      <c r="D262" s="19" t="str">
        <f>HYPERLINK("http://henontech.com/fieldsafety/harzard/harzard_show.php?rid=3555&amp;url=harzardrecs.php","5.5米焦炉地下室废气油缸底座螺栓松动，导致油缸开闭行程过大，换向作业不到位，影响生产作业安全，造成重大设备安全事故")</f>
        <v>5.5米焦炉地下室废气油缸底座螺栓松动，导致油缸开闭行程过大，换向作业不到位，影响生产作业安全，造成重大设备安全事故</v>
      </c>
      <c r="E262" s="19" t="s">
        <v>1252</v>
      </c>
      <c r="F262" s="26" t="s">
        <v>554</v>
      </c>
      <c r="G262" s="19"/>
      <c r="H262" s="19" t="s">
        <v>44</v>
      </c>
      <c r="I262" s="19" t="s">
        <v>45</v>
      </c>
      <c r="J262" s="19" t="s">
        <v>63</v>
      </c>
      <c r="K262" s="19" t="s">
        <v>199</v>
      </c>
      <c r="L262" s="19" t="s">
        <v>46</v>
      </c>
      <c r="M262" s="19" t="s">
        <v>47</v>
      </c>
      <c r="N262" s="19" t="s">
        <v>1253</v>
      </c>
      <c r="O262" s="19"/>
      <c r="P262" s="19"/>
      <c r="Q262" s="19"/>
      <c r="R262" s="19" t="s">
        <v>67</v>
      </c>
      <c r="S262" s="19"/>
      <c r="T262" s="19" t="s">
        <v>52</v>
      </c>
      <c r="U262" s="19" t="s">
        <v>96</v>
      </c>
      <c r="V262" s="19" t="s">
        <v>182</v>
      </c>
      <c r="W262" s="19" t="s">
        <v>162</v>
      </c>
      <c r="X262" s="19"/>
      <c r="Y262" s="19"/>
      <c r="Z262" s="19"/>
      <c r="AA262" s="19"/>
      <c r="AB262" s="19"/>
      <c r="AC262" s="19" t="s">
        <v>266</v>
      </c>
      <c r="AD262" s="19"/>
      <c r="AE262" s="19"/>
      <c r="AF262" s="19"/>
    </row>
    <row r="263" spans="1:34">
      <c r="A263" s="19">
        <v>258</v>
      </c>
      <c r="B263" s="19" t="s">
        <v>217</v>
      </c>
      <c r="C263" s="19" t="s">
        <v>235</v>
      </c>
      <c r="D263" s="19" t="str">
        <f>HYPERLINK("http://henontech.com/fieldsafety/harzard/harzard_show.php?rid=3557&amp;url=harzardrecs.php","粗苯东管道架上有废管道一根，一名操作人员巡检此处若坠落可能会砸到头部")</f>
        <v>粗苯东管道架上有废管道一根，一名操作人员巡检此处若坠落可能会砸到头部</v>
      </c>
      <c r="E263" s="19" t="s">
        <v>1254</v>
      </c>
      <c r="F263" s="20" t="s">
        <v>42</v>
      </c>
      <c r="G263" s="22" t="s">
        <v>77</v>
      </c>
      <c r="H263" s="19" t="s">
        <v>44</v>
      </c>
      <c r="I263" s="19" t="s">
        <v>45</v>
      </c>
      <c r="J263" s="19" t="s">
        <v>78</v>
      </c>
      <c r="K263" s="19" t="s">
        <v>138</v>
      </c>
      <c r="L263" s="19" t="s">
        <v>46</v>
      </c>
      <c r="M263" s="19" t="s">
        <v>75</v>
      </c>
      <c r="N263" s="19" t="s">
        <v>231</v>
      </c>
      <c r="O263" s="19" t="s">
        <v>75</v>
      </c>
      <c r="P263" s="19" t="s">
        <v>80</v>
      </c>
      <c r="Q263" s="19" t="s">
        <v>1222</v>
      </c>
      <c r="R263" s="19" t="s">
        <v>1255</v>
      </c>
      <c r="S263" s="19"/>
      <c r="T263" s="19" t="s">
        <v>68</v>
      </c>
      <c r="U263" s="19" t="s">
        <v>203</v>
      </c>
      <c r="V263" s="19" t="s">
        <v>182</v>
      </c>
      <c r="W263" s="19" t="s">
        <v>120</v>
      </c>
      <c r="X263" s="19"/>
      <c r="Y263" s="19"/>
      <c r="Z263" s="19" t="s">
        <v>1256</v>
      </c>
      <c r="AA263" s="19">
        <v>1</v>
      </c>
      <c r="AB263" s="19">
        <v>1</v>
      </c>
      <c r="AC263" s="19" t="s">
        <v>58</v>
      </c>
      <c r="AD263" s="19" t="s">
        <v>80</v>
      </c>
      <c r="AE263" s="19" t="s">
        <v>652</v>
      </c>
      <c r="AF263" s="19"/>
    </row>
    <row r="264" spans="1:34" customHeight="1" ht="42">
      <c r="A264" s="19">
        <v>259</v>
      </c>
      <c r="B264" s="19" t="s">
        <v>217</v>
      </c>
      <c r="C264" s="19" t="s">
        <v>251</v>
      </c>
      <c r="D264" s="19" t="str">
        <f>HYPERLINK("http://henontech.com/fieldsafety/harzard/harzard_show.php?rid=3558&amp;url=harzardrecs.php","煤九外部护栏开焊，清理平台卫生，开焊的护栏拌倒操作工")</f>
        <v>煤九外部护栏开焊，清理平台卫生，开焊的护栏拌倒操作工</v>
      </c>
      <c r="E264" s="19" t="s">
        <v>1160</v>
      </c>
      <c r="F264" s="20" t="s">
        <v>42</v>
      </c>
      <c r="G264" s="22" t="s">
        <v>77</v>
      </c>
      <c r="H264" s="19" t="s">
        <v>743</v>
      </c>
      <c r="I264" s="19" t="s">
        <v>45</v>
      </c>
      <c r="J264" s="19" t="s">
        <v>105</v>
      </c>
      <c r="K264" s="19" t="s">
        <v>64</v>
      </c>
      <c r="L264" s="19" t="s">
        <v>46</v>
      </c>
      <c r="M264" s="19" t="s">
        <v>210</v>
      </c>
      <c r="N264" s="19" t="s">
        <v>1161</v>
      </c>
      <c r="O264" s="19" t="s">
        <v>210</v>
      </c>
      <c r="P264" s="19" t="s">
        <v>212</v>
      </c>
      <c r="Q264" s="19" t="s">
        <v>458</v>
      </c>
      <c r="R264" s="19" t="s">
        <v>1257</v>
      </c>
      <c r="S264" s="19"/>
      <c r="T264" s="19" t="s">
        <v>68</v>
      </c>
      <c r="U264" s="19" t="s">
        <v>69</v>
      </c>
      <c r="V264" s="19" t="s">
        <v>54</v>
      </c>
      <c r="W264" s="19" t="s">
        <v>162</v>
      </c>
      <c r="X264" s="19" t="s">
        <v>204</v>
      </c>
      <c r="Y264" s="19" t="s">
        <v>204</v>
      </c>
      <c r="Z264" s="19" t="s">
        <v>1258</v>
      </c>
      <c r="AA264" s="19">
        <v>2</v>
      </c>
      <c r="AB264" s="19">
        <v>2</v>
      </c>
      <c r="AC264" s="19" t="s">
        <v>58</v>
      </c>
      <c r="AD264" s="19" t="s">
        <v>212</v>
      </c>
      <c r="AE264" s="19" t="s">
        <v>426</v>
      </c>
      <c r="AF264" s="19"/>
    </row>
    <row r="265" spans="1:34">
      <c r="A265" s="19">
        <v>260</v>
      </c>
      <c r="B265" s="19" t="s">
        <v>217</v>
      </c>
      <c r="C265" s="19" t="s">
        <v>1259</v>
      </c>
      <c r="D265" s="19" t="str">
        <f>HYPERLINK("http://henontech.com/fieldsafety/harzard/harzard_show.php?rid=3559&amp;url=harzardrecs.php","一名操作工在清理桥管过程中，未带防护面罩，加如压力不稳，造成面部烧伤，送医院治疗，轻微烧伤，休养10天。")</f>
        <v>一名操作工在清理桥管过程中，未带防护面罩，加如压力不稳，造成面部烧伤，送医院治疗，轻微烧伤，休养10天。</v>
      </c>
      <c r="E265" s="19" t="s">
        <v>1260</v>
      </c>
      <c r="F265" s="26" t="s">
        <v>554</v>
      </c>
      <c r="G265" s="19"/>
      <c r="H265" s="19" t="s">
        <v>44</v>
      </c>
      <c r="I265" s="19" t="s">
        <v>45</v>
      </c>
      <c r="J265" s="19" t="s">
        <v>198</v>
      </c>
      <c r="K265" s="19" t="s">
        <v>199</v>
      </c>
      <c r="L265" s="19" t="s">
        <v>46</v>
      </c>
      <c r="M265" s="19" t="s">
        <v>47</v>
      </c>
      <c r="N265" s="19" t="s">
        <v>1261</v>
      </c>
      <c r="O265" s="19"/>
      <c r="P265" s="19"/>
      <c r="Q265" s="19"/>
      <c r="R265" s="19" t="s">
        <v>577</v>
      </c>
      <c r="S265" s="19"/>
      <c r="T265" s="19" t="s">
        <v>68</v>
      </c>
      <c r="U265" s="19" t="s">
        <v>96</v>
      </c>
      <c r="V265" s="19" t="s">
        <v>182</v>
      </c>
      <c r="W265" s="19" t="s">
        <v>162</v>
      </c>
      <c r="X265" s="19"/>
      <c r="Y265" s="19"/>
      <c r="Z265" s="19"/>
      <c r="AA265" s="19"/>
      <c r="AB265" s="19"/>
      <c r="AC265" s="19" t="s">
        <v>266</v>
      </c>
      <c r="AD265" s="19"/>
      <c r="AE265" s="19"/>
      <c r="AF265" s="1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7"/>
    <mergeCell ref="B7:B7"/>
    <mergeCell ref="C7:C7"/>
    <mergeCell ref="F7:F7"/>
    <mergeCell ref="G7:G7"/>
    <mergeCell ref="H7:H7"/>
    <mergeCell ref="M7:M7"/>
    <mergeCell ref="N7:N7"/>
    <mergeCell ref="O7:O7"/>
    <mergeCell ref="P7:P7"/>
    <mergeCell ref="Q7:Q7"/>
    <mergeCell ref="R7:R7"/>
    <mergeCell ref="S7:S7"/>
    <mergeCell ref="X7:X7"/>
    <mergeCell ref="Y7:Y7"/>
    <mergeCell ref="Z7:Z7"/>
    <mergeCell ref="AA7:AA7"/>
    <mergeCell ref="AB7:AB7"/>
    <mergeCell ref="AC7:AC7"/>
    <mergeCell ref="AD7:AD7"/>
    <mergeCell ref="AE7:AE7"/>
    <mergeCell ref="AF7:AF7"/>
    <mergeCell ref="A8:A8"/>
    <mergeCell ref="B8:B8"/>
    <mergeCell ref="C8:C8"/>
    <mergeCell ref="F8:F8"/>
    <mergeCell ref="G8:G8"/>
    <mergeCell ref="H8:H8"/>
    <mergeCell ref="M8:M8"/>
    <mergeCell ref="N8:N8"/>
    <mergeCell ref="O8:O8"/>
    <mergeCell ref="P8:P8"/>
    <mergeCell ref="Q8:Q8"/>
    <mergeCell ref="R8:R8"/>
    <mergeCell ref="S8:S8"/>
    <mergeCell ref="X8:X8"/>
    <mergeCell ref="Y8:Y8"/>
    <mergeCell ref="Z8:Z8"/>
    <mergeCell ref="AA8:AA8"/>
    <mergeCell ref="AB8:AB8"/>
    <mergeCell ref="AC8:AC8"/>
    <mergeCell ref="AD8:AD8"/>
    <mergeCell ref="AE8:AE8"/>
    <mergeCell ref="AF8: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0"/>
    <mergeCell ref="B20:B20"/>
    <mergeCell ref="C20:C20"/>
    <mergeCell ref="F20:F20"/>
    <mergeCell ref="G20:G20"/>
    <mergeCell ref="H20:H20"/>
    <mergeCell ref="M20:M20"/>
    <mergeCell ref="N20:N20"/>
    <mergeCell ref="O20:O20"/>
    <mergeCell ref="P20:P20"/>
    <mergeCell ref="Q20:Q20"/>
    <mergeCell ref="R20:R20"/>
    <mergeCell ref="S20:S20"/>
    <mergeCell ref="X20:X20"/>
    <mergeCell ref="Y20:Y20"/>
    <mergeCell ref="Z20:Z20"/>
    <mergeCell ref="AA20:AA20"/>
    <mergeCell ref="AB20:AB20"/>
    <mergeCell ref="AC20:AC20"/>
    <mergeCell ref="AD20:AD20"/>
    <mergeCell ref="AE20:AE20"/>
    <mergeCell ref="AF20:AF20"/>
    <mergeCell ref="A21:A21"/>
    <mergeCell ref="B21:B21"/>
    <mergeCell ref="C21:C21"/>
    <mergeCell ref="F21:F21"/>
    <mergeCell ref="G21:G21"/>
    <mergeCell ref="H21:H21"/>
    <mergeCell ref="M21:M21"/>
    <mergeCell ref="N21:N21"/>
    <mergeCell ref="O21:O21"/>
    <mergeCell ref="P21:P21"/>
    <mergeCell ref="Q21:Q21"/>
    <mergeCell ref="R21:R21"/>
    <mergeCell ref="S21:S21"/>
    <mergeCell ref="X21:X21"/>
    <mergeCell ref="Y21:Y21"/>
    <mergeCell ref="Z21:Z21"/>
    <mergeCell ref="AA21:AA21"/>
    <mergeCell ref="AB21:AB21"/>
    <mergeCell ref="AC21:AC21"/>
    <mergeCell ref="AD21:AD21"/>
    <mergeCell ref="AE21:AE21"/>
    <mergeCell ref="AF21: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4"/>
    <mergeCell ref="B24:B24"/>
    <mergeCell ref="C24:C24"/>
    <mergeCell ref="F24:F24"/>
    <mergeCell ref="G24:G24"/>
    <mergeCell ref="H24:H24"/>
    <mergeCell ref="M24:M24"/>
    <mergeCell ref="N24:N24"/>
    <mergeCell ref="O24:O24"/>
    <mergeCell ref="P24:P24"/>
    <mergeCell ref="Q24:Q24"/>
    <mergeCell ref="R24:R24"/>
    <mergeCell ref="S24:S24"/>
    <mergeCell ref="X24:X24"/>
    <mergeCell ref="Y24:Y24"/>
    <mergeCell ref="Z24:Z24"/>
    <mergeCell ref="AA24:AA24"/>
    <mergeCell ref="AB24:AB24"/>
    <mergeCell ref="AC24:AC24"/>
    <mergeCell ref="AD24:AD24"/>
    <mergeCell ref="AE24:AE24"/>
    <mergeCell ref="AF24:AF24"/>
    <mergeCell ref="A25:A25"/>
    <mergeCell ref="B25:B25"/>
    <mergeCell ref="C25:C25"/>
    <mergeCell ref="F25:F25"/>
    <mergeCell ref="G25:G25"/>
    <mergeCell ref="H25:H25"/>
    <mergeCell ref="M25:M25"/>
    <mergeCell ref="N25:N25"/>
    <mergeCell ref="O25:O25"/>
    <mergeCell ref="P25:P25"/>
    <mergeCell ref="Q25:Q25"/>
    <mergeCell ref="R25:R25"/>
    <mergeCell ref="S25:S25"/>
    <mergeCell ref="X25:X25"/>
    <mergeCell ref="Y25:Y25"/>
    <mergeCell ref="Z25:Z25"/>
    <mergeCell ref="AA25:AA25"/>
    <mergeCell ref="AB25:AB25"/>
    <mergeCell ref="AC25:AC25"/>
    <mergeCell ref="AD25:AD25"/>
    <mergeCell ref="AE25:AE25"/>
    <mergeCell ref="AF25: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0"/>
    <mergeCell ref="B90:B90"/>
    <mergeCell ref="C90:C90"/>
    <mergeCell ref="F90:F90"/>
    <mergeCell ref="G90:G90"/>
    <mergeCell ref="H90:H90"/>
    <mergeCell ref="M90:M90"/>
    <mergeCell ref="N90:N90"/>
    <mergeCell ref="O90:O90"/>
    <mergeCell ref="P90:P90"/>
    <mergeCell ref="Q90:Q90"/>
    <mergeCell ref="R90:R90"/>
    <mergeCell ref="S90:S90"/>
    <mergeCell ref="X90:X90"/>
    <mergeCell ref="Y90:Y90"/>
    <mergeCell ref="Z90:Z90"/>
    <mergeCell ref="AA90:AA90"/>
    <mergeCell ref="AB90:AB90"/>
    <mergeCell ref="AC90:AC90"/>
    <mergeCell ref="AD90:AD90"/>
    <mergeCell ref="AE90:AE90"/>
    <mergeCell ref="AF90:AF90"/>
    <mergeCell ref="A91:A91"/>
    <mergeCell ref="B91:B91"/>
    <mergeCell ref="C91:C91"/>
    <mergeCell ref="F91:F91"/>
    <mergeCell ref="G91:G91"/>
    <mergeCell ref="H91:H91"/>
    <mergeCell ref="M91:M91"/>
    <mergeCell ref="N91:N91"/>
    <mergeCell ref="O91:O91"/>
    <mergeCell ref="P91:P91"/>
    <mergeCell ref="Q91:Q91"/>
    <mergeCell ref="R91:R91"/>
    <mergeCell ref="S91:S91"/>
    <mergeCell ref="X91:X91"/>
    <mergeCell ref="Y91:Y91"/>
    <mergeCell ref="Z91:Z91"/>
    <mergeCell ref="AA91:AA91"/>
    <mergeCell ref="AB91:AB91"/>
    <mergeCell ref="AC91:AC91"/>
    <mergeCell ref="AD91:AD91"/>
    <mergeCell ref="AE91:AE91"/>
    <mergeCell ref="AF91: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6"/>
    <mergeCell ref="B126:B126"/>
    <mergeCell ref="C126:C126"/>
    <mergeCell ref="F126:F126"/>
    <mergeCell ref="G126:G126"/>
    <mergeCell ref="H126:H126"/>
    <mergeCell ref="M126:M126"/>
    <mergeCell ref="N126:N126"/>
    <mergeCell ref="O126:O126"/>
    <mergeCell ref="P126:P126"/>
    <mergeCell ref="Q126:Q126"/>
    <mergeCell ref="R126:R126"/>
    <mergeCell ref="S126:S126"/>
    <mergeCell ref="X126:X126"/>
    <mergeCell ref="Y126:Y126"/>
    <mergeCell ref="Z126:Z126"/>
    <mergeCell ref="AA126:AA126"/>
    <mergeCell ref="AB126:AB126"/>
    <mergeCell ref="AC126:AC126"/>
    <mergeCell ref="AD126:AD126"/>
    <mergeCell ref="AE126:AE126"/>
    <mergeCell ref="AF126:AF126"/>
    <mergeCell ref="A127:A127"/>
    <mergeCell ref="B127:B127"/>
    <mergeCell ref="C127:C127"/>
    <mergeCell ref="F127:F127"/>
    <mergeCell ref="G127:G127"/>
    <mergeCell ref="H127:H127"/>
    <mergeCell ref="M127:M127"/>
    <mergeCell ref="N127:N127"/>
    <mergeCell ref="O127:O127"/>
    <mergeCell ref="P127:P127"/>
    <mergeCell ref="Q127:Q127"/>
    <mergeCell ref="R127:R127"/>
    <mergeCell ref="S127:S127"/>
    <mergeCell ref="X127:X127"/>
    <mergeCell ref="Y127:Y127"/>
    <mergeCell ref="Z127:Z127"/>
    <mergeCell ref="AA127:AA127"/>
    <mergeCell ref="AB127:AB127"/>
    <mergeCell ref="AC127:AC127"/>
    <mergeCell ref="AD127:AD127"/>
    <mergeCell ref="AE127:AE127"/>
    <mergeCell ref="AF127:AF127"/>
    <mergeCell ref="A128:A128"/>
    <mergeCell ref="B128:B128"/>
    <mergeCell ref="C128:C128"/>
    <mergeCell ref="F128:F128"/>
    <mergeCell ref="G128:G128"/>
    <mergeCell ref="H128:H128"/>
    <mergeCell ref="M128:M128"/>
    <mergeCell ref="N128:N128"/>
    <mergeCell ref="O128:O128"/>
    <mergeCell ref="P128:P128"/>
    <mergeCell ref="Q128:Q128"/>
    <mergeCell ref="R128:R128"/>
    <mergeCell ref="S128:S128"/>
    <mergeCell ref="X128:X128"/>
    <mergeCell ref="Y128:Y128"/>
    <mergeCell ref="Z128:Z128"/>
    <mergeCell ref="AA128:AA128"/>
    <mergeCell ref="AB128:AB128"/>
    <mergeCell ref="AC128:AC128"/>
    <mergeCell ref="AD128:AD128"/>
    <mergeCell ref="AE128:AE128"/>
    <mergeCell ref="AF128:AF128"/>
    <mergeCell ref="A129:A129"/>
    <mergeCell ref="B129:B129"/>
    <mergeCell ref="C129:C129"/>
    <mergeCell ref="F129:F129"/>
    <mergeCell ref="G129:G129"/>
    <mergeCell ref="H129:H129"/>
    <mergeCell ref="M129:M129"/>
    <mergeCell ref="N129:N129"/>
    <mergeCell ref="O129:O129"/>
    <mergeCell ref="P129:P129"/>
    <mergeCell ref="Q129:Q129"/>
    <mergeCell ref="R129:R129"/>
    <mergeCell ref="S129:S129"/>
    <mergeCell ref="X129:X129"/>
    <mergeCell ref="Y129:Y129"/>
    <mergeCell ref="Z129:Z129"/>
    <mergeCell ref="AA129:AA129"/>
    <mergeCell ref="AB129:AB129"/>
    <mergeCell ref="AC129:AC129"/>
    <mergeCell ref="AD129:AD129"/>
    <mergeCell ref="AE129:AE129"/>
    <mergeCell ref="AF129:AF129"/>
    <mergeCell ref="A130:A130"/>
    <mergeCell ref="B130:B130"/>
    <mergeCell ref="C130:C130"/>
    <mergeCell ref="F130:F130"/>
    <mergeCell ref="G130:G130"/>
    <mergeCell ref="H130:H130"/>
    <mergeCell ref="M130:M130"/>
    <mergeCell ref="N130:N130"/>
    <mergeCell ref="O130:O130"/>
    <mergeCell ref="P130:P130"/>
    <mergeCell ref="Q130:Q130"/>
    <mergeCell ref="R130:R130"/>
    <mergeCell ref="S130:S130"/>
    <mergeCell ref="X130:X130"/>
    <mergeCell ref="Y130:Y130"/>
    <mergeCell ref="Z130:Z130"/>
    <mergeCell ref="AA130:AA130"/>
    <mergeCell ref="AB130:AB130"/>
    <mergeCell ref="AC130:AC130"/>
    <mergeCell ref="AD130:AD130"/>
    <mergeCell ref="AE130:AE130"/>
    <mergeCell ref="AF130:AF130"/>
    <mergeCell ref="A131:A131"/>
    <mergeCell ref="B131:B131"/>
    <mergeCell ref="C131:C131"/>
    <mergeCell ref="F131:F131"/>
    <mergeCell ref="G131:G131"/>
    <mergeCell ref="H131:H131"/>
    <mergeCell ref="M131:M131"/>
    <mergeCell ref="N131:N131"/>
    <mergeCell ref="O131:O131"/>
    <mergeCell ref="P131:P131"/>
    <mergeCell ref="Q131:Q131"/>
    <mergeCell ref="R131:R131"/>
    <mergeCell ref="S131:S131"/>
    <mergeCell ref="X131:X131"/>
    <mergeCell ref="Y131:Y131"/>
    <mergeCell ref="Z131:Z131"/>
    <mergeCell ref="AA131:AA131"/>
    <mergeCell ref="AB131:AB131"/>
    <mergeCell ref="AC131:AC131"/>
    <mergeCell ref="AD131:AD131"/>
    <mergeCell ref="AE131:AE131"/>
    <mergeCell ref="AF131:AF131"/>
    <mergeCell ref="A132:A132"/>
    <mergeCell ref="B132:B132"/>
    <mergeCell ref="C132:C132"/>
    <mergeCell ref="F132:F132"/>
    <mergeCell ref="G132:G132"/>
    <mergeCell ref="H132:H132"/>
    <mergeCell ref="M132:M132"/>
    <mergeCell ref="N132:N132"/>
    <mergeCell ref="O132:O132"/>
    <mergeCell ref="P132:P132"/>
    <mergeCell ref="Q132:Q132"/>
    <mergeCell ref="R132:R132"/>
    <mergeCell ref="S132:S132"/>
    <mergeCell ref="X132:X132"/>
    <mergeCell ref="Y132:Y132"/>
    <mergeCell ref="Z132:Z132"/>
    <mergeCell ref="AA132:AA132"/>
    <mergeCell ref="AB132:AB132"/>
    <mergeCell ref="AC132:AC132"/>
    <mergeCell ref="AD132:AD132"/>
    <mergeCell ref="AE132:AE132"/>
    <mergeCell ref="AF132:AF132"/>
    <mergeCell ref="A133:A133"/>
    <mergeCell ref="B133:B133"/>
    <mergeCell ref="C133:C133"/>
    <mergeCell ref="F133:F133"/>
    <mergeCell ref="G133:G133"/>
    <mergeCell ref="H133:H133"/>
    <mergeCell ref="M133:M133"/>
    <mergeCell ref="N133:N133"/>
    <mergeCell ref="O133:O133"/>
    <mergeCell ref="P133:P133"/>
    <mergeCell ref="Q133:Q133"/>
    <mergeCell ref="R133:R133"/>
    <mergeCell ref="S133:S133"/>
    <mergeCell ref="X133:X133"/>
    <mergeCell ref="Y133:Y133"/>
    <mergeCell ref="Z133:Z133"/>
    <mergeCell ref="AA133:AA133"/>
    <mergeCell ref="AB133:AB133"/>
    <mergeCell ref="AC133:AC133"/>
    <mergeCell ref="AD133:AD133"/>
    <mergeCell ref="AE133:AE133"/>
    <mergeCell ref="AF133:AF133"/>
    <mergeCell ref="A134:A134"/>
    <mergeCell ref="B134:B134"/>
    <mergeCell ref="C134:C134"/>
    <mergeCell ref="F134:F134"/>
    <mergeCell ref="G134:G134"/>
    <mergeCell ref="H134:H134"/>
    <mergeCell ref="M134:M134"/>
    <mergeCell ref="N134:N134"/>
    <mergeCell ref="O134:O134"/>
    <mergeCell ref="P134:P134"/>
    <mergeCell ref="Q134:Q134"/>
    <mergeCell ref="R134:R134"/>
    <mergeCell ref="S134:S134"/>
    <mergeCell ref="X134:X134"/>
    <mergeCell ref="Y134:Y134"/>
    <mergeCell ref="Z134:Z134"/>
    <mergeCell ref="AA134:AA134"/>
    <mergeCell ref="AB134:AB134"/>
    <mergeCell ref="AC134:AC134"/>
    <mergeCell ref="AD134:AD134"/>
    <mergeCell ref="AE134:AE134"/>
    <mergeCell ref="AF134:AF134"/>
    <mergeCell ref="A135:A135"/>
    <mergeCell ref="B135:B135"/>
    <mergeCell ref="C135:C135"/>
    <mergeCell ref="F135:F135"/>
    <mergeCell ref="G135:G135"/>
    <mergeCell ref="H135:H135"/>
    <mergeCell ref="M135:M135"/>
    <mergeCell ref="N135:N135"/>
    <mergeCell ref="O135:O135"/>
    <mergeCell ref="P135:P135"/>
    <mergeCell ref="Q135:Q135"/>
    <mergeCell ref="R135:R135"/>
    <mergeCell ref="S135:S135"/>
    <mergeCell ref="X135:X135"/>
    <mergeCell ref="Y135:Y135"/>
    <mergeCell ref="Z135:Z135"/>
    <mergeCell ref="AA135:AA135"/>
    <mergeCell ref="AB135:AB135"/>
    <mergeCell ref="AC135:AC135"/>
    <mergeCell ref="AD135:AD135"/>
    <mergeCell ref="AE135:AE135"/>
    <mergeCell ref="AF135:AF135"/>
    <mergeCell ref="A136:A136"/>
    <mergeCell ref="B136:B136"/>
    <mergeCell ref="C136:C136"/>
    <mergeCell ref="F136:F136"/>
    <mergeCell ref="G136:G136"/>
    <mergeCell ref="H136:H136"/>
    <mergeCell ref="M136:M136"/>
    <mergeCell ref="N136:N136"/>
    <mergeCell ref="O136:O136"/>
    <mergeCell ref="P136:P136"/>
    <mergeCell ref="Q136:Q136"/>
    <mergeCell ref="R136:R136"/>
    <mergeCell ref="S136:S136"/>
    <mergeCell ref="X136:X136"/>
    <mergeCell ref="Y136:Y136"/>
    <mergeCell ref="Z136:Z136"/>
    <mergeCell ref="AA136:AA136"/>
    <mergeCell ref="AB136:AB136"/>
    <mergeCell ref="AC136:AC136"/>
    <mergeCell ref="AD136:AD136"/>
    <mergeCell ref="AE136:AE136"/>
    <mergeCell ref="AF136:AF136"/>
    <mergeCell ref="A137:A137"/>
    <mergeCell ref="B137:B137"/>
    <mergeCell ref="C137:C137"/>
    <mergeCell ref="F137:F137"/>
    <mergeCell ref="G137:G137"/>
    <mergeCell ref="H137:H137"/>
    <mergeCell ref="M137:M137"/>
    <mergeCell ref="N137:N137"/>
    <mergeCell ref="O137:O137"/>
    <mergeCell ref="P137:P137"/>
    <mergeCell ref="Q137:Q137"/>
    <mergeCell ref="R137:R137"/>
    <mergeCell ref="S137:S137"/>
    <mergeCell ref="X137:X137"/>
    <mergeCell ref="Y137:Y137"/>
    <mergeCell ref="Z137:Z137"/>
    <mergeCell ref="AA137:AA137"/>
    <mergeCell ref="AB137:AB137"/>
    <mergeCell ref="AC137:AC137"/>
    <mergeCell ref="AD137:AD137"/>
    <mergeCell ref="AE137:AE137"/>
    <mergeCell ref="AF137:AF137"/>
    <mergeCell ref="A138:A138"/>
    <mergeCell ref="B138:B138"/>
    <mergeCell ref="C138:C138"/>
    <mergeCell ref="F138:F138"/>
    <mergeCell ref="G138:G138"/>
    <mergeCell ref="H138:H138"/>
    <mergeCell ref="M138:M138"/>
    <mergeCell ref="N138:N138"/>
    <mergeCell ref="O138:O138"/>
    <mergeCell ref="P138:P138"/>
    <mergeCell ref="Q138:Q138"/>
    <mergeCell ref="R138:R138"/>
    <mergeCell ref="S138:S138"/>
    <mergeCell ref="X138:X138"/>
    <mergeCell ref="Y138:Y138"/>
    <mergeCell ref="Z138:Z138"/>
    <mergeCell ref="AA138:AA138"/>
    <mergeCell ref="AB138:AB138"/>
    <mergeCell ref="AC138:AC138"/>
    <mergeCell ref="AD138:AD138"/>
    <mergeCell ref="AE138:AE138"/>
    <mergeCell ref="AF138:AF138"/>
    <mergeCell ref="A139:A139"/>
    <mergeCell ref="B139:B139"/>
    <mergeCell ref="C139:C139"/>
    <mergeCell ref="F139:F139"/>
    <mergeCell ref="G139:G139"/>
    <mergeCell ref="H139:H139"/>
    <mergeCell ref="M139:M139"/>
    <mergeCell ref="N139:N139"/>
    <mergeCell ref="O139:O139"/>
    <mergeCell ref="P139:P139"/>
    <mergeCell ref="Q139:Q139"/>
    <mergeCell ref="R139:R139"/>
    <mergeCell ref="S139:S139"/>
    <mergeCell ref="X139:X139"/>
    <mergeCell ref="Y139:Y139"/>
    <mergeCell ref="Z139:Z139"/>
    <mergeCell ref="AA139:AA139"/>
    <mergeCell ref="AB139:AB139"/>
    <mergeCell ref="AC139:AC139"/>
    <mergeCell ref="AD139:AD139"/>
    <mergeCell ref="AE139:AE139"/>
    <mergeCell ref="AF139:AF139"/>
    <mergeCell ref="A140:A140"/>
    <mergeCell ref="B140:B140"/>
    <mergeCell ref="C140:C140"/>
    <mergeCell ref="F140:F140"/>
    <mergeCell ref="G140:G140"/>
    <mergeCell ref="H140:H140"/>
    <mergeCell ref="M140:M140"/>
    <mergeCell ref="N140:N140"/>
    <mergeCell ref="O140:O140"/>
    <mergeCell ref="P140:P140"/>
    <mergeCell ref="Q140:Q140"/>
    <mergeCell ref="R140:R140"/>
    <mergeCell ref="S140:S140"/>
    <mergeCell ref="X140:X140"/>
    <mergeCell ref="Y140:Y140"/>
    <mergeCell ref="Z140:Z140"/>
    <mergeCell ref="AA140:AA140"/>
    <mergeCell ref="AB140:AB140"/>
    <mergeCell ref="AC140:AC140"/>
    <mergeCell ref="AD140:AD140"/>
    <mergeCell ref="AE140:AE140"/>
    <mergeCell ref="AF140:AF140"/>
    <mergeCell ref="A141:A141"/>
    <mergeCell ref="B141:B141"/>
    <mergeCell ref="C141:C141"/>
    <mergeCell ref="F141:F141"/>
    <mergeCell ref="G141:G141"/>
    <mergeCell ref="H141:H141"/>
    <mergeCell ref="M141:M141"/>
    <mergeCell ref="N141:N141"/>
    <mergeCell ref="O141:O141"/>
    <mergeCell ref="P141:P141"/>
    <mergeCell ref="Q141:Q141"/>
    <mergeCell ref="R141:R141"/>
    <mergeCell ref="S141:S141"/>
    <mergeCell ref="X141:X141"/>
    <mergeCell ref="Y141:Y141"/>
    <mergeCell ref="Z141:Z141"/>
    <mergeCell ref="AA141:AA141"/>
    <mergeCell ref="AB141:AB141"/>
    <mergeCell ref="AC141:AC141"/>
    <mergeCell ref="AD141:AD141"/>
    <mergeCell ref="AE141:AE141"/>
    <mergeCell ref="AF141:AF141"/>
    <mergeCell ref="A142:A142"/>
    <mergeCell ref="B142:B142"/>
    <mergeCell ref="C142:C142"/>
    <mergeCell ref="F142:F142"/>
    <mergeCell ref="G142:G142"/>
    <mergeCell ref="H142:H142"/>
    <mergeCell ref="M142:M142"/>
    <mergeCell ref="N142:N142"/>
    <mergeCell ref="O142:O142"/>
    <mergeCell ref="P142:P142"/>
    <mergeCell ref="Q142:Q142"/>
    <mergeCell ref="R142:R142"/>
    <mergeCell ref="S142:S142"/>
    <mergeCell ref="X142:X142"/>
    <mergeCell ref="Y142:Y142"/>
    <mergeCell ref="Z142:Z142"/>
    <mergeCell ref="AA142:AA142"/>
    <mergeCell ref="AB142:AB142"/>
    <mergeCell ref="AC142:AC142"/>
    <mergeCell ref="AD142:AD142"/>
    <mergeCell ref="AE142:AE142"/>
    <mergeCell ref="AF142:AF142"/>
    <mergeCell ref="A143:A143"/>
    <mergeCell ref="B143:B143"/>
    <mergeCell ref="C143:C143"/>
    <mergeCell ref="F143:F143"/>
    <mergeCell ref="G143:G143"/>
    <mergeCell ref="H143:H143"/>
    <mergeCell ref="M143:M143"/>
    <mergeCell ref="N143:N143"/>
    <mergeCell ref="O143:O143"/>
    <mergeCell ref="P143:P143"/>
    <mergeCell ref="Q143:Q143"/>
    <mergeCell ref="R143:R143"/>
    <mergeCell ref="S143:S143"/>
    <mergeCell ref="X143:X143"/>
    <mergeCell ref="Y143:Y143"/>
    <mergeCell ref="Z143:Z143"/>
    <mergeCell ref="AA143:AA143"/>
    <mergeCell ref="AB143:AB143"/>
    <mergeCell ref="AC143:AC143"/>
    <mergeCell ref="AD143:AD143"/>
    <mergeCell ref="AE143:AE143"/>
    <mergeCell ref="AF143:AF143"/>
    <mergeCell ref="A144:A144"/>
    <mergeCell ref="B144:B144"/>
    <mergeCell ref="C144:C144"/>
    <mergeCell ref="F144:F144"/>
    <mergeCell ref="G144:G144"/>
    <mergeCell ref="H144:H144"/>
    <mergeCell ref="M144:M144"/>
    <mergeCell ref="N144:N144"/>
    <mergeCell ref="O144:O144"/>
    <mergeCell ref="P144:P144"/>
    <mergeCell ref="Q144:Q144"/>
    <mergeCell ref="R144:R144"/>
    <mergeCell ref="S144:S144"/>
    <mergeCell ref="X144:X144"/>
    <mergeCell ref="Y144:Y144"/>
    <mergeCell ref="Z144:Z144"/>
    <mergeCell ref="AA144:AA144"/>
    <mergeCell ref="AB144:AB144"/>
    <mergeCell ref="AC144:AC144"/>
    <mergeCell ref="AD144:AD144"/>
    <mergeCell ref="AE144:AE144"/>
    <mergeCell ref="AF144:AF144"/>
    <mergeCell ref="A145:A145"/>
    <mergeCell ref="B145:B145"/>
    <mergeCell ref="C145:C145"/>
    <mergeCell ref="F145:F145"/>
    <mergeCell ref="G145:G145"/>
    <mergeCell ref="H145:H145"/>
    <mergeCell ref="M145:M145"/>
    <mergeCell ref="N145:N145"/>
    <mergeCell ref="O145:O145"/>
    <mergeCell ref="P145:P145"/>
    <mergeCell ref="Q145:Q145"/>
    <mergeCell ref="R145:R145"/>
    <mergeCell ref="S145:S145"/>
    <mergeCell ref="X145:X145"/>
    <mergeCell ref="Y145:Y145"/>
    <mergeCell ref="Z145:Z145"/>
    <mergeCell ref="AA145:AA145"/>
    <mergeCell ref="AB145:AB145"/>
    <mergeCell ref="AC145:AC145"/>
    <mergeCell ref="AD145:AD145"/>
    <mergeCell ref="AE145:AE145"/>
    <mergeCell ref="AF145:AF145"/>
    <mergeCell ref="A146:A146"/>
    <mergeCell ref="B146:B146"/>
    <mergeCell ref="C146:C146"/>
    <mergeCell ref="F146:F146"/>
    <mergeCell ref="G146:G146"/>
    <mergeCell ref="H146:H146"/>
    <mergeCell ref="M146:M146"/>
    <mergeCell ref="N146:N146"/>
    <mergeCell ref="O146:O146"/>
    <mergeCell ref="P146:P146"/>
    <mergeCell ref="Q146:Q146"/>
    <mergeCell ref="R146:R146"/>
    <mergeCell ref="S146:S146"/>
    <mergeCell ref="X146:X146"/>
    <mergeCell ref="Y146:Y146"/>
    <mergeCell ref="Z146:Z146"/>
    <mergeCell ref="AA146:AA146"/>
    <mergeCell ref="AB146:AB146"/>
    <mergeCell ref="AC146:AC146"/>
    <mergeCell ref="AD146:AD146"/>
    <mergeCell ref="AE146:AE146"/>
    <mergeCell ref="AF146:AF146"/>
    <mergeCell ref="A147:A147"/>
    <mergeCell ref="B147:B147"/>
    <mergeCell ref="C147:C147"/>
    <mergeCell ref="F147:F147"/>
    <mergeCell ref="G147:G147"/>
    <mergeCell ref="H147:H147"/>
    <mergeCell ref="M147:M147"/>
    <mergeCell ref="N147:N147"/>
    <mergeCell ref="O147:O147"/>
    <mergeCell ref="P147:P147"/>
    <mergeCell ref="Q147:Q147"/>
    <mergeCell ref="R147:R147"/>
    <mergeCell ref="S147:S147"/>
    <mergeCell ref="X147:X147"/>
    <mergeCell ref="Y147:Y147"/>
    <mergeCell ref="Z147:Z147"/>
    <mergeCell ref="AA147:AA147"/>
    <mergeCell ref="AB147:AB147"/>
    <mergeCell ref="AC147:AC147"/>
    <mergeCell ref="AD147:AD147"/>
    <mergeCell ref="AE147:AE147"/>
    <mergeCell ref="AF147:AF147"/>
    <mergeCell ref="A148:A148"/>
    <mergeCell ref="B148:B148"/>
    <mergeCell ref="C148:C148"/>
    <mergeCell ref="F148:F148"/>
    <mergeCell ref="G148:G148"/>
    <mergeCell ref="H148:H148"/>
    <mergeCell ref="M148:M148"/>
    <mergeCell ref="N148:N148"/>
    <mergeCell ref="O148:O148"/>
    <mergeCell ref="P148:P148"/>
    <mergeCell ref="Q148:Q148"/>
    <mergeCell ref="R148:R148"/>
    <mergeCell ref="S148:S148"/>
    <mergeCell ref="X148:X148"/>
    <mergeCell ref="Y148:Y148"/>
    <mergeCell ref="Z148:Z148"/>
    <mergeCell ref="AA148:AA148"/>
    <mergeCell ref="AB148:AB148"/>
    <mergeCell ref="AC148:AC148"/>
    <mergeCell ref="AD148:AD148"/>
    <mergeCell ref="AE148:AE148"/>
    <mergeCell ref="AF148:AF148"/>
    <mergeCell ref="A149:A149"/>
    <mergeCell ref="B149:B149"/>
    <mergeCell ref="C149:C149"/>
    <mergeCell ref="F149:F149"/>
    <mergeCell ref="G149:G149"/>
    <mergeCell ref="H149:H149"/>
    <mergeCell ref="M149:M149"/>
    <mergeCell ref="N149:N149"/>
    <mergeCell ref="O149:O149"/>
    <mergeCell ref="P149:P149"/>
    <mergeCell ref="Q149:Q149"/>
    <mergeCell ref="R149:R149"/>
    <mergeCell ref="S149:S149"/>
    <mergeCell ref="X149:X149"/>
    <mergeCell ref="Y149:Y149"/>
    <mergeCell ref="Z149:Z149"/>
    <mergeCell ref="AA149:AA149"/>
    <mergeCell ref="AB149:AB149"/>
    <mergeCell ref="AC149:AC149"/>
    <mergeCell ref="AD149:AD149"/>
    <mergeCell ref="AE149:AE149"/>
    <mergeCell ref="AF149:AF149"/>
    <mergeCell ref="A150:A150"/>
    <mergeCell ref="B150:B150"/>
    <mergeCell ref="C150:C150"/>
    <mergeCell ref="F150:F150"/>
    <mergeCell ref="G150:G150"/>
    <mergeCell ref="H150:H150"/>
    <mergeCell ref="M150:M150"/>
    <mergeCell ref="N150:N150"/>
    <mergeCell ref="O150:O150"/>
    <mergeCell ref="P150:P150"/>
    <mergeCell ref="Q150:Q150"/>
    <mergeCell ref="R150:R150"/>
    <mergeCell ref="S150:S150"/>
    <mergeCell ref="X150:X150"/>
    <mergeCell ref="Y150:Y150"/>
    <mergeCell ref="Z150:Z150"/>
    <mergeCell ref="AA150:AA150"/>
    <mergeCell ref="AB150:AB150"/>
    <mergeCell ref="AC150:AC150"/>
    <mergeCell ref="AD150:AD150"/>
    <mergeCell ref="AE150:AE150"/>
    <mergeCell ref="AF150:AF150"/>
    <mergeCell ref="A151:A151"/>
    <mergeCell ref="B151:B151"/>
    <mergeCell ref="C151:C151"/>
    <mergeCell ref="F151:F151"/>
    <mergeCell ref="G151:G151"/>
    <mergeCell ref="H151:H151"/>
    <mergeCell ref="M151:M151"/>
    <mergeCell ref="N151:N151"/>
    <mergeCell ref="O151:O151"/>
    <mergeCell ref="P151:P151"/>
    <mergeCell ref="Q151:Q151"/>
    <mergeCell ref="R151:R151"/>
    <mergeCell ref="S151:S151"/>
    <mergeCell ref="X151:X151"/>
    <mergeCell ref="Y151:Y151"/>
    <mergeCell ref="Z151:Z151"/>
    <mergeCell ref="AA151:AA151"/>
    <mergeCell ref="AB151:AB151"/>
    <mergeCell ref="AC151:AC151"/>
    <mergeCell ref="AD151:AD151"/>
    <mergeCell ref="AE151:AE151"/>
    <mergeCell ref="AF151:AF151"/>
    <mergeCell ref="A152:A152"/>
    <mergeCell ref="B152:B152"/>
    <mergeCell ref="C152:C152"/>
    <mergeCell ref="F152:F152"/>
    <mergeCell ref="G152:G152"/>
    <mergeCell ref="H152:H152"/>
    <mergeCell ref="M152:M152"/>
    <mergeCell ref="N152:N152"/>
    <mergeCell ref="O152:O152"/>
    <mergeCell ref="P152:P152"/>
    <mergeCell ref="Q152:Q152"/>
    <mergeCell ref="R152:R152"/>
    <mergeCell ref="S152:S152"/>
    <mergeCell ref="X152:X152"/>
    <mergeCell ref="Y152:Y152"/>
    <mergeCell ref="Z152:Z152"/>
    <mergeCell ref="AA152:AA152"/>
    <mergeCell ref="AB152:AB152"/>
    <mergeCell ref="AC152:AC152"/>
    <mergeCell ref="AD152:AD152"/>
    <mergeCell ref="AE152:AE152"/>
    <mergeCell ref="AF152:AF152"/>
    <mergeCell ref="A153:A153"/>
    <mergeCell ref="B153:B153"/>
    <mergeCell ref="C153:C153"/>
    <mergeCell ref="F153:F153"/>
    <mergeCell ref="G153:G153"/>
    <mergeCell ref="H153:H153"/>
    <mergeCell ref="M153:M153"/>
    <mergeCell ref="N153:N153"/>
    <mergeCell ref="O153:O153"/>
    <mergeCell ref="P153:P153"/>
    <mergeCell ref="Q153:Q153"/>
    <mergeCell ref="R153:R153"/>
    <mergeCell ref="S153:S153"/>
    <mergeCell ref="X153:X153"/>
    <mergeCell ref="Y153:Y153"/>
    <mergeCell ref="Z153:Z153"/>
    <mergeCell ref="AA153:AA153"/>
    <mergeCell ref="AB153:AB153"/>
    <mergeCell ref="AC153:AC153"/>
    <mergeCell ref="AD153:AD153"/>
    <mergeCell ref="AE153:AE153"/>
    <mergeCell ref="AF153:AF153"/>
    <mergeCell ref="A154:A154"/>
    <mergeCell ref="B154:B154"/>
    <mergeCell ref="C154:C154"/>
    <mergeCell ref="F154:F154"/>
    <mergeCell ref="G154:G154"/>
    <mergeCell ref="H154:H154"/>
    <mergeCell ref="M154:M154"/>
    <mergeCell ref="N154:N154"/>
    <mergeCell ref="O154:O154"/>
    <mergeCell ref="P154:P154"/>
    <mergeCell ref="Q154:Q154"/>
    <mergeCell ref="R154:R154"/>
    <mergeCell ref="S154:S154"/>
    <mergeCell ref="X154:X154"/>
    <mergeCell ref="Y154:Y154"/>
    <mergeCell ref="Z154:Z154"/>
    <mergeCell ref="AA154:AA154"/>
    <mergeCell ref="AB154:AB154"/>
    <mergeCell ref="AC154:AC154"/>
    <mergeCell ref="AD154:AD154"/>
    <mergeCell ref="AE154:AE154"/>
    <mergeCell ref="AF154:AF154"/>
    <mergeCell ref="A155:A155"/>
    <mergeCell ref="B155:B155"/>
    <mergeCell ref="C155:C155"/>
    <mergeCell ref="F155:F155"/>
    <mergeCell ref="G155:G155"/>
    <mergeCell ref="H155:H155"/>
    <mergeCell ref="M155:M155"/>
    <mergeCell ref="N155:N155"/>
    <mergeCell ref="O155:O155"/>
    <mergeCell ref="P155:P155"/>
    <mergeCell ref="Q155:Q155"/>
    <mergeCell ref="R155:R155"/>
    <mergeCell ref="S155:S155"/>
    <mergeCell ref="X155:X155"/>
    <mergeCell ref="Y155:Y155"/>
    <mergeCell ref="Z155:Z155"/>
    <mergeCell ref="AA155:AA155"/>
    <mergeCell ref="AB155:AB155"/>
    <mergeCell ref="AC155:AC155"/>
    <mergeCell ref="AD155:AD155"/>
    <mergeCell ref="AE155:AE155"/>
    <mergeCell ref="AF155:AF155"/>
    <mergeCell ref="A156:A156"/>
    <mergeCell ref="B156:B156"/>
    <mergeCell ref="C156:C156"/>
    <mergeCell ref="F156:F156"/>
    <mergeCell ref="G156:G156"/>
    <mergeCell ref="H156:H156"/>
    <mergeCell ref="M156:M156"/>
    <mergeCell ref="N156:N156"/>
    <mergeCell ref="O156:O156"/>
    <mergeCell ref="P156:P156"/>
    <mergeCell ref="Q156:Q156"/>
    <mergeCell ref="R156:R156"/>
    <mergeCell ref="S156:S156"/>
    <mergeCell ref="X156:X156"/>
    <mergeCell ref="Y156:Y156"/>
    <mergeCell ref="Z156:Z156"/>
    <mergeCell ref="AA156:AA156"/>
    <mergeCell ref="AB156:AB156"/>
    <mergeCell ref="AC156:AC156"/>
    <mergeCell ref="AD156:AD156"/>
    <mergeCell ref="AE156:AE156"/>
    <mergeCell ref="AF156:AF156"/>
    <mergeCell ref="A157:A157"/>
    <mergeCell ref="B157:B157"/>
    <mergeCell ref="C157:C157"/>
    <mergeCell ref="F157:F157"/>
    <mergeCell ref="G157:G157"/>
    <mergeCell ref="H157:H157"/>
    <mergeCell ref="M157:M157"/>
    <mergeCell ref="N157:N157"/>
    <mergeCell ref="O157:O157"/>
    <mergeCell ref="P157:P157"/>
    <mergeCell ref="Q157:Q157"/>
    <mergeCell ref="R157:R157"/>
    <mergeCell ref="S157:S157"/>
    <mergeCell ref="X157:X157"/>
    <mergeCell ref="Y157:Y157"/>
    <mergeCell ref="Z157:Z157"/>
    <mergeCell ref="AA157:AA157"/>
    <mergeCell ref="AB157:AB157"/>
    <mergeCell ref="AC157:AC157"/>
    <mergeCell ref="AD157:AD157"/>
    <mergeCell ref="AE157:AE157"/>
    <mergeCell ref="AF157:AF157"/>
    <mergeCell ref="A158:A158"/>
    <mergeCell ref="B158:B158"/>
    <mergeCell ref="C158:C158"/>
    <mergeCell ref="F158:F158"/>
    <mergeCell ref="G158:G158"/>
    <mergeCell ref="H158:H158"/>
    <mergeCell ref="M158:M158"/>
    <mergeCell ref="N158:N158"/>
    <mergeCell ref="O158:O158"/>
    <mergeCell ref="P158:P158"/>
    <mergeCell ref="Q158:Q158"/>
    <mergeCell ref="R158:R158"/>
    <mergeCell ref="S158:S158"/>
    <mergeCell ref="X158:X158"/>
    <mergeCell ref="Y158:Y158"/>
    <mergeCell ref="Z158:Z158"/>
    <mergeCell ref="AA158:AA158"/>
    <mergeCell ref="AB158:AB158"/>
    <mergeCell ref="AC158:AC158"/>
    <mergeCell ref="AD158:AD158"/>
    <mergeCell ref="AE158:AE158"/>
    <mergeCell ref="AF158:AF158"/>
    <mergeCell ref="A159:A159"/>
    <mergeCell ref="B159:B159"/>
    <mergeCell ref="C159:C159"/>
    <mergeCell ref="F159:F159"/>
    <mergeCell ref="G159:G159"/>
    <mergeCell ref="H159:H159"/>
    <mergeCell ref="M159:M159"/>
    <mergeCell ref="N159:N159"/>
    <mergeCell ref="O159:O159"/>
    <mergeCell ref="P159:P159"/>
    <mergeCell ref="Q159:Q159"/>
    <mergeCell ref="R159:R159"/>
    <mergeCell ref="S159:S159"/>
    <mergeCell ref="X159:X159"/>
    <mergeCell ref="Y159:Y159"/>
    <mergeCell ref="Z159:Z159"/>
    <mergeCell ref="AA159:AA159"/>
    <mergeCell ref="AB159:AB159"/>
    <mergeCell ref="AC159:AC159"/>
    <mergeCell ref="AD159:AD159"/>
    <mergeCell ref="AE159:AE159"/>
    <mergeCell ref="AF159:AF159"/>
    <mergeCell ref="A160:A160"/>
    <mergeCell ref="B160:B160"/>
    <mergeCell ref="C160:C160"/>
    <mergeCell ref="F160:F160"/>
    <mergeCell ref="G160:G160"/>
    <mergeCell ref="H160:H160"/>
    <mergeCell ref="M160:M160"/>
    <mergeCell ref="N160:N160"/>
    <mergeCell ref="O160:O160"/>
    <mergeCell ref="P160:P160"/>
    <mergeCell ref="Q160:Q160"/>
    <mergeCell ref="R160:R160"/>
    <mergeCell ref="S160:S160"/>
    <mergeCell ref="X160:X160"/>
    <mergeCell ref="Y160:Y160"/>
    <mergeCell ref="Z160:Z160"/>
    <mergeCell ref="AA160:AA160"/>
    <mergeCell ref="AB160:AB160"/>
    <mergeCell ref="AC160:AC160"/>
    <mergeCell ref="AD160:AD160"/>
    <mergeCell ref="AE160:AE160"/>
    <mergeCell ref="AF160:AF160"/>
    <mergeCell ref="A161:A161"/>
    <mergeCell ref="B161:B161"/>
    <mergeCell ref="C161:C161"/>
    <mergeCell ref="F161:F161"/>
    <mergeCell ref="G161:G161"/>
    <mergeCell ref="H161:H161"/>
    <mergeCell ref="M161:M161"/>
    <mergeCell ref="N161:N161"/>
    <mergeCell ref="O161:O161"/>
    <mergeCell ref="P161:P161"/>
    <mergeCell ref="Q161:Q161"/>
    <mergeCell ref="R161:R161"/>
    <mergeCell ref="S161:S161"/>
    <mergeCell ref="X161:X161"/>
    <mergeCell ref="Y161:Y161"/>
    <mergeCell ref="Z161:Z161"/>
    <mergeCell ref="AA161:AA161"/>
    <mergeCell ref="AB161:AB161"/>
    <mergeCell ref="AC161:AC161"/>
    <mergeCell ref="AD161:AD161"/>
    <mergeCell ref="AE161:AE161"/>
    <mergeCell ref="AF161:AF161"/>
    <mergeCell ref="A162:A162"/>
    <mergeCell ref="B162:B162"/>
    <mergeCell ref="C162:C162"/>
    <mergeCell ref="F162:F162"/>
    <mergeCell ref="G162:G162"/>
    <mergeCell ref="H162:H162"/>
    <mergeCell ref="M162:M162"/>
    <mergeCell ref="N162:N162"/>
    <mergeCell ref="O162:O162"/>
    <mergeCell ref="P162:P162"/>
    <mergeCell ref="Q162:Q162"/>
    <mergeCell ref="R162:R162"/>
    <mergeCell ref="S162:S162"/>
    <mergeCell ref="X162:X162"/>
    <mergeCell ref="Y162:Y162"/>
    <mergeCell ref="Z162:Z162"/>
    <mergeCell ref="AA162:AA162"/>
    <mergeCell ref="AB162:AB162"/>
    <mergeCell ref="AC162:AC162"/>
    <mergeCell ref="AD162:AD162"/>
    <mergeCell ref="AE162:AE162"/>
    <mergeCell ref="AF162:AF162"/>
    <mergeCell ref="A163:A163"/>
    <mergeCell ref="B163:B163"/>
    <mergeCell ref="C163:C163"/>
    <mergeCell ref="F163:F163"/>
    <mergeCell ref="G163:G163"/>
    <mergeCell ref="H163:H163"/>
    <mergeCell ref="M163:M163"/>
    <mergeCell ref="N163:N163"/>
    <mergeCell ref="O163:O163"/>
    <mergeCell ref="P163:P163"/>
    <mergeCell ref="Q163:Q163"/>
    <mergeCell ref="R163:R163"/>
    <mergeCell ref="S163:S163"/>
    <mergeCell ref="X163:X163"/>
    <mergeCell ref="Y163:Y163"/>
    <mergeCell ref="Z163:Z163"/>
    <mergeCell ref="AA163:AA163"/>
    <mergeCell ref="AB163:AB163"/>
    <mergeCell ref="AC163:AC163"/>
    <mergeCell ref="AD163:AD163"/>
    <mergeCell ref="AE163:AE163"/>
    <mergeCell ref="AF163:AF163"/>
    <mergeCell ref="A164:A164"/>
    <mergeCell ref="B164:B164"/>
    <mergeCell ref="C164:C164"/>
    <mergeCell ref="F164:F164"/>
    <mergeCell ref="G164:G164"/>
    <mergeCell ref="H164:H164"/>
    <mergeCell ref="M164:M164"/>
    <mergeCell ref="N164:N164"/>
    <mergeCell ref="O164:O164"/>
    <mergeCell ref="P164:P164"/>
    <mergeCell ref="Q164:Q164"/>
    <mergeCell ref="R164:R164"/>
    <mergeCell ref="S164:S164"/>
    <mergeCell ref="X164:X164"/>
    <mergeCell ref="Y164:Y164"/>
    <mergeCell ref="Z164:Z164"/>
    <mergeCell ref="AA164:AA164"/>
    <mergeCell ref="AB164:AB164"/>
    <mergeCell ref="AC164:AC164"/>
    <mergeCell ref="AD164:AD164"/>
    <mergeCell ref="AE164:AE164"/>
    <mergeCell ref="AF164:AF164"/>
    <mergeCell ref="A165:A165"/>
    <mergeCell ref="B165:B165"/>
    <mergeCell ref="C165:C165"/>
    <mergeCell ref="F165:F165"/>
    <mergeCell ref="G165:G165"/>
    <mergeCell ref="H165:H165"/>
    <mergeCell ref="M165:M165"/>
    <mergeCell ref="N165:N165"/>
    <mergeCell ref="O165:O165"/>
    <mergeCell ref="P165:P165"/>
    <mergeCell ref="Q165:Q165"/>
    <mergeCell ref="R165:R165"/>
    <mergeCell ref="S165:S165"/>
    <mergeCell ref="X165:X165"/>
    <mergeCell ref="Y165:Y165"/>
    <mergeCell ref="Z165:Z165"/>
    <mergeCell ref="AA165:AA165"/>
    <mergeCell ref="AB165:AB165"/>
    <mergeCell ref="AC165:AC165"/>
    <mergeCell ref="AD165:AD165"/>
    <mergeCell ref="AE165:AE165"/>
    <mergeCell ref="AF165:AF165"/>
    <mergeCell ref="A166:A166"/>
    <mergeCell ref="B166:B166"/>
    <mergeCell ref="C166:C166"/>
    <mergeCell ref="F166:F166"/>
    <mergeCell ref="G166:G166"/>
    <mergeCell ref="H166:H166"/>
    <mergeCell ref="M166:M166"/>
    <mergeCell ref="N166:N166"/>
    <mergeCell ref="O166:O166"/>
    <mergeCell ref="P166:P166"/>
    <mergeCell ref="Q166:Q166"/>
    <mergeCell ref="R166:R166"/>
    <mergeCell ref="S166:S166"/>
    <mergeCell ref="X166:X166"/>
    <mergeCell ref="Y166:Y166"/>
    <mergeCell ref="Z166:Z166"/>
    <mergeCell ref="AA166:AA166"/>
    <mergeCell ref="AB166:AB166"/>
    <mergeCell ref="AC166:AC166"/>
    <mergeCell ref="AD166:AD166"/>
    <mergeCell ref="AE166:AE166"/>
    <mergeCell ref="AF166:AF166"/>
    <mergeCell ref="A167:A167"/>
    <mergeCell ref="B167:B167"/>
    <mergeCell ref="C167:C167"/>
    <mergeCell ref="F167:F167"/>
    <mergeCell ref="G167:G167"/>
    <mergeCell ref="H167:H167"/>
    <mergeCell ref="M167:M167"/>
    <mergeCell ref="N167:N167"/>
    <mergeCell ref="O167:O167"/>
    <mergeCell ref="P167:P167"/>
    <mergeCell ref="Q167:Q167"/>
    <mergeCell ref="R167:R167"/>
    <mergeCell ref="S167:S167"/>
    <mergeCell ref="X167:X167"/>
    <mergeCell ref="Y167:Y167"/>
    <mergeCell ref="Z167:Z167"/>
    <mergeCell ref="AA167:AA167"/>
    <mergeCell ref="AB167:AB167"/>
    <mergeCell ref="AC167:AC167"/>
    <mergeCell ref="AD167:AD167"/>
    <mergeCell ref="AE167:AE167"/>
    <mergeCell ref="AF167:AF167"/>
    <mergeCell ref="A168:A168"/>
    <mergeCell ref="B168:B168"/>
    <mergeCell ref="C168:C168"/>
    <mergeCell ref="F168:F168"/>
    <mergeCell ref="G168:G168"/>
    <mergeCell ref="H168:H168"/>
    <mergeCell ref="M168:M168"/>
    <mergeCell ref="N168:N168"/>
    <mergeCell ref="O168:O168"/>
    <mergeCell ref="P168:P168"/>
    <mergeCell ref="Q168:Q168"/>
    <mergeCell ref="R168:R168"/>
    <mergeCell ref="S168:S168"/>
    <mergeCell ref="X168:X168"/>
    <mergeCell ref="Y168:Y168"/>
    <mergeCell ref="Z168:Z168"/>
    <mergeCell ref="AA168:AA168"/>
    <mergeCell ref="AB168:AB168"/>
    <mergeCell ref="AC168:AC168"/>
    <mergeCell ref="AD168:AD168"/>
    <mergeCell ref="AE168:AE168"/>
    <mergeCell ref="AF168:AF168"/>
    <mergeCell ref="A169:A169"/>
    <mergeCell ref="B169:B169"/>
    <mergeCell ref="C169:C169"/>
    <mergeCell ref="F169:F169"/>
    <mergeCell ref="G169:G169"/>
    <mergeCell ref="H169:H169"/>
    <mergeCell ref="M169:M169"/>
    <mergeCell ref="N169:N169"/>
    <mergeCell ref="O169:O169"/>
    <mergeCell ref="P169:P169"/>
    <mergeCell ref="Q169:Q169"/>
    <mergeCell ref="R169:R169"/>
    <mergeCell ref="S169:S169"/>
    <mergeCell ref="X169:X169"/>
    <mergeCell ref="Y169:Y169"/>
    <mergeCell ref="Z169:Z169"/>
    <mergeCell ref="AA169:AA169"/>
    <mergeCell ref="AB169:AB169"/>
    <mergeCell ref="AC169:AC169"/>
    <mergeCell ref="AD169:AD169"/>
    <mergeCell ref="AE169:AE169"/>
    <mergeCell ref="AF169:AF169"/>
    <mergeCell ref="A170:A170"/>
    <mergeCell ref="B170:B170"/>
    <mergeCell ref="C170:C170"/>
    <mergeCell ref="F170:F170"/>
    <mergeCell ref="G170:G170"/>
    <mergeCell ref="H170:H170"/>
    <mergeCell ref="M170:M170"/>
    <mergeCell ref="N170:N170"/>
    <mergeCell ref="O170:O170"/>
    <mergeCell ref="P170:P170"/>
    <mergeCell ref="Q170:Q170"/>
    <mergeCell ref="R170:R170"/>
    <mergeCell ref="S170:S170"/>
    <mergeCell ref="X170:X170"/>
    <mergeCell ref="Y170:Y170"/>
    <mergeCell ref="Z170:Z170"/>
    <mergeCell ref="AA170:AA170"/>
    <mergeCell ref="AB170:AB170"/>
    <mergeCell ref="AC170:AC170"/>
    <mergeCell ref="AD170:AD170"/>
    <mergeCell ref="AE170:AE170"/>
    <mergeCell ref="AF170:AF170"/>
    <mergeCell ref="A171:A171"/>
    <mergeCell ref="B171:B171"/>
    <mergeCell ref="C171:C171"/>
    <mergeCell ref="F171:F171"/>
    <mergeCell ref="G171:G171"/>
    <mergeCell ref="H171:H171"/>
    <mergeCell ref="M171:M171"/>
    <mergeCell ref="N171:N171"/>
    <mergeCell ref="O171:O171"/>
    <mergeCell ref="P171:P171"/>
    <mergeCell ref="Q171:Q171"/>
    <mergeCell ref="R171:R171"/>
    <mergeCell ref="S171:S171"/>
    <mergeCell ref="X171:X171"/>
    <mergeCell ref="Y171:Y171"/>
    <mergeCell ref="Z171:Z171"/>
    <mergeCell ref="AA171:AA171"/>
    <mergeCell ref="AB171:AB171"/>
    <mergeCell ref="AC171:AC171"/>
    <mergeCell ref="AD171:AD171"/>
    <mergeCell ref="AE171:AE171"/>
    <mergeCell ref="AF171:AF171"/>
    <mergeCell ref="A172:A172"/>
    <mergeCell ref="B172:B172"/>
    <mergeCell ref="C172:C172"/>
    <mergeCell ref="F172:F172"/>
    <mergeCell ref="G172:G172"/>
    <mergeCell ref="H172:H172"/>
    <mergeCell ref="M172:M172"/>
    <mergeCell ref="N172:N172"/>
    <mergeCell ref="O172:O172"/>
    <mergeCell ref="P172:P172"/>
    <mergeCell ref="Q172:Q172"/>
    <mergeCell ref="R172:R172"/>
    <mergeCell ref="S172:S172"/>
    <mergeCell ref="X172:X172"/>
    <mergeCell ref="Y172:Y172"/>
    <mergeCell ref="Z172:Z172"/>
    <mergeCell ref="AA172:AA172"/>
    <mergeCell ref="AB172:AB172"/>
    <mergeCell ref="AC172:AC172"/>
    <mergeCell ref="AD172:AD172"/>
    <mergeCell ref="AE172:AE172"/>
    <mergeCell ref="AF172:AF172"/>
    <mergeCell ref="A173:A173"/>
    <mergeCell ref="B173:B173"/>
    <mergeCell ref="C173:C173"/>
    <mergeCell ref="F173:F173"/>
    <mergeCell ref="G173:G173"/>
    <mergeCell ref="H173:H173"/>
    <mergeCell ref="M173:M173"/>
    <mergeCell ref="N173:N173"/>
    <mergeCell ref="O173:O173"/>
    <mergeCell ref="P173:P173"/>
    <mergeCell ref="Q173:Q173"/>
    <mergeCell ref="R173:R173"/>
    <mergeCell ref="S173:S173"/>
    <mergeCell ref="X173:X173"/>
    <mergeCell ref="Y173:Y173"/>
    <mergeCell ref="Z173:Z173"/>
    <mergeCell ref="AA173:AA173"/>
    <mergeCell ref="AB173:AB173"/>
    <mergeCell ref="AC173:AC173"/>
    <mergeCell ref="AD173:AD173"/>
    <mergeCell ref="AE173:AE173"/>
    <mergeCell ref="AF173:AF173"/>
    <mergeCell ref="A174:A174"/>
    <mergeCell ref="B174:B174"/>
    <mergeCell ref="C174:C174"/>
    <mergeCell ref="F174:F174"/>
    <mergeCell ref="G174:G174"/>
    <mergeCell ref="H174:H174"/>
    <mergeCell ref="M174:M174"/>
    <mergeCell ref="N174:N174"/>
    <mergeCell ref="O174:O174"/>
    <mergeCell ref="P174:P174"/>
    <mergeCell ref="Q174:Q174"/>
    <mergeCell ref="R174:R174"/>
    <mergeCell ref="S174:S174"/>
    <mergeCell ref="X174:X174"/>
    <mergeCell ref="Y174:Y174"/>
    <mergeCell ref="Z174:Z174"/>
    <mergeCell ref="AA174:AA174"/>
    <mergeCell ref="AB174:AB174"/>
    <mergeCell ref="AC174:AC174"/>
    <mergeCell ref="AD174:AD174"/>
    <mergeCell ref="AE174:AE174"/>
    <mergeCell ref="AF174:AF174"/>
    <mergeCell ref="A175:A175"/>
    <mergeCell ref="B175:B175"/>
    <mergeCell ref="C175:C175"/>
    <mergeCell ref="F175:F175"/>
    <mergeCell ref="G175:G175"/>
    <mergeCell ref="H175:H175"/>
    <mergeCell ref="M175:M175"/>
    <mergeCell ref="N175:N175"/>
    <mergeCell ref="O175:O175"/>
    <mergeCell ref="P175:P175"/>
    <mergeCell ref="Q175:Q175"/>
    <mergeCell ref="R175:R175"/>
    <mergeCell ref="S175:S175"/>
    <mergeCell ref="X175:X175"/>
    <mergeCell ref="Y175:Y175"/>
    <mergeCell ref="Z175:Z175"/>
    <mergeCell ref="AA175:AA175"/>
    <mergeCell ref="AB175:AB175"/>
    <mergeCell ref="AC175:AC175"/>
    <mergeCell ref="AD175:AD175"/>
    <mergeCell ref="AE175:AE175"/>
    <mergeCell ref="AF175:AF175"/>
    <mergeCell ref="A176:A176"/>
    <mergeCell ref="B176:B176"/>
    <mergeCell ref="C176:C176"/>
    <mergeCell ref="F176:F176"/>
    <mergeCell ref="G176:G176"/>
    <mergeCell ref="H176:H176"/>
    <mergeCell ref="M176:M176"/>
    <mergeCell ref="N176:N176"/>
    <mergeCell ref="O176:O176"/>
    <mergeCell ref="P176:P176"/>
    <mergeCell ref="Q176:Q176"/>
    <mergeCell ref="R176:R176"/>
    <mergeCell ref="S176:S176"/>
    <mergeCell ref="X176:X176"/>
    <mergeCell ref="Y176:Y176"/>
    <mergeCell ref="Z176:Z176"/>
    <mergeCell ref="AA176:AA176"/>
    <mergeCell ref="AB176:AB176"/>
    <mergeCell ref="AC176:AC176"/>
    <mergeCell ref="AD176:AD176"/>
    <mergeCell ref="AE176:AE176"/>
    <mergeCell ref="AF176:AF176"/>
    <mergeCell ref="A177:A177"/>
    <mergeCell ref="B177:B177"/>
    <mergeCell ref="C177:C177"/>
    <mergeCell ref="F177:F177"/>
    <mergeCell ref="G177:G177"/>
    <mergeCell ref="H177:H177"/>
    <mergeCell ref="M177:M177"/>
    <mergeCell ref="N177:N177"/>
    <mergeCell ref="O177:O177"/>
    <mergeCell ref="P177:P177"/>
    <mergeCell ref="Q177:Q177"/>
    <mergeCell ref="R177:R177"/>
    <mergeCell ref="S177:S177"/>
    <mergeCell ref="X177:X177"/>
    <mergeCell ref="Y177:Y177"/>
    <mergeCell ref="Z177:Z177"/>
    <mergeCell ref="AA177:AA177"/>
    <mergeCell ref="AB177:AB177"/>
    <mergeCell ref="AC177:AC177"/>
    <mergeCell ref="AD177:AD177"/>
    <mergeCell ref="AE177:AE177"/>
    <mergeCell ref="AF177:AF177"/>
    <mergeCell ref="A178:A178"/>
    <mergeCell ref="B178:B178"/>
    <mergeCell ref="C178:C178"/>
    <mergeCell ref="F178:F178"/>
    <mergeCell ref="G178:G178"/>
    <mergeCell ref="H178:H178"/>
    <mergeCell ref="M178:M178"/>
    <mergeCell ref="N178:N178"/>
    <mergeCell ref="O178:O178"/>
    <mergeCell ref="P178:P178"/>
    <mergeCell ref="Q178:Q178"/>
    <mergeCell ref="R178:R178"/>
    <mergeCell ref="S178:S178"/>
    <mergeCell ref="X178:X178"/>
    <mergeCell ref="Y178:Y178"/>
    <mergeCell ref="Z178:Z178"/>
    <mergeCell ref="AA178:AA178"/>
    <mergeCell ref="AB178:AB178"/>
    <mergeCell ref="AC178:AC178"/>
    <mergeCell ref="AD178:AD178"/>
    <mergeCell ref="AE178:AE178"/>
    <mergeCell ref="AF178:AF178"/>
    <mergeCell ref="A179:A179"/>
    <mergeCell ref="B179:B179"/>
    <mergeCell ref="C179:C179"/>
    <mergeCell ref="F179:F179"/>
    <mergeCell ref="G179:G179"/>
    <mergeCell ref="H179:H179"/>
    <mergeCell ref="M179:M179"/>
    <mergeCell ref="N179:N179"/>
    <mergeCell ref="O179:O179"/>
    <mergeCell ref="P179:P179"/>
    <mergeCell ref="Q179:Q179"/>
    <mergeCell ref="R179:R179"/>
    <mergeCell ref="S179:S179"/>
    <mergeCell ref="X179:X179"/>
    <mergeCell ref="Y179:Y179"/>
    <mergeCell ref="Z179:Z179"/>
    <mergeCell ref="AA179:AA179"/>
    <mergeCell ref="AB179:AB179"/>
    <mergeCell ref="AC179:AC179"/>
    <mergeCell ref="AD179:AD179"/>
    <mergeCell ref="AE179:AE179"/>
    <mergeCell ref="AF179:AF179"/>
    <mergeCell ref="A180:A180"/>
    <mergeCell ref="B180:B180"/>
    <mergeCell ref="C180:C180"/>
    <mergeCell ref="F180:F180"/>
    <mergeCell ref="G180:G180"/>
    <mergeCell ref="H180:H180"/>
    <mergeCell ref="M180:M180"/>
    <mergeCell ref="N180:N180"/>
    <mergeCell ref="O180:O180"/>
    <mergeCell ref="P180:P180"/>
    <mergeCell ref="Q180:Q180"/>
    <mergeCell ref="R180:R180"/>
    <mergeCell ref="S180:S180"/>
    <mergeCell ref="X180:X180"/>
    <mergeCell ref="Y180:Y180"/>
    <mergeCell ref="Z180:Z180"/>
    <mergeCell ref="AA180:AA180"/>
    <mergeCell ref="AB180:AB180"/>
    <mergeCell ref="AC180:AC180"/>
    <mergeCell ref="AD180:AD180"/>
    <mergeCell ref="AE180:AE180"/>
    <mergeCell ref="AF180:AF180"/>
    <mergeCell ref="A181:A181"/>
    <mergeCell ref="B181:B181"/>
    <mergeCell ref="C181:C181"/>
    <mergeCell ref="F181:F181"/>
    <mergeCell ref="G181:G181"/>
    <mergeCell ref="H181:H181"/>
    <mergeCell ref="M181:M181"/>
    <mergeCell ref="N181:N181"/>
    <mergeCell ref="O181:O181"/>
    <mergeCell ref="P181:P181"/>
    <mergeCell ref="Q181:Q181"/>
    <mergeCell ref="R181:R181"/>
    <mergeCell ref="S181:S181"/>
    <mergeCell ref="X181:X181"/>
    <mergeCell ref="Y181:Y181"/>
    <mergeCell ref="Z181:Z181"/>
    <mergeCell ref="AA181:AA181"/>
    <mergeCell ref="AB181:AB181"/>
    <mergeCell ref="AC181:AC181"/>
    <mergeCell ref="AD181:AD181"/>
    <mergeCell ref="AE181:AE181"/>
    <mergeCell ref="AF181:AF181"/>
    <mergeCell ref="A182:A182"/>
    <mergeCell ref="B182:B182"/>
    <mergeCell ref="C182:C182"/>
    <mergeCell ref="F182:F182"/>
    <mergeCell ref="G182:G182"/>
    <mergeCell ref="H182:H182"/>
    <mergeCell ref="M182:M182"/>
    <mergeCell ref="N182:N182"/>
    <mergeCell ref="O182:O182"/>
    <mergeCell ref="P182:P182"/>
    <mergeCell ref="Q182:Q182"/>
    <mergeCell ref="R182:R182"/>
    <mergeCell ref="S182:S182"/>
    <mergeCell ref="X182:X182"/>
    <mergeCell ref="Y182:Y182"/>
    <mergeCell ref="Z182:Z182"/>
    <mergeCell ref="AA182:AA182"/>
    <mergeCell ref="AB182:AB182"/>
    <mergeCell ref="AC182:AC182"/>
    <mergeCell ref="AD182:AD182"/>
    <mergeCell ref="AE182:AE182"/>
    <mergeCell ref="AF182:AF182"/>
    <mergeCell ref="A183:A183"/>
    <mergeCell ref="B183:B183"/>
    <mergeCell ref="C183:C183"/>
    <mergeCell ref="F183:F183"/>
    <mergeCell ref="G183:G183"/>
    <mergeCell ref="H183:H183"/>
    <mergeCell ref="M183:M183"/>
    <mergeCell ref="N183:N183"/>
    <mergeCell ref="O183:O183"/>
    <mergeCell ref="P183:P183"/>
    <mergeCell ref="Q183:Q183"/>
    <mergeCell ref="R183:R183"/>
    <mergeCell ref="S183:S183"/>
    <mergeCell ref="X183:X183"/>
    <mergeCell ref="Y183:Y183"/>
    <mergeCell ref="Z183:Z183"/>
    <mergeCell ref="AA183:AA183"/>
    <mergeCell ref="AB183:AB183"/>
    <mergeCell ref="AC183:AC183"/>
    <mergeCell ref="AD183:AD183"/>
    <mergeCell ref="AE183:AE183"/>
    <mergeCell ref="AF183:AF183"/>
    <mergeCell ref="A184:A184"/>
    <mergeCell ref="B184:B184"/>
    <mergeCell ref="C184:C184"/>
    <mergeCell ref="F184:F184"/>
    <mergeCell ref="G184:G184"/>
    <mergeCell ref="H184:H184"/>
    <mergeCell ref="M184:M184"/>
    <mergeCell ref="N184:N184"/>
    <mergeCell ref="O184:O184"/>
    <mergeCell ref="P184:P184"/>
    <mergeCell ref="Q184:Q184"/>
    <mergeCell ref="R184:R184"/>
    <mergeCell ref="S184:S184"/>
    <mergeCell ref="X184:X184"/>
    <mergeCell ref="Y184:Y184"/>
    <mergeCell ref="Z184:Z184"/>
    <mergeCell ref="AA184:AA184"/>
    <mergeCell ref="AB184:AB184"/>
    <mergeCell ref="AC184:AC184"/>
    <mergeCell ref="AD184:AD184"/>
    <mergeCell ref="AE184:AE184"/>
    <mergeCell ref="AF184:AF184"/>
    <mergeCell ref="A185:A185"/>
    <mergeCell ref="B185:B185"/>
    <mergeCell ref="C185:C185"/>
    <mergeCell ref="F185:F185"/>
    <mergeCell ref="G185:G185"/>
    <mergeCell ref="H185:H185"/>
    <mergeCell ref="M185:M185"/>
    <mergeCell ref="N185:N185"/>
    <mergeCell ref="O185:O185"/>
    <mergeCell ref="P185:P185"/>
    <mergeCell ref="Q185:Q185"/>
    <mergeCell ref="R185:R185"/>
    <mergeCell ref="S185:S185"/>
    <mergeCell ref="X185:X185"/>
    <mergeCell ref="Y185:Y185"/>
    <mergeCell ref="Z185:Z185"/>
    <mergeCell ref="AA185:AA185"/>
    <mergeCell ref="AB185:AB185"/>
    <mergeCell ref="AC185:AC185"/>
    <mergeCell ref="AD185:AD185"/>
    <mergeCell ref="AE185:AE185"/>
    <mergeCell ref="AF185:AF185"/>
    <mergeCell ref="A186:A186"/>
    <mergeCell ref="B186:B186"/>
    <mergeCell ref="C186:C186"/>
    <mergeCell ref="F186:F186"/>
    <mergeCell ref="G186:G186"/>
    <mergeCell ref="H186:H186"/>
    <mergeCell ref="M186:M186"/>
    <mergeCell ref="N186:N186"/>
    <mergeCell ref="O186:O186"/>
    <mergeCell ref="P186:P186"/>
    <mergeCell ref="Q186:Q186"/>
    <mergeCell ref="R186:R186"/>
    <mergeCell ref="S186:S186"/>
    <mergeCell ref="X186:X186"/>
    <mergeCell ref="Y186:Y186"/>
    <mergeCell ref="Z186:Z186"/>
    <mergeCell ref="AA186:AA186"/>
    <mergeCell ref="AB186:AB186"/>
    <mergeCell ref="AC186:AC186"/>
    <mergeCell ref="AD186:AD186"/>
    <mergeCell ref="AE186:AE186"/>
    <mergeCell ref="AF186:AF186"/>
    <mergeCell ref="A187:A187"/>
    <mergeCell ref="B187:B187"/>
    <mergeCell ref="C187:C187"/>
    <mergeCell ref="F187:F187"/>
    <mergeCell ref="G187:G187"/>
    <mergeCell ref="H187:H187"/>
    <mergeCell ref="M187:M187"/>
    <mergeCell ref="N187:N187"/>
    <mergeCell ref="O187:O187"/>
    <mergeCell ref="P187:P187"/>
    <mergeCell ref="Q187:Q187"/>
    <mergeCell ref="R187:R187"/>
    <mergeCell ref="S187:S187"/>
    <mergeCell ref="X187:X187"/>
    <mergeCell ref="Y187:Y187"/>
    <mergeCell ref="Z187:Z187"/>
    <mergeCell ref="AA187:AA187"/>
    <mergeCell ref="AB187:AB187"/>
    <mergeCell ref="AC187:AC187"/>
    <mergeCell ref="AD187:AD187"/>
    <mergeCell ref="AE187:AE187"/>
    <mergeCell ref="AF187:AF187"/>
    <mergeCell ref="A188:A188"/>
    <mergeCell ref="B188:B188"/>
    <mergeCell ref="C188:C188"/>
    <mergeCell ref="F188:F188"/>
    <mergeCell ref="G188:G188"/>
    <mergeCell ref="H188:H188"/>
    <mergeCell ref="M188:M188"/>
    <mergeCell ref="N188:N188"/>
    <mergeCell ref="O188:O188"/>
    <mergeCell ref="P188:P188"/>
    <mergeCell ref="Q188:Q188"/>
    <mergeCell ref="R188:R188"/>
    <mergeCell ref="S188:S188"/>
    <mergeCell ref="X188:X188"/>
    <mergeCell ref="Y188:Y188"/>
    <mergeCell ref="Z188:Z188"/>
    <mergeCell ref="AA188:AA188"/>
    <mergeCell ref="AB188:AB188"/>
    <mergeCell ref="AC188:AC188"/>
    <mergeCell ref="AD188:AD188"/>
    <mergeCell ref="AE188:AE188"/>
    <mergeCell ref="AF188:AF188"/>
    <mergeCell ref="A189:A189"/>
    <mergeCell ref="B189:B189"/>
    <mergeCell ref="C189:C189"/>
    <mergeCell ref="F189:F189"/>
    <mergeCell ref="G189:G189"/>
    <mergeCell ref="H189:H189"/>
    <mergeCell ref="M189:M189"/>
    <mergeCell ref="N189:N189"/>
    <mergeCell ref="O189:O189"/>
    <mergeCell ref="P189:P189"/>
    <mergeCell ref="Q189:Q189"/>
    <mergeCell ref="R189:R189"/>
    <mergeCell ref="S189:S189"/>
    <mergeCell ref="X189:X189"/>
    <mergeCell ref="Y189:Y189"/>
    <mergeCell ref="Z189:Z189"/>
    <mergeCell ref="AA189:AA189"/>
    <mergeCell ref="AB189:AB189"/>
    <mergeCell ref="AC189:AC189"/>
    <mergeCell ref="AD189:AD189"/>
    <mergeCell ref="AE189:AE189"/>
    <mergeCell ref="AF189:AF189"/>
    <mergeCell ref="A190:A190"/>
    <mergeCell ref="B190:B190"/>
    <mergeCell ref="C190:C190"/>
    <mergeCell ref="F190:F190"/>
    <mergeCell ref="G190:G190"/>
    <mergeCell ref="H190:H190"/>
    <mergeCell ref="M190:M190"/>
    <mergeCell ref="N190:N190"/>
    <mergeCell ref="O190:O190"/>
    <mergeCell ref="P190:P190"/>
    <mergeCell ref="Q190:Q190"/>
    <mergeCell ref="R190:R190"/>
    <mergeCell ref="S190:S190"/>
    <mergeCell ref="X190:X190"/>
    <mergeCell ref="Y190:Y190"/>
    <mergeCell ref="Z190:Z190"/>
    <mergeCell ref="AA190:AA190"/>
    <mergeCell ref="AB190:AB190"/>
    <mergeCell ref="AC190:AC190"/>
    <mergeCell ref="AD190:AD190"/>
    <mergeCell ref="AE190:AE190"/>
    <mergeCell ref="AF190:AF190"/>
    <mergeCell ref="A191:A191"/>
    <mergeCell ref="B191:B191"/>
    <mergeCell ref="C191:C191"/>
    <mergeCell ref="F191:F191"/>
    <mergeCell ref="G191:G191"/>
    <mergeCell ref="H191:H191"/>
    <mergeCell ref="M191:M191"/>
    <mergeCell ref="N191:N191"/>
    <mergeCell ref="O191:O191"/>
    <mergeCell ref="P191:P191"/>
    <mergeCell ref="Q191:Q191"/>
    <mergeCell ref="R191:R191"/>
    <mergeCell ref="S191:S191"/>
    <mergeCell ref="X191:X191"/>
    <mergeCell ref="Y191:Y191"/>
    <mergeCell ref="Z191:Z191"/>
    <mergeCell ref="AA191:AA191"/>
    <mergeCell ref="AB191:AB191"/>
    <mergeCell ref="AC191:AC191"/>
    <mergeCell ref="AD191:AD191"/>
    <mergeCell ref="AE191:AE191"/>
    <mergeCell ref="AF191:AF191"/>
    <mergeCell ref="A192:A192"/>
    <mergeCell ref="B192:B192"/>
    <mergeCell ref="C192:C192"/>
    <mergeCell ref="F192:F192"/>
    <mergeCell ref="G192:G192"/>
    <mergeCell ref="H192:H192"/>
    <mergeCell ref="M192:M192"/>
    <mergeCell ref="N192:N192"/>
    <mergeCell ref="O192:O192"/>
    <mergeCell ref="P192:P192"/>
    <mergeCell ref="Q192:Q192"/>
    <mergeCell ref="R192:R192"/>
    <mergeCell ref="S192:S192"/>
    <mergeCell ref="X192:X192"/>
    <mergeCell ref="Y192:Y192"/>
    <mergeCell ref="Z192:Z192"/>
    <mergeCell ref="AA192:AA192"/>
    <mergeCell ref="AB192:AB192"/>
    <mergeCell ref="AC192:AC192"/>
    <mergeCell ref="AD192:AD192"/>
    <mergeCell ref="AE192:AE192"/>
    <mergeCell ref="AF192:AF192"/>
    <mergeCell ref="A193:A193"/>
    <mergeCell ref="B193:B193"/>
    <mergeCell ref="C193:C193"/>
    <mergeCell ref="F193:F193"/>
    <mergeCell ref="G193:G193"/>
    <mergeCell ref="H193:H193"/>
    <mergeCell ref="M193:M193"/>
    <mergeCell ref="N193:N193"/>
    <mergeCell ref="O193:O193"/>
    <mergeCell ref="P193:P193"/>
    <mergeCell ref="Q193:Q193"/>
    <mergeCell ref="R193:R193"/>
    <mergeCell ref="S193:S193"/>
    <mergeCell ref="X193:X193"/>
    <mergeCell ref="Y193:Y193"/>
    <mergeCell ref="Z193:Z193"/>
    <mergeCell ref="AA193:AA193"/>
    <mergeCell ref="AB193:AB193"/>
    <mergeCell ref="AC193:AC193"/>
    <mergeCell ref="AD193:AD193"/>
    <mergeCell ref="AE193:AE193"/>
    <mergeCell ref="AF193:AF193"/>
    <mergeCell ref="A194:A194"/>
    <mergeCell ref="B194:B194"/>
    <mergeCell ref="C194:C194"/>
    <mergeCell ref="F194:F194"/>
    <mergeCell ref="G194:G194"/>
    <mergeCell ref="H194:H194"/>
    <mergeCell ref="M194:M194"/>
    <mergeCell ref="N194:N194"/>
    <mergeCell ref="O194:O194"/>
    <mergeCell ref="P194:P194"/>
    <mergeCell ref="Q194:Q194"/>
    <mergeCell ref="R194:R194"/>
    <mergeCell ref="S194:S194"/>
    <mergeCell ref="X194:X194"/>
    <mergeCell ref="Y194:Y194"/>
    <mergeCell ref="Z194:Z194"/>
    <mergeCell ref="AA194:AA194"/>
    <mergeCell ref="AB194:AB194"/>
    <mergeCell ref="AC194:AC194"/>
    <mergeCell ref="AD194:AD194"/>
    <mergeCell ref="AE194:AE194"/>
    <mergeCell ref="AF194:AF194"/>
    <mergeCell ref="A195:A195"/>
    <mergeCell ref="B195:B195"/>
    <mergeCell ref="C195:C195"/>
    <mergeCell ref="F195:F195"/>
    <mergeCell ref="G195:G195"/>
    <mergeCell ref="H195:H195"/>
    <mergeCell ref="M195:M195"/>
    <mergeCell ref="N195:N195"/>
    <mergeCell ref="O195:O195"/>
    <mergeCell ref="P195:P195"/>
    <mergeCell ref="Q195:Q195"/>
    <mergeCell ref="R195:R195"/>
    <mergeCell ref="S195:S195"/>
    <mergeCell ref="X195:X195"/>
    <mergeCell ref="Y195:Y195"/>
    <mergeCell ref="Z195:Z195"/>
    <mergeCell ref="AA195:AA195"/>
    <mergeCell ref="AB195:AB195"/>
    <mergeCell ref="AC195:AC195"/>
    <mergeCell ref="AD195:AD195"/>
    <mergeCell ref="AE195:AE195"/>
    <mergeCell ref="AF195:AF195"/>
    <mergeCell ref="A196:A196"/>
    <mergeCell ref="B196:B196"/>
    <mergeCell ref="C196:C196"/>
    <mergeCell ref="F196:F196"/>
    <mergeCell ref="G196:G196"/>
    <mergeCell ref="H196:H196"/>
    <mergeCell ref="M196:M196"/>
    <mergeCell ref="N196:N196"/>
    <mergeCell ref="O196:O196"/>
    <mergeCell ref="P196:P196"/>
    <mergeCell ref="Q196:Q196"/>
    <mergeCell ref="R196:R196"/>
    <mergeCell ref="S196:S196"/>
    <mergeCell ref="X196:X196"/>
    <mergeCell ref="Y196:Y196"/>
    <mergeCell ref="Z196:Z196"/>
    <mergeCell ref="AA196:AA196"/>
    <mergeCell ref="AB196:AB196"/>
    <mergeCell ref="AC196:AC196"/>
    <mergeCell ref="AD196:AD196"/>
    <mergeCell ref="AE196:AE196"/>
    <mergeCell ref="AF196:AF196"/>
    <mergeCell ref="A197:A197"/>
    <mergeCell ref="B197:B197"/>
    <mergeCell ref="C197:C197"/>
    <mergeCell ref="F197:F197"/>
    <mergeCell ref="G197:G197"/>
    <mergeCell ref="H197:H197"/>
    <mergeCell ref="M197:M197"/>
    <mergeCell ref="N197:N197"/>
    <mergeCell ref="O197:O197"/>
    <mergeCell ref="P197:P197"/>
    <mergeCell ref="Q197:Q197"/>
    <mergeCell ref="R197:R197"/>
    <mergeCell ref="S197:S197"/>
    <mergeCell ref="X197:X197"/>
    <mergeCell ref="Y197:Y197"/>
    <mergeCell ref="Z197:Z197"/>
    <mergeCell ref="AA197:AA197"/>
    <mergeCell ref="AB197:AB197"/>
    <mergeCell ref="AC197:AC197"/>
    <mergeCell ref="AD197:AD197"/>
    <mergeCell ref="AE197:AE197"/>
    <mergeCell ref="AF197:AF197"/>
    <mergeCell ref="A198:A198"/>
    <mergeCell ref="B198:B198"/>
    <mergeCell ref="C198:C198"/>
    <mergeCell ref="F198:F198"/>
    <mergeCell ref="G198:G198"/>
    <mergeCell ref="H198:H198"/>
    <mergeCell ref="M198:M198"/>
    <mergeCell ref="N198:N198"/>
    <mergeCell ref="O198:O198"/>
    <mergeCell ref="P198:P198"/>
    <mergeCell ref="Q198:Q198"/>
    <mergeCell ref="R198:R198"/>
    <mergeCell ref="S198:S198"/>
    <mergeCell ref="X198:X198"/>
    <mergeCell ref="Y198:Y198"/>
    <mergeCell ref="Z198:Z198"/>
    <mergeCell ref="AA198:AA198"/>
    <mergeCell ref="AB198:AB198"/>
    <mergeCell ref="AC198:AC198"/>
    <mergeCell ref="AD198:AD198"/>
    <mergeCell ref="AE198:AE198"/>
    <mergeCell ref="AF198:AF198"/>
    <mergeCell ref="A199:A199"/>
    <mergeCell ref="B199:B199"/>
    <mergeCell ref="C199:C199"/>
    <mergeCell ref="F199:F199"/>
    <mergeCell ref="G199:G199"/>
    <mergeCell ref="H199:H199"/>
    <mergeCell ref="M199:M199"/>
    <mergeCell ref="N199:N199"/>
    <mergeCell ref="O199:O199"/>
    <mergeCell ref="P199:P199"/>
    <mergeCell ref="Q199:Q199"/>
    <mergeCell ref="R199:R199"/>
    <mergeCell ref="S199:S199"/>
    <mergeCell ref="X199:X199"/>
    <mergeCell ref="Y199:Y199"/>
    <mergeCell ref="Z199:Z199"/>
    <mergeCell ref="AA199:AA199"/>
    <mergeCell ref="AB199:AB199"/>
    <mergeCell ref="AC199:AC199"/>
    <mergeCell ref="AD199:AD199"/>
    <mergeCell ref="AE199:AE199"/>
    <mergeCell ref="AF199:AF199"/>
    <mergeCell ref="A200:A200"/>
    <mergeCell ref="B200:B200"/>
    <mergeCell ref="C200:C200"/>
    <mergeCell ref="F200:F200"/>
    <mergeCell ref="G200:G200"/>
    <mergeCell ref="H200:H200"/>
    <mergeCell ref="M200:M200"/>
    <mergeCell ref="N200:N200"/>
    <mergeCell ref="O200:O200"/>
    <mergeCell ref="P200:P200"/>
    <mergeCell ref="Q200:Q200"/>
    <mergeCell ref="R200:R200"/>
    <mergeCell ref="S200:S200"/>
    <mergeCell ref="X200:X200"/>
    <mergeCell ref="Y200:Y200"/>
    <mergeCell ref="Z200:Z200"/>
    <mergeCell ref="AA200:AA200"/>
    <mergeCell ref="AB200:AB200"/>
    <mergeCell ref="AC200:AC200"/>
    <mergeCell ref="AD200:AD200"/>
    <mergeCell ref="AE200:AE200"/>
    <mergeCell ref="AF200:AF200"/>
    <mergeCell ref="A201:A201"/>
    <mergeCell ref="B201:B201"/>
    <mergeCell ref="C201:C201"/>
    <mergeCell ref="F201:F201"/>
    <mergeCell ref="G201:G201"/>
    <mergeCell ref="H201:H201"/>
    <mergeCell ref="M201:M201"/>
    <mergeCell ref="N201:N201"/>
    <mergeCell ref="O201:O201"/>
    <mergeCell ref="P201:P201"/>
    <mergeCell ref="Q201:Q201"/>
    <mergeCell ref="R201:R201"/>
    <mergeCell ref="S201:S201"/>
    <mergeCell ref="X201:X201"/>
    <mergeCell ref="Y201:Y201"/>
    <mergeCell ref="Z201:Z201"/>
    <mergeCell ref="AA201:AA201"/>
    <mergeCell ref="AB201:AB201"/>
    <mergeCell ref="AC201:AC201"/>
    <mergeCell ref="AD201:AD201"/>
    <mergeCell ref="AE201:AE201"/>
    <mergeCell ref="AF201:AF201"/>
    <mergeCell ref="A202:A202"/>
    <mergeCell ref="B202:B202"/>
    <mergeCell ref="C202:C202"/>
    <mergeCell ref="F202:F202"/>
    <mergeCell ref="G202:G202"/>
    <mergeCell ref="H202:H202"/>
    <mergeCell ref="M202:M202"/>
    <mergeCell ref="N202:N202"/>
    <mergeCell ref="O202:O202"/>
    <mergeCell ref="P202:P202"/>
    <mergeCell ref="Q202:Q202"/>
    <mergeCell ref="R202:R202"/>
    <mergeCell ref="S202:S202"/>
    <mergeCell ref="X202:X202"/>
    <mergeCell ref="Y202:Y202"/>
    <mergeCell ref="Z202:Z202"/>
    <mergeCell ref="AA202:AA202"/>
    <mergeCell ref="AB202:AB202"/>
    <mergeCell ref="AC202:AC202"/>
    <mergeCell ref="AD202:AD202"/>
    <mergeCell ref="AE202:AE202"/>
    <mergeCell ref="AF202:AF202"/>
    <mergeCell ref="A203:A203"/>
    <mergeCell ref="B203:B203"/>
    <mergeCell ref="C203:C203"/>
    <mergeCell ref="F203:F203"/>
    <mergeCell ref="G203:G203"/>
    <mergeCell ref="H203:H203"/>
    <mergeCell ref="M203:M203"/>
    <mergeCell ref="N203:N203"/>
    <mergeCell ref="O203:O203"/>
    <mergeCell ref="P203:P203"/>
    <mergeCell ref="Q203:Q203"/>
    <mergeCell ref="R203:R203"/>
    <mergeCell ref="S203:S203"/>
    <mergeCell ref="X203:X203"/>
    <mergeCell ref="Y203:Y203"/>
    <mergeCell ref="Z203:Z203"/>
    <mergeCell ref="AA203:AA203"/>
    <mergeCell ref="AB203:AB203"/>
    <mergeCell ref="AC203:AC203"/>
    <mergeCell ref="AD203:AD203"/>
    <mergeCell ref="AE203:AE203"/>
    <mergeCell ref="AF203:AF203"/>
    <mergeCell ref="A204:A204"/>
    <mergeCell ref="B204:B204"/>
    <mergeCell ref="C204:C204"/>
    <mergeCell ref="F204:F204"/>
    <mergeCell ref="G204:G204"/>
    <mergeCell ref="H204:H204"/>
    <mergeCell ref="M204:M204"/>
    <mergeCell ref="N204:N204"/>
    <mergeCell ref="O204:O204"/>
    <mergeCell ref="P204:P204"/>
    <mergeCell ref="Q204:Q204"/>
    <mergeCell ref="R204:R204"/>
    <mergeCell ref="S204:S204"/>
    <mergeCell ref="X204:X204"/>
    <mergeCell ref="Y204:Y204"/>
    <mergeCell ref="Z204:Z204"/>
    <mergeCell ref="AA204:AA204"/>
    <mergeCell ref="AB204:AB204"/>
    <mergeCell ref="AC204:AC204"/>
    <mergeCell ref="AD204:AD204"/>
    <mergeCell ref="AE204:AE204"/>
    <mergeCell ref="AF204:AF204"/>
    <mergeCell ref="A205:A205"/>
    <mergeCell ref="B205:B205"/>
    <mergeCell ref="C205:C205"/>
    <mergeCell ref="F205:F205"/>
    <mergeCell ref="G205:G205"/>
    <mergeCell ref="H205:H205"/>
    <mergeCell ref="M205:M205"/>
    <mergeCell ref="N205:N205"/>
    <mergeCell ref="O205:O205"/>
    <mergeCell ref="P205:P205"/>
    <mergeCell ref="Q205:Q205"/>
    <mergeCell ref="R205:R205"/>
    <mergeCell ref="S205:S205"/>
    <mergeCell ref="X205:X205"/>
    <mergeCell ref="Y205:Y205"/>
    <mergeCell ref="Z205:Z205"/>
    <mergeCell ref="AA205:AA205"/>
    <mergeCell ref="AB205:AB205"/>
    <mergeCell ref="AC205:AC205"/>
    <mergeCell ref="AD205:AD205"/>
    <mergeCell ref="AE205:AE205"/>
    <mergeCell ref="AF205:AF205"/>
    <mergeCell ref="A206:A206"/>
    <mergeCell ref="B206:B206"/>
    <mergeCell ref="C206:C206"/>
    <mergeCell ref="F206:F206"/>
    <mergeCell ref="G206:G206"/>
    <mergeCell ref="H206:H206"/>
    <mergeCell ref="M206:M206"/>
    <mergeCell ref="N206:N206"/>
    <mergeCell ref="O206:O206"/>
    <mergeCell ref="P206:P206"/>
    <mergeCell ref="Q206:Q206"/>
    <mergeCell ref="R206:R206"/>
    <mergeCell ref="S206:S206"/>
    <mergeCell ref="X206:X206"/>
    <mergeCell ref="Y206:Y206"/>
    <mergeCell ref="Z206:Z206"/>
    <mergeCell ref="AA206:AA206"/>
    <mergeCell ref="AB206:AB206"/>
    <mergeCell ref="AC206:AC206"/>
    <mergeCell ref="AD206:AD206"/>
    <mergeCell ref="AE206:AE206"/>
    <mergeCell ref="AF206:AF206"/>
    <mergeCell ref="A207:A207"/>
    <mergeCell ref="B207:B207"/>
    <mergeCell ref="C207:C207"/>
    <mergeCell ref="F207:F207"/>
    <mergeCell ref="G207:G207"/>
    <mergeCell ref="H207:H207"/>
    <mergeCell ref="M207:M207"/>
    <mergeCell ref="N207:N207"/>
    <mergeCell ref="O207:O207"/>
    <mergeCell ref="P207:P207"/>
    <mergeCell ref="Q207:Q207"/>
    <mergeCell ref="R207:R207"/>
    <mergeCell ref="S207:S207"/>
    <mergeCell ref="X207:X207"/>
    <mergeCell ref="Y207:Y207"/>
    <mergeCell ref="Z207:Z207"/>
    <mergeCell ref="AA207:AA207"/>
    <mergeCell ref="AB207:AB207"/>
    <mergeCell ref="AC207:AC207"/>
    <mergeCell ref="AD207:AD207"/>
    <mergeCell ref="AE207:AE207"/>
    <mergeCell ref="AF207:AF207"/>
    <mergeCell ref="A208:A208"/>
    <mergeCell ref="B208:B208"/>
    <mergeCell ref="C208:C208"/>
    <mergeCell ref="F208:F208"/>
    <mergeCell ref="G208:G208"/>
    <mergeCell ref="H208:H208"/>
    <mergeCell ref="M208:M208"/>
    <mergeCell ref="N208:N208"/>
    <mergeCell ref="O208:O208"/>
    <mergeCell ref="P208:P208"/>
    <mergeCell ref="Q208:Q208"/>
    <mergeCell ref="R208:R208"/>
    <mergeCell ref="S208:S208"/>
    <mergeCell ref="X208:X208"/>
    <mergeCell ref="Y208:Y208"/>
    <mergeCell ref="Z208:Z208"/>
    <mergeCell ref="AA208:AA208"/>
    <mergeCell ref="AB208:AB208"/>
    <mergeCell ref="AC208:AC208"/>
    <mergeCell ref="AD208:AD208"/>
    <mergeCell ref="AE208:AE208"/>
    <mergeCell ref="AF208:AF208"/>
    <mergeCell ref="A209:A209"/>
    <mergeCell ref="B209:B209"/>
    <mergeCell ref="C209:C209"/>
    <mergeCell ref="F209:F209"/>
    <mergeCell ref="G209:G209"/>
    <mergeCell ref="H209:H209"/>
    <mergeCell ref="M209:M209"/>
    <mergeCell ref="N209:N209"/>
    <mergeCell ref="O209:O209"/>
    <mergeCell ref="P209:P209"/>
    <mergeCell ref="Q209:Q209"/>
    <mergeCell ref="R209:R209"/>
    <mergeCell ref="S209:S209"/>
    <mergeCell ref="X209:X209"/>
    <mergeCell ref="Y209:Y209"/>
    <mergeCell ref="Z209:Z209"/>
    <mergeCell ref="AA209:AA209"/>
    <mergeCell ref="AB209:AB209"/>
    <mergeCell ref="AC209:AC209"/>
    <mergeCell ref="AD209:AD209"/>
    <mergeCell ref="AE209:AE209"/>
    <mergeCell ref="AF209:AF209"/>
    <mergeCell ref="A210:A210"/>
    <mergeCell ref="B210:B210"/>
    <mergeCell ref="C210:C210"/>
    <mergeCell ref="F210:F210"/>
    <mergeCell ref="G210:G210"/>
    <mergeCell ref="H210:H210"/>
    <mergeCell ref="M210:M210"/>
    <mergeCell ref="N210:N210"/>
    <mergeCell ref="O210:O210"/>
    <mergeCell ref="P210:P210"/>
    <mergeCell ref="Q210:Q210"/>
    <mergeCell ref="R210:R210"/>
    <mergeCell ref="S210:S210"/>
    <mergeCell ref="X210:X210"/>
    <mergeCell ref="Y210:Y210"/>
    <mergeCell ref="Z210:Z210"/>
    <mergeCell ref="AA210:AA210"/>
    <mergeCell ref="AB210:AB210"/>
    <mergeCell ref="AC210:AC210"/>
    <mergeCell ref="AD210:AD210"/>
    <mergeCell ref="AE210:AE210"/>
    <mergeCell ref="AF210:AF210"/>
    <mergeCell ref="A211:A211"/>
    <mergeCell ref="B211:B211"/>
    <mergeCell ref="C211:C211"/>
    <mergeCell ref="F211:F211"/>
    <mergeCell ref="G211:G211"/>
    <mergeCell ref="H211:H211"/>
    <mergeCell ref="M211:M211"/>
    <mergeCell ref="N211:N211"/>
    <mergeCell ref="O211:O211"/>
    <mergeCell ref="P211:P211"/>
    <mergeCell ref="Q211:Q211"/>
    <mergeCell ref="R211:R211"/>
    <mergeCell ref="S211:S211"/>
    <mergeCell ref="X211:X211"/>
    <mergeCell ref="Y211:Y211"/>
    <mergeCell ref="Z211:Z211"/>
    <mergeCell ref="AA211:AA211"/>
    <mergeCell ref="AB211:AB211"/>
    <mergeCell ref="AC211:AC211"/>
    <mergeCell ref="AD211:AD211"/>
    <mergeCell ref="AE211:AE211"/>
    <mergeCell ref="AF211:AF211"/>
    <mergeCell ref="A212:A212"/>
    <mergeCell ref="B212:B212"/>
    <mergeCell ref="C212:C212"/>
    <mergeCell ref="F212:F212"/>
    <mergeCell ref="G212:G212"/>
    <mergeCell ref="H212:H212"/>
    <mergeCell ref="M212:M212"/>
    <mergeCell ref="N212:N212"/>
    <mergeCell ref="O212:O212"/>
    <mergeCell ref="P212:P212"/>
    <mergeCell ref="Q212:Q212"/>
    <mergeCell ref="R212:R212"/>
    <mergeCell ref="S212:S212"/>
    <mergeCell ref="X212:X212"/>
    <mergeCell ref="Y212:Y212"/>
    <mergeCell ref="Z212:Z212"/>
    <mergeCell ref="AA212:AA212"/>
    <mergeCell ref="AB212:AB212"/>
    <mergeCell ref="AC212:AC212"/>
    <mergeCell ref="AD212:AD212"/>
    <mergeCell ref="AE212:AE212"/>
    <mergeCell ref="AF212:AF212"/>
    <mergeCell ref="A213:A213"/>
    <mergeCell ref="B213:B213"/>
    <mergeCell ref="C213:C213"/>
    <mergeCell ref="F213:F213"/>
    <mergeCell ref="G213:G213"/>
    <mergeCell ref="H213:H213"/>
    <mergeCell ref="M213:M213"/>
    <mergeCell ref="N213:N213"/>
    <mergeCell ref="O213:O213"/>
    <mergeCell ref="P213:P213"/>
    <mergeCell ref="Q213:Q213"/>
    <mergeCell ref="R213:R213"/>
    <mergeCell ref="S213:S213"/>
    <mergeCell ref="X213:X213"/>
    <mergeCell ref="Y213:Y213"/>
    <mergeCell ref="Z213:Z213"/>
    <mergeCell ref="AA213:AA213"/>
    <mergeCell ref="AB213:AB213"/>
    <mergeCell ref="AC213:AC213"/>
    <mergeCell ref="AD213:AD213"/>
    <mergeCell ref="AE213:AE213"/>
    <mergeCell ref="AF213:AF213"/>
    <mergeCell ref="A214:A214"/>
    <mergeCell ref="B214:B214"/>
    <mergeCell ref="C214:C214"/>
    <mergeCell ref="F214:F214"/>
    <mergeCell ref="G214:G214"/>
    <mergeCell ref="H214:H214"/>
    <mergeCell ref="M214:M214"/>
    <mergeCell ref="N214:N214"/>
    <mergeCell ref="O214:O214"/>
    <mergeCell ref="P214:P214"/>
    <mergeCell ref="Q214:Q214"/>
    <mergeCell ref="R214:R214"/>
    <mergeCell ref="S214:S214"/>
    <mergeCell ref="X214:X214"/>
    <mergeCell ref="Y214:Y214"/>
    <mergeCell ref="Z214:Z214"/>
    <mergeCell ref="AA214:AA214"/>
    <mergeCell ref="AB214:AB214"/>
    <mergeCell ref="AC214:AC214"/>
    <mergeCell ref="AD214:AD214"/>
    <mergeCell ref="AE214:AE214"/>
    <mergeCell ref="AF214:AF214"/>
    <mergeCell ref="A215:A215"/>
    <mergeCell ref="B215:B215"/>
    <mergeCell ref="C215:C215"/>
    <mergeCell ref="F215:F215"/>
    <mergeCell ref="G215:G215"/>
    <mergeCell ref="H215:H215"/>
    <mergeCell ref="M215:M215"/>
    <mergeCell ref="N215:N215"/>
    <mergeCell ref="O215:O215"/>
    <mergeCell ref="P215:P215"/>
    <mergeCell ref="Q215:Q215"/>
    <mergeCell ref="R215:R215"/>
    <mergeCell ref="S215:S215"/>
    <mergeCell ref="X215:X215"/>
    <mergeCell ref="Y215:Y215"/>
    <mergeCell ref="Z215:Z215"/>
    <mergeCell ref="AA215:AA215"/>
    <mergeCell ref="AB215:AB215"/>
    <mergeCell ref="AC215:AC215"/>
    <mergeCell ref="AD215:AD215"/>
    <mergeCell ref="AE215:AE215"/>
    <mergeCell ref="AF215:AF215"/>
    <mergeCell ref="A216:A216"/>
    <mergeCell ref="B216:B216"/>
    <mergeCell ref="C216:C216"/>
    <mergeCell ref="F216:F216"/>
    <mergeCell ref="G216:G216"/>
    <mergeCell ref="H216:H216"/>
    <mergeCell ref="M216:M216"/>
    <mergeCell ref="N216:N216"/>
    <mergeCell ref="O216:O216"/>
    <mergeCell ref="P216:P216"/>
    <mergeCell ref="Q216:Q216"/>
    <mergeCell ref="R216:R216"/>
    <mergeCell ref="S216:S216"/>
    <mergeCell ref="X216:X216"/>
    <mergeCell ref="Y216:Y216"/>
    <mergeCell ref="Z216:Z216"/>
    <mergeCell ref="AA216:AA216"/>
    <mergeCell ref="AB216:AB216"/>
    <mergeCell ref="AC216:AC216"/>
    <mergeCell ref="AD216:AD216"/>
    <mergeCell ref="AE216:AE216"/>
    <mergeCell ref="AF216:AF216"/>
    <mergeCell ref="A217:A217"/>
    <mergeCell ref="B217:B217"/>
    <mergeCell ref="C217:C217"/>
    <mergeCell ref="F217:F217"/>
    <mergeCell ref="G217:G217"/>
    <mergeCell ref="H217:H217"/>
    <mergeCell ref="M217:M217"/>
    <mergeCell ref="N217:N217"/>
    <mergeCell ref="O217:O217"/>
    <mergeCell ref="P217:P217"/>
    <mergeCell ref="Q217:Q217"/>
    <mergeCell ref="R217:R217"/>
    <mergeCell ref="S217:S217"/>
    <mergeCell ref="X217:X217"/>
    <mergeCell ref="Y217:Y217"/>
    <mergeCell ref="Z217:Z217"/>
    <mergeCell ref="AA217:AA217"/>
    <mergeCell ref="AB217:AB217"/>
    <mergeCell ref="AC217:AC217"/>
    <mergeCell ref="AD217:AD217"/>
    <mergeCell ref="AE217:AE217"/>
    <mergeCell ref="AF217:AF217"/>
    <mergeCell ref="A218:A218"/>
    <mergeCell ref="B218:B218"/>
    <mergeCell ref="C218:C218"/>
    <mergeCell ref="F218:F218"/>
    <mergeCell ref="G218:G218"/>
    <mergeCell ref="H218:H218"/>
    <mergeCell ref="M218:M218"/>
    <mergeCell ref="N218:N218"/>
    <mergeCell ref="O218:O218"/>
    <mergeCell ref="P218:P218"/>
    <mergeCell ref="Q218:Q218"/>
    <mergeCell ref="R218:R218"/>
    <mergeCell ref="S218:S218"/>
    <mergeCell ref="X218:X218"/>
    <mergeCell ref="Y218:Y218"/>
    <mergeCell ref="Z218:Z218"/>
    <mergeCell ref="AA218:AA218"/>
    <mergeCell ref="AB218:AB218"/>
    <mergeCell ref="AC218:AC218"/>
    <mergeCell ref="AD218:AD218"/>
    <mergeCell ref="AE218:AE218"/>
    <mergeCell ref="AF218:AF218"/>
    <mergeCell ref="A219:A219"/>
    <mergeCell ref="B219:B219"/>
    <mergeCell ref="C219:C219"/>
    <mergeCell ref="F219:F219"/>
    <mergeCell ref="G219:G219"/>
    <mergeCell ref="H219:H219"/>
    <mergeCell ref="M219:M219"/>
    <mergeCell ref="N219:N219"/>
    <mergeCell ref="O219:O219"/>
    <mergeCell ref="P219:P219"/>
    <mergeCell ref="Q219:Q219"/>
    <mergeCell ref="R219:R219"/>
    <mergeCell ref="S219:S219"/>
    <mergeCell ref="X219:X219"/>
    <mergeCell ref="Y219:Y219"/>
    <mergeCell ref="Z219:Z219"/>
    <mergeCell ref="AA219:AA219"/>
    <mergeCell ref="AB219:AB219"/>
    <mergeCell ref="AC219:AC219"/>
    <mergeCell ref="AD219:AD219"/>
    <mergeCell ref="AE219:AE219"/>
    <mergeCell ref="AF219:AF219"/>
    <mergeCell ref="A220:A220"/>
    <mergeCell ref="B220:B220"/>
    <mergeCell ref="C220:C220"/>
    <mergeCell ref="F220:F220"/>
    <mergeCell ref="G220:G220"/>
    <mergeCell ref="H220:H220"/>
    <mergeCell ref="M220:M220"/>
    <mergeCell ref="N220:N220"/>
    <mergeCell ref="O220:O220"/>
    <mergeCell ref="P220:P220"/>
    <mergeCell ref="Q220:Q220"/>
    <mergeCell ref="R220:R220"/>
    <mergeCell ref="S220:S220"/>
    <mergeCell ref="X220:X220"/>
    <mergeCell ref="Y220:Y220"/>
    <mergeCell ref="Z220:Z220"/>
    <mergeCell ref="AA220:AA220"/>
    <mergeCell ref="AB220:AB220"/>
    <mergeCell ref="AC220:AC220"/>
    <mergeCell ref="AD220:AD220"/>
    <mergeCell ref="AE220:AE220"/>
    <mergeCell ref="AF220:AF220"/>
    <mergeCell ref="A221:A221"/>
    <mergeCell ref="B221:B221"/>
    <mergeCell ref="C221:C221"/>
    <mergeCell ref="F221:F221"/>
    <mergeCell ref="G221:G221"/>
    <mergeCell ref="H221:H221"/>
    <mergeCell ref="M221:M221"/>
    <mergeCell ref="N221:N221"/>
    <mergeCell ref="O221:O221"/>
    <mergeCell ref="P221:P221"/>
    <mergeCell ref="Q221:Q221"/>
    <mergeCell ref="R221:R221"/>
    <mergeCell ref="S221:S221"/>
    <mergeCell ref="X221:X221"/>
    <mergeCell ref="Y221:Y221"/>
    <mergeCell ref="Z221:Z221"/>
    <mergeCell ref="AA221:AA221"/>
    <mergeCell ref="AB221:AB221"/>
    <mergeCell ref="AC221:AC221"/>
    <mergeCell ref="AD221:AD221"/>
    <mergeCell ref="AE221:AE221"/>
    <mergeCell ref="AF221:AF221"/>
    <mergeCell ref="A222:A222"/>
    <mergeCell ref="B222:B222"/>
    <mergeCell ref="C222:C222"/>
    <mergeCell ref="F222:F222"/>
    <mergeCell ref="G222:G222"/>
    <mergeCell ref="H222:H222"/>
    <mergeCell ref="M222:M222"/>
    <mergeCell ref="N222:N222"/>
    <mergeCell ref="O222:O222"/>
    <mergeCell ref="P222:P222"/>
    <mergeCell ref="Q222:Q222"/>
    <mergeCell ref="R222:R222"/>
    <mergeCell ref="S222:S222"/>
    <mergeCell ref="X222:X222"/>
    <mergeCell ref="Y222:Y222"/>
    <mergeCell ref="Z222:Z222"/>
    <mergeCell ref="AA222:AA222"/>
    <mergeCell ref="AB222:AB222"/>
    <mergeCell ref="AC222:AC222"/>
    <mergeCell ref="AD222:AD222"/>
    <mergeCell ref="AE222:AE222"/>
    <mergeCell ref="AF222:AF222"/>
    <mergeCell ref="A223:A223"/>
    <mergeCell ref="B223:B223"/>
    <mergeCell ref="C223:C223"/>
    <mergeCell ref="F223:F223"/>
    <mergeCell ref="G223:G223"/>
    <mergeCell ref="H223:H223"/>
    <mergeCell ref="M223:M223"/>
    <mergeCell ref="N223:N223"/>
    <mergeCell ref="O223:O223"/>
    <mergeCell ref="P223:P223"/>
    <mergeCell ref="Q223:Q223"/>
    <mergeCell ref="R223:R223"/>
    <mergeCell ref="S223:S223"/>
    <mergeCell ref="X223:X223"/>
    <mergeCell ref="Y223:Y223"/>
    <mergeCell ref="Z223:Z223"/>
    <mergeCell ref="AA223:AA223"/>
    <mergeCell ref="AB223:AB223"/>
    <mergeCell ref="AC223:AC223"/>
    <mergeCell ref="AD223:AD223"/>
    <mergeCell ref="AE223:AE223"/>
    <mergeCell ref="AF223:AF223"/>
    <mergeCell ref="A224:A224"/>
    <mergeCell ref="B224:B224"/>
    <mergeCell ref="C224:C224"/>
    <mergeCell ref="F224:F224"/>
    <mergeCell ref="G224:G224"/>
    <mergeCell ref="H224:H224"/>
    <mergeCell ref="M224:M224"/>
    <mergeCell ref="N224:N224"/>
    <mergeCell ref="O224:O224"/>
    <mergeCell ref="P224:P224"/>
    <mergeCell ref="Q224:Q224"/>
    <mergeCell ref="R224:R224"/>
    <mergeCell ref="S224:S224"/>
    <mergeCell ref="X224:X224"/>
    <mergeCell ref="Y224:Y224"/>
    <mergeCell ref="Z224:Z224"/>
    <mergeCell ref="AA224:AA224"/>
    <mergeCell ref="AB224:AB224"/>
    <mergeCell ref="AC224:AC224"/>
    <mergeCell ref="AD224:AD224"/>
    <mergeCell ref="AE224:AE224"/>
    <mergeCell ref="AF224:AF224"/>
    <mergeCell ref="A225:A225"/>
    <mergeCell ref="B225:B225"/>
    <mergeCell ref="C225:C225"/>
    <mergeCell ref="F225:F225"/>
    <mergeCell ref="G225:G225"/>
    <mergeCell ref="H225:H225"/>
    <mergeCell ref="M225:M225"/>
    <mergeCell ref="N225:N225"/>
    <mergeCell ref="O225:O225"/>
    <mergeCell ref="P225:P225"/>
    <mergeCell ref="Q225:Q225"/>
    <mergeCell ref="R225:R225"/>
    <mergeCell ref="S225:S225"/>
    <mergeCell ref="X225:X225"/>
    <mergeCell ref="Y225:Y225"/>
    <mergeCell ref="Z225:Z225"/>
    <mergeCell ref="AA225:AA225"/>
    <mergeCell ref="AB225:AB225"/>
    <mergeCell ref="AC225:AC225"/>
    <mergeCell ref="AD225:AD225"/>
    <mergeCell ref="AE225:AE225"/>
    <mergeCell ref="AF225:AF225"/>
    <mergeCell ref="A226:A226"/>
    <mergeCell ref="B226:B226"/>
    <mergeCell ref="C226:C226"/>
    <mergeCell ref="F226:F226"/>
    <mergeCell ref="G226:G226"/>
    <mergeCell ref="H226:H226"/>
    <mergeCell ref="M226:M226"/>
    <mergeCell ref="N226:N226"/>
    <mergeCell ref="O226:O226"/>
    <mergeCell ref="P226:P226"/>
    <mergeCell ref="Q226:Q226"/>
    <mergeCell ref="R226:R226"/>
    <mergeCell ref="S226:S226"/>
    <mergeCell ref="X226:X226"/>
    <mergeCell ref="Y226:Y226"/>
    <mergeCell ref="Z226:Z226"/>
    <mergeCell ref="AA226:AA226"/>
    <mergeCell ref="AB226:AB226"/>
    <mergeCell ref="AC226:AC226"/>
    <mergeCell ref="AD226:AD226"/>
    <mergeCell ref="AE226:AE226"/>
    <mergeCell ref="AF226:AF226"/>
    <mergeCell ref="A227:A227"/>
    <mergeCell ref="B227:B227"/>
    <mergeCell ref="C227:C227"/>
    <mergeCell ref="F227:F227"/>
    <mergeCell ref="G227:G227"/>
    <mergeCell ref="H227:H227"/>
    <mergeCell ref="M227:M227"/>
    <mergeCell ref="N227:N227"/>
    <mergeCell ref="O227:O227"/>
    <mergeCell ref="P227:P227"/>
    <mergeCell ref="Q227:Q227"/>
    <mergeCell ref="R227:R227"/>
    <mergeCell ref="S227:S227"/>
    <mergeCell ref="X227:X227"/>
    <mergeCell ref="Y227:Y227"/>
    <mergeCell ref="Z227:Z227"/>
    <mergeCell ref="AA227:AA227"/>
    <mergeCell ref="AB227:AB227"/>
    <mergeCell ref="AC227:AC227"/>
    <mergeCell ref="AD227:AD227"/>
    <mergeCell ref="AE227:AE227"/>
    <mergeCell ref="AF227:AF227"/>
    <mergeCell ref="A228:A228"/>
    <mergeCell ref="B228:B228"/>
    <mergeCell ref="C228:C228"/>
    <mergeCell ref="F228:F228"/>
    <mergeCell ref="G228:G228"/>
    <mergeCell ref="H228:H228"/>
    <mergeCell ref="M228:M228"/>
    <mergeCell ref="N228:N228"/>
    <mergeCell ref="O228:O228"/>
    <mergeCell ref="P228:P228"/>
    <mergeCell ref="Q228:Q228"/>
    <mergeCell ref="R228:R228"/>
    <mergeCell ref="S228:S228"/>
    <mergeCell ref="X228:X228"/>
    <mergeCell ref="Y228:Y228"/>
    <mergeCell ref="Z228:Z228"/>
    <mergeCell ref="AA228:AA228"/>
    <mergeCell ref="AB228:AB228"/>
    <mergeCell ref="AC228:AC228"/>
    <mergeCell ref="AD228:AD228"/>
    <mergeCell ref="AE228:AE228"/>
    <mergeCell ref="AF228:AF228"/>
    <mergeCell ref="A229:A229"/>
    <mergeCell ref="B229:B229"/>
    <mergeCell ref="C229:C229"/>
    <mergeCell ref="F229:F229"/>
    <mergeCell ref="G229:G229"/>
    <mergeCell ref="H229:H229"/>
    <mergeCell ref="M229:M229"/>
    <mergeCell ref="N229:N229"/>
    <mergeCell ref="O229:O229"/>
    <mergeCell ref="P229:P229"/>
    <mergeCell ref="Q229:Q229"/>
    <mergeCell ref="R229:R229"/>
    <mergeCell ref="S229:S229"/>
    <mergeCell ref="X229:X229"/>
    <mergeCell ref="Y229:Y229"/>
    <mergeCell ref="Z229:Z229"/>
    <mergeCell ref="AA229:AA229"/>
    <mergeCell ref="AB229:AB229"/>
    <mergeCell ref="AC229:AC229"/>
    <mergeCell ref="AD229:AD229"/>
    <mergeCell ref="AE229:AE229"/>
    <mergeCell ref="AF229:AF229"/>
    <mergeCell ref="A230:A230"/>
    <mergeCell ref="B230:B230"/>
    <mergeCell ref="C230:C230"/>
    <mergeCell ref="F230:F230"/>
    <mergeCell ref="G230:G230"/>
    <mergeCell ref="H230:H230"/>
    <mergeCell ref="M230:M230"/>
    <mergeCell ref="N230:N230"/>
    <mergeCell ref="O230:O230"/>
    <mergeCell ref="P230:P230"/>
    <mergeCell ref="Q230:Q230"/>
    <mergeCell ref="R230:R230"/>
    <mergeCell ref="S230:S230"/>
    <mergeCell ref="X230:X230"/>
    <mergeCell ref="Y230:Y230"/>
    <mergeCell ref="Z230:Z230"/>
    <mergeCell ref="AA230:AA230"/>
    <mergeCell ref="AB230:AB230"/>
    <mergeCell ref="AC230:AC230"/>
    <mergeCell ref="AD230:AD230"/>
    <mergeCell ref="AE230:AE230"/>
    <mergeCell ref="AF230:AF230"/>
    <mergeCell ref="A231:A231"/>
    <mergeCell ref="B231:B231"/>
    <mergeCell ref="C231:C231"/>
    <mergeCell ref="F231:F231"/>
    <mergeCell ref="G231:G231"/>
    <mergeCell ref="H231:H231"/>
    <mergeCell ref="M231:M231"/>
    <mergeCell ref="N231:N231"/>
    <mergeCell ref="O231:O231"/>
    <mergeCell ref="P231:P231"/>
    <mergeCell ref="Q231:Q231"/>
    <mergeCell ref="R231:R231"/>
    <mergeCell ref="S231:S231"/>
    <mergeCell ref="X231:X231"/>
    <mergeCell ref="Y231:Y231"/>
    <mergeCell ref="Z231:Z231"/>
    <mergeCell ref="AA231:AA231"/>
    <mergeCell ref="AB231:AB231"/>
    <mergeCell ref="AC231:AC231"/>
    <mergeCell ref="AD231:AD231"/>
    <mergeCell ref="AE231:AE231"/>
    <mergeCell ref="AF231:AF231"/>
    <mergeCell ref="A232:A232"/>
    <mergeCell ref="B232:B232"/>
    <mergeCell ref="C232:C232"/>
    <mergeCell ref="F232:F232"/>
    <mergeCell ref="G232:G232"/>
    <mergeCell ref="H232:H232"/>
    <mergeCell ref="M232:M232"/>
    <mergeCell ref="N232:N232"/>
    <mergeCell ref="O232:O232"/>
    <mergeCell ref="P232:P232"/>
    <mergeCell ref="Q232:Q232"/>
    <mergeCell ref="R232:R232"/>
    <mergeCell ref="S232:S232"/>
    <mergeCell ref="X232:X232"/>
    <mergeCell ref="Y232:Y232"/>
    <mergeCell ref="Z232:Z232"/>
    <mergeCell ref="AA232:AA232"/>
    <mergeCell ref="AB232:AB232"/>
    <mergeCell ref="AC232:AC232"/>
    <mergeCell ref="AD232:AD232"/>
    <mergeCell ref="AE232:AE232"/>
    <mergeCell ref="AF232:AF232"/>
    <mergeCell ref="A233:A233"/>
    <mergeCell ref="B233:B233"/>
    <mergeCell ref="C233:C233"/>
    <mergeCell ref="F233:F233"/>
    <mergeCell ref="G233:G233"/>
    <mergeCell ref="H233:H233"/>
    <mergeCell ref="M233:M233"/>
    <mergeCell ref="N233:N233"/>
    <mergeCell ref="O233:O233"/>
    <mergeCell ref="P233:P233"/>
    <mergeCell ref="Q233:Q233"/>
    <mergeCell ref="R233:R233"/>
    <mergeCell ref="S233:S233"/>
    <mergeCell ref="X233:X233"/>
    <mergeCell ref="Y233:Y233"/>
    <mergeCell ref="Z233:Z233"/>
    <mergeCell ref="AA233:AA233"/>
    <mergeCell ref="AB233:AB233"/>
    <mergeCell ref="AC233:AC233"/>
    <mergeCell ref="AD233:AD233"/>
    <mergeCell ref="AE233:AE233"/>
    <mergeCell ref="AF233:AF233"/>
    <mergeCell ref="A234:A234"/>
    <mergeCell ref="B234:B234"/>
    <mergeCell ref="C234:C234"/>
    <mergeCell ref="F234:F234"/>
    <mergeCell ref="G234:G234"/>
    <mergeCell ref="H234:H234"/>
    <mergeCell ref="M234:M234"/>
    <mergeCell ref="N234:N234"/>
    <mergeCell ref="O234:O234"/>
    <mergeCell ref="P234:P234"/>
    <mergeCell ref="Q234:Q234"/>
    <mergeCell ref="R234:R234"/>
    <mergeCell ref="S234:S234"/>
    <mergeCell ref="X234:X234"/>
    <mergeCell ref="Y234:Y234"/>
    <mergeCell ref="Z234:Z234"/>
    <mergeCell ref="AA234:AA234"/>
    <mergeCell ref="AB234:AB234"/>
    <mergeCell ref="AC234:AC234"/>
    <mergeCell ref="AD234:AD234"/>
    <mergeCell ref="AE234:AE234"/>
    <mergeCell ref="AF234:AF234"/>
    <mergeCell ref="A235:A235"/>
    <mergeCell ref="B235:B235"/>
    <mergeCell ref="C235:C235"/>
    <mergeCell ref="F235:F235"/>
    <mergeCell ref="G235:G235"/>
    <mergeCell ref="H235:H235"/>
    <mergeCell ref="M235:M235"/>
    <mergeCell ref="N235:N235"/>
    <mergeCell ref="O235:O235"/>
    <mergeCell ref="P235:P235"/>
    <mergeCell ref="Q235:Q235"/>
    <mergeCell ref="R235:R235"/>
    <mergeCell ref="S235:S235"/>
    <mergeCell ref="X235:X235"/>
    <mergeCell ref="Y235:Y235"/>
    <mergeCell ref="Z235:Z235"/>
    <mergeCell ref="AA235:AA235"/>
    <mergeCell ref="AB235:AB235"/>
    <mergeCell ref="AC235:AC235"/>
    <mergeCell ref="AD235:AD235"/>
    <mergeCell ref="AE235:AE235"/>
    <mergeCell ref="AF235:AF235"/>
    <mergeCell ref="A236:A236"/>
    <mergeCell ref="B236:B236"/>
    <mergeCell ref="C236:C236"/>
    <mergeCell ref="F236:F236"/>
    <mergeCell ref="G236:G236"/>
    <mergeCell ref="H236:H236"/>
    <mergeCell ref="M236:M236"/>
    <mergeCell ref="N236:N236"/>
    <mergeCell ref="O236:O236"/>
    <mergeCell ref="P236:P236"/>
    <mergeCell ref="Q236:Q236"/>
    <mergeCell ref="R236:R236"/>
    <mergeCell ref="S236:S236"/>
    <mergeCell ref="X236:X236"/>
    <mergeCell ref="Y236:Y236"/>
    <mergeCell ref="Z236:Z236"/>
    <mergeCell ref="AA236:AA236"/>
    <mergeCell ref="AB236:AB236"/>
    <mergeCell ref="AC236:AC236"/>
    <mergeCell ref="AD236:AD236"/>
    <mergeCell ref="AE236:AE236"/>
    <mergeCell ref="AF236:AF236"/>
    <mergeCell ref="A237:A237"/>
    <mergeCell ref="B237:B237"/>
    <mergeCell ref="C237:C237"/>
    <mergeCell ref="F237:F237"/>
    <mergeCell ref="G237:G237"/>
    <mergeCell ref="H237:H237"/>
    <mergeCell ref="M237:M237"/>
    <mergeCell ref="N237:N237"/>
    <mergeCell ref="O237:O237"/>
    <mergeCell ref="P237:P237"/>
    <mergeCell ref="Q237:Q237"/>
    <mergeCell ref="R237:R237"/>
    <mergeCell ref="S237:S237"/>
    <mergeCell ref="X237:X237"/>
    <mergeCell ref="Y237:Y237"/>
    <mergeCell ref="Z237:Z237"/>
    <mergeCell ref="AA237:AA237"/>
    <mergeCell ref="AB237:AB237"/>
    <mergeCell ref="AC237:AC237"/>
    <mergeCell ref="AD237:AD237"/>
    <mergeCell ref="AE237:AE237"/>
    <mergeCell ref="AF237:AF237"/>
    <mergeCell ref="A238:A238"/>
    <mergeCell ref="B238:B238"/>
    <mergeCell ref="C238:C238"/>
    <mergeCell ref="F238:F238"/>
    <mergeCell ref="G238:G238"/>
    <mergeCell ref="H238:H238"/>
    <mergeCell ref="M238:M238"/>
    <mergeCell ref="N238:N238"/>
    <mergeCell ref="O238:O238"/>
    <mergeCell ref="P238:P238"/>
    <mergeCell ref="Q238:Q238"/>
    <mergeCell ref="R238:R238"/>
    <mergeCell ref="S238:S238"/>
    <mergeCell ref="X238:X238"/>
    <mergeCell ref="Y238:Y238"/>
    <mergeCell ref="Z238:Z238"/>
    <mergeCell ref="AA238:AA238"/>
    <mergeCell ref="AB238:AB238"/>
    <mergeCell ref="AC238:AC238"/>
    <mergeCell ref="AD238:AD238"/>
    <mergeCell ref="AE238:AE238"/>
    <mergeCell ref="AF238:AF238"/>
    <mergeCell ref="A239:A239"/>
    <mergeCell ref="B239:B239"/>
    <mergeCell ref="C239:C239"/>
    <mergeCell ref="F239:F239"/>
    <mergeCell ref="G239:G239"/>
    <mergeCell ref="H239:H239"/>
    <mergeCell ref="M239:M239"/>
    <mergeCell ref="N239:N239"/>
    <mergeCell ref="O239:O239"/>
    <mergeCell ref="P239:P239"/>
    <mergeCell ref="Q239:Q239"/>
    <mergeCell ref="R239:R239"/>
    <mergeCell ref="S239:S239"/>
    <mergeCell ref="X239:X239"/>
    <mergeCell ref="Y239:Y239"/>
    <mergeCell ref="Z239:Z239"/>
    <mergeCell ref="AA239:AA239"/>
    <mergeCell ref="AB239:AB239"/>
    <mergeCell ref="AC239:AC239"/>
    <mergeCell ref="AD239:AD239"/>
    <mergeCell ref="AE239:AE239"/>
    <mergeCell ref="AF239:AF239"/>
    <mergeCell ref="A240:A240"/>
    <mergeCell ref="B240:B240"/>
    <mergeCell ref="C240:C240"/>
    <mergeCell ref="F240:F240"/>
    <mergeCell ref="G240:G240"/>
    <mergeCell ref="H240:H240"/>
    <mergeCell ref="M240:M240"/>
    <mergeCell ref="N240:N240"/>
    <mergeCell ref="O240:O240"/>
    <mergeCell ref="P240:P240"/>
    <mergeCell ref="Q240:Q240"/>
    <mergeCell ref="R240:R240"/>
    <mergeCell ref="S240:S240"/>
    <mergeCell ref="X240:X240"/>
    <mergeCell ref="Y240:Y240"/>
    <mergeCell ref="Z240:Z240"/>
    <mergeCell ref="AA240:AA240"/>
    <mergeCell ref="AB240:AB240"/>
    <mergeCell ref="AC240:AC240"/>
    <mergeCell ref="AD240:AD240"/>
    <mergeCell ref="AE240:AE240"/>
    <mergeCell ref="AF240:AF240"/>
    <mergeCell ref="A241:A241"/>
    <mergeCell ref="B241:B241"/>
    <mergeCell ref="C241:C241"/>
    <mergeCell ref="F241:F241"/>
    <mergeCell ref="G241:G241"/>
    <mergeCell ref="H241:H241"/>
    <mergeCell ref="M241:M241"/>
    <mergeCell ref="N241:N241"/>
    <mergeCell ref="O241:O241"/>
    <mergeCell ref="P241:P241"/>
    <mergeCell ref="Q241:Q241"/>
    <mergeCell ref="R241:R241"/>
    <mergeCell ref="S241:S241"/>
    <mergeCell ref="X241:X241"/>
    <mergeCell ref="Y241:Y241"/>
    <mergeCell ref="Z241:Z241"/>
    <mergeCell ref="AA241:AA241"/>
    <mergeCell ref="AB241:AB241"/>
    <mergeCell ref="AC241:AC241"/>
    <mergeCell ref="AD241:AD241"/>
    <mergeCell ref="AE241:AE241"/>
    <mergeCell ref="AF241:AF241"/>
    <mergeCell ref="A242:A242"/>
    <mergeCell ref="B242:B242"/>
    <mergeCell ref="C242:C242"/>
    <mergeCell ref="F242:F242"/>
    <mergeCell ref="G242:G242"/>
    <mergeCell ref="H242:H242"/>
    <mergeCell ref="M242:M242"/>
    <mergeCell ref="N242:N242"/>
    <mergeCell ref="O242:O242"/>
    <mergeCell ref="P242:P242"/>
    <mergeCell ref="Q242:Q242"/>
    <mergeCell ref="R242:R242"/>
    <mergeCell ref="S242:S242"/>
    <mergeCell ref="X242:X242"/>
    <mergeCell ref="Y242:Y242"/>
    <mergeCell ref="Z242:Z242"/>
    <mergeCell ref="AA242:AA242"/>
    <mergeCell ref="AB242:AB242"/>
    <mergeCell ref="AC242:AC242"/>
    <mergeCell ref="AD242:AD242"/>
    <mergeCell ref="AE242:AE242"/>
    <mergeCell ref="AF242:AF242"/>
    <mergeCell ref="A243:A243"/>
    <mergeCell ref="B243:B243"/>
    <mergeCell ref="C243:C243"/>
    <mergeCell ref="F243:F243"/>
    <mergeCell ref="G243:G243"/>
    <mergeCell ref="H243:H243"/>
    <mergeCell ref="M243:M243"/>
    <mergeCell ref="N243:N243"/>
    <mergeCell ref="O243:O243"/>
    <mergeCell ref="P243:P243"/>
    <mergeCell ref="Q243:Q243"/>
    <mergeCell ref="R243:R243"/>
    <mergeCell ref="S243:S243"/>
    <mergeCell ref="X243:X243"/>
    <mergeCell ref="Y243:Y243"/>
    <mergeCell ref="Z243:Z243"/>
    <mergeCell ref="AA243:AA243"/>
    <mergeCell ref="AB243:AB243"/>
    <mergeCell ref="AC243:AC243"/>
    <mergeCell ref="AD243:AD243"/>
    <mergeCell ref="AE243:AE243"/>
    <mergeCell ref="AF243:AF243"/>
    <mergeCell ref="A244:A244"/>
    <mergeCell ref="B244:B244"/>
    <mergeCell ref="C244:C244"/>
    <mergeCell ref="F244:F244"/>
    <mergeCell ref="G244:G244"/>
    <mergeCell ref="H244:H244"/>
    <mergeCell ref="M244:M244"/>
    <mergeCell ref="N244:N244"/>
    <mergeCell ref="O244:O244"/>
    <mergeCell ref="P244:P244"/>
    <mergeCell ref="Q244:Q244"/>
    <mergeCell ref="R244:R244"/>
    <mergeCell ref="S244:S244"/>
    <mergeCell ref="X244:X244"/>
    <mergeCell ref="Y244:Y244"/>
    <mergeCell ref="Z244:Z244"/>
    <mergeCell ref="AA244:AA244"/>
    <mergeCell ref="AB244:AB244"/>
    <mergeCell ref="AC244:AC244"/>
    <mergeCell ref="AD244:AD244"/>
    <mergeCell ref="AE244:AE244"/>
    <mergeCell ref="AF244:AF244"/>
    <mergeCell ref="A245:A245"/>
    <mergeCell ref="B245:B245"/>
    <mergeCell ref="C245:C245"/>
    <mergeCell ref="F245:F245"/>
    <mergeCell ref="G245:G245"/>
    <mergeCell ref="H245:H245"/>
    <mergeCell ref="M245:M245"/>
    <mergeCell ref="N245:N245"/>
    <mergeCell ref="O245:O245"/>
    <mergeCell ref="P245:P245"/>
    <mergeCell ref="Q245:Q245"/>
    <mergeCell ref="R245:R245"/>
    <mergeCell ref="S245:S245"/>
    <mergeCell ref="X245:X245"/>
    <mergeCell ref="Y245:Y245"/>
    <mergeCell ref="Z245:Z245"/>
    <mergeCell ref="AA245:AA245"/>
    <mergeCell ref="AB245:AB245"/>
    <mergeCell ref="AC245:AC245"/>
    <mergeCell ref="AD245:AD245"/>
    <mergeCell ref="AE245:AE245"/>
    <mergeCell ref="AF245:AF245"/>
    <mergeCell ref="A246:A246"/>
    <mergeCell ref="B246:B246"/>
    <mergeCell ref="C246:C246"/>
    <mergeCell ref="F246:F246"/>
    <mergeCell ref="G246:G246"/>
    <mergeCell ref="H246:H246"/>
    <mergeCell ref="M246:M246"/>
    <mergeCell ref="N246:N246"/>
    <mergeCell ref="O246:O246"/>
    <mergeCell ref="P246:P246"/>
    <mergeCell ref="Q246:Q246"/>
    <mergeCell ref="R246:R246"/>
    <mergeCell ref="S246:S246"/>
    <mergeCell ref="X246:X246"/>
    <mergeCell ref="Y246:Y246"/>
    <mergeCell ref="Z246:Z246"/>
    <mergeCell ref="AA246:AA246"/>
    <mergeCell ref="AB246:AB246"/>
    <mergeCell ref="AC246:AC246"/>
    <mergeCell ref="AD246:AD246"/>
    <mergeCell ref="AE246:AE246"/>
    <mergeCell ref="AF246:AF246"/>
    <mergeCell ref="A247:A247"/>
    <mergeCell ref="B247:B247"/>
    <mergeCell ref="C247:C247"/>
    <mergeCell ref="F247:F247"/>
    <mergeCell ref="G247:G247"/>
    <mergeCell ref="H247:H247"/>
    <mergeCell ref="M247:M247"/>
    <mergeCell ref="N247:N247"/>
    <mergeCell ref="O247:O247"/>
    <mergeCell ref="P247:P247"/>
    <mergeCell ref="Q247:Q247"/>
    <mergeCell ref="R247:R247"/>
    <mergeCell ref="S247:S247"/>
    <mergeCell ref="X247:X247"/>
    <mergeCell ref="Y247:Y247"/>
    <mergeCell ref="Z247:Z247"/>
    <mergeCell ref="AA247:AA247"/>
    <mergeCell ref="AB247:AB247"/>
    <mergeCell ref="AC247:AC247"/>
    <mergeCell ref="AD247:AD247"/>
    <mergeCell ref="AE247:AE247"/>
    <mergeCell ref="AF247:AF247"/>
    <mergeCell ref="A248:A248"/>
    <mergeCell ref="B248:B248"/>
    <mergeCell ref="C248:C248"/>
    <mergeCell ref="F248:F248"/>
    <mergeCell ref="G248:G248"/>
    <mergeCell ref="H248:H248"/>
    <mergeCell ref="M248:M248"/>
    <mergeCell ref="N248:N248"/>
    <mergeCell ref="O248:O248"/>
    <mergeCell ref="P248:P248"/>
    <mergeCell ref="Q248:Q248"/>
    <mergeCell ref="R248:R248"/>
    <mergeCell ref="S248:S248"/>
    <mergeCell ref="X248:X248"/>
    <mergeCell ref="Y248:Y248"/>
    <mergeCell ref="Z248:Z248"/>
    <mergeCell ref="AA248:AA248"/>
    <mergeCell ref="AB248:AB248"/>
    <mergeCell ref="AC248:AC248"/>
    <mergeCell ref="AD248:AD248"/>
    <mergeCell ref="AE248:AE248"/>
    <mergeCell ref="AF248:AF248"/>
    <mergeCell ref="A249:A249"/>
    <mergeCell ref="B249:B249"/>
    <mergeCell ref="C249:C249"/>
    <mergeCell ref="F249:F249"/>
    <mergeCell ref="G249:G249"/>
    <mergeCell ref="H249:H249"/>
    <mergeCell ref="M249:M249"/>
    <mergeCell ref="N249:N249"/>
    <mergeCell ref="O249:O249"/>
    <mergeCell ref="P249:P249"/>
    <mergeCell ref="Q249:Q249"/>
    <mergeCell ref="R249:R249"/>
    <mergeCell ref="S249:S249"/>
    <mergeCell ref="X249:X249"/>
    <mergeCell ref="Y249:Y249"/>
    <mergeCell ref="Z249:Z249"/>
    <mergeCell ref="AA249:AA249"/>
    <mergeCell ref="AB249:AB249"/>
    <mergeCell ref="AC249:AC249"/>
    <mergeCell ref="AD249:AD249"/>
    <mergeCell ref="AE249:AE249"/>
    <mergeCell ref="AF249:AF249"/>
    <mergeCell ref="A250:A250"/>
    <mergeCell ref="B250:B250"/>
    <mergeCell ref="C250:C250"/>
    <mergeCell ref="F250:F250"/>
    <mergeCell ref="G250:G250"/>
    <mergeCell ref="H250:H250"/>
    <mergeCell ref="M250:M250"/>
    <mergeCell ref="N250:N250"/>
    <mergeCell ref="O250:O250"/>
    <mergeCell ref="P250:P250"/>
    <mergeCell ref="Q250:Q250"/>
    <mergeCell ref="R250:R250"/>
    <mergeCell ref="S250:S250"/>
    <mergeCell ref="X250:X250"/>
    <mergeCell ref="Y250:Y250"/>
    <mergeCell ref="Z250:Z250"/>
    <mergeCell ref="AA250:AA250"/>
    <mergeCell ref="AB250:AB250"/>
    <mergeCell ref="AC250:AC250"/>
    <mergeCell ref="AD250:AD250"/>
    <mergeCell ref="AE250:AE250"/>
    <mergeCell ref="AF250:AF250"/>
    <mergeCell ref="A251:A251"/>
    <mergeCell ref="B251:B251"/>
    <mergeCell ref="C251:C251"/>
    <mergeCell ref="F251:F251"/>
    <mergeCell ref="G251:G251"/>
    <mergeCell ref="H251:H251"/>
    <mergeCell ref="M251:M251"/>
    <mergeCell ref="N251:N251"/>
    <mergeCell ref="O251:O251"/>
    <mergeCell ref="P251:P251"/>
    <mergeCell ref="Q251:Q251"/>
    <mergeCell ref="R251:R251"/>
    <mergeCell ref="S251:S251"/>
    <mergeCell ref="X251:X251"/>
    <mergeCell ref="Y251:Y251"/>
    <mergeCell ref="Z251:Z251"/>
    <mergeCell ref="AA251:AA251"/>
    <mergeCell ref="AB251:AB251"/>
    <mergeCell ref="AC251:AC251"/>
    <mergeCell ref="AD251:AD251"/>
    <mergeCell ref="AE251:AE251"/>
    <mergeCell ref="AF251:AF251"/>
    <mergeCell ref="A252:A252"/>
    <mergeCell ref="B252:B252"/>
    <mergeCell ref="C252:C252"/>
    <mergeCell ref="F252:F252"/>
    <mergeCell ref="G252:G252"/>
    <mergeCell ref="H252:H252"/>
    <mergeCell ref="M252:M252"/>
    <mergeCell ref="N252:N252"/>
    <mergeCell ref="O252:O252"/>
    <mergeCell ref="P252:P252"/>
    <mergeCell ref="Q252:Q252"/>
    <mergeCell ref="R252:R252"/>
    <mergeCell ref="S252:S252"/>
    <mergeCell ref="X252:X252"/>
    <mergeCell ref="Y252:Y252"/>
    <mergeCell ref="Z252:Z252"/>
    <mergeCell ref="AA252:AA252"/>
    <mergeCell ref="AB252:AB252"/>
    <mergeCell ref="AC252:AC252"/>
    <mergeCell ref="AD252:AD252"/>
    <mergeCell ref="AE252:AE252"/>
    <mergeCell ref="AF252:AF252"/>
    <mergeCell ref="A253:A253"/>
    <mergeCell ref="B253:B253"/>
    <mergeCell ref="C253:C253"/>
    <mergeCell ref="F253:F253"/>
    <mergeCell ref="G253:G253"/>
    <mergeCell ref="H253:H253"/>
    <mergeCell ref="M253:M253"/>
    <mergeCell ref="N253:N253"/>
    <mergeCell ref="O253:O253"/>
    <mergeCell ref="P253:P253"/>
    <mergeCell ref="Q253:Q253"/>
    <mergeCell ref="R253:R253"/>
    <mergeCell ref="S253:S253"/>
    <mergeCell ref="X253:X253"/>
    <mergeCell ref="Y253:Y253"/>
    <mergeCell ref="Z253:Z253"/>
    <mergeCell ref="AA253:AA253"/>
    <mergeCell ref="AB253:AB253"/>
    <mergeCell ref="AC253:AC253"/>
    <mergeCell ref="AD253:AD253"/>
    <mergeCell ref="AE253:AE253"/>
    <mergeCell ref="AF253:AF253"/>
    <mergeCell ref="A254:A254"/>
    <mergeCell ref="B254:B254"/>
    <mergeCell ref="C254:C254"/>
    <mergeCell ref="F254:F254"/>
    <mergeCell ref="G254:G254"/>
    <mergeCell ref="H254:H254"/>
    <mergeCell ref="M254:M254"/>
    <mergeCell ref="N254:N254"/>
    <mergeCell ref="O254:O254"/>
    <mergeCell ref="P254:P254"/>
    <mergeCell ref="Q254:Q254"/>
    <mergeCell ref="R254:R254"/>
    <mergeCell ref="S254:S254"/>
    <mergeCell ref="X254:X254"/>
    <mergeCell ref="Y254:Y254"/>
    <mergeCell ref="Z254:Z254"/>
    <mergeCell ref="AA254:AA254"/>
    <mergeCell ref="AB254:AB254"/>
    <mergeCell ref="AC254:AC254"/>
    <mergeCell ref="AD254:AD254"/>
    <mergeCell ref="AE254:AE254"/>
    <mergeCell ref="AF254:AF254"/>
    <mergeCell ref="A255:A255"/>
    <mergeCell ref="B255:B255"/>
    <mergeCell ref="C255:C255"/>
    <mergeCell ref="F255:F255"/>
    <mergeCell ref="G255:G255"/>
    <mergeCell ref="H255:H255"/>
    <mergeCell ref="M255:M255"/>
    <mergeCell ref="N255:N255"/>
    <mergeCell ref="O255:O255"/>
    <mergeCell ref="P255:P255"/>
    <mergeCell ref="Q255:Q255"/>
    <mergeCell ref="R255:R255"/>
    <mergeCell ref="S255:S255"/>
    <mergeCell ref="X255:X255"/>
    <mergeCell ref="Y255:Y255"/>
    <mergeCell ref="Z255:Z255"/>
    <mergeCell ref="AA255:AA255"/>
    <mergeCell ref="AB255:AB255"/>
    <mergeCell ref="AC255:AC255"/>
    <mergeCell ref="AD255:AD255"/>
    <mergeCell ref="AE255:AE255"/>
    <mergeCell ref="AF255:AF255"/>
    <mergeCell ref="A256:A256"/>
    <mergeCell ref="B256:B256"/>
    <mergeCell ref="C256:C256"/>
    <mergeCell ref="F256:F256"/>
    <mergeCell ref="G256:G256"/>
    <mergeCell ref="H256:H256"/>
    <mergeCell ref="M256:M256"/>
    <mergeCell ref="N256:N256"/>
    <mergeCell ref="O256:O256"/>
    <mergeCell ref="P256:P256"/>
    <mergeCell ref="Q256:Q256"/>
    <mergeCell ref="R256:R256"/>
    <mergeCell ref="S256:S256"/>
    <mergeCell ref="X256:X256"/>
    <mergeCell ref="Y256:Y256"/>
    <mergeCell ref="Z256:Z256"/>
    <mergeCell ref="AA256:AA256"/>
    <mergeCell ref="AB256:AB256"/>
    <mergeCell ref="AC256:AC256"/>
    <mergeCell ref="AD256:AD256"/>
    <mergeCell ref="AE256:AE256"/>
    <mergeCell ref="AF256:AF256"/>
    <mergeCell ref="A257:A257"/>
    <mergeCell ref="B257:B257"/>
    <mergeCell ref="C257:C257"/>
    <mergeCell ref="F257:F257"/>
    <mergeCell ref="G257:G257"/>
    <mergeCell ref="H257:H257"/>
    <mergeCell ref="M257:M257"/>
    <mergeCell ref="N257:N257"/>
    <mergeCell ref="O257:O257"/>
    <mergeCell ref="P257:P257"/>
    <mergeCell ref="Q257:Q257"/>
    <mergeCell ref="R257:R257"/>
    <mergeCell ref="S257:S257"/>
    <mergeCell ref="X257:X257"/>
    <mergeCell ref="Y257:Y257"/>
    <mergeCell ref="Z257:Z257"/>
    <mergeCell ref="AA257:AA257"/>
    <mergeCell ref="AB257:AB257"/>
    <mergeCell ref="AC257:AC257"/>
    <mergeCell ref="AD257:AD257"/>
    <mergeCell ref="AE257:AE257"/>
    <mergeCell ref="AF257:AF257"/>
    <mergeCell ref="A258:A258"/>
    <mergeCell ref="B258:B258"/>
    <mergeCell ref="C258:C258"/>
    <mergeCell ref="F258:F258"/>
    <mergeCell ref="G258:G258"/>
    <mergeCell ref="H258:H258"/>
    <mergeCell ref="M258:M258"/>
    <mergeCell ref="N258:N258"/>
    <mergeCell ref="O258:O258"/>
    <mergeCell ref="P258:P258"/>
    <mergeCell ref="Q258:Q258"/>
    <mergeCell ref="R258:R258"/>
    <mergeCell ref="S258:S258"/>
    <mergeCell ref="X258:X258"/>
    <mergeCell ref="Y258:Y258"/>
    <mergeCell ref="Z258:Z258"/>
    <mergeCell ref="AA258:AA258"/>
    <mergeCell ref="AB258:AB258"/>
    <mergeCell ref="AC258:AC258"/>
    <mergeCell ref="AD258:AD258"/>
    <mergeCell ref="AE258:AE258"/>
    <mergeCell ref="AF258:AF258"/>
    <mergeCell ref="A259:A259"/>
    <mergeCell ref="B259:B259"/>
    <mergeCell ref="C259:C259"/>
    <mergeCell ref="F259:F259"/>
    <mergeCell ref="G259:G259"/>
    <mergeCell ref="H259:H259"/>
    <mergeCell ref="M259:M259"/>
    <mergeCell ref="N259:N259"/>
    <mergeCell ref="O259:O259"/>
    <mergeCell ref="P259:P259"/>
    <mergeCell ref="Q259:Q259"/>
    <mergeCell ref="R259:R259"/>
    <mergeCell ref="S259:S259"/>
    <mergeCell ref="X259:X259"/>
    <mergeCell ref="Y259:Y259"/>
    <mergeCell ref="Z259:Z259"/>
    <mergeCell ref="AA259:AA259"/>
    <mergeCell ref="AB259:AB259"/>
    <mergeCell ref="AC259:AC259"/>
    <mergeCell ref="AD259:AD259"/>
    <mergeCell ref="AE259:AE259"/>
    <mergeCell ref="AF259:AF259"/>
    <mergeCell ref="A260:A260"/>
    <mergeCell ref="B260:B260"/>
    <mergeCell ref="C260:C260"/>
    <mergeCell ref="F260:F260"/>
    <mergeCell ref="G260:G260"/>
    <mergeCell ref="H260:H260"/>
    <mergeCell ref="M260:M260"/>
    <mergeCell ref="N260:N260"/>
    <mergeCell ref="O260:O260"/>
    <mergeCell ref="P260:P260"/>
    <mergeCell ref="Q260:Q260"/>
    <mergeCell ref="R260:R260"/>
    <mergeCell ref="S260:S260"/>
    <mergeCell ref="X260:X260"/>
    <mergeCell ref="Y260:Y260"/>
    <mergeCell ref="Z260:Z260"/>
    <mergeCell ref="AA260:AA260"/>
    <mergeCell ref="AB260:AB260"/>
    <mergeCell ref="AC260:AC260"/>
    <mergeCell ref="AD260:AD260"/>
    <mergeCell ref="AE260:AE260"/>
    <mergeCell ref="AF260:AF260"/>
    <mergeCell ref="A261:A261"/>
    <mergeCell ref="B261:B261"/>
    <mergeCell ref="C261:C261"/>
    <mergeCell ref="F261:F261"/>
    <mergeCell ref="G261:G261"/>
    <mergeCell ref="H261:H261"/>
    <mergeCell ref="M261:M261"/>
    <mergeCell ref="N261:N261"/>
    <mergeCell ref="O261:O261"/>
    <mergeCell ref="P261:P261"/>
    <mergeCell ref="Q261:Q261"/>
    <mergeCell ref="R261:R261"/>
    <mergeCell ref="S261:S261"/>
    <mergeCell ref="X261:X261"/>
    <mergeCell ref="Y261:Y261"/>
    <mergeCell ref="Z261:Z261"/>
    <mergeCell ref="AA261:AA261"/>
    <mergeCell ref="AB261:AB261"/>
    <mergeCell ref="AC261:AC261"/>
    <mergeCell ref="AD261:AD261"/>
    <mergeCell ref="AE261:AE261"/>
    <mergeCell ref="AF261:AF261"/>
    <mergeCell ref="A262:A262"/>
    <mergeCell ref="B262:B262"/>
    <mergeCell ref="C262:C262"/>
    <mergeCell ref="F262:F262"/>
    <mergeCell ref="G262:G262"/>
    <mergeCell ref="H262:H262"/>
    <mergeCell ref="M262:M262"/>
    <mergeCell ref="N262:N262"/>
    <mergeCell ref="O262:O262"/>
    <mergeCell ref="P262:P262"/>
    <mergeCell ref="Q262:Q262"/>
    <mergeCell ref="R262:R262"/>
    <mergeCell ref="S262:S262"/>
    <mergeCell ref="X262:X262"/>
    <mergeCell ref="Y262:Y262"/>
    <mergeCell ref="Z262:Z262"/>
    <mergeCell ref="AA262:AA262"/>
    <mergeCell ref="AB262:AB262"/>
    <mergeCell ref="AC262:AC262"/>
    <mergeCell ref="AD262:AD262"/>
    <mergeCell ref="AE262:AE262"/>
    <mergeCell ref="AF262:AF262"/>
    <mergeCell ref="A263:A263"/>
    <mergeCell ref="B263:B263"/>
    <mergeCell ref="C263:C263"/>
    <mergeCell ref="F263:F263"/>
    <mergeCell ref="G263:G263"/>
    <mergeCell ref="H263:H263"/>
    <mergeCell ref="M263:M263"/>
    <mergeCell ref="N263:N263"/>
    <mergeCell ref="O263:O263"/>
    <mergeCell ref="P263:P263"/>
    <mergeCell ref="Q263:Q263"/>
    <mergeCell ref="R263:R263"/>
    <mergeCell ref="S263:S263"/>
    <mergeCell ref="X263:X263"/>
    <mergeCell ref="Y263:Y263"/>
    <mergeCell ref="Z263:Z263"/>
    <mergeCell ref="AA263:AA263"/>
    <mergeCell ref="AB263:AB263"/>
    <mergeCell ref="AC263:AC263"/>
    <mergeCell ref="AD263:AD263"/>
    <mergeCell ref="AE263:AE263"/>
    <mergeCell ref="AF263:AF263"/>
    <mergeCell ref="A264:A264"/>
    <mergeCell ref="B264:B264"/>
    <mergeCell ref="C264:C264"/>
    <mergeCell ref="F264:F264"/>
    <mergeCell ref="G264:G264"/>
    <mergeCell ref="H264:H264"/>
    <mergeCell ref="M264:M264"/>
    <mergeCell ref="N264:N264"/>
    <mergeCell ref="O264:O264"/>
    <mergeCell ref="P264:P264"/>
    <mergeCell ref="Q264:Q264"/>
    <mergeCell ref="R264:R264"/>
    <mergeCell ref="S264:S264"/>
    <mergeCell ref="X264:X264"/>
    <mergeCell ref="Y264:Y264"/>
    <mergeCell ref="Z264:Z264"/>
    <mergeCell ref="AA264:AA264"/>
    <mergeCell ref="AB264:AB264"/>
    <mergeCell ref="AC264:AC264"/>
    <mergeCell ref="AD264:AD264"/>
    <mergeCell ref="AE264:AE264"/>
    <mergeCell ref="AF264:AF264"/>
    <mergeCell ref="A265:A265"/>
    <mergeCell ref="B265:B265"/>
    <mergeCell ref="C265:C265"/>
    <mergeCell ref="F265:F265"/>
    <mergeCell ref="G265:G265"/>
    <mergeCell ref="H265:H265"/>
    <mergeCell ref="M265:M265"/>
    <mergeCell ref="N265:N265"/>
    <mergeCell ref="O265:O265"/>
    <mergeCell ref="P265:P265"/>
    <mergeCell ref="Q265:Q265"/>
    <mergeCell ref="R265:R265"/>
    <mergeCell ref="S265:S265"/>
    <mergeCell ref="X265:X265"/>
    <mergeCell ref="Y265:Y265"/>
    <mergeCell ref="Z265:Z265"/>
    <mergeCell ref="AA265:AA265"/>
    <mergeCell ref="AB265:AB265"/>
    <mergeCell ref="AC265:AC265"/>
    <mergeCell ref="AD265:AD265"/>
    <mergeCell ref="AE265:AE265"/>
    <mergeCell ref="AF265:AF265"/>
  </mergeCells>
  <hyperlinks>
    <hyperlink ref="D6" r:id="rId_hyperlink_1" tooltip="5.5米焦炉废气交换油缸底座松动，假如不及时处理换向时脱落无法换向停止加热四小时，造成四小时无法出焦和炉体窜漏。"/>
    <hyperlink ref="D7" r:id="rId_hyperlink_2" tooltip="5.5地下室在机测炉头煤气管架离地1.7米左右有一钢筋外突过长，光线暗！倘若有人工作时一不注意碰伤面部，造成轻伤到医务室清洗包扎处理！休息3天怠工事件！"/>
    <hyperlink ref="D8" r:id="rId_hyperlink_3" tooltip="两盐放料底部管道法兰因腐蚀严重漏液，造成地面轻微腐蚀，操作工及时清理未造成环境污染。"/>
    <hyperlink ref="D9" r:id="rId_hyperlink_4" tooltip="汽轮机底层二号减温减压西侧电缆盖板损坏，有一名操作工巡检时，不慎掉入。造成右腿受伤出血，送医院缝合十针在医院治疗三天后出院。"/>
    <hyperlink ref="D10" r:id="rId_hyperlink_5" tooltip="除盐水站二楼加药间加碱泵未固定，一员工巡检至加药间调节碱泵上量时，碱泵倾斜，员工被溅出的碱灼伤手部，立即用大量清水冲洗，皮肤发红无损工"/>
    <hyperlink ref="D11" r:id="rId_hyperlink_6" tooltip="一名操作工在攀爬初冷器东侧爬梯时，因爬梯无护笼致使该操作工坠落到地面，导致右小腿骨折，送医救治，治疗三个月后恢复出院，损工三个月。"/>
    <hyperlink ref="D12" r:id="rId_hyperlink_7" tooltip="干熄焦主控室内，地面砖翘起，一名员工从此处走，被绊倒，从地面起来后回到岗位继续工作，未造成人员伤害。"/>
    <hyperlink ref="D13" r:id="rId_hyperlink_8" tooltip="5.5米推焦车平台竖梯子，推焦车行走过程中梯子倾倒"/>
    <hyperlink ref="D14" r:id="rId_hyperlink_9" tooltip="75T锅炉顶电动葫芦电源线损坏，维修人员在现场施工时，易发生触电事故，造成事故人员住院，住院5天，损工5天"/>
    <hyperlink ref="D15" r:id="rId_hyperlink_10" tooltip="锅炉操作人员在放灰时电缆突然漏电造成一名操作工右手臂电击灼伤，活动受限。"/>
    <hyperlink ref="D16" r:id="rId_hyperlink_11" tooltip="一名操作工在攀爬初冷器东侧爬梯时，因爬梯无护笼及抓扶不牢致使该操作工坠落到地面，导致右小腿骨折，送医救治后出院回家修养三个月，损工三个月。"/>
    <hyperlink ref="D17" r:id="rId_hyperlink_12" tooltip="维修工在检修拦焦导焦栓时，由于检修平台未加护栏，维修工不惧一脚踩空将安全戴挣断导致人员掉落在3米高的平台摔伤，及时送医治疗，诊断为腰部三节肋骨骨折。"/>
    <hyperlink ref="D18" r:id="rId_hyperlink_13" tooltip="小平台护栏立柱，下端腐烂断，一操作工在往下扒焦炭时，不慎跌落摔伤，致使一人全身多处骨折"/>
    <hyperlink ref="D19" r:id="rId_hyperlink_14" tooltip="4.3米焦炉煤仓外部，彩钢瓦有两块固定不牢，假如遇大风有一名职工路过时，彩钢瓦坠落砍到手臂划伤，到医院进行缝合，在家休养十五天的损工事件。"/>
    <hyperlink ref="D20" r:id="rId_hyperlink_15" tooltip="5.5焦炉焦侧平台底部一处承重铁板腐蚀开裂，对上部工作平台失去承重作用，因工作人员无法观察到下面，一人在此处工作时平台坍塌人员坠落，送医检查全身多处骨折。"/>
    <hyperlink ref="D21" r:id="rId_hyperlink_16" tooltip="一人在拦焦除尘水槽底部清理卫生时，被掉落的脚手架砸到头部，经送医抢救无效死亡"/>
    <hyperlink ref="D22" r:id="rId_hyperlink_17" tooltip="3#煤场4#料口水泥平台外漏钢筋，一名操作工作业过程中不慎被绊倒，导致双手手腕骨折。住院治疗1个月，在家休养2个月。"/>
    <hyperlink ref="D23" r:id="rId_hyperlink_18" tooltip="一名操作人员在巡检过程中因安全意识不强，未注意到轴流风扇电缆线、经过时被电缆线绊倒致使膝盖淤青去医务室处理后继续工作。"/>
    <hyperlink ref="D24" r:id="rId_hyperlink_19" tooltip="扒焦小屋西侧的护栏下端腐蚀严重，一操作工在靠近栏杆干活时不慎跌落摔伤"/>
    <hyperlink ref="D25" r:id="rId_hyperlink_20" tooltip="两盐冷凝液泵连轴器防护罩缺失，可能会造成一操作工因安全风险辨识不足，用棉纱擦拭该转到设备时手部造成缠绕挤伤"/>
    <hyperlink ref="D26" r:id="rId_hyperlink_21" tooltip="粗苯计量槽爬梯接近顶部处有铁皮，由于气候原因春天风大，操作工在日常巡检过程中途经此处，铁皮被大风刮落，容易导致操作工面部划伤"/>
    <hyperlink ref="D27" r:id="rId_hyperlink_22" tooltip="二层平台护栏中间开焊，一操作工在搬运物品上下楼梯时，不慎滑倒，从开焊处坠落地面，头部着地，经医院抢救无效死亡。"/>
    <hyperlink ref="D28" r:id="rId_hyperlink_23" tooltip="北班长室南侧框架上保温铝皮因铆钉脱落，悬挂在4.5米高空管道上，如果有人途径此处，铝皮被大风刮落，就会造成过往人员右肩砸伤，送医院检查，诊断为右肩轻微骨折，损工10天"/>
    <hyperlink ref="D29" r:id="rId_hyperlink_24" tooltip="煤六机头台阶地面损坏，操作工在上下台阶时被损坏的地面绊倒，导致左小臂骨折，送医院治疗15天，回家休养三个月康复！"/>
    <hyperlink ref="D30" r:id="rId_hyperlink_25" tooltip="一员工在开五号减温减压东侧管道阀门时，因缺少必要的踩踏物，脚底打滑不甚从6米管道处跌落，头部着地，送医治疗抢救无效死亡"/>
    <hyperlink ref="D31" r:id="rId_hyperlink_26" tooltip="煤八斜桥照明灯暗，操作工在下台阶巡检时，因看不清不慎踩歪摔倒，扭伤脚踝关节送院治疗3天，在家休养7天后复工。"/>
    <hyperlink ref="D32" r:id="rId_hyperlink_27" tooltip="冷渣机安全阀检测超期，且以泄漏。如果安全阀失效冷却水外溢且无人发现，造成冷灰机电机进水连电。"/>
    <hyperlink ref="D33" r:id="rId_hyperlink_28" tooltip="给水泵进口阀未设操作平台，未设悬挂安全带的固定装置，一名员工操作阀门时，不慎跌落，腰椎骨折。"/>
    <hyperlink ref="D34" r:id="rId_hyperlink_29" tooltip="过滤器排污管地沟盖板缺失，一名操作工巡检时踩空，右脚掉入地沟内，右脚脚踝扭伤，送医治疗。"/>
    <hyperlink ref="D35" r:id="rId_hyperlink_30" tooltip="巡检工从超滤罐中间经过开返洗阀，赤注意焊在H钢上的角钢不慎绊脚石损伤"/>
    <hyperlink ref="D36" r:id="rId_hyperlink_31" tooltip="粗苯富油上脱苯塔管道原固定铁丝锈蚀，起不到固定作用，生产过程中，如果富油含水分高，造成管道晃动，晃动过久容易造成管道开焊漏油，造成环境污染。"/>
    <hyperlink ref="D37" r:id="rId_hyperlink_32" tooltip="操作工在打扫泵房地面时不慎跌入下水道，造成左脚严重扭伤，左小腿骨骨折"/>
    <hyperlink ref="D38" r:id="rId_hyperlink_33" tooltip="干熄焦中控楼东侧管架上保温铝皮开裂下垂脱落，一操作工巡检路过，致使面部颈部深度划伤"/>
    <hyperlink ref="D39" r:id="rId_hyperlink_34" tooltip="西四岗位操作平台，操作人员在操作时不慎绊倒从平台跌落，造成腿部骨折，送医院治疗一个月，在家修养两个月，"/>
    <hyperlink ref="D40" r:id="rId_hyperlink_35" tooltip="天车进出处没有悬挂警示牌"/>
    <hyperlink ref="D41" r:id="rId_hyperlink_36" tooltip="5米5焦炉北头爬梯中间小平台缺少踢脚板，雨雪天气，一操作工上下爬梯脚下打滑，从护栏空隙跌落地面"/>
    <hyperlink ref="D42" r:id="rId_hyperlink_37" tooltip="反渗透浓水排水管处无盖板，一名职工在巡检时，失足右脚掉入地沟造成右脚损伤。"/>
    <hyperlink ref="D43" r:id="rId_hyperlink_38" tooltip="搅拌机转换开关手抦缺失，用一根铁条代替手抦使用，一操作工在操作时由于开关漏电触电倒地"/>
    <hyperlink ref="D44" r:id="rId_hyperlink_39" tooltip="清水池池面现场混乱，地面电缆线乱作一团，操作工在取样时被电缆线绊倒，致右腿膝盖软组织挫伤，无损工事故"/>
    <hyperlink ref="D45" r:id="rId_hyperlink_40" tooltip="爬梯处横放一根3米的铁件，一名操作工巡检时不慎脚下被绊，身体向前倾倒碰到护栏上"/>
    <hyperlink ref="D46" r:id="rId_hyperlink_41" tooltip="泡沫泵防护罩破损，如果一名操作人员擦拭设备时。右手手指不慎碰触到电机防护罩破损处，造成右手中指骨折，送医院治疗三个月、在家休养二个月，复工"/>
    <hyperlink ref="D47" r:id="rId_hyperlink_42" tooltip="如果一名操作工在巡检时，冒出的蒸汽喷到右手腕上，造成轻微伤害，到医务室治疗后，不影响工作，没有损工。"/>
    <hyperlink ref="D48" r:id="rId_hyperlink_43" tooltip="南风机风机房一楼南侧东门上方彩钢瓦腐蚀严重悬挂，操作工从门口通行彩钢瓦掉落划伤颈部，送医院室消毒包扎，休息2天后复工。"/>
    <hyperlink ref="D49" r:id="rId_hyperlink_44" tooltip="西硫铵4楼北窗户有一块废铝合金悬挂在墙壁上，一名操作工在地面弯腰打扫卫生，因为刮风导致废铝合金掉下来，掉到操作工后背上，引起后背一地方红肿，无大碍。"/>
    <hyperlink ref="D50" r:id="rId_hyperlink_45" tooltip="1号过滤器气动阀油窗内油位过低"/>
    <hyperlink ref="D51" r:id="rId_hyperlink_46" tooltip="浓水处理液碱罐未设置半面罩，假如一名维修工人维修该处管线，管线内的液碱溅出进入维修人员眼内，造成眼睛灼伤送医治疗2个月后复工。"/>
    <hyperlink ref="D52" r:id="rId_hyperlink_47" tooltip="深度处理东侧水池临时线路未架空,放置在地上线缆容易磨损漏电,一旦巡检人员不慎踩到磨损线路,造成触电,送医院抢救无效死亡。"/>
    <hyperlink ref="D53" r:id="rId_hyperlink_48" tooltip="脱硫硫铵稠厚器顶瓦固定不牢，一名巡检工经过此处下方巡检时，顶瓦瓦片一旦掉落，割伤一名巡检工的脖颈处，送医治疗8天后恢复健康上班。"/>
    <hyperlink ref="D54" r:id="rId_hyperlink_49" tooltip="无栏杆或警示牌在巡检或其它作业活动中可能掉入"/>
    <hyperlink ref="D55" r:id="rId_hyperlink_50" tooltip="干熄焦提升机地板直通向下部二层平台的检修口盖盖板，晚上因光线暗巡检人员经过时踩空从检修口摔至1.8米高差的下层平台，坠落惯性使其又从二层平台护栏40厘米间隙滚落摔到40米高差水泥地面"/>
    <hyperlink ref="D56" r:id="rId_hyperlink_51" tooltip="皮带支架外侧未设置防护栏，一员工在未停机状态下清理机架积煤，不慎将右手挤入拖棍中，送医确诊为右手骨折，住院治疗15天，在家休养100天后复工。"/>
    <hyperlink ref="D57" r:id="rId_hyperlink_52" tooltip="因磅面与地面距离过高，一司机在停车下磅时不慎将左脚脚踝崴伤，送医确诊为踝关节脱臼，复位后回家休养三天后复工。"/>
    <hyperlink ref="D58" r:id="rId_hyperlink_53" tooltip="1618破碎机楼道照明灯损坏 操作工巡检时光线暗一脚踩空 扭伤右脚脚踝 休息一会不影响工作"/>
    <hyperlink ref="D59" r:id="rId_hyperlink_54" tooltip="煤厂西南角液下泵电源线未套管  启动时长时间振动 电源线皮磨损 人员经过时不慎触电摔倒 送医治疗 抢救无效死亡"/>
    <hyperlink ref="D60" r:id="rId_hyperlink_55" tooltip="一名操作工在攀爬卸料车进行清筒作业时，不慎踩空，摔落地面导致左小腿摔伤，送医确诊为左小腿骨折，住院治疗10天，回家修养100天后复工。"/>
    <hyperlink ref="D61" r:id="rId_hyperlink_56" tooltip="一名员工，靠近煤垛经过时，煤垛塌方，将其埋入，五分钟后被发现，联系人员将其救出，迅速拨打120，加之现场急救，送医院医治无效死亡。"/>
    <hyperlink ref="D62" r:id="rId_hyperlink_57" tooltip="东五岗位积水井未盖盖板，一人员巡检时，腿部掉入积水井，送医院检查腿部骨折，住院治疗一个月，在家休养二个月"/>
    <hyperlink ref="D63" r:id="rId_hyperlink_58" tooltip="废料堆一电缆线破损裸漏，未进行包扎处理，一行人经过时，不小心踩在裸漏处电缆上触电，现场人员进行心脏复苏，送医抢救，经医抢救无效死亡。"/>
    <hyperlink ref="D64" r:id="rId_hyperlink_59" tooltip="一名除盐水操作人员在夜间巡检至浓水设备中间水箱时被高出地面30公分的信号缆绊倒，导致膝盖出血，右臂骨折。"/>
    <hyperlink ref="D65" r:id="rId_hyperlink_60" tooltip="工具室    电缆桥架处有一电缆外漏一人取工具时     不小心触碰到外露的电缆上触电    现场人员进行心脏复苏   经医抢救无效死亡"/>
    <hyperlink ref="D66" r:id="rId_hyperlink_61" tooltip="东四机头护栏未安装到位，人员操作时，掉入机头下料筒，造成胳膊受伤，送医救治一个月，回家修养两个月，造成损工90天"/>
    <hyperlink ref="D67" r:id="rId_hyperlink_62" tooltip="南风机2#初冷器检修时，一名在平台施工人员安全帽未按规定佩戴帽绳，如果安全辩识不到位，头部撞到初冷器平台上部钢架上，安全帽脱落撞伤头部，送医治疗缝合在家修养七天复工。"/>
    <hyperlink ref="D68" r:id="rId_hyperlink_63" tooltip="皮带机支撑架底部有突出异物，清理卫生时容易绊倒"/>
    <hyperlink ref="D69" r:id="rId_hyperlink_64" tooltip="1号过滤器反洗外排管道太短造成冲洗设备时水外溢"/>
    <hyperlink ref="D70" r:id="rId_hyperlink_65" tooltip="筛焦楼操作工从振动筛北侧向焦四机头巡检时，因滑道砖长期未用，捆绑绳老化断裂歪倒砸在巡检经过的操作工腿部将其砸伤，另一操作工发现简单包扎后及时送医治疗，诊断为右腿骨折住院治疗30天回家休养5个月复工。"/>
    <hyperlink ref="D71" r:id="rId_hyperlink_66" tooltip="一维修工检修高压风机时，违章攀爬没有检修平台和护栏防护的高压风机，不慎从2米高的高压风机底座顶部跌落蹲在地上不起，就医后检查腰椎受损。"/>
    <hyperlink ref="D72" r:id="rId_hyperlink_67" tooltip="南风机1#初冷器二层平台煤气管道上部，有一块未固定脚手板未及时撤除，距离平台两米左右，如果一名操作人员巡检经过该处时，脚手板突然掉落砸中人员右肩部，造成一人右肩部多处轻微擦伤，送医简单处理后不影响工作"/>
    <hyperlink ref="D73" r:id="rId_hyperlink_68" tooltip="一名操作工在巡检上爬梯时因自我安全意识较差，没有抓牢爬梯扶手，有可能会造成滑倒，导致脚踝扭伤"/>
    <hyperlink ref="D74" r:id="rId_hyperlink_69" tooltip="两盐操作室南地沟盖板未盖好，一名操作工在视线不良的情况下巡检经过此处，有可能会脚部踩空掉入地沟内，造成小腿骨折"/>
    <hyperlink ref="D75" r:id="rId_hyperlink_70" tooltip="空压站东管架有一弃用管道，存在坠落危险，假如有人从下面经过，管道突然坠落，可能会造成人员右臂擦伤，去医务室包扎后休养10天后复工。"/>
    <hyperlink ref="D76" r:id="rId_hyperlink_71" tooltip="一名操作工在巡检上爬梯时，因自我安全意识较差，没有抓牢爬梯扶手，有可能会造成滑倒，导致脚踝扭伤。"/>
    <hyperlink ref="D77" r:id="rId_hyperlink_72" tooltip="南脱硫溶液缓冲槽处，有电源仪表线不规范脱落至地面，如果操作人员在此处操作时，误触电源线造成触电击倒，送医院治疗一个月，在家修养一个月，损工61天。"/>
    <hyperlink ref="D78" r:id="rId_hyperlink_73" tooltip="排水沟盖板破损，一名操作工巡检时经过此处，如果视线不良，可能会因踩空造成小腿骨折。"/>
    <hyperlink ref="D79" r:id="rId_hyperlink_74" tooltip="制氮机南侧补水管道处旧铁管没有清理，如果夜间视线不良，一名操作工巡检时经过此处，有可能会被铁管绊倒造成腿部轻微擦伤"/>
    <hyperlink ref="D80" r:id="rId_hyperlink_75" tooltip="一名操作工在经过201配电室东侧下水道是，下水道盖板断裂在没有任何安全隔离防护下不慎被操作工踩断掉入下水道内，造成小腿骨折。"/>
    <hyperlink ref="D81" r:id="rId_hyperlink_76" tooltip="西一地沟液下泵电线未加安全套管，操作工在进行抽水作业时不慎碰触到电线，右手被电线电伤，送医务室包扎在家休息五天后康复！"/>
    <hyperlink ref="D82" r:id="rId_hyperlink_77" tooltip="西一机尾西侧护栏缺失安全套管，操作工在巡检时不慎被缺失套管的护栏刮住，用右手去扶护栏由于重心不稳右手被带入皮带机，右手挤伤，送医院检查右手骨折！住院15天！回家休养三个月后康复！"/>
    <hyperlink ref="D83" r:id="rId_hyperlink_78" tooltip="5.5米焦炉集气管顶部南头有一束信号线缆裸露，下雨连电影响信号传输。"/>
    <hyperlink ref="D84" r:id="rId_hyperlink_79" tooltip="5.5米熄焦塔墙皮破损，如果一名职工在熄焦塔下推车时，熄焦塔墙皮破裂碎块落下，正好砸到该职工脸上，造成脸部划伤。"/>
    <hyperlink ref="D85" r:id="rId_hyperlink_80" tooltip="下水管损坏坠落于院墙墙头，一职工途经时，水管突然掉落砸伤头部，送医院检查前额划伤，缝合5针，住院治疗5天，回家休养10天后复工。"/>
    <hyperlink ref="D86" r:id="rId_hyperlink_81" tooltip="一名操作工在巡检时发现原西风机房东侧蒸汽管道泄漏，无安全警示牌，一旦有人经过，就会造成操作工右手臂烫伤，送医务室上药、消毒，不影响工作，正常上班。"/>
    <hyperlink ref="D87" r:id="rId_hyperlink_82" tooltip="作废"/>
    <hyperlink ref="D88" r:id="rId_hyperlink_83" tooltip="东四岗位除铁器上面有铁，容易造成皮带划伤"/>
    <hyperlink ref="D89" r:id="rId_hyperlink_84" tooltip="皮带机下调心站滚缺失，胶带运行中造成带边磨损、胶带撕裂。"/>
    <hyperlink ref="D90" r:id="rId_hyperlink_85" tooltip="一人员在光线较暗不良在下楼过程中脚底打滑失足受伤"/>
    <hyperlink ref="D91" r:id="rId_hyperlink_86" tooltip="新化水加碱泵排气口处无排气管，操作工巡检时，发现碱泵不上液，排气时碱液喷出，造成操作工面部烧伤，面积较大，程度较深。"/>
    <hyperlink ref="D92" r:id="rId_hyperlink_87" tooltip="一名操作工在清理桥管时用力不当、重心不稳，从3米高平台摔落炉顶面，右腿部与炉面发生碰撞"/>
    <hyperlink ref="D93" r:id="rId_hyperlink_88" tooltip="集气管平台护栏上部缺失，一名操作工在清理桥管时用力不当、重心不稳，从3米高平台摔落炉顶面，右腿部与炉面发生碰撞，造成右腿骨折"/>
    <hyperlink ref="D94" r:id="rId_hyperlink_89" tooltip="4.3m闲置区炉顶南端西侧标语牌部分固定扣腐蚀脱落，标语牌风摆幅度大，若1名职工在较大风速天气自此处下方巡检通行时，重约10kg标语牌掉落恰巧砸中职工肩部。"/>
    <hyperlink ref="D95" r:id="rId_hyperlink_90" tooltip="两盐大屋北原料储罐上方塑料管如果在大风天气人员从此巡检经过可能被掉落的塑料管轻微划伤脸部简单包扎后能正常工作"/>
    <hyperlink ref="D96" r:id="rId_hyperlink_91" tooltip="夏季雨水多，干熄车配电室和空压机房顶局部漏水厉害，造成电器短路导致电器设备损坏，影响正常生产。"/>
    <hyperlink ref="D97" r:id="rId_hyperlink_92" tooltip="操作工在合闸时，因控制箱防护罩脱落，导致触电倒地，头部磕伤，送医敷药包扎，回家修养2天后复工。"/>
    <hyperlink ref="D98" r:id="rId_hyperlink_93" tooltip="西四南防风网脱落 行人经过砸到头上 头部受伤送医治疗 住院治疗一个月 在家休养一个月"/>
    <hyperlink ref="D99" r:id="rId_hyperlink_94" tooltip="1618破碎机调节丝杠弹簧压板螺丝丢失 操作工经过时 弹簧弹出 打到右腿造成大腿骨折 送医治疗住院一个月 在家休养三个月"/>
    <hyperlink ref="D100" r:id="rId_hyperlink_95" tooltip="装煤车顶部平台有一缺口，若一操作工在平煤时经过此处，恰巧脚入缺口绊倒，左手部与铁板发生碰撞，造成左手部骨折。"/>
    <hyperlink ref="D101" r:id="rId_hyperlink_96" tooltip="水熄车平台护栏立柱底端腐蚀严重，已成断裂状态，一操作工在此干活时，不慎跌落至4米下的地面，且头部磕在熄焦道轨上，将伤者紧急送医，抢救无效死亡"/>
    <hyperlink ref="D102" r:id="rId_hyperlink_97" tooltip="超滤返洗PVC管道卡脱落返洗时管道振动剧裂造成管道断裂。"/>
    <hyperlink ref="D103" r:id="rId_hyperlink_98" tooltip="炉顶46号上升管盖，放置一铁管，若一名炉顶工在打盖时，铁管从上升管落下，正好砸中炉顶工右肩部，造成右肩部骨折"/>
    <hyperlink ref="D104" r:id="rId_hyperlink_99" tooltip="东饱和器煤气进口下液管放空无支撑，放液时振动大，如果下液管断裂，冒出大量煤气，造成一人中毒，送医后住院30天，在家休息两个月！"/>
    <hyperlink ref="D105" r:id="rId_hyperlink_100" tooltip="一名巡检工在焦4通廊巡检时，突然被一块腐蚀的盖扳掉下来砸倒，导致腰椎错位，及时送往医院。"/>
    <hyperlink ref="D106" r:id="rId_hyperlink_101" tooltip="破碎机轴流风机电缆线路地上铺设，操作工巡检时不慎被电缆绊倒，造成右手臂脱臼，送医复位治疗，在家休养7天后复工。"/>
    <hyperlink ref="D107" r:id="rId_hyperlink_102" tooltip="煤仓钢钎未定置摆放，一职工途经时，不慎碰倒钢钎砸伤左脚面，送医院缝合五针，住院治疗三天，回家休养十天复工。"/>
    <hyperlink ref="D108" r:id="rId_hyperlink_103" tooltip="污水沟无盖板地面常年湿滑操作工作业过程中滑倒摔入沟中造成，脚踝骨裂及脱臼大腿内侧肌肉擦伤"/>
    <hyperlink ref="D109" r:id="rId_hyperlink_104" tooltip="电缆盖板捆绑不牢固，遇大风刮离原来的位置，假如一名操作工巡检经过此处时，被掉落的盖板砸到头部，送医院检查，造成轻微脑震荡，回家休养10天后复工。"/>
    <hyperlink ref="D110" r:id="rId_hyperlink_105" tooltip="南风机水封槽顶部防雨棚支架腐蚀断裂，一名巡检人员如果在大风天气经过此处有可能会被大风吹掉落的铁管砸中肩部，造成肩部轻微擦伤"/>
    <hyperlink ref="D111" r:id="rId_hyperlink_106" tooltip="两盐北大门上方挡雨板脱落，挂在大门上方，一名操作工经过门口时，被大风刮落的铁皮擦伤面部，未影响正常工作。"/>
    <hyperlink ref="D112" r:id="rId_hyperlink_107" tooltip="一名职工在机侧通廊巡检时，不慎被顶部脱落的水泥块砸重又臂，造成前小臂骨折，住院治疗15天，休养2个月。"/>
    <hyperlink ref="D113" r:id="rId_hyperlink_108" tooltip="电力电缆未遮挡完全"/>
    <hyperlink ref="D114" r:id="rId_hyperlink_109" tooltip="炉顶旋臂吊电缆管子脱节，电缆外漏氧化电线打火，烧坏电机"/>
    <hyperlink ref="D115" r:id="rId_hyperlink_110" tooltip="两盐配电室空调外机泄漏冷却液，如果发现不及时空调不制冷，造成配电室温度过高设备损坏停电事故，影响生产2小时损失2000元。"/>
    <hyperlink ref="D116" r:id="rId_hyperlink_111" tooltip="一名操作工夜间巡检上爬梯时，因爬梯无安全警示牌，自我安全意识较差，没有抓牢扶手，有可能滑倒在地，导致脚部骨折，送医院治疗。"/>
    <hyperlink ref="D117" r:id="rId_hyperlink_112" tooltip="硫铵工段东饱和器煤气进口管线处有废弃木板搭建在管线上。管线会产生震动，造成木板坠落砸伤正在此处巡检人员，造成人员右臂骨折，住院治疗2个月康复。"/>
    <hyperlink ref="D118" r:id="rId_hyperlink_113" tooltip="回转筛电机进油导致电机漏电，一操作工巡检导致操作工触电，送医院就医，住院治疗一周出院后复工，损工7天"/>
    <hyperlink ref="D119" r:id="rId_hyperlink_114" tooltip="一名操作工站在料斗篦子上清理垃圾时，右腿不慎掉入篦子内，造成右小腿划伤，送医敷药包扎后，在家休养五天复工。"/>
    <hyperlink ref="D120" r:id="rId_hyperlink_115" tooltip="南脱硫通往循环罐爬梯踏板腐蚀严重，如果巡检工巡检到此处，不慎踩空，可能造成脚踝轻微扭伤，冷敷简单处理后可继续工作。"/>
    <hyperlink ref="D121" r:id="rId_hyperlink_116" tooltip="施工人员在离初冷器平台三米高的吊篮里检修作业，未悬挂安全带，如果吊篮脱钩掉落平台，会造成施工人员腿部骨折住院治疗。"/>
    <hyperlink ref="D122" r:id="rId_hyperlink_117" tooltip="东四配料秤上的配重铁开焊，一员工在清理卫生时，配重铁掉落，砸中脚面，造成脚面骨折。"/>
    <hyperlink ref="D123" r:id="rId_hyperlink_118" tooltip="西风机配电室屋顶彩刚瓦被大风刮起，如果遇到大风天气，从此经过的人员可能被掉落的彩刚瓦所伤，致脸部胳膊多处轻微划伤，简单处理后能正常工作。"/>
    <hyperlink ref="D124" r:id="rId_hyperlink_119" tooltip="粗苯区域煤气取样管道与固定支撑腐蚀断裂，假如化验人员在取煤气样时因煤气管道固定不老造成煤气管道断裂2名化验人员煤气中毒，送医院治疗2天后正常上班"/>
    <hyperlink ref="D125" r:id="rId_hyperlink_120" tooltip="一辆外来施工车辆未按阻火帽进入脱硫低位槽附近作业。低位槽内氨气易挥发，浓度达到爆炸上限遇到火花会产生爆炸。当排气管内有火花掉落在低位槽内会引燃氨气形成爆炸。车辆驾驶员身体烧伤，送医院检查中度烧伤。"/>
    <hyperlink ref="D126" r:id="rId_hyperlink_121" tooltip="炉顶操作人员操作过程中，由于未发现护栏开焊，不慎坠落地面，头部着地，造成人身伤害！"/>
    <hyperlink ref="D127" r:id="rId_hyperlink_122" tooltip="施工人员安全带低挂高用，如果脚底打滑踏空，坠落至滑轴线上触电昏迷不醒，送医抢救。"/>
    <hyperlink ref="D128" r:id="rId_hyperlink_123" tooltip="烟囱西端，夜间操作人员打扫卫生时，由于视线不好未发现铁架被绊倒，造成小腿受伤，送医救治！"/>
    <hyperlink ref="D129" r:id="rId_hyperlink_124" tooltip="西满流槽平台护栏与饱和器底座连接处有废弃木板，当五级大风天气，木板被大风吹落，砸伤正在此处巡检的操作工，造成人员头部受击，送医检查轻微脑震荡，住院观察治疗一周后康复。"/>
    <hyperlink ref="D130" r:id="rId_hyperlink_125" tooltip="一名员工在开启背压排气阀门时 法兰垫子泄露蒸汽 员工躲闪及时 未造成人员伤亡"/>
    <hyperlink ref="D131" r:id="rId_hyperlink_126" tooltip="给料机固定拉杆开焊，运行中机体晃动，设备损坏事故。"/>
    <hyperlink ref="D132" r:id="rId_hyperlink_127" tooltip="焦炉机侧生产现场备件摆放杂乱，操作工清理卫生时不慎拌倒磕伤头部，造成伤害。"/>
    <hyperlink ref="D133" r:id="rId_hyperlink_128" tooltip="操作工更换除尘布袋时，由于护栏开焊不慎坠落高约五米的车辆平台，造成伤害"/>
    <hyperlink ref="D134" r:id="rId_hyperlink_129" tooltip="按装推焦车车载除尘场地货物杂乱，无明显警示标志，一名职工从此处行走时被杂物绊倒摔在铁件上，至面部等多处受伤。"/>
    <hyperlink ref="D135" r:id="rId_hyperlink_130" tooltip="由于盖板缺失，职工巡检时跌落水沟内，造成右脚踝扭伤，入院治疗12天，回家休养20天痊愈。"/>
    <hyperlink ref="D136" r:id="rId_hyperlink_131" tooltip="水沟盖板缺失夜班巡检人员掉落水沟造成伤害"/>
    <hyperlink ref="D137" r:id="rId_hyperlink_132" tooltip="西硫铵东饱和器三层北平台，因安装管线开口后未进行封堵，如果一名操作工未系安全带经过此处时不小心踩空坠落，造成右腿和右胸肋骨骨折，住院治疗2个月并回家休养1个月后复工。"/>
    <hyperlink ref="D138" r:id="rId_hyperlink_133" tooltip="一名操作工在使用完锤子后随手将其放在暖气片上，再次经过时，锤子从暖气片上掉落，送医确诊，为右小腿腓骨轻微骨折，住院治疗3天回家休养22天后复工"/>
    <hyperlink ref="D139" r:id="rId_hyperlink_134" tooltip="东三楼道一盏照明灯坏 操作工上下楼梯时 光线不好看不清脚下 不深踩空扭伤右脚脚踝 休息一会不影响工作"/>
    <hyperlink ref="D140" r:id="rId_hyperlink_135" tooltip="东五电动葫芦线皮破损 工作人员使用时 不慎触电 右手电伤 送医院治疗 住院一星期 在家修养一个月"/>
    <hyperlink ref="D141" r:id="rId_hyperlink_136" tooltip="除尘器放灰口横栏过低放灰工推车放灰如果不注意面部碰在栏杆上造成伤害。"/>
    <hyperlink ref="D142" r:id="rId_hyperlink_137" tooltip="拆除锅炉人员车辆将地沟盖板压断未瓦时更换夜班巡检工刘如果不注意掉入地沟造成伤害。"/>
    <hyperlink ref="D143" r:id="rId_hyperlink_138" tooltip="南风机2#初冷器检修时，一名外来施工人员安全带使用不规范存在低挂高用，如果检修过程中不慎脚下踩空掉落，安全带起到保护作用，但因安全带低挂高用造成小腿骨折，精神受到惊吓，送医院治疗包扎后在家休养3个月"/>
    <hyperlink ref="D144" r:id="rId_hyperlink_139" tooltip="制氮机组空压机过道铁板未清理，一操作工夜间巡检时由于视线不好不慎被铁板绊倒，造成面部轻微擦伤，医务室简单处理后正常上班"/>
    <hyperlink ref="D145" r:id="rId_hyperlink_140" tooltip="空压机过道铁板未清理，一操作工夜间巡检时由于视线不好不慎被铁板绊倒，造成面部轻微擦伤，医务室简单处理后正常上班"/>
    <hyperlink ref="D146" r:id="rId_hyperlink_141" tooltip="西五南侧水沟篦子掉落，一员工夜间巡检时造成轻微伤害事故"/>
    <hyperlink ref="D147" r:id="rId_hyperlink_142" tooltip="中控室玻璃压条松动脱落导致玻璃坠落，一人从下方经过时，玻璃碎片擦伤肩部，送医包扎，在家修养7天后复工。"/>
    <hyperlink ref="D148" r:id="rId_hyperlink_143" tooltip="压滤机房排水沟盖板缺失，一操作工清理卫生时右脚不慎掉入地沟，造成右脚扭伤，就医，因脚踝扭伤肿胀需休养三天。"/>
    <hyperlink ref="D149" r:id="rId_hyperlink_144" tooltip="空压机房东电缆桥架盖板突然坠落，如果一巡检工巡检至此，造成左手臂砸伤，送医院就医后复工，无损工"/>
    <hyperlink ref="D150" r:id="rId_hyperlink_145" tooltip="粗苯南管式炉蒸汽平台铝皮未清理，如果大风天气，一名巡检工从下部经过，铝皮掉落砸到巡检工身上，经送医诊断，巡检工肩部轻微伤"/>
    <hyperlink ref="D151" r:id="rId_hyperlink_146" tooltip="西硫铵更换砲合器场地物料杂乱，无明显警示标志，一名职工从此处经过时被杂物绊倒，造成面部轻微擦伤，到医务室简单处理后正常上班。"/>
    <hyperlink ref="D152" r:id="rId_hyperlink_147" tooltip="粗苯东管架上有废弃的电线，铁管等杂物，假如一操作工巡检经过时，由于大风导致铁管从框架上坠落砸伤一名操作工左肩肩部造成轻微砸伤，送医检查后继续上班，无损工"/>
    <hyperlink ref="D153" r:id="rId_hyperlink_148" tooltip="电仪人员维修设备电源模块时如果未做好断电措施，可能发生人员手臂触电，须送医院救治"/>
    <hyperlink ref="D154" r:id="rId_hyperlink_149" tooltip="卸酸碱槽棚顶玻璃钢瓦被大风刮起脱落，一操作工巡检到此处时未发现被玻璃钢瓦砸中背部，造成背部划伤，送医护室简单处理后在家休息两天复工。"/>
    <hyperlink ref="D155" r:id="rId_hyperlink_150" tooltip="一巡检人员巡检至5号减温减压一层平台时，由于护栏底部腐蚀断裂，巡检人员扶空，导致从3米高平台坠落至地面，送医治疗。"/>
    <hyperlink ref="D156" r:id="rId_hyperlink_151" tooltip="预处理混合池护栏开焊，一操作工夜间巡检时被管道绊倒从护栏开焊处3米平台跌下地面，造成右手臂骨折，右脚踝脱臼，送至医院救治住院20天在家修养3个月。"/>
    <hyperlink ref="D157" r:id="rId_hyperlink_152" tooltip="饱和器大母液泵反冲管管节腐蚀有漏点，若在中加酸时，母液温度过高容易造成pE管节断裂，一旦操作工从旁经过会造成使腿部灼伤，送医院治疗，休养三天。"/>
    <hyperlink ref="D158" r:id="rId_hyperlink_153" tooltip="岗位人员在冲洗完拖把，违规将其挂在外部平台护栏上晾晒时，不慎从手中脱落于下方15米处员工头部的安全帽上，造成该员工颈部不适，送医确诊为颈椎轻微损伤，随后回岗位继续工作。"/>
    <hyperlink ref="D159" r:id="rId_hyperlink_154" tooltip="一人员行至二楼爬梯时，由于护栏开焊断裂，巡检人员扶空左腿失去重心滑倒跌至二楼平台，送医治疗。"/>
    <hyperlink ref="D160" r:id="rId_hyperlink_155" tooltip="1#风机后下液管倒淋泄漏蒸汽，一名操作工经过时，被蒸汽烫伤颈部皮肤，去医务室简单治疗后回岗工作"/>
    <hyperlink ref="D161" r:id="rId_hyperlink_156" tooltip="二级反渗透进水管管道井口未封盖，一员工清扫卫生时未注意脚下，不慎踩空坠落井口，导致右侧小腿骨折，送医治疗一个月，休养三个月"/>
    <hyperlink ref="D162" r:id="rId_hyperlink_157" tooltip="硫酸泵固定螺栓缺失，造成硫酸管道断裂，一名操作工在巡检时不慎喷在左脚上，灼伤左脚，入院治疗三天，回家休养15天，复工"/>
    <hyperlink ref="D163" r:id="rId_hyperlink_158" tooltip="一操作工在经过缺失盖板的电缆槽沟右脚不慎进入槽沟将电源线勾断造成短暂触电倒地磕伤头部送医敷药包扎回家修养三天后复工"/>
    <hyperlink ref="D164" r:id="rId_hyperlink_159" tooltip="西硫铵更换饱和器时，外来施工电焊机电焊线老化冒烟，如若发现不及时，套在老化处胶皮管着火，造成电焊机电焊线损坏！"/>
    <hyperlink ref="D165" r:id="rId_hyperlink_160" tooltip="路面铁板一端翘起，一职工途经时被绊倒，致右手受伤，送医院确诊为右手手腕骨折，住院治疗15天，回家休养90天后复工。"/>
    <hyperlink ref="D166" r:id="rId_hyperlink_161" tooltip="生化液碱罐积水坑盖板未盖，一名员工调节碱泵时不小心右脚掉入积水坑摔倒，造成右手腕部骨折住院治疗三个月"/>
    <hyperlink ref="D167" r:id="rId_hyperlink_162" tooltip="煤八后尾西侧门上玻璃破，在人员经过时恰巧掉下来，未伤到人。"/>
    <hyperlink ref="D168" r:id="rId_hyperlink_163" tooltip="南风机2#电捕焦油器顶部有几块未清理废弃铝皮，如果一名巡检人员在大风天气巡检经过电捕焦油器下方时，铝皮被风吹落砸到巡检人员右肩部，造成一人右肩部轻微擦伤不影响正常工作。"/>
    <hyperlink ref="D169" r:id="rId_hyperlink_164" tooltip="75T锅炉二楼平台旋分出灰管底部焊口开焊已多次焊接加固一且断裂失效造成停l炉事故"/>
    <hyperlink ref="D170" r:id="rId_hyperlink_165" tooltip="一次除尘顶部西侧电线穿线管高于平台20公分，若夜间巡检人员巡检时被绊倒，右膝盖着地造成轻微擦伤，送医务室消毒后继续工作"/>
    <hyperlink ref="D171" r:id="rId_hyperlink_166" tooltip="一次除尘放灰操作盘盖子锈蚀掉落，雨天操作盘无盖进水，操作盘电压380伏，操作工操作开关时，造成触电身亡。"/>
    <hyperlink ref="D172" r:id="rId_hyperlink_167" tooltip="从过桥到高处工作平台没有爬梯，当管道被堵需要攀爬上去才能疏通，有高处坠落的危险，导致身体多处骨折，造成住院损工60天"/>
    <hyperlink ref="D173" r:id="rId_hyperlink_168" tooltip="盖板破损，可能导致扭伤及摔伤。"/>
    <hyperlink ref="D174" r:id="rId_hyperlink_169" tooltip="2#站好氧池过道上有一穿线管高于地面，如果一名操作人员在夜间巡检过程中经过被绊倒，造成手部轻微擦伤，送医务室处理后不影响工作。"/>
    <hyperlink ref="D175" r:id="rId_hyperlink_170" tooltip="东二钎子，一操作工途径时被钎子绊倒，致右腿轻微擦伤，送医包扎处理，回家休养三天，损工三天"/>
    <hyperlink ref="D176" r:id="rId_hyperlink_171" tooltip="深度处理中水车间盐酸加药装置阻尼器因长时间腐蚀外漏喷溅,将正在巡检的操作人员喷溅至左脸，立即用清水冲洗，就医，经诊断左脸轻度灼伤，在家休养3天，复工。"/>
    <hyperlink ref="D177" r:id="rId_hyperlink_172" tooltip="配电室插座固定不牢固，一维修工在插拔用电器时短路产生电火花，造成右手灼伤，送医院就医后出院，在家休养5天，损工5天"/>
    <hyperlink ref="D178" r:id="rId_hyperlink_173" tooltip="过滤器旁地沟盖板缺失，一巡检工巡检至此，造成左脚扭伤，送医院就医，住院七天，在家休养七天，损工14天"/>
    <hyperlink ref="D179" r:id="rId_hyperlink_174" tooltip="35吨锅炉上行爬梯顶部踏步开焊，巡检工走至此处，踏步断裂，导致小腿卡入铁板之间，造成小腿及脚踝受伤"/>
    <hyperlink ref="D180" r:id="rId_hyperlink_175" tooltip="一名巡检工，巡检时不小心被穿线管绊倒，导致右手骨折，送医院就治。"/>
    <hyperlink ref="D181" r:id="rId_hyperlink_176" tooltip="过桥未设安全警示标识，操作工在经过过桥时，头部不慎碰到上方的电缆桥架，送医务室检查为颈部挫伤，回家休养3天后复工。"/>
    <hyperlink ref="D182" r:id="rId_hyperlink_177" tooltip="1618破碎机液压油缸油管外皮破损 使用时液压油漏到地上清理不及时 人员经过时不深踩到 脚底打滑摔倒 造成右前臂骨折 送医治疗 住院一个月 在家修养91天"/>
    <hyperlink ref="D183" r:id="rId_hyperlink_178" tooltip="煤十料仓通风管道防雨罩掉落 遇到大风天气 防雨罩被从楼顶吹落 下方正好人员经过 砸到头上 送医院抢救无效死亡"/>
    <hyperlink ref="D184" r:id="rId_hyperlink_179" tooltip="皮带机后尾西侧护板腐烂，挡皮磨损严重漏煤，皮带运行中造成皮带偏带磨损撕裂事故"/>
    <hyperlink ref="D185" r:id="rId_hyperlink_180" tooltip="煤九通廊彩钢包边撕裂，从高空吹落，将在下方行走的行人砸伤，导致右侧锁骨骨折，住院治疗15天，在家修养3个月。"/>
    <hyperlink ref="D186" r:id="rId_hyperlink_181" tooltip="乙炔瓶出口管未装管卡"/>
    <hyperlink ref="D187" r:id="rId_hyperlink_182" tooltip="东二工具乱摆乱放，有一操作工在巡检被纤子绊倒，造成人身伤害。"/>
    <hyperlink ref="D188" r:id="rId_hyperlink_183" tooltip="东二钎子，操作工在途径时容易被纤子绊倒，造成人员伤害。"/>
    <hyperlink ref="D189" r:id="rId_hyperlink_184" tooltip="东三工具乱摆乱放，一操作工在巡检是，不慎被工具绊倒，造成手部擦伤，送医包扎，回家修养三天，损工三天"/>
    <hyperlink ref="D190" r:id="rId_hyperlink_185" tooltip="空气炮下方焊接开裂，空气炮使用过程中震动较大，会导致设备的损坏自己以及停工情况。"/>
    <hyperlink ref="D191" r:id="rId_hyperlink_186" tooltip="西一皮带机除铁器下部托辊损坏，支架腐烂，运行中易造成胶带磨损撕裂。"/>
    <hyperlink ref="D192" r:id="rId_hyperlink_187" tooltip="煤五北路面钢筋裸露，一员工路经此处，不慎绊倒，造成右腿膝盖皮肤划伤，送医敷药包扎后，回岗位继续工作。"/>
    <hyperlink ref="D193" r:id="rId_hyperlink_188" tooltip="维修大屋后电缆桥架盖板松动悬挂，当大风天气，一名操作工从下方经过电缆桥架下方时，桥架盖板掉落砸到操作工头部安全帽上，操作工受到惊吓，休息一会后复工，未造成人员受伤。"/>
    <hyperlink ref="D194" r:id="rId_hyperlink_189" tooltip="热力化学水二号超滤反洗管老化破裂，致使锅炉无水可用全厂停车，造成重大经济损失"/>
    <hyperlink ref="D195" r:id="rId_hyperlink_190" tooltip="粗苯管式炉东侧电缆桥架盖板坠落，悬挂在半空，一名操作工在经过桥架下方时被坠落的电缆桥架盖板砸伤头部，未影响正常工作。"/>
    <hyperlink ref="D196" r:id="rId_hyperlink_191" tooltip="粗苯北区地下放空槽防雨棚未固定牢固，大风天气容易刮落，操作工在巡检的过程中被大风刮落的彩钢板砸伤，休息片刻后继续工作。"/>
    <hyperlink ref="D197" r:id="rId_hyperlink_192" tooltip="一名员工在巡检除氧器时，由于铁板腐蚀严重，一脚踏在腐蚀严重的平台铁板上，操作工左腿掉入平台底部，造成左脚脚踝骨折，送医后住院治疗"/>
    <hyperlink ref="D198" r:id="rId_hyperlink_193" tooltip="干熄炉三层平台铁板开焊翘起，一操作工巡检时不慎被翘起的铁板拌倒，人员扑倒在地面上，面部着地，造成面部擦伤，鼻骨骨折，送医治疗。"/>
    <hyperlink ref="D199" r:id="rId_hyperlink_194" tooltip="汽轮机房三楼平台至主控楼楼顶楼梯台阶无防滑条，一名员工巡检过程中下楼梯时，脚底打滑跌倒，造成左脚脚踝扭伤，送医治疗。"/>
    <hyperlink ref="D200" r:id="rId_hyperlink_195" tooltip="一次水池西侧地沟盖板缺失，地沟深度1米，一名员工巡检一次水池西侧时，右脚不慎踩入地沟，身体倾斜，致使右侧肋骨处与地沟檐发生碰撞，造成右侧两根肋骨骨折，送医治疗。"/>
    <hyperlink ref="D201" r:id="rId_hyperlink_196" tooltip="操作室西侧路旁雨水外排井盖板不规范，雨水坑部分外露，把手没有全部放到底。假如一名操作工巡检经过此处，右脚不慎掉入井坑内，右脚扭伤，两胳膊多处擦伤，送医务室简单处理，休息三日后上班。"/>
    <hyperlink ref="D202" r:id="rId_hyperlink_197" tooltip="西硫铵东花砖路管架上有一废弃不用的铁管，如果一名操作工经过此处，因风大刮落砸中操作工左肩，送医院诊断为左肩轻微骨折，在家休养7天，损工7天。"/>
    <hyperlink ref="D203" r:id="rId_hyperlink_198" tooltip="一操作工下地下室时，因爬梯未安装防滑条，操作工脚底打滑，不慎从四米高爬梯摔落至下方地面，送医救治，诊断为左小腿骨折，住院治疗20天，休养三个月。"/>
    <hyperlink ref="D204" r:id="rId_hyperlink_199" tooltip="南班长室前地面有一铝皮，如果因夜间照明不好，一名操作工被铝皮绊倒，造成右手腕扭伤，在家休养两天，损工两天"/>
    <hyperlink ref="D205" r:id="rId_hyperlink_200" tooltip="高压配电室母联柜在线测温装置温度显示异常，员工巡查设备时无法判定触头温度是否正常，如温度过高发生断路器触头烧损，会引起设备停电造成财产损失。"/>
    <hyperlink ref="D206" r:id="rId_hyperlink_201" tooltip="西侧管架管线铝皮严重松动，遇大风天气，一名职工从附近经过，铝皮被风刮落砸到职工头上，脸部皮肤被铝皮轻微划伤，送医包扎。"/>
    <hyperlink ref="D207" r:id="rId_hyperlink_202" tooltip="干熄焦巡检工到加药间巡检时，经过门口时由于斜铁障碍，不慎绊倒，造成面部擦伤，上肢骨折，送医院治疗。"/>
    <hyperlink ref="D208" r:id="rId_hyperlink_203" tooltip="催化剂储槽活化完催化剂后，未把铁板及时盖上，气味严重，造成环境污染，使用过的催化剂桶东倒西歪混乱一片，给工作带来不便。"/>
    <hyperlink ref="D209" r:id="rId_hyperlink_204" tooltip="因提升机七层东侧护栏踢脚板开焊，起不到防护作用，一巡检工夜间巡检时经过此处，不慎将一铁件从护栏开焊处踢落，铁件从36米高处坠落将下方行人头部砸伤，送医院抢救无效死亡。"/>
    <hyperlink ref="D210" r:id="rId_hyperlink_205" tooltip="循环水冷却塔爬梯无防滑条，冷却塔地面湿滑，爬梯陡  高，一员工在巡检过程中从此经过，脚底打滑 不慎从四米高处跌落地面，送医救治  诊断为右脚脚踝处骨折，住院20天  休养三个月  损工110天 。"/>
    <hyperlink ref="D211" r:id="rId_hyperlink_206" tooltip="南脱硫2#脱硫塔水封蒸汽管道铝皮破损，巡检工在开关阀门时，造成手部轻微划伤，医务室简单处理后正常上班。"/>
    <hyperlink ref="D212" r:id="rId_hyperlink_207" tooltip="南脱硫西侧护栏破损，如果一人晚上巡检从此处经过，因晚上视线不好，被破损的护栏擦伤大腿。"/>
    <hyperlink ref="D213" r:id="rId_hyperlink_208" tooltip="初冷器南侧过路管架一铁皮字牌固定物脱落欲坠，假如突然坠落正巧砸中一经过下方的操作工，造成右前臂挫裂伤，就医缝三针，包扎后当即返岗。"/>
    <hyperlink ref="D214" r:id="rId_hyperlink_209" tooltip="75吨锅炉煤仓上方无护栏无安全警示，一名锅炉操作工在巡检时不慎掉入煤仓内，造成左胳膊前臂骨折。"/>
    <hyperlink ref="D215" r:id="rId_hyperlink_210" tooltip="循环水老凉水架西南角上侧有玻璃钢瓦固定不牢，如果在五级大风天气凉水架上方的玻璃钢瓦被大风吹落，划伤正在此处巡检人员的左脸部，送医检查后无碍，简单包扎后，正常工作。"/>
    <hyperlink ref="D216" r:id="rId_hyperlink_211" tooltip="西硫铵东管架，管道腐蚀漏水，操作工巡查时由于路面湿滑不小心滑倒轻微扭伤，休息后不影响上班"/>
    <hyperlink ref="D217" r:id="rId_hyperlink_212" tooltip="操作工在巡检工作时，倚靠护栏，由于护栏根部长年腐蚀烂断，人和护栏一起歪倒，左手被护栏压到骨折，休息一个月，损工30天。"/>
    <hyperlink ref="D218" r:id="rId_hyperlink_213" tooltip="阀门井盖板腐烂严重，一名操作工巡检时不慎踩上去，摔入阀门井中，送医治疗确诊左腿骨折，住院15天，回家修养3个月复工。"/>
    <hyperlink ref="D219" r:id="rId_hyperlink_214" tooltip="焦油罐区域内管架腐蚀角钢开裂脱落，操作工在巡查时，角钢脱落砸伤脚趾，医院包扎治疗后回家休养5天，损工5天"/>
    <hyperlink ref="D220" r:id="rId_hyperlink_215" tooltip="北脱硫煤气下液管阀门螺栓套管未套牢，如果一名操作工巡检经过此处，因大风天气刮落砸中操作工右肩，送往医务室诊治轻微伤简单包扎后复工。"/>
    <hyperlink ref="D221" r:id="rId_hyperlink_216" tooltip="絮凝剂管线漏液，由于操作工没有带护目镜，操作工在操作过程中絮凝剂药液溅入眼中"/>
    <hyperlink ref="D222" r:id="rId_hyperlink_217" tooltip="南风机初冷器三层平台下段喷洒管蒸汽吹扫管法兰漏蒸汽，假如在巡检过程中路过可能会造成手臂轻微烫伤，及时对烫伤处用冷水冷却 ，不用就诊没有损工"/>
    <hyperlink ref="D223" r:id="rId_hyperlink_218" tooltip="原料氨水泵上方管架油漆工遗留废弃油漆桶一只。假如大风天气一名操作工巡检此处时，可能被掉落的油漆桶砸伤操作工的左臂，送往医务室诊治轻微伤简单包扎后复工"/>
    <hyperlink ref="D224" r:id="rId_hyperlink_219" tooltip="粗苯泵房北侧电缆桥架上方有一扁铲，操作工在下方经过时，被坠落的扁铲砸伤头部，造成轻微脑振荡，住院三天后康复出院。"/>
    <hyperlink ref="D225" r:id="rId_hyperlink_220" tooltip="一人上煤时，观察1号下料口时来回经过煤西边煤仓口有坠落伤害"/>
    <hyperlink ref="D226" r:id="rId_hyperlink_221" tooltip="一铁板在两千方水池边缘，一旦巡检人员在开关水池阀门时，不小心碰到，被掉落的铁板砸伤脚面，送往医院包扎，在家休养7天后康复，造成一人损工事故"/>
    <hyperlink ref="D227" r:id="rId_hyperlink_222" tooltip="棚顶有杂物，如果在大风天气，一名操作工巡检到这里杂物被风吹下，可能造成操作工手臂划伤，现场止血后送医。"/>
    <hyperlink ref="D228" r:id="rId_hyperlink_223" tooltip="深度处理加药间，盐酸泵进口阀漏液，操作人员发现及时立即通知维修人员。维修人员在检修时未带护目镜，盐酸泵压力上升，外溅起的盐酸喷溅到维修人员的右眼，立即用清水冲洗。送医经诊断右眼轻度灼伤，在家休养3日"/>
    <hyperlink ref="D229" r:id="rId_hyperlink_224" tooltip="控制开关线头裸露一操作工开启控制开关时被电伤，送医救治诊断为轻微灼伤，在家休养7天康复，造成一损工事故。"/>
    <hyperlink ref="D230" r:id="rId_hyperlink_225" tooltip="煤场北侧污水池一漏电保护器破损，人员合闸，未伤到人"/>
    <hyperlink ref="D231" r:id="rId_hyperlink_226" tooltip="老化水工业水泵接触器连接线接点发热"/>
    <hyperlink ref="D232" r:id="rId_hyperlink_227" tooltip="如果下雨时，淋到液下泵电机上，造成设备损坏，发现后及时更换电机，没有造成生产事故"/>
    <hyperlink ref="D233" r:id="rId_hyperlink_228" tooltip="3#站废弃蒸氨系统一平台护栏缺失，如果一名维修人员在拆除设备过程中不慎扶空从此处跌落，造成右脚踝扭伤，送医处理后在家休息3天后复工。"/>
    <hyperlink ref="D234" r:id="rId_hyperlink_229" tooltip="外来施工临时用电配电箱接地不规范，假如一名外协人员在用电合闸时，断路器突然损坏，接地线没有接在接地网络上，不能及时导走漏电，造成人员触电，虽然及时断总闸后进行心肺复苏术，但送医院紧急抢救依然死亡。"/>
    <hyperlink ref="D235" r:id="rId_hyperlink_230" tooltip="煤九外部护栏开焊，清理平台卫生，开焊的护栏拌倒操作工"/>
    <hyperlink ref="D236" r:id="rId_hyperlink_231" tooltip="粗苯操作室东侧框架上方有坠落的铝皮，大风天气，铝皮刮落划伤从下方经过的操作工，面部轻微擦伤，未影响工作。"/>
    <hyperlink ref="D237" r:id="rId_hyperlink_232" tooltip="遇大风天气，假如有一名操作人员从平台下经过。被松动的钢瓦砸伤右肩，造成局部红肿，简单处理后不影响正常工作"/>
    <hyperlink ref="D238" r:id="rId_hyperlink_233" tooltip="料口处有一裸露钢筋，一员工在投煤作业时不慎拌倒造成右小腿受伤，送医确诊为右小腿骨折，医治20天休养90天后复工。"/>
    <hyperlink ref="D239" r:id="rId_hyperlink_234" tooltip="吊装装置倒链未放入倒链盒，操作工巡检时被其绊倒，造成左手掌皮肤挫伤，到医务室清洗包扎后回岗位继续工作继续工作。"/>
    <hyperlink ref="D240" r:id="rId_hyperlink_235" tooltip="一名员工在巡检时，不慎被刮煤板把手绊倒，导致下颌受伤，送医确诊为下颌皮肤深度挫裂，缝合五针，住院治疗三天，回家休养七天后复工"/>
    <hyperlink ref="D241" r:id="rId_hyperlink_236" tooltip="5.5米焦炉熄焦池抓斗操作平台缺少踢脚板，安全防护措施缺陷，雨雪天气操作工在平台操作脚底出现打滑，从护栏空隙跌落。"/>
    <hyperlink ref="D242" r:id="rId_hyperlink_237" tooltip="4楼一蒸汽吹扫管焊接处开焊，蒸汽喷出，一名操作工从此经过时被蒸汽烫伤到左腿，立即用大量冷水冲洗烫伤的地方进行降温并防止热量往里扩散。经过处理后无大碍不影响工作"/>
    <hyperlink ref="D243" r:id="rId_hyperlink_238" tooltip="清理卫生时，一只脚不小心滑入污水泵小井中，造成小腿部擦伤，自行处理简单包扎"/>
    <hyperlink ref="D244" r:id="rId_hyperlink_239" tooltip="污水反渗透浓水管固定卡掉落导致运行中浓水管断裂至其设备停运3小时"/>
    <hyperlink ref="D245" r:id="rId_hyperlink_240" tooltip="南脱硫预冷塔二层平台处有一块废弃铝皮，如果一名操作人员巡检经过该处时，铝皮从二层平台掉落砸中操作人员左肩部，造成一人左肩部轻微擦伤，经简单处理后不影响正常工作。"/>
    <hyperlink ref="D246" r:id="rId_hyperlink_241" tooltip="1618散热轴流风机电源线未套管 电源线没有套管保护 搬动时线皮磨损  人员经过时不慎踩到触电倒地 送医院治疗 住院20天 在家修养一个月"/>
    <hyperlink ref="D247" r:id="rId_hyperlink_242" tooltip="煤九铁爬梯桥架盖板脱落  有人员经过时盖板被大风吹落 砸到头上送医治疗抢救无效死亡"/>
    <hyperlink ref="D248" r:id="rId_hyperlink_243" tooltip="75吨锅炉炉门处高温，无警示标识 ，一名巡检工经过时不慎手部触碰此处，导致人员烫伤，送医治疗七天后恢复健康出院。"/>
    <hyperlink ref="D249" r:id="rId_hyperlink_244" tooltip="火灾报警器旁边堆积杂物，当附近发生火灾时操作工急忙去按报警器被拌倒磕伤膝盖未及时撤出，全身轻度烧伤，住院治疗一个月"/>
    <hyperlink ref="D250" r:id="rId_hyperlink_245" tooltip="一名操作工巡检煤场，不慎被裸露在外的钢筋绊倒，左手腕受伤，送医确诊，左手手腕骨折，住院治疗15天，回家休养30天后复工。"/>
    <hyperlink ref="D251" r:id="rId_hyperlink_246" tooltip="一人巡检时，由于水沟缺失盖板，不慎左腿跌入其中，造成腿不划伤，经公司医务室简单处理后，继续工作。"/>
    <hyperlink ref="D252" r:id="rId_hyperlink_247" tooltip="干熄焦提升机五层上方框架角铁焊接部位腐蚀严重，提升机运行时振动掉落，将下方5米处平台上经过的一名巡检工砸中头部的安全帽上，角铁从安全帽滑落砸在该员工肩膀，受伤出血被送医院"/>
    <hyperlink ref="D253" r:id="rId_hyperlink_248" tooltip="一名职工在巡检测氧仪过程中上部照明灯自由接线盒断裂灯罩掉落砸到职工头部造成轻微擦伤，经医务室简单处理后继续上班"/>
    <hyperlink ref="D254" r:id="rId_hyperlink_249" tooltip="洗脱苯一名操作工巡检北管式炉，因电缆桥架盖板未固定，遇大风天气吹落，划伤操作工后颈部！"/>
    <hyperlink ref="D255" r:id="rId_hyperlink_250" tooltip="2#站低浓度管道流量计前法兰焊接处渗漏"/>
    <hyperlink ref="D256" r:id="rId_hyperlink_251" tooltip="管式炉水封槽盖板未盖，可能造成操作人员夜间巡检时因视线不清陷落池内，造成小腿摔伤"/>
    <hyperlink ref="D257" r:id="rId_hyperlink_252" tooltip="筛焦楼1号放焦观察口无防护装置，一名操作人员工作时没注意脚下，一只脚踩到观察口处，人员歪倒致使尾骨受伤。"/>
    <hyperlink ref="D258" r:id="rId_hyperlink_253" tooltip="一名操作工在煤场巡查作业期间，不慎被煤棚上方坠落物砸伤肩部，导致左手肩部骨折。治疗一个月，在家休养四个月。"/>
    <hyperlink ref="D259" r:id="rId_hyperlink_254" tooltip="5.5米焦炉2名操作工，在除尘干管进行清理作业，高度5米，1人未系安全带，假如从管道边缘踩空坠落，可能会造成颈部着地，发生一人死亡事故"/>
    <hyperlink ref="D260" r:id="rId_hyperlink_255" tooltip="5.5米推焦车，一名外协人员，在无人监护，无本单位电工接电的情况下私自接电，不慎触电，造成一名外协人员触电死亡。"/>
    <hyperlink ref="D261" r:id="rId_hyperlink_256" tooltip="皮带运输机托辊磨破，容易造成磨带划带"/>
    <hyperlink ref="D262" r:id="rId_hyperlink_257" tooltip="5.5米焦炉地下室废气油缸底座螺栓松动，导致油缸开闭行程过大，换向作业不到位，影响生产作业安全，造成重大设备安全事故"/>
    <hyperlink ref="D263" r:id="rId_hyperlink_258" tooltip="粗苯东管道架上有废管道一根，一名操作人员巡检此处若坠落可能会砸到头部"/>
    <hyperlink ref="D264" r:id="rId_hyperlink_259" tooltip="煤九外部护栏开焊，清理平台卫生，开焊的护栏拌倒操作工"/>
    <hyperlink ref="D265" r:id="rId_hyperlink_260" tooltip="一名操作工在清理桥管过程中，未带防护面罩，加如压力不稳，造成面部烧伤，送医院治疗，轻微烧伤，休养10天。"/>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刘永鹏</dc:creator>
  <cp:lastModifiedBy>刘永鹏</cp:lastModifiedBy>
  <dcterms:created xsi:type="dcterms:W3CDTF">2020-06-29T15:53:04+08:00</dcterms:created>
  <dcterms:modified xsi:type="dcterms:W3CDTF">2020-06-29T15:53:04+08:00</dcterms:modified>
  <dc:title>潍坊振兴焦化有限公司隐患动态跟踪</dc:title>
  <dc:description>file generated using system</dc:description>
  <dc:subject>2020年5月报告</dc:subject>
  <cp:keywords>隐患排查</cp:keywords>
  <cp:category/>
</cp:coreProperties>
</file>